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T:\COMUM\Tarifas Gás 2025-2026\Word\NC Tarifas\Art30\Modelo_tarifario_simplificado\4.Versoes PT e EN\"/>
    </mc:Choice>
  </mc:AlternateContent>
  <xr:revisionPtr revIDLastSave="0" documentId="13_ncr:1_{90E327E3-2959-41DC-9E08-7F6C37A76D5A}" xr6:coauthVersionLast="47" xr6:coauthVersionMax="47" xr10:uidLastSave="{00000000-0000-0000-0000-000000000000}"/>
  <workbookProtection workbookAlgorithmName="SHA-512" workbookHashValue="RIFsYDr36hXTISkuWgxMgl87Nvo5E8x8EmjFrr/zeBcBgQ4NI9PTAnzI9BmjiBlOXCdVpF6VwUDvTeUyupWdhQ==" workbookSaltValue="DFjF9h1Q8/nG3Y/zgMhY1w==" workbookSpinCount="100000" lockStructure="1"/>
  <bookViews>
    <workbookView xWindow="28680" yWindow="-120" windowWidth="29040" windowHeight="17640" tabRatio="929" xr2:uid="{00000000-000D-0000-FFFF-FFFF00000000}"/>
  </bookViews>
  <sheets>
    <sheet name="Info" sheetId="49" r:id="rId1"/>
    <sheet name="Input" sheetId="50" r:id="rId2"/>
    <sheet name="Output" sheetId="51" r:id="rId3"/>
    <sheet name="RPM &amp; Discounts" sheetId="32" state="hidden" r:id="rId4"/>
    <sheet name="Input data" sheetId="8" state="hidden" r:id="rId5"/>
    <sheet name="Input capacity" sheetId="14" state="hidden" r:id="rId6"/>
    <sheet name="Distance Matrix_Entry" sheetId="6" state="hidden" r:id="rId7"/>
    <sheet name="Distance Matrix_Exit" sheetId="13" state="hidden" r:id="rId8"/>
    <sheet name="Entry Tariff_1" sheetId="18" state="hidden" r:id="rId9"/>
    <sheet name="Entry Tariff_2" sheetId="20" state="hidden" r:id="rId10"/>
    <sheet name="Exit Tariff_1" sheetId="19" state="hidden" r:id="rId11"/>
    <sheet name="Exit Tariff_2" sheetId="21" state="hidden" r:id="rId12"/>
    <sheet name="Reference prices" sheetId="38" state="hidden" r:id="rId13"/>
    <sheet name="A0.Support" sheetId="33" state="hidden" r:id="rId14"/>
    <sheet name="A1.Network points" sheetId="39" state="hidden" r:id="rId15"/>
    <sheet name="A2.Network segments" sheetId="40" state="hidden" r:id="rId16"/>
    <sheet name="A3.Distance matrix" sheetId="43" state="hidden" r:id="rId17"/>
    <sheet name="A4a.CWD Entry Av. Distance" sheetId="29" state="hidden" r:id="rId18"/>
    <sheet name="A4b.CWD Exit Av. Distance" sheetId="30" state="hidden" r:id="rId19"/>
    <sheet name="A5.Counter-factual" sheetId="45" state="hidden" r:id="rId20"/>
    <sheet name="CAA" sheetId="31" state="hidden" r:id="rId21"/>
    <sheet name="Article 30" sheetId="52" state="hidden" r:id="rId22"/>
    <sheet name="Art30(1)(a)" sheetId="53" state="hidden" r:id="rId23"/>
    <sheet name="Art30(1)(b)(v)" sheetId="54" state="hidden" r:id="rId24"/>
    <sheet name="Art30(2)(a)" sheetId="55" state="hidden" r:id="rId25"/>
    <sheet name="Labels" sheetId="56" state="hidden" r:id="rId26"/>
  </sheets>
  <definedNames>
    <definedName name="Discount">'A0.Support'!$B$12:$B$13</definedName>
    <definedName name="List_RPM">'A0.Support'!$B$3:$B$8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8" i="6" l="1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E66" i="8" l="1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65" i="8"/>
  <c r="E21" i="8"/>
  <c r="E22" i="8"/>
  <c r="E23" i="8"/>
  <c r="E24" i="8"/>
  <c r="E25" i="8"/>
  <c r="E26" i="8"/>
  <c r="E27" i="8"/>
  <c r="E28" i="8"/>
  <c r="E29" i="8"/>
  <c r="E30" i="8"/>
  <c r="E31" i="8"/>
  <c r="E32" i="8"/>
  <c r="E20" i="8"/>
  <c r="E9" i="8"/>
  <c r="I4" i="55"/>
  <c r="H4" i="55"/>
  <c r="I23" i="53" l="1"/>
  <c r="D6" i="53"/>
  <c r="D5" i="53"/>
  <c r="C5" i="53"/>
  <c r="D4" i="53"/>
  <c r="C4" i="53"/>
  <c r="G22" i="50"/>
  <c r="D7" i="53"/>
  <c r="D243" i="8"/>
  <c r="C6" i="53"/>
  <c r="D225" i="8"/>
  <c r="D207" i="8"/>
  <c r="D197" i="8"/>
  <c r="D190" i="8"/>
  <c r="D191" i="8" s="1"/>
  <c r="CM18" i="6" l="1"/>
  <c r="CL18" i="6"/>
  <c r="CD18" i="6"/>
  <c r="BV18" i="6"/>
  <c r="BN18" i="6"/>
  <c r="BF18" i="6"/>
  <c r="AX18" i="6"/>
  <c r="AP18" i="6"/>
  <c r="AH18" i="6"/>
  <c r="Z18" i="6"/>
  <c r="R18" i="6"/>
  <c r="J18" i="6"/>
  <c r="CM17" i="6"/>
  <c r="CE17" i="6"/>
  <c r="BW17" i="6"/>
  <c r="BO17" i="6"/>
  <c r="BG17" i="6"/>
  <c r="AY17" i="6"/>
  <c r="AQ17" i="6"/>
  <c r="AI17" i="6"/>
  <c r="AA17" i="6"/>
  <c r="S17" i="6"/>
  <c r="K17" i="6"/>
  <c r="CF16" i="6"/>
  <c r="BX16" i="6"/>
  <c r="BP16" i="6"/>
  <c r="BH16" i="6"/>
  <c r="AZ16" i="6"/>
  <c r="AR16" i="6"/>
  <c r="AJ16" i="6"/>
  <c r="AB16" i="6"/>
  <c r="T16" i="6"/>
  <c r="L16" i="6"/>
  <c r="CG15" i="6"/>
  <c r="BY15" i="6"/>
  <c r="BQ15" i="6"/>
  <c r="BI15" i="6"/>
  <c r="BA15" i="6"/>
  <c r="AS15" i="6"/>
  <c r="AK15" i="6"/>
  <c r="AC15" i="6"/>
  <c r="U15" i="6"/>
  <c r="M15" i="6"/>
  <c r="CH14" i="6"/>
  <c r="BZ14" i="6"/>
  <c r="BR14" i="6"/>
  <c r="BJ14" i="6"/>
  <c r="BB14" i="6"/>
  <c r="AT14" i="6"/>
  <c r="AL14" i="6"/>
  <c r="AD14" i="6"/>
  <c r="V14" i="6"/>
  <c r="N14" i="6"/>
  <c r="BQ18" i="6"/>
  <c r="AC18" i="6"/>
  <c r="CH17" i="6"/>
  <c r="BR17" i="6"/>
  <c r="BJ17" i="6"/>
  <c r="V17" i="6"/>
  <c r="CI16" i="6"/>
  <c r="BS16" i="6"/>
  <c r="AU16" i="6"/>
  <c r="W16" i="6"/>
  <c r="G16" i="6"/>
  <c r="BT15" i="6"/>
  <c r="AV15" i="6"/>
  <c r="H15" i="6"/>
  <c r="BU14" i="6"/>
  <c r="AW14" i="6"/>
  <c r="Q14" i="6"/>
  <c r="U16" i="6"/>
  <c r="CK18" i="6"/>
  <c r="CC18" i="6"/>
  <c r="BU18" i="6"/>
  <c r="BM18" i="6"/>
  <c r="BE18" i="6"/>
  <c r="AW18" i="6"/>
  <c r="AO18" i="6"/>
  <c r="AG18" i="6"/>
  <c r="Y18" i="6"/>
  <c r="Q18" i="6"/>
  <c r="I18" i="6"/>
  <c r="CL17" i="6"/>
  <c r="CD17" i="6"/>
  <c r="BV17" i="6"/>
  <c r="BN17" i="6"/>
  <c r="BF17" i="6"/>
  <c r="AX17" i="6"/>
  <c r="AP17" i="6"/>
  <c r="AH17" i="6"/>
  <c r="Z17" i="6"/>
  <c r="R17" i="6"/>
  <c r="J17" i="6"/>
  <c r="CM16" i="6"/>
  <c r="CE16" i="6"/>
  <c r="BW16" i="6"/>
  <c r="BO16" i="6"/>
  <c r="BG16" i="6"/>
  <c r="AY16" i="6"/>
  <c r="AQ16" i="6"/>
  <c r="AI16" i="6"/>
  <c r="AA16" i="6"/>
  <c r="S16" i="6"/>
  <c r="K16" i="6"/>
  <c r="CF15" i="6"/>
  <c r="BX15" i="6"/>
  <c r="BP15" i="6"/>
  <c r="BH15" i="6"/>
  <c r="AZ15" i="6"/>
  <c r="AR15" i="6"/>
  <c r="AJ15" i="6"/>
  <c r="AB15" i="6"/>
  <c r="T15" i="6"/>
  <c r="L15" i="6"/>
  <c r="CG14" i="6"/>
  <c r="BY14" i="6"/>
  <c r="BQ14" i="6"/>
  <c r="BI14" i="6"/>
  <c r="BA14" i="6"/>
  <c r="AS14" i="6"/>
  <c r="AK14" i="6"/>
  <c r="AC14" i="6"/>
  <c r="U14" i="6"/>
  <c r="M14" i="6"/>
  <c r="CG18" i="6"/>
  <c r="M18" i="6"/>
  <c r="AL17" i="6"/>
  <c r="BK16" i="6"/>
  <c r="AE16" i="6"/>
  <c r="CJ15" i="6"/>
  <c r="BL15" i="6"/>
  <c r="AN15" i="6"/>
  <c r="X15" i="6"/>
  <c r="CK14" i="6"/>
  <c r="CC14" i="6"/>
  <c r="BM14" i="6"/>
  <c r="AO14" i="6"/>
  <c r="Y14" i="6"/>
  <c r="CH15" i="6"/>
  <c r="CJ18" i="6"/>
  <c r="CB18" i="6"/>
  <c r="BT18" i="6"/>
  <c r="BL18" i="6"/>
  <c r="BD18" i="6"/>
  <c r="AV18" i="6"/>
  <c r="AN18" i="6"/>
  <c r="AF18" i="6"/>
  <c r="X18" i="6"/>
  <c r="P18" i="6"/>
  <c r="H18" i="6"/>
  <c r="CK17" i="6"/>
  <c r="CC17" i="6"/>
  <c r="BU17" i="6"/>
  <c r="BM17" i="6"/>
  <c r="BE17" i="6"/>
  <c r="AW17" i="6"/>
  <c r="AO17" i="6"/>
  <c r="AG17" i="6"/>
  <c r="Y17" i="6"/>
  <c r="Q17" i="6"/>
  <c r="I17" i="6"/>
  <c r="CL16" i="6"/>
  <c r="CD16" i="6"/>
  <c r="BV16" i="6"/>
  <c r="BN16" i="6"/>
  <c r="BF16" i="6"/>
  <c r="AX16" i="6"/>
  <c r="AP16" i="6"/>
  <c r="AH16" i="6"/>
  <c r="Z16" i="6"/>
  <c r="R16" i="6"/>
  <c r="J16" i="6"/>
  <c r="CM15" i="6"/>
  <c r="CE15" i="6"/>
  <c r="BW15" i="6"/>
  <c r="BO15" i="6"/>
  <c r="BG15" i="6"/>
  <c r="AY15" i="6"/>
  <c r="AQ15" i="6"/>
  <c r="AI15" i="6"/>
  <c r="AA15" i="6"/>
  <c r="S15" i="6"/>
  <c r="K15" i="6"/>
  <c r="CF14" i="6"/>
  <c r="BX14" i="6"/>
  <c r="BP14" i="6"/>
  <c r="BH14" i="6"/>
  <c r="AZ14" i="6"/>
  <c r="AR14" i="6"/>
  <c r="AJ14" i="6"/>
  <c r="AB14" i="6"/>
  <c r="T14" i="6"/>
  <c r="L14" i="6"/>
  <c r="BI18" i="6"/>
  <c r="P15" i="6"/>
  <c r="CI18" i="6"/>
  <c r="CA18" i="6"/>
  <c r="BS18" i="6"/>
  <c r="BK18" i="6"/>
  <c r="BC18" i="6"/>
  <c r="AU18" i="6"/>
  <c r="AM18" i="6"/>
  <c r="AE18" i="6"/>
  <c r="W18" i="6"/>
  <c r="O18" i="6"/>
  <c r="G18" i="6"/>
  <c r="CJ17" i="6"/>
  <c r="CB17" i="6"/>
  <c r="BT17" i="6"/>
  <c r="BL17" i="6"/>
  <c r="BD17" i="6"/>
  <c r="AV17" i="6"/>
  <c r="AN17" i="6"/>
  <c r="AF17" i="6"/>
  <c r="X17" i="6"/>
  <c r="P17" i="6"/>
  <c r="H17" i="6"/>
  <c r="CK16" i="6"/>
  <c r="CC16" i="6"/>
  <c r="BU16" i="6"/>
  <c r="BM16" i="6"/>
  <c r="BE16" i="6"/>
  <c r="AW16" i="6"/>
  <c r="AO16" i="6"/>
  <c r="AG16" i="6"/>
  <c r="Y16" i="6"/>
  <c r="Q16" i="6"/>
  <c r="I16" i="6"/>
  <c r="CL15" i="6"/>
  <c r="CD15" i="6"/>
  <c r="BV15" i="6"/>
  <c r="BN15" i="6"/>
  <c r="BF15" i="6"/>
  <c r="AX15" i="6"/>
  <c r="AP15" i="6"/>
  <c r="AH15" i="6"/>
  <c r="Z15" i="6"/>
  <c r="R15" i="6"/>
  <c r="J15" i="6"/>
  <c r="CM14" i="6"/>
  <c r="CE14" i="6"/>
  <c r="BW14" i="6"/>
  <c r="BO14" i="6"/>
  <c r="BG14" i="6"/>
  <c r="AY14" i="6"/>
  <c r="AQ14" i="6"/>
  <c r="AI14" i="6"/>
  <c r="AA14" i="6"/>
  <c r="S14" i="6"/>
  <c r="K14" i="6"/>
  <c r="BY18" i="6"/>
  <c r="BA18" i="6"/>
  <c r="AS18" i="6"/>
  <c r="AK18" i="6"/>
  <c r="U18" i="6"/>
  <c r="BZ17" i="6"/>
  <c r="BB17" i="6"/>
  <c r="AT17" i="6"/>
  <c r="AD17" i="6"/>
  <c r="N17" i="6"/>
  <c r="CA16" i="6"/>
  <c r="BC16" i="6"/>
  <c r="AM16" i="6"/>
  <c r="O16" i="6"/>
  <c r="CB15" i="6"/>
  <c r="BD15" i="6"/>
  <c r="AF15" i="6"/>
  <c r="BE14" i="6"/>
  <c r="AG14" i="6"/>
  <c r="I14" i="6"/>
  <c r="BJ15" i="6"/>
  <c r="CH18" i="6"/>
  <c r="BZ18" i="6"/>
  <c r="BR18" i="6"/>
  <c r="BJ18" i="6"/>
  <c r="BB18" i="6"/>
  <c r="AT18" i="6"/>
  <c r="AL18" i="6"/>
  <c r="AD18" i="6"/>
  <c r="V18" i="6"/>
  <c r="N18" i="6"/>
  <c r="CI17" i="6"/>
  <c r="CA17" i="6"/>
  <c r="BS17" i="6"/>
  <c r="BK17" i="6"/>
  <c r="BC17" i="6"/>
  <c r="AU17" i="6"/>
  <c r="AM17" i="6"/>
  <c r="AE17" i="6"/>
  <c r="W17" i="6"/>
  <c r="O17" i="6"/>
  <c r="G17" i="6"/>
  <c r="CJ16" i="6"/>
  <c r="CB16" i="6"/>
  <c r="BT16" i="6"/>
  <c r="BL16" i="6"/>
  <c r="BD16" i="6"/>
  <c r="AV16" i="6"/>
  <c r="AN16" i="6"/>
  <c r="AF16" i="6"/>
  <c r="X16" i="6"/>
  <c r="P16" i="6"/>
  <c r="H16" i="6"/>
  <c r="CK15" i="6"/>
  <c r="CC15" i="6"/>
  <c r="BU15" i="6"/>
  <c r="BM15" i="6"/>
  <c r="BE15" i="6"/>
  <c r="AW15" i="6"/>
  <c r="AO15" i="6"/>
  <c r="AG15" i="6"/>
  <c r="Y15" i="6"/>
  <c r="Q15" i="6"/>
  <c r="I15" i="6"/>
  <c r="CL14" i="6"/>
  <c r="CD14" i="6"/>
  <c r="BV14" i="6"/>
  <c r="BN14" i="6"/>
  <c r="BF14" i="6"/>
  <c r="AX14" i="6"/>
  <c r="AP14" i="6"/>
  <c r="AH14" i="6"/>
  <c r="Z14" i="6"/>
  <c r="R14" i="6"/>
  <c r="J14" i="6"/>
  <c r="CF18" i="6"/>
  <c r="BX18" i="6"/>
  <c r="BP18" i="6"/>
  <c r="BH18" i="6"/>
  <c r="AZ18" i="6"/>
  <c r="AR18" i="6"/>
  <c r="AJ18" i="6"/>
  <c r="AB18" i="6"/>
  <c r="T18" i="6"/>
  <c r="L18" i="6"/>
  <c r="CG17" i="6"/>
  <c r="BY17" i="6"/>
  <c r="BQ17" i="6"/>
  <c r="BI17" i="6"/>
  <c r="BA17" i="6"/>
  <c r="AS17" i="6"/>
  <c r="AK17" i="6"/>
  <c r="AC17" i="6"/>
  <c r="U17" i="6"/>
  <c r="M17" i="6"/>
  <c r="CH16" i="6"/>
  <c r="BZ16" i="6"/>
  <c r="BR16" i="6"/>
  <c r="BJ16" i="6"/>
  <c r="BB16" i="6"/>
  <c r="AT16" i="6"/>
  <c r="AL16" i="6"/>
  <c r="AD16" i="6"/>
  <c r="V16" i="6"/>
  <c r="N16" i="6"/>
  <c r="CI15" i="6"/>
  <c r="CA15" i="6"/>
  <c r="BS15" i="6"/>
  <c r="BK15" i="6"/>
  <c r="BC15" i="6"/>
  <c r="AU15" i="6"/>
  <c r="AM15" i="6"/>
  <c r="AE15" i="6"/>
  <c r="W15" i="6"/>
  <c r="O15" i="6"/>
  <c r="G15" i="6"/>
  <c r="CJ14" i="6"/>
  <c r="CB14" i="6"/>
  <c r="BT14" i="6"/>
  <c r="BL14" i="6"/>
  <c r="BD14" i="6"/>
  <c r="AV14" i="6"/>
  <c r="AN14" i="6"/>
  <c r="AF14" i="6"/>
  <c r="X14" i="6"/>
  <c r="P14" i="6"/>
  <c r="H14" i="6"/>
  <c r="CE18" i="6"/>
  <c r="BW18" i="6"/>
  <c r="BO18" i="6"/>
  <c r="BG18" i="6"/>
  <c r="AY18" i="6"/>
  <c r="AQ18" i="6"/>
  <c r="AI18" i="6"/>
  <c r="AA18" i="6"/>
  <c r="S18" i="6"/>
  <c r="K18" i="6"/>
  <c r="CF17" i="6"/>
  <c r="BX17" i="6"/>
  <c r="BP17" i="6"/>
  <c r="BH17" i="6"/>
  <c r="AZ17" i="6"/>
  <c r="AR17" i="6"/>
  <c r="AJ17" i="6"/>
  <c r="AB17" i="6"/>
  <c r="T17" i="6"/>
  <c r="L17" i="6"/>
  <c r="CG16" i="6"/>
  <c r="BY16" i="6"/>
  <c r="BQ16" i="6"/>
  <c r="BI16" i="6"/>
  <c r="BA16" i="6"/>
  <c r="AS16" i="6"/>
  <c r="AK16" i="6"/>
  <c r="AC16" i="6"/>
  <c r="M16" i="6"/>
  <c r="BZ15" i="6"/>
  <c r="BR15" i="6"/>
  <c r="BB15" i="6"/>
  <c r="AT15" i="6"/>
  <c r="BC14" i="6"/>
  <c r="O14" i="6"/>
  <c r="AU14" i="6"/>
  <c r="BS14" i="6"/>
  <c r="N15" i="6"/>
  <c r="BK14" i="6"/>
  <c r="AM14" i="6"/>
  <c r="G14" i="6"/>
  <c r="AE14" i="6"/>
  <c r="AL15" i="6"/>
  <c r="CI14" i="6"/>
  <c r="W14" i="6"/>
  <c r="CA14" i="6"/>
  <c r="V15" i="6"/>
  <c r="AD15" i="6"/>
  <c r="F8" i="52"/>
  <c r="C7" i="53"/>
  <c r="B2" i="56"/>
  <c r="B100" i="56" s="1"/>
  <c r="S38" i="55"/>
  <c r="R38" i="55"/>
  <c r="C6" i="54"/>
  <c r="H9" i="50"/>
  <c r="H4" i="51" s="1"/>
  <c r="G9" i="50"/>
  <c r="G4" i="51" s="1"/>
  <c r="B14" i="56" l="1"/>
  <c r="C23" i="49" s="1"/>
  <c r="B39" i="56"/>
  <c r="B53" i="56"/>
  <c r="O3" i="51" s="1"/>
  <c r="B64" i="56"/>
  <c r="B91" i="56"/>
  <c r="B3" i="56"/>
  <c r="C9" i="49" s="1"/>
  <c r="B29" i="56"/>
  <c r="B54" i="56"/>
  <c r="B4" i="53" s="1"/>
  <c r="B67" i="56"/>
  <c r="B79" i="56"/>
  <c r="B5" i="56"/>
  <c r="C12" i="49" s="1"/>
  <c r="B16" i="56"/>
  <c r="D28" i="49" s="1"/>
  <c r="B30" i="56"/>
  <c r="B43" i="56"/>
  <c r="B55" i="56"/>
  <c r="B5" i="53" s="1"/>
  <c r="B69" i="56"/>
  <c r="B80" i="56"/>
  <c r="B94" i="56"/>
  <c r="B27" i="56"/>
  <c r="B15" i="56"/>
  <c r="C26" i="49" s="1"/>
  <c r="B40" i="56"/>
  <c r="B93" i="56"/>
  <c r="B6" i="56"/>
  <c r="C13" i="49" s="1"/>
  <c r="B19" i="56"/>
  <c r="Q5" i="49" s="1"/>
  <c r="B31" i="56"/>
  <c r="B45" i="56"/>
  <c r="B56" i="56"/>
  <c r="B6" i="53" s="1"/>
  <c r="B70" i="56"/>
  <c r="B83" i="56"/>
  <c r="B95" i="56"/>
  <c r="B103" i="56"/>
  <c r="B7" i="56"/>
  <c r="C14" i="49" s="1"/>
  <c r="B71" i="56"/>
  <c r="B8" i="56"/>
  <c r="C17" i="49" s="1"/>
  <c r="B22" i="56"/>
  <c r="B7" i="50" s="1"/>
  <c r="B35" i="56"/>
  <c r="B47" i="56"/>
  <c r="B61" i="56"/>
  <c r="B72" i="56"/>
  <c r="B86" i="56"/>
  <c r="B99" i="56"/>
  <c r="B21" i="56"/>
  <c r="D4" i="50" s="1"/>
  <c r="B32" i="56"/>
  <c r="B46" i="56"/>
  <c r="J9" i="50" s="1"/>
  <c r="B59" i="56"/>
  <c r="L11" i="53" s="1"/>
  <c r="L12" i="53" s="1"/>
  <c r="B96" i="56"/>
  <c r="B11" i="56"/>
  <c r="C21" i="49" s="1"/>
  <c r="B23" i="56"/>
  <c r="B37" i="56"/>
  <c r="B48" i="56"/>
  <c r="B62" i="56"/>
  <c r="B75" i="56"/>
  <c r="B87" i="56"/>
  <c r="B101" i="56"/>
  <c r="B78" i="56"/>
  <c r="B85" i="56"/>
  <c r="B13" i="56"/>
  <c r="D21" i="49" s="1"/>
  <c r="B24" i="56"/>
  <c r="H10" i="53" s="1"/>
  <c r="B38" i="56"/>
  <c r="B51" i="56"/>
  <c r="J5" i="51" s="1"/>
  <c r="J26" i="51" s="1"/>
  <c r="K26" i="55" s="1"/>
  <c r="B63" i="56"/>
  <c r="B77" i="56"/>
  <c r="B88" i="56"/>
  <c r="B102" i="56"/>
  <c r="F9" i="52"/>
  <c r="D6" i="54" s="1"/>
  <c r="E9" i="50"/>
  <c r="E4" i="51" s="1"/>
  <c r="E4" i="55" s="1"/>
  <c r="P38" i="55" s="1"/>
  <c r="B9" i="56"/>
  <c r="C18" i="49" s="1"/>
  <c r="B17" i="56"/>
  <c r="D29" i="49" s="1"/>
  <c r="B25" i="56"/>
  <c r="B33" i="56"/>
  <c r="B41" i="56"/>
  <c r="B49" i="56"/>
  <c r="O4" i="50" s="1"/>
  <c r="B57" i="56"/>
  <c r="B7" i="53" s="1"/>
  <c r="B65" i="56"/>
  <c r="B73" i="56"/>
  <c r="B81" i="56"/>
  <c r="B89" i="56"/>
  <c r="B97" i="56"/>
  <c r="B10" i="56"/>
  <c r="C20" i="49" s="1"/>
  <c r="B18" i="56"/>
  <c r="D30" i="49" s="1"/>
  <c r="B26" i="56"/>
  <c r="B34" i="56"/>
  <c r="B42" i="56"/>
  <c r="B50" i="56"/>
  <c r="B2" i="51" s="1"/>
  <c r="B58" i="56"/>
  <c r="L10" i="53" s="1"/>
  <c r="B66" i="56"/>
  <c r="B74" i="56"/>
  <c r="B82" i="56"/>
  <c r="B90" i="56"/>
  <c r="B98" i="56"/>
  <c r="B4" i="56"/>
  <c r="C10" i="49" s="1"/>
  <c r="B12" i="56"/>
  <c r="D20" i="49" s="1"/>
  <c r="B20" i="56"/>
  <c r="B2" i="50" s="1"/>
  <c r="B28" i="56"/>
  <c r="B36" i="56"/>
  <c r="B44" i="56"/>
  <c r="B52" i="56"/>
  <c r="B60" i="56"/>
  <c r="B68" i="56"/>
  <c r="B76" i="56"/>
  <c r="B84" i="56"/>
  <c r="B92" i="56"/>
  <c r="L13" i="53" l="1"/>
  <c r="J7" i="51"/>
  <c r="K7" i="55" s="1"/>
  <c r="J25" i="51"/>
  <c r="K25" i="55" s="1"/>
  <c r="J31" i="51"/>
  <c r="K31" i="55" s="1"/>
  <c r="J6" i="51"/>
  <c r="K6" i="55" s="1"/>
  <c r="J8" i="51"/>
  <c r="K8" i="55" s="1"/>
  <c r="J12" i="51"/>
  <c r="K12" i="55" s="1"/>
  <c r="J30" i="51"/>
  <c r="K30" i="55" s="1"/>
  <c r="J24" i="51"/>
  <c r="K24" i="55" s="1"/>
  <c r="J36" i="51"/>
  <c r="K36" i="55" s="1"/>
  <c r="J14" i="51"/>
  <c r="K14" i="55" s="1"/>
  <c r="J27" i="51"/>
  <c r="K27" i="55" s="1"/>
  <c r="L29" i="53"/>
  <c r="L35" i="53"/>
  <c r="L28" i="53"/>
  <c r="L14" i="53"/>
  <c r="J22" i="51"/>
  <c r="K22" i="55" s="1"/>
  <c r="L31" i="53"/>
  <c r="G21" i="53"/>
  <c r="G34" i="53" s="1"/>
  <c r="D20" i="50"/>
  <c r="L33" i="53"/>
  <c r="J20" i="51"/>
  <c r="K20" i="55" s="1"/>
  <c r="J29" i="51"/>
  <c r="K29" i="55" s="1"/>
  <c r="J10" i="51"/>
  <c r="K10" i="55" s="1"/>
  <c r="J21" i="51"/>
  <c r="K21" i="55" s="1"/>
  <c r="L16" i="53"/>
  <c r="E39" i="50"/>
  <c r="E34" i="51" s="1"/>
  <c r="E34" i="55" s="1"/>
  <c r="P68" i="55" s="1"/>
  <c r="H40" i="53"/>
  <c r="K10" i="53"/>
  <c r="J4" i="51"/>
  <c r="K4" i="55" s="1"/>
  <c r="L19" i="53"/>
  <c r="J33" i="51"/>
  <c r="K33" i="55" s="1"/>
  <c r="H23" i="53"/>
  <c r="E22" i="50"/>
  <c r="E17" i="51" s="1"/>
  <c r="E17" i="55" s="1"/>
  <c r="P51" i="55" s="1"/>
  <c r="G37" i="53"/>
  <c r="D36" i="50"/>
  <c r="D31" i="51" s="1"/>
  <c r="D31" i="55" s="1"/>
  <c r="O65" i="55" s="1"/>
  <c r="D10" i="50"/>
  <c r="G11" i="53"/>
  <c r="G24" i="53" s="1"/>
  <c r="G10" i="53"/>
  <c r="D9" i="50"/>
  <c r="D4" i="51" s="1"/>
  <c r="D4" i="55" s="1"/>
  <c r="O38" i="55" s="1"/>
  <c r="K35" i="53"/>
  <c r="K39" i="53"/>
  <c r="K32" i="53"/>
  <c r="K25" i="53"/>
  <c r="K20" i="53"/>
  <c r="K14" i="53"/>
  <c r="K33" i="53"/>
  <c r="K42" i="53"/>
  <c r="K38" i="53"/>
  <c r="K31" i="53"/>
  <c r="K24" i="53"/>
  <c r="K19" i="53"/>
  <c r="K13" i="53"/>
  <c r="K12" i="53"/>
  <c r="K37" i="53"/>
  <c r="K23" i="53"/>
  <c r="K18" i="53"/>
  <c r="K30" i="53"/>
  <c r="K26" i="53"/>
  <c r="K21" i="53"/>
  <c r="K41" i="53"/>
  <c r="K36" i="53"/>
  <c r="K29" i="53"/>
  <c r="K17" i="53"/>
  <c r="J10" i="50"/>
  <c r="K40" i="53"/>
  <c r="K27" i="53"/>
  <c r="K28" i="53"/>
  <c r="K22" i="53"/>
  <c r="K16" i="53"/>
  <c r="K11" i="53"/>
  <c r="K34" i="53"/>
  <c r="K15" i="53"/>
  <c r="H37" i="53"/>
  <c r="E36" i="50"/>
  <c r="E31" i="51" s="1"/>
  <c r="E31" i="55" s="1"/>
  <c r="P65" i="55" s="1"/>
  <c r="L17" i="53"/>
  <c r="K5" i="55"/>
  <c r="J15" i="51"/>
  <c r="K15" i="55" s="1"/>
  <c r="J13" i="51"/>
  <c r="K13" i="55" s="1"/>
  <c r="J32" i="51"/>
  <c r="K32" i="55" s="1"/>
  <c r="J17" i="51"/>
  <c r="K17" i="55" s="1"/>
  <c r="J23" i="51"/>
  <c r="K23" i="55" s="1"/>
  <c r="H13" i="53"/>
  <c r="E12" i="50"/>
  <c r="L25" i="53"/>
  <c r="L27" i="53"/>
  <c r="J28" i="51"/>
  <c r="K28" i="55" s="1"/>
  <c r="L18" i="53"/>
  <c r="L24" i="53"/>
  <c r="L20" i="53"/>
  <c r="L32" i="53"/>
  <c r="J34" i="51"/>
  <c r="K34" i="55" s="1"/>
  <c r="L34" i="53"/>
  <c r="J11" i="51"/>
  <c r="K11" i="55" s="1"/>
  <c r="E41" i="50"/>
  <c r="E36" i="51" s="1"/>
  <c r="E36" i="55" s="1"/>
  <c r="P70" i="55" s="1"/>
  <c r="H42" i="53"/>
  <c r="H36" i="53"/>
  <c r="E35" i="50"/>
  <c r="E30" i="51" s="1"/>
  <c r="E30" i="55" s="1"/>
  <c r="P64" i="55" s="1"/>
  <c r="L30" i="53"/>
  <c r="L21" i="53"/>
  <c r="G23" i="53"/>
  <c r="B8" i="53"/>
  <c r="D22" i="50"/>
  <c r="D17" i="51" s="1"/>
  <c r="D17" i="55" s="1"/>
  <c r="O51" i="55" s="1"/>
  <c r="L22" i="53"/>
  <c r="L26" i="53"/>
  <c r="L15" i="53"/>
  <c r="J18" i="51"/>
  <c r="K18" i="55" s="1"/>
  <c r="J19" i="51"/>
  <c r="K19" i="55" s="1"/>
  <c r="J16" i="51"/>
  <c r="K16" i="55" s="1"/>
  <c r="J35" i="51"/>
  <c r="K35" i="55" s="1"/>
  <c r="J9" i="51"/>
  <c r="K9" i="55" s="1"/>
  <c r="E14" i="50"/>
  <c r="H15" i="53"/>
  <c r="D35" i="50"/>
  <c r="D30" i="51" s="1"/>
  <c r="D30" i="55" s="1"/>
  <c r="O64" i="55" s="1"/>
  <c r="G36" i="53"/>
  <c r="G16" i="53"/>
  <c r="G29" i="53" s="1"/>
  <c r="D15" i="50"/>
  <c r="E10" i="50"/>
  <c r="H11" i="53"/>
  <c r="H14" i="53"/>
  <c r="E13" i="50"/>
  <c r="E37" i="50"/>
  <c r="E32" i="51" s="1"/>
  <c r="E32" i="55" s="1"/>
  <c r="P66" i="55" s="1"/>
  <c r="H38" i="53"/>
  <c r="F11" i="53"/>
  <c r="C10" i="50"/>
  <c r="L23" i="53"/>
  <c r="L36" i="53"/>
  <c r="H12" i="53"/>
  <c r="E11" i="50"/>
  <c r="C23" i="50"/>
  <c r="F24" i="53"/>
  <c r="H39" i="53"/>
  <c r="E38" i="50"/>
  <c r="E33" i="51" s="1"/>
  <c r="E33" i="55" s="1"/>
  <c r="P67" i="55" s="1"/>
  <c r="E40" i="50"/>
  <c r="E35" i="51" s="1"/>
  <c r="E35" i="55" s="1"/>
  <c r="P69" i="55" s="1"/>
  <c r="H41" i="53"/>
  <c r="H28" i="53" l="1"/>
  <c r="H20" i="53"/>
  <c r="H33" i="53" s="1"/>
  <c r="H22" i="53"/>
  <c r="H35" i="53" s="1"/>
  <c r="D5" i="51"/>
  <c r="D5" i="55" s="1"/>
  <c r="O39" i="55" s="1"/>
  <c r="D23" i="50"/>
  <c r="D18" i="51" s="1"/>
  <c r="D18" i="55" s="1"/>
  <c r="O52" i="55" s="1"/>
  <c r="E17" i="50"/>
  <c r="E7" i="51"/>
  <c r="E7" i="55" s="1"/>
  <c r="P41" i="55" s="1"/>
  <c r="E25" i="50"/>
  <c r="E20" i="51" s="1"/>
  <c r="E20" i="55" s="1"/>
  <c r="P54" i="55" s="1"/>
  <c r="D33" i="50"/>
  <c r="D28" i="51" s="1"/>
  <c r="D28" i="55" s="1"/>
  <c r="O62" i="55" s="1"/>
  <c r="D15" i="51"/>
  <c r="D15" i="55" s="1"/>
  <c r="O49" i="55" s="1"/>
  <c r="E27" i="50"/>
  <c r="E22" i="51" s="1"/>
  <c r="E22" i="55" s="1"/>
  <c r="P56" i="55" s="1"/>
  <c r="E21" i="50"/>
  <c r="E9" i="51"/>
  <c r="E9" i="55" s="1"/>
  <c r="P43" i="55" s="1"/>
  <c r="E19" i="50"/>
  <c r="H26" i="53"/>
  <c r="H18" i="53"/>
  <c r="H31" i="53" s="1"/>
  <c r="J33" i="50"/>
  <c r="J18" i="50"/>
  <c r="J40" i="50"/>
  <c r="J31" i="50"/>
  <c r="J28" i="50"/>
  <c r="J11" i="50"/>
  <c r="J37" i="50"/>
  <c r="J41" i="50"/>
  <c r="J19" i="50"/>
  <c r="J32" i="50"/>
  <c r="J22" i="50"/>
  <c r="J20" i="50"/>
  <c r="J17" i="50"/>
  <c r="J25" i="50"/>
  <c r="J39" i="50"/>
  <c r="J13" i="50"/>
  <c r="J35" i="50"/>
  <c r="J15" i="50"/>
  <c r="J12" i="50"/>
  <c r="J30" i="50"/>
  <c r="J36" i="50"/>
  <c r="J16" i="50"/>
  <c r="J21" i="50"/>
  <c r="J34" i="50"/>
  <c r="J23" i="50"/>
  <c r="J27" i="50"/>
  <c r="J29" i="50"/>
  <c r="J26" i="50"/>
  <c r="J38" i="50"/>
  <c r="J24" i="50"/>
  <c r="J14" i="50"/>
  <c r="C18" i="51"/>
  <c r="C18" i="55" s="1"/>
  <c r="N52" i="55" s="1"/>
  <c r="D3" i="53"/>
  <c r="E6" i="51"/>
  <c r="E6" i="55" s="1"/>
  <c r="P40" i="55" s="1"/>
  <c r="E24" i="50"/>
  <c r="E19" i="51" s="1"/>
  <c r="E19" i="55" s="1"/>
  <c r="P53" i="55" s="1"/>
  <c r="E16" i="50"/>
  <c r="H17" i="53"/>
  <c r="H30" i="53" s="1"/>
  <c r="H25" i="53"/>
  <c r="L41" i="53"/>
  <c r="L39" i="53"/>
  <c r="L37" i="53"/>
  <c r="L40" i="53"/>
  <c r="L42" i="53"/>
  <c r="L38" i="53"/>
  <c r="E8" i="51"/>
  <c r="E8" i="55" s="1"/>
  <c r="P42" i="55" s="1"/>
  <c r="E18" i="50"/>
  <c r="E20" i="50"/>
  <c r="E26" i="50"/>
  <c r="E21" i="51" s="1"/>
  <c r="E21" i="55" s="1"/>
  <c r="P55" i="55" s="1"/>
  <c r="H21" i="53"/>
  <c r="H34" i="53" s="1"/>
  <c r="H19" i="53"/>
  <c r="H32" i="53" s="1"/>
  <c r="H27" i="53"/>
  <c r="E15" i="50"/>
  <c r="E23" i="50"/>
  <c r="E18" i="51" s="1"/>
  <c r="E18" i="55" s="1"/>
  <c r="P52" i="55" s="1"/>
  <c r="E5" i="51"/>
  <c r="E5" i="55" s="1"/>
  <c r="P39" i="55" s="1"/>
  <c r="H24" i="53"/>
  <c r="H16" i="53"/>
  <c r="H29" i="53" s="1"/>
  <c r="C3" i="53"/>
  <c r="C5" i="51"/>
  <c r="C5" i="55" s="1"/>
  <c r="N39" i="55" s="1"/>
  <c r="D10" i="51"/>
  <c r="D10" i="55" s="1"/>
  <c r="O44" i="55" s="1"/>
  <c r="D28" i="50"/>
  <c r="D23" i="51" s="1"/>
  <c r="D23" i="55" s="1"/>
  <c r="O57" i="55" s="1"/>
  <c r="E16" i="51" l="1"/>
  <c r="E16" i="55" s="1"/>
  <c r="P50" i="55" s="1"/>
  <c r="E34" i="50"/>
  <c r="E29" i="51" s="1"/>
  <c r="E29" i="55" s="1"/>
  <c r="P63" i="55" s="1"/>
  <c r="E14" i="51"/>
  <c r="E14" i="55" s="1"/>
  <c r="P48" i="55" s="1"/>
  <c r="E32" i="50"/>
  <c r="E27" i="51" s="1"/>
  <c r="E27" i="55" s="1"/>
  <c r="P61" i="55" s="1"/>
  <c r="E12" i="51"/>
  <c r="E12" i="55" s="1"/>
  <c r="P46" i="55" s="1"/>
  <c r="E30" i="50"/>
  <c r="E25" i="51" s="1"/>
  <c r="E25" i="55" s="1"/>
  <c r="P59" i="55" s="1"/>
  <c r="E15" i="51"/>
  <c r="E15" i="55" s="1"/>
  <c r="P49" i="55" s="1"/>
  <c r="E33" i="50"/>
  <c r="E28" i="51" s="1"/>
  <c r="E28" i="55" s="1"/>
  <c r="P62" i="55" s="1"/>
  <c r="E13" i="51"/>
  <c r="E13" i="55" s="1"/>
  <c r="P47" i="55" s="1"/>
  <c r="E31" i="50"/>
  <c r="E26" i="51" s="1"/>
  <c r="E26" i="55" s="1"/>
  <c r="P60" i="55" s="1"/>
  <c r="E28" i="50"/>
  <c r="E23" i="51" s="1"/>
  <c r="E23" i="55" s="1"/>
  <c r="P57" i="55" s="1"/>
  <c r="E10" i="51"/>
  <c r="E10" i="55" s="1"/>
  <c r="P44" i="55" s="1"/>
  <c r="E11" i="51"/>
  <c r="E11" i="55" s="1"/>
  <c r="P45" i="55" s="1"/>
  <c r="E29" i="50"/>
  <c r="E24" i="51" s="1"/>
  <c r="E24" i="55" s="1"/>
  <c r="P58" i="55" s="1"/>
  <c r="R49" i="55" l="1"/>
  <c r="R50" i="55"/>
  <c r="R57" i="55" l="1"/>
  <c r="R58" i="55"/>
  <c r="R60" i="55"/>
  <c r="R63" i="55"/>
  <c r="R61" i="55"/>
  <c r="R62" i="55"/>
  <c r="R59" i="55"/>
  <c r="G21" i="50" l="1"/>
  <c r="I22" i="53"/>
  <c r="G30" i="50"/>
  <c r="I31" i="53"/>
  <c r="G20" i="50"/>
  <c r="I21" i="53"/>
  <c r="G29" i="50"/>
  <c r="I30" i="53"/>
  <c r="G14" i="50"/>
  <c r="I15" i="53"/>
  <c r="G23" i="50"/>
  <c r="I24" i="53"/>
  <c r="G31" i="50"/>
  <c r="I32" i="53"/>
  <c r="G32" i="50"/>
  <c r="I33" i="53"/>
  <c r="G16" i="50"/>
  <c r="I17" i="53"/>
  <c r="G25" i="50"/>
  <c r="I26" i="53"/>
  <c r="G33" i="50"/>
  <c r="I34" i="53"/>
  <c r="G24" i="50"/>
  <c r="I25" i="53"/>
  <c r="G17" i="50"/>
  <c r="I18" i="53"/>
  <c r="G26" i="50"/>
  <c r="I27" i="53"/>
  <c r="G34" i="50"/>
  <c r="I35" i="53"/>
  <c r="G15" i="50"/>
  <c r="I16" i="53"/>
  <c r="G18" i="50"/>
  <c r="I19" i="53"/>
  <c r="G27" i="50"/>
  <c r="I28" i="53"/>
  <c r="G37" i="50"/>
  <c r="I38" i="53"/>
  <c r="G19" i="50"/>
  <c r="I20" i="53"/>
  <c r="G28" i="50"/>
  <c r="I29" i="53"/>
  <c r="G10" i="50"/>
  <c r="I11" i="53"/>
  <c r="G11" i="50" l="1"/>
  <c r="I12" i="53"/>
  <c r="G12" i="50"/>
  <c r="I13" i="53"/>
  <c r="G13" i="50"/>
  <c r="I14" i="53"/>
  <c r="D83" i="8"/>
  <c r="D82" i="8"/>
  <c r="I42" i="53" l="1"/>
  <c r="G41" i="50"/>
  <c r="I41" i="53"/>
  <c r="G40" i="50"/>
  <c r="B194" i="19"/>
  <c r="B26" i="18"/>
  <c r="E266" i="21" l="1"/>
  <c r="D266" i="21"/>
  <c r="E244" i="21"/>
  <c r="D244" i="21"/>
  <c r="E684" i="19"/>
  <c r="D684" i="19"/>
  <c r="E677" i="19"/>
  <c r="D677" i="19"/>
  <c r="C23" i="6" l="1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E9" i="6" l="1"/>
  <c r="E8" i="6"/>
  <c r="E7" i="6"/>
  <c r="E6" i="6"/>
  <c r="E5" i="6"/>
  <c r="C9" i="6"/>
  <c r="C8" i="6"/>
  <c r="C6" i="6"/>
  <c r="C5" i="6"/>
  <c r="F9" i="6"/>
  <c r="F7" i="6"/>
  <c r="F5" i="6"/>
  <c r="D9" i="6"/>
  <c r="D8" i="6"/>
  <c r="D7" i="6"/>
  <c r="D6" i="6"/>
  <c r="D5" i="6"/>
  <c r="C7" i="6"/>
  <c r="F8" i="6"/>
  <c r="F6" i="6"/>
  <c r="H5" i="31"/>
  <c r="H4" i="31"/>
  <c r="I10" i="31" l="1"/>
  <c r="I8" i="31" l="1"/>
  <c r="H8" i="31"/>
  <c r="H11" i="31" s="1"/>
  <c r="H7" i="31"/>
  <c r="H10" i="31" s="1"/>
  <c r="I5" i="31"/>
  <c r="I11" i="31" s="1"/>
  <c r="B215" i="31" l="1"/>
  <c r="B240" i="31"/>
  <c r="E263" i="31"/>
  <c r="D263" i="31"/>
  <c r="E254" i="31"/>
  <c r="D254" i="31"/>
  <c r="E241" i="31"/>
  <c r="D241" i="31"/>
  <c r="E234" i="31"/>
  <c r="D234" i="31"/>
  <c r="E225" i="31"/>
  <c r="D225" i="31"/>
  <c r="E216" i="31"/>
  <c r="D216" i="31"/>
  <c r="E216" i="8" l="1"/>
  <c r="E215" i="8"/>
  <c r="E214" i="8"/>
  <c r="E213" i="8"/>
  <c r="E206" i="8"/>
  <c r="E205" i="8"/>
  <c r="E204" i="8"/>
  <c r="C13" i="38" l="1"/>
  <c r="C12" i="38"/>
  <c r="C11" i="38"/>
  <c r="C10" i="38"/>
  <c r="C9" i="38"/>
  <c r="C8" i="38"/>
  <c r="C7" i="38"/>
  <c r="C6" i="38"/>
  <c r="E5" i="38" l="1"/>
  <c r="D5" i="38"/>
  <c r="E234" i="8" l="1"/>
  <c r="E233" i="8"/>
  <c r="E232" i="8"/>
  <c r="E231" i="8"/>
  <c r="E224" i="8"/>
  <c r="E223" i="8"/>
  <c r="E222" i="8"/>
  <c r="B14" i="18" l="1"/>
  <c r="B195" i="19"/>
  <c r="B98" i="19"/>
  <c r="B99" i="19"/>
  <c r="E229" i="8" l="1"/>
  <c r="D229" i="8"/>
  <c r="E220" i="8"/>
  <c r="D220" i="8"/>
  <c r="E225" i="8" l="1"/>
  <c r="E104" i="8" l="1"/>
  <c r="B104" i="8"/>
  <c r="B103" i="8"/>
  <c r="E52" i="8"/>
  <c r="B54" i="8"/>
  <c r="B52" i="8"/>
  <c r="B51" i="8"/>
  <c r="E93" i="21" l="1"/>
  <c r="D93" i="21"/>
  <c r="E92" i="21"/>
  <c r="D92" i="21"/>
  <c r="E91" i="21"/>
  <c r="D91" i="21"/>
  <c r="E90" i="21"/>
  <c r="D90" i="21"/>
  <c r="E89" i="21"/>
  <c r="D89" i="21"/>
  <c r="E88" i="21"/>
  <c r="D88" i="21"/>
  <c r="E87" i="21"/>
  <c r="D87" i="21"/>
  <c r="E84" i="21"/>
  <c r="D84" i="21"/>
  <c r="E83" i="21"/>
  <c r="D83" i="21"/>
  <c r="E82" i="21"/>
  <c r="D82" i="21"/>
  <c r="E81" i="21"/>
  <c r="D81" i="21"/>
  <c r="E80" i="21"/>
  <c r="D80" i="21"/>
  <c r="E79" i="21"/>
  <c r="D79" i="21"/>
  <c r="E78" i="21"/>
  <c r="D78" i="21"/>
  <c r="E77" i="21"/>
  <c r="D77" i="21"/>
  <c r="E76" i="21"/>
  <c r="D76" i="21"/>
  <c r="E75" i="21"/>
  <c r="D75" i="21"/>
  <c r="E73" i="20"/>
  <c r="D73" i="20"/>
  <c r="E70" i="20"/>
  <c r="D70" i="20"/>
  <c r="E69" i="20"/>
  <c r="D69" i="20"/>
  <c r="E68" i="20"/>
  <c r="D68" i="20"/>
  <c r="E67" i="20"/>
  <c r="D67" i="20"/>
  <c r="E66" i="20"/>
  <c r="D66" i="20"/>
  <c r="E65" i="20"/>
  <c r="D65" i="20"/>
  <c r="E64" i="20"/>
  <c r="D64" i="20"/>
  <c r="E63" i="20"/>
  <c r="D63" i="20"/>
  <c r="E62" i="20"/>
  <c r="D62" i="20"/>
  <c r="E61" i="20"/>
  <c r="D61" i="20"/>
  <c r="E250" i="8" l="1"/>
  <c r="E243" i="8"/>
  <c r="E241" i="8" l="1"/>
  <c r="E252" i="8"/>
  <c r="E242" i="8"/>
  <c r="E251" i="8"/>
  <c r="E247" i="8" l="1"/>
  <c r="D247" i="8"/>
  <c r="E238" i="8"/>
  <c r="D238" i="8"/>
  <c r="I10" i="53" s="1"/>
  <c r="E249" i="8" l="1"/>
  <c r="E240" i="8"/>
  <c r="E206" i="31"/>
  <c r="D206" i="31"/>
  <c r="E197" i="31"/>
  <c r="D197" i="31"/>
  <c r="E184" i="31"/>
  <c r="D184" i="31"/>
  <c r="B183" i="31"/>
  <c r="E177" i="31"/>
  <c r="D177" i="31"/>
  <c r="E168" i="31"/>
  <c r="D168" i="31"/>
  <c r="E159" i="31"/>
  <c r="D159" i="31"/>
  <c r="E150" i="31"/>
  <c r="D150" i="31"/>
  <c r="B117" i="31" l="1"/>
  <c r="B114" i="31"/>
  <c r="B113" i="31"/>
  <c r="E111" i="31"/>
  <c r="D111" i="31"/>
  <c r="E84" i="31" l="1"/>
  <c r="D84" i="31"/>
  <c r="E118" i="31" l="1"/>
  <c r="D118" i="31"/>
  <c r="E102" i="31"/>
  <c r="D102" i="31"/>
  <c r="E140" i="31"/>
  <c r="D140" i="31"/>
  <c r="E131" i="31"/>
  <c r="D131" i="31"/>
  <c r="E93" i="31"/>
  <c r="D93" i="31"/>
  <c r="C25" i="31" l="1"/>
  <c r="C24" i="31"/>
  <c r="C23" i="31"/>
  <c r="C22" i="31"/>
  <c r="B24" i="31"/>
  <c r="B22" i="31"/>
  <c r="B76" i="31"/>
  <c r="B72" i="31"/>
  <c r="B63" i="31"/>
  <c r="B50" i="31"/>
  <c r="E42" i="31"/>
  <c r="E74" i="31" s="1"/>
  <c r="D42" i="31"/>
  <c r="D74" i="31" s="1"/>
  <c r="B36" i="31"/>
  <c r="B68" i="31" s="1"/>
  <c r="B35" i="31"/>
  <c r="B67" i="31" s="1"/>
  <c r="E33" i="31"/>
  <c r="D33" i="31"/>
  <c r="B32" i="31"/>
  <c r="B64" i="31" s="1"/>
  <c r="B130" i="31" s="1"/>
  <c r="B27" i="31"/>
  <c r="B26" i="31"/>
  <c r="E20" i="31"/>
  <c r="E52" i="31" s="1"/>
  <c r="D20" i="31"/>
  <c r="D52" i="31" s="1"/>
  <c r="E5" i="31"/>
  <c r="D5" i="31"/>
  <c r="G191" i="13" a="1"/>
  <c r="G191" i="13" s="1"/>
  <c r="F191" i="13" a="1"/>
  <c r="F191" i="13" s="1"/>
  <c r="E191" i="13" a="1"/>
  <c r="E195" i="13" s="1"/>
  <c r="D191" i="13" a="1"/>
  <c r="D191" i="13" s="1"/>
  <c r="C191" i="13" a="1"/>
  <c r="C191" i="13" s="1"/>
  <c r="B189" i="13"/>
  <c r="B96" i="13"/>
  <c r="E65" i="31" l="1"/>
  <c r="D65" i="31"/>
  <c r="B88" i="31"/>
  <c r="B154" i="31" s="1"/>
  <c r="C88" i="31"/>
  <c r="C154" i="31" s="1"/>
  <c r="C86" i="31"/>
  <c r="C152" i="31" s="1"/>
  <c r="C89" i="31"/>
  <c r="C155" i="31" s="1"/>
  <c r="B196" i="31"/>
  <c r="B253" i="31" s="1"/>
  <c r="C96" i="31"/>
  <c r="C87" i="31"/>
  <c r="C153" i="31" s="1"/>
  <c r="B95" i="31"/>
  <c r="B86" i="31"/>
  <c r="B152" i="31" s="1"/>
  <c r="B51" i="31"/>
  <c r="B54" i="31"/>
  <c r="C55" i="31"/>
  <c r="B56" i="31"/>
  <c r="B97" i="31"/>
  <c r="C54" i="31"/>
  <c r="C95" i="31"/>
  <c r="C56" i="31"/>
  <c r="C97" i="31"/>
  <c r="B58" i="31"/>
  <c r="B59" i="31"/>
  <c r="C57" i="31"/>
  <c r="C98" i="31"/>
  <c r="G238" i="13"/>
  <c r="G237" i="13"/>
  <c r="G260" i="13"/>
  <c r="G244" i="13"/>
  <c r="G236" i="13"/>
  <c r="G228" i="13"/>
  <c r="G220" i="13"/>
  <c r="G212" i="13"/>
  <c r="G204" i="13"/>
  <c r="G196" i="13"/>
  <c r="G254" i="13"/>
  <c r="G214" i="13"/>
  <c r="G245" i="13"/>
  <c r="G205" i="13"/>
  <c r="G252" i="13"/>
  <c r="G275" i="13"/>
  <c r="G267" i="13"/>
  <c r="G259" i="13"/>
  <c r="G251" i="13"/>
  <c r="G243" i="13"/>
  <c r="G235" i="13"/>
  <c r="G227" i="13"/>
  <c r="G219" i="13"/>
  <c r="G211" i="13"/>
  <c r="G203" i="13"/>
  <c r="G195" i="13"/>
  <c r="G278" i="13"/>
  <c r="G230" i="13"/>
  <c r="G269" i="13"/>
  <c r="G221" i="13"/>
  <c r="G268" i="13"/>
  <c r="G274" i="13"/>
  <c r="G266" i="13"/>
  <c r="G258" i="13"/>
  <c r="G250" i="13"/>
  <c r="G242" i="13"/>
  <c r="G234" i="13"/>
  <c r="G226" i="13"/>
  <c r="G218" i="13"/>
  <c r="G210" i="13"/>
  <c r="G202" i="13"/>
  <c r="G194" i="13"/>
  <c r="G270" i="13"/>
  <c r="G222" i="13"/>
  <c r="G261" i="13"/>
  <c r="G213" i="13"/>
  <c r="G273" i="13"/>
  <c r="G265" i="13"/>
  <c r="G257" i="13"/>
  <c r="G249" i="13"/>
  <c r="G241" i="13"/>
  <c r="G233" i="13"/>
  <c r="G225" i="13"/>
  <c r="G217" i="13"/>
  <c r="G209" i="13"/>
  <c r="G201" i="13"/>
  <c r="G193" i="13"/>
  <c r="G246" i="13"/>
  <c r="G198" i="13"/>
  <c r="G277" i="13"/>
  <c r="G229" i="13"/>
  <c r="G276" i="13"/>
  <c r="G272" i="13"/>
  <c r="G264" i="13"/>
  <c r="G256" i="13"/>
  <c r="G248" i="13"/>
  <c r="G240" i="13"/>
  <c r="G232" i="13"/>
  <c r="G224" i="13"/>
  <c r="G216" i="13"/>
  <c r="G208" i="13"/>
  <c r="G200" i="13"/>
  <c r="G192" i="13"/>
  <c r="G262" i="13"/>
  <c r="G206" i="13"/>
  <c r="G253" i="13"/>
  <c r="G197" i="13"/>
  <c r="G279" i="13"/>
  <c r="G271" i="13"/>
  <c r="G263" i="13"/>
  <c r="G255" i="13"/>
  <c r="G247" i="13"/>
  <c r="G239" i="13"/>
  <c r="G231" i="13"/>
  <c r="G223" i="13"/>
  <c r="G215" i="13"/>
  <c r="G207" i="13"/>
  <c r="G199" i="13"/>
  <c r="F262" i="13"/>
  <c r="F238" i="13"/>
  <c r="F237" i="13"/>
  <c r="F276" i="13"/>
  <c r="F268" i="13"/>
  <c r="F260" i="13"/>
  <c r="F252" i="13"/>
  <c r="F244" i="13"/>
  <c r="F236" i="13"/>
  <c r="F228" i="13"/>
  <c r="F220" i="13"/>
  <c r="F212" i="13"/>
  <c r="F204" i="13"/>
  <c r="F196" i="13"/>
  <c r="F214" i="13"/>
  <c r="F277" i="13"/>
  <c r="F229" i="13"/>
  <c r="F275" i="13"/>
  <c r="F267" i="13"/>
  <c r="F259" i="13"/>
  <c r="F251" i="13"/>
  <c r="F243" i="13"/>
  <c r="F235" i="13"/>
  <c r="F227" i="13"/>
  <c r="F219" i="13"/>
  <c r="F211" i="13"/>
  <c r="F203" i="13"/>
  <c r="F195" i="13"/>
  <c r="F254" i="13"/>
  <c r="F230" i="13"/>
  <c r="F245" i="13"/>
  <c r="F213" i="13"/>
  <c r="F274" i="13"/>
  <c r="F266" i="13"/>
  <c r="F258" i="13"/>
  <c r="F250" i="13"/>
  <c r="F242" i="13"/>
  <c r="F234" i="13"/>
  <c r="F226" i="13"/>
  <c r="F218" i="13"/>
  <c r="F210" i="13"/>
  <c r="F202" i="13"/>
  <c r="F194" i="13"/>
  <c r="F278" i="13"/>
  <c r="F246" i="13"/>
  <c r="F198" i="13"/>
  <c r="F261" i="13"/>
  <c r="F205" i="13"/>
  <c r="F273" i="13"/>
  <c r="F265" i="13"/>
  <c r="F257" i="13"/>
  <c r="F249" i="13"/>
  <c r="F241" i="13"/>
  <c r="F233" i="13"/>
  <c r="F225" i="13"/>
  <c r="F217" i="13"/>
  <c r="F209" i="13"/>
  <c r="F201" i="13"/>
  <c r="F193" i="13"/>
  <c r="F222" i="13"/>
  <c r="F269" i="13"/>
  <c r="F197" i="13"/>
  <c r="F272" i="13"/>
  <c r="F264" i="13"/>
  <c r="F256" i="13"/>
  <c r="F248" i="13"/>
  <c r="F240" i="13"/>
  <c r="F232" i="13"/>
  <c r="F224" i="13"/>
  <c r="F216" i="13"/>
  <c r="F208" i="13"/>
  <c r="F200" i="13"/>
  <c r="F192" i="13"/>
  <c r="F270" i="13"/>
  <c r="F206" i="13"/>
  <c r="F253" i="13"/>
  <c r="F221" i="13"/>
  <c r="F279" i="13"/>
  <c r="F271" i="13"/>
  <c r="F263" i="13"/>
  <c r="F255" i="13"/>
  <c r="F247" i="13"/>
  <c r="F239" i="13"/>
  <c r="F231" i="13"/>
  <c r="F223" i="13"/>
  <c r="F215" i="13"/>
  <c r="F207" i="13"/>
  <c r="F199" i="13"/>
  <c r="E277" i="13"/>
  <c r="E269" i="13"/>
  <c r="E261" i="13"/>
  <c r="E253" i="13"/>
  <c r="E245" i="13"/>
  <c r="E237" i="13"/>
  <c r="E229" i="13"/>
  <c r="E221" i="13"/>
  <c r="E213" i="13"/>
  <c r="E205" i="13"/>
  <c r="E197" i="13"/>
  <c r="E274" i="13"/>
  <c r="E266" i="13"/>
  <c r="E258" i="13"/>
  <c r="E250" i="13"/>
  <c r="E242" i="13"/>
  <c r="E234" i="13"/>
  <c r="E226" i="13"/>
  <c r="E218" i="13"/>
  <c r="E210" i="13"/>
  <c r="E202" i="13"/>
  <c r="E194" i="13"/>
  <c r="E273" i="13"/>
  <c r="E265" i="13"/>
  <c r="E257" i="13"/>
  <c r="E249" i="13"/>
  <c r="E241" i="13"/>
  <c r="E233" i="13"/>
  <c r="E225" i="13"/>
  <c r="E217" i="13"/>
  <c r="E209" i="13"/>
  <c r="E201" i="13"/>
  <c r="E193" i="13"/>
  <c r="E272" i="13"/>
  <c r="E264" i="13"/>
  <c r="E256" i="13"/>
  <c r="E248" i="13"/>
  <c r="E240" i="13"/>
  <c r="E232" i="13"/>
  <c r="E224" i="13"/>
  <c r="E216" i="13"/>
  <c r="E208" i="13"/>
  <c r="E200" i="13"/>
  <c r="E192" i="13"/>
  <c r="E279" i="13"/>
  <c r="E271" i="13"/>
  <c r="E263" i="13"/>
  <c r="E255" i="13"/>
  <c r="E247" i="13"/>
  <c r="E239" i="13"/>
  <c r="E231" i="13"/>
  <c r="E223" i="13"/>
  <c r="E215" i="13"/>
  <c r="E207" i="13"/>
  <c r="E199" i="13"/>
  <c r="E191" i="13"/>
  <c r="E278" i="13"/>
  <c r="E270" i="13"/>
  <c r="E262" i="13"/>
  <c r="E254" i="13"/>
  <c r="E246" i="13"/>
  <c r="E238" i="13"/>
  <c r="E230" i="13"/>
  <c r="E222" i="13"/>
  <c r="E214" i="13"/>
  <c r="E206" i="13"/>
  <c r="E198" i="13"/>
  <c r="E276" i="13"/>
  <c r="E268" i="13"/>
  <c r="E260" i="13"/>
  <c r="E252" i="13"/>
  <c r="E244" i="13"/>
  <c r="E236" i="13"/>
  <c r="E228" i="13"/>
  <c r="E220" i="13"/>
  <c r="E212" i="13"/>
  <c r="E204" i="13"/>
  <c r="E196" i="13"/>
  <c r="E275" i="13"/>
  <c r="E267" i="13"/>
  <c r="E259" i="13"/>
  <c r="E251" i="13"/>
  <c r="E243" i="13"/>
  <c r="E235" i="13"/>
  <c r="E227" i="13"/>
  <c r="E219" i="13"/>
  <c r="E211" i="13"/>
  <c r="E203" i="13"/>
  <c r="D270" i="13"/>
  <c r="D254" i="13"/>
  <c r="D238" i="13"/>
  <c r="D222" i="13"/>
  <c r="D206" i="13"/>
  <c r="D269" i="13"/>
  <c r="D245" i="13"/>
  <c r="D221" i="13"/>
  <c r="D197" i="13"/>
  <c r="D268" i="13"/>
  <c r="D260" i="13"/>
  <c r="D252" i="13"/>
  <c r="D244" i="13"/>
  <c r="D236" i="13"/>
  <c r="D228" i="13"/>
  <c r="D204" i="13"/>
  <c r="D196" i="13"/>
  <c r="D275" i="13"/>
  <c r="D267" i="13"/>
  <c r="D259" i="13"/>
  <c r="D251" i="13"/>
  <c r="D243" i="13"/>
  <c r="D235" i="13"/>
  <c r="D227" i="13"/>
  <c r="D219" i="13"/>
  <c r="D211" i="13"/>
  <c r="D203" i="13"/>
  <c r="D195" i="13"/>
  <c r="D274" i="13"/>
  <c r="D266" i="13"/>
  <c r="D258" i="13"/>
  <c r="D250" i="13"/>
  <c r="D242" i="13"/>
  <c r="D234" i="13"/>
  <c r="D226" i="13"/>
  <c r="D218" i="13"/>
  <c r="D210" i="13"/>
  <c r="D202" i="13"/>
  <c r="D194" i="13"/>
  <c r="D261" i="13"/>
  <c r="D237" i="13"/>
  <c r="D213" i="13"/>
  <c r="D220" i="13"/>
  <c r="D273" i="13"/>
  <c r="D257" i="13"/>
  <c r="D241" i="13"/>
  <c r="D225" i="13"/>
  <c r="D209" i="13"/>
  <c r="D193" i="13"/>
  <c r="D272" i="13"/>
  <c r="D264" i="13"/>
  <c r="D256" i="13"/>
  <c r="D248" i="13"/>
  <c r="D240" i="13"/>
  <c r="D232" i="13"/>
  <c r="D224" i="13"/>
  <c r="D216" i="13"/>
  <c r="D208" i="13"/>
  <c r="D200" i="13"/>
  <c r="D192" i="13"/>
  <c r="D278" i="13"/>
  <c r="D262" i="13"/>
  <c r="D246" i="13"/>
  <c r="D230" i="13"/>
  <c r="D214" i="13"/>
  <c r="D198" i="13"/>
  <c r="D277" i="13"/>
  <c r="D253" i="13"/>
  <c r="D229" i="13"/>
  <c r="D205" i="13"/>
  <c r="D276" i="13"/>
  <c r="D212" i="13"/>
  <c r="D265" i="13"/>
  <c r="D249" i="13"/>
  <c r="D233" i="13"/>
  <c r="D217" i="13"/>
  <c r="D201" i="13"/>
  <c r="D279" i="13"/>
  <c r="D271" i="13"/>
  <c r="D263" i="13"/>
  <c r="D255" i="13"/>
  <c r="D247" i="13"/>
  <c r="D239" i="13"/>
  <c r="D231" i="13"/>
  <c r="D223" i="13"/>
  <c r="D215" i="13"/>
  <c r="D207" i="13"/>
  <c r="D199" i="13"/>
  <c r="C277" i="13"/>
  <c r="C269" i="13"/>
  <c r="C261" i="13"/>
  <c r="C253" i="13"/>
  <c r="C245" i="13"/>
  <c r="C237" i="13"/>
  <c r="C229" i="13"/>
  <c r="C221" i="13"/>
  <c r="C213" i="13"/>
  <c r="C205" i="13"/>
  <c r="C197" i="13"/>
  <c r="C276" i="13"/>
  <c r="C268" i="13"/>
  <c r="C260" i="13"/>
  <c r="C252" i="13"/>
  <c r="C244" i="13"/>
  <c r="C236" i="13"/>
  <c r="C228" i="13"/>
  <c r="C220" i="13"/>
  <c r="C212" i="13"/>
  <c r="C204" i="13"/>
  <c r="C196" i="13"/>
  <c r="C262" i="13"/>
  <c r="C246" i="13"/>
  <c r="C238" i="13"/>
  <c r="C222" i="13"/>
  <c r="C198" i="13"/>
  <c r="C267" i="13"/>
  <c r="C251" i="13"/>
  <c r="C235" i="13"/>
  <c r="C219" i="13"/>
  <c r="C195" i="13"/>
  <c r="C266" i="13"/>
  <c r="C250" i="13"/>
  <c r="C234" i="13"/>
  <c r="C218" i="13"/>
  <c r="C194" i="13"/>
  <c r="C273" i="13"/>
  <c r="C265" i="13"/>
  <c r="C257" i="13"/>
  <c r="C249" i="13"/>
  <c r="C241" i="13"/>
  <c r="C233" i="13"/>
  <c r="C225" i="13"/>
  <c r="C217" i="13"/>
  <c r="C209" i="13"/>
  <c r="C201" i="13"/>
  <c r="C193" i="13"/>
  <c r="C278" i="13"/>
  <c r="C254" i="13"/>
  <c r="C230" i="13"/>
  <c r="C206" i="13"/>
  <c r="C275" i="13"/>
  <c r="C259" i="13"/>
  <c r="C243" i="13"/>
  <c r="C227" i="13"/>
  <c r="C203" i="13"/>
  <c r="C274" i="13"/>
  <c r="C258" i="13"/>
  <c r="C242" i="13"/>
  <c r="C226" i="13"/>
  <c r="C202" i="13"/>
  <c r="C272" i="13"/>
  <c r="C264" i="13"/>
  <c r="C256" i="13"/>
  <c r="C248" i="13"/>
  <c r="C240" i="13"/>
  <c r="C232" i="13"/>
  <c r="C224" i="13"/>
  <c r="C216" i="13"/>
  <c r="C208" i="13"/>
  <c r="C200" i="13"/>
  <c r="C192" i="13"/>
  <c r="C270" i="13"/>
  <c r="C214" i="13"/>
  <c r="C211" i="13"/>
  <c r="C210" i="13"/>
  <c r="C279" i="13"/>
  <c r="C271" i="13"/>
  <c r="C263" i="13"/>
  <c r="C255" i="13"/>
  <c r="C247" i="13"/>
  <c r="C239" i="13"/>
  <c r="C231" i="13"/>
  <c r="C223" i="13"/>
  <c r="C215" i="13"/>
  <c r="C207" i="13"/>
  <c r="C199" i="13"/>
  <c r="E101" i="30"/>
  <c r="D101" i="30"/>
  <c r="E5" i="30"/>
  <c r="D5" i="30"/>
  <c r="E17" i="29"/>
  <c r="D17" i="29"/>
  <c r="E5" i="29"/>
  <c r="D5" i="29"/>
  <c r="C164" i="31" l="1"/>
  <c r="C173" i="31" s="1"/>
  <c r="C189" i="31" s="1"/>
  <c r="C221" i="31"/>
  <c r="C230" i="31" s="1"/>
  <c r="B237" i="31" s="1"/>
  <c r="C161" i="31"/>
  <c r="C170" i="31" s="1"/>
  <c r="C186" i="31" s="1"/>
  <c r="C218" i="31"/>
  <c r="C227" i="31" s="1"/>
  <c r="C163" i="31"/>
  <c r="C172" i="31" s="1"/>
  <c r="C188" i="31" s="1"/>
  <c r="C220" i="31"/>
  <c r="C229" i="31" s="1"/>
  <c r="B236" i="31" s="1"/>
  <c r="B161" i="31"/>
  <c r="B170" i="31" s="1"/>
  <c r="B186" i="31" s="1"/>
  <c r="B190" i="31" s="1"/>
  <c r="B199" i="31" s="1"/>
  <c r="B218" i="31"/>
  <c r="B227" i="31" s="1"/>
  <c r="B163" i="31"/>
  <c r="B172" i="31" s="1"/>
  <c r="B188" i="31" s="1"/>
  <c r="B191" i="31" s="1"/>
  <c r="B200" i="31" s="1"/>
  <c r="B220" i="31"/>
  <c r="B229" i="31" s="1"/>
  <c r="C162" i="31"/>
  <c r="C171" i="31" s="1"/>
  <c r="C187" i="31" s="1"/>
  <c r="C219" i="31"/>
  <c r="C228" i="31" s="1"/>
  <c r="C105" i="31"/>
  <c r="C121" i="31" s="1"/>
  <c r="C106" i="31"/>
  <c r="C122" i="31" s="1"/>
  <c r="B104" i="31"/>
  <c r="C107" i="31"/>
  <c r="C123" i="31" s="1"/>
  <c r="C104" i="31"/>
  <c r="C120" i="31" s="1"/>
  <c r="B106" i="31"/>
  <c r="E359" i="8"/>
  <c r="D359" i="8"/>
  <c r="B179" i="31" l="1"/>
  <c r="B180" i="31"/>
  <c r="C244" i="31"/>
  <c r="C243" i="31"/>
  <c r="C245" i="31"/>
  <c r="B243" i="31"/>
  <c r="B247" i="31" s="1"/>
  <c r="B256" i="31" s="1"/>
  <c r="B245" i="31"/>
  <c r="B248" i="31" s="1"/>
  <c r="B257" i="31" s="1"/>
  <c r="C246" i="31"/>
  <c r="B120" i="31"/>
  <c r="B124" i="31" s="1"/>
  <c r="B133" i="31" s="1"/>
  <c r="B122" i="31"/>
  <c r="B125" i="31" s="1"/>
  <c r="B134" i="31" s="1"/>
  <c r="E106" i="19" l="1"/>
  <c r="D103" i="19" l="1"/>
  <c r="D104" i="19"/>
  <c r="E105" i="19"/>
  <c r="D106" i="19"/>
  <c r="D105" i="19"/>
  <c r="E103" i="19" l="1"/>
  <c r="E104" i="19"/>
  <c r="D181" i="19"/>
  <c r="D165" i="19"/>
  <c r="D149" i="19"/>
  <c r="D133" i="19"/>
  <c r="D117" i="19"/>
  <c r="D186" i="19"/>
  <c r="D170" i="19"/>
  <c r="D154" i="19"/>
  <c r="D138" i="19"/>
  <c r="D122" i="19"/>
  <c r="D137" i="19"/>
  <c r="D126" i="19"/>
  <c r="D135" i="19"/>
  <c r="D124" i="19"/>
  <c r="D179" i="19"/>
  <c r="D163" i="19"/>
  <c r="D147" i="19"/>
  <c r="D131" i="19"/>
  <c r="D115" i="19"/>
  <c r="D184" i="19"/>
  <c r="D168" i="19"/>
  <c r="D152" i="19"/>
  <c r="D136" i="19"/>
  <c r="D120" i="19"/>
  <c r="D190" i="19"/>
  <c r="D167" i="19"/>
  <c r="D188" i="19"/>
  <c r="D177" i="19"/>
  <c r="D161" i="19"/>
  <c r="D145" i="19"/>
  <c r="D129" i="19"/>
  <c r="D113" i="19"/>
  <c r="D182" i="19"/>
  <c r="D166" i="19"/>
  <c r="D150" i="19"/>
  <c r="D134" i="19"/>
  <c r="D118" i="19"/>
  <c r="D153" i="19"/>
  <c r="D142" i="19"/>
  <c r="D172" i="19"/>
  <c r="D191" i="19"/>
  <c r="D175" i="19"/>
  <c r="D159" i="19"/>
  <c r="D143" i="19"/>
  <c r="D127" i="19"/>
  <c r="D111" i="19"/>
  <c r="D180" i="19"/>
  <c r="D164" i="19"/>
  <c r="D148" i="19"/>
  <c r="D132" i="19"/>
  <c r="D116" i="19"/>
  <c r="D121" i="19"/>
  <c r="D110" i="19"/>
  <c r="D183" i="19"/>
  <c r="D156" i="19"/>
  <c r="D189" i="19"/>
  <c r="D173" i="19"/>
  <c r="D157" i="19"/>
  <c r="D141" i="19"/>
  <c r="D125" i="19"/>
  <c r="D109" i="19"/>
  <c r="D178" i="19"/>
  <c r="D162" i="19"/>
  <c r="D146" i="19"/>
  <c r="D130" i="19"/>
  <c r="D114" i="19"/>
  <c r="D169" i="19"/>
  <c r="D158" i="19"/>
  <c r="D119" i="19"/>
  <c r="D108" i="19"/>
  <c r="D187" i="19"/>
  <c r="D171" i="19"/>
  <c r="D155" i="19"/>
  <c r="D139" i="19"/>
  <c r="D123" i="19"/>
  <c r="D107" i="19"/>
  <c r="D176" i="19"/>
  <c r="D160" i="19"/>
  <c r="D144" i="19"/>
  <c r="D128" i="19"/>
  <c r="D112" i="19"/>
  <c r="D185" i="19"/>
  <c r="D174" i="19"/>
  <c r="D151" i="19"/>
  <c r="D140" i="19"/>
  <c r="E191" i="19"/>
  <c r="E175" i="19"/>
  <c r="E159" i="19"/>
  <c r="E143" i="19"/>
  <c r="E127" i="19"/>
  <c r="E111" i="19"/>
  <c r="E180" i="19"/>
  <c r="E164" i="19"/>
  <c r="E148" i="19"/>
  <c r="E132" i="19"/>
  <c r="E116" i="19"/>
  <c r="E163" i="19"/>
  <c r="E115" i="19"/>
  <c r="E168" i="19"/>
  <c r="E161" i="19"/>
  <c r="E182" i="19"/>
  <c r="E118" i="19"/>
  <c r="E189" i="19"/>
  <c r="E173" i="19"/>
  <c r="E157" i="19"/>
  <c r="E141" i="19"/>
  <c r="E125" i="19"/>
  <c r="E109" i="19"/>
  <c r="E178" i="19"/>
  <c r="E162" i="19"/>
  <c r="E146" i="19"/>
  <c r="E130" i="19"/>
  <c r="E114" i="19"/>
  <c r="E160" i="19"/>
  <c r="E128" i="19"/>
  <c r="E142" i="19"/>
  <c r="E110" i="19"/>
  <c r="E131" i="19"/>
  <c r="E152" i="19"/>
  <c r="E145" i="19"/>
  <c r="E166" i="19"/>
  <c r="E187" i="19"/>
  <c r="E171" i="19"/>
  <c r="E155" i="19"/>
  <c r="E139" i="19"/>
  <c r="E123" i="19"/>
  <c r="E107" i="19"/>
  <c r="E176" i="19"/>
  <c r="E144" i="19"/>
  <c r="E112" i="19"/>
  <c r="E185" i="19"/>
  <c r="E169" i="19"/>
  <c r="E153" i="19"/>
  <c r="E137" i="19"/>
  <c r="E121" i="19"/>
  <c r="E190" i="19"/>
  <c r="E174" i="19"/>
  <c r="E158" i="19"/>
  <c r="E126" i="19"/>
  <c r="E183" i="19"/>
  <c r="E167" i="19"/>
  <c r="E151" i="19"/>
  <c r="E135" i="19"/>
  <c r="E119" i="19"/>
  <c r="E188" i="19"/>
  <c r="E172" i="19"/>
  <c r="E156" i="19"/>
  <c r="E140" i="19"/>
  <c r="E124" i="19"/>
  <c r="E108" i="19"/>
  <c r="E179" i="19"/>
  <c r="E184" i="19"/>
  <c r="E120" i="19"/>
  <c r="E177" i="19"/>
  <c r="E113" i="19"/>
  <c r="E150" i="19"/>
  <c r="E181" i="19"/>
  <c r="E165" i="19"/>
  <c r="E149" i="19"/>
  <c r="E133" i="19"/>
  <c r="E117" i="19"/>
  <c r="E186" i="19"/>
  <c r="E170" i="19"/>
  <c r="E154" i="19"/>
  <c r="E138" i="19"/>
  <c r="E122" i="19"/>
  <c r="E147" i="19"/>
  <c r="E136" i="19"/>
  <c r="E129" i="19"/>
  <c r="E134" i="19"/>
  <c r="D19" i="18"/>
  <c r="D20" i="18"/>
  <c r="E20" i="18"/>
  <c r="E19" i="18"/>
  <c r="E22" i="18"/>
  <c r="E21" i="18"/>
  <c r="D22" i="18"/>
  <c r="D21" i="18"/>
  <c r="D23" i="18" l="1"/>
  <c r="E23" i="18"/>
  <c r="E416" i="8" l="1"/>
  <c r="D416" i="8"/>
  <c r="E390" i="8"/>
  <c r="D390" i="8"/>
  <c r="E379" i="8"/>
  <c r="D379" i="8"/>
  <c r="E198" i="8" l="1"/>
  <c r="E197" i="8"/>
  <c r="E182" i="8"/>
  <c r="E172" i="8"/>
  <c r="E165" i="8"/>
  <c r="E156" i="8"/>
  <c r="E149" i="8"/>
  <c r="E148" i="8"/>
  <c r="E147" i="8"/>
  <c r="E146" i="8"/>
  <c r="E145" i="8"/>
  <c r="E144" i="8"/>
  <c r="E142" i="8"/>
  <c r="E141" i="8"/>
  <c r="E140" i="8"/>
  <c r="E139" i="8"/>
  <c r="E137" i="8"/>
  <c r="E136" i="8"/>
  <c r="E135" i="8"/>
  <c r="E134" i="8"/>
  <c r="E127" i="8"/>
  <c r="E126" i="8"/>
  <c r="E124" i="8"/>
  <c r="E123" i="8"/>
  <c r="E122" i="8"/>
  <c r="E121" i="8"/>
  <c r="E119" i="8"/>
  <c r="E118" i="8"/>
  <c r="E117" i="8"/>
  <c r="E116" i="8"/>
  <c r="E115" i="8"/>
  <c r="E106" i="8"/>
  <c r="E105" i="8"/>
  <c r="E103" i="8"/>
  <c r="E54" i="8"/>
  <c r="E53" i="8"/>
  <c r="E51" i="8"/>
  <c r="E120" i="8" l="1"/>
  <c r="E133" i="8"/>
  <c r="E125" i="8"/>
  <c r="E138" i="8"/>
  <c r="E143" i="8"/>
  <c r="E107" i="8"/>
  <c r="D107" i="8"/>
  <c r="E101" i="8"/>
  <c r="D101" i="8"/>
  <c r="D113" i="8"/>
  <c r="E113" i="8"/>
  <c r="E55" i="8"/>
  <c r="D55" i="8"/>
  <c r="E49" i="8"/>
  <c r="D49" i="8"/>
  <c r="D619" i="19" l="1"/>
  <c r="D115" i="18"/>
  <c r="D79" i="20" s="1"/>
  <c r="E95" i="8"/>
  <c r="E422" i="8" s="1"/>
  <c r="D422" i="8"/>
  <c r="E94" i="8"/>
  <c r="E421" i="8" s="1"/>
  <c r="D421" i="8"/>
  <c r="D114" i="18"/>
  <c r="E93" i="8"/>
  <c r="E420" i="8" s="1"/>
  <c r="D420" i="8"/>
  <c r="E43" i="8"/>
  <c r="E384" i="8" s="1"/>
  <c r="D384" i="8"/>
  <c r="E42" i="8"/>
  <c r="E383" i="8" s="1"/>
  <c r="D383" i="8"/>
  <c r="D236" i="31"/>
  <c r="D618" i="19"/>
  <c r="D11" i="29"/>
  <c r="E92" i="8"/>
  <c r="E419" i="8" s="1"/>
  <c r="D419" i="8"/>
  <c r="E91" i="8"/>
  <c r="E418" i="8" s="1"/>
  <c r="D418" i="8"/>
  <c r="E41" i="8"/>
  <c r="E382" i="8" s="1"/>
  <c r="D382" i="8"/>
  <c r="E40" i="8"/>
  <c r="E381" i="8" s="1"/>
  <c r="D381" i="8"/>
  <c r="E409" i="8"/>
  <c r="D409" i="8"/>
  <c r="E410" i="8"/>
  <c r="D410" i="8"/>
  <c r="E207" i="8"/>
  <c r="E259" i="8" l="1"/>
  <c r="D99" i="21"/>
  <c r="D100" i="21"/>
  <c r="E261" i="8"/>
  <c r="D77" i="20"/>
  <c r="D78" i="20"/>
  <c r="E260" i="8"/>
  <c r="D97" i="21"/>
  <c r="D98" i="21"/>
  <c r="E171" i="8"/>
  <c r="E613" i="19" s="1"/>
  <c r="D613" i="19"/>
  <c r="E155" i="8"/>
  <c r="E109" i="18" s="1"/>
  <c r="D109" i="18"/>
  <c r="E258" i="8"/>
  <c r="E179" i="8"/>
  <c r="E190" i="8"/>
  <c r="E236" i="31" s="1"/>
  <c r="D179" i="31"/>
  <c r="D113" i="31"/>
  <c r="E164" i="8"/>
  <c r="E115" i="18" s="1"/>
  <c r="E79" i="20" s="1"/>
  <c r="E178" i="8"/>
  <c r="E618" i="19" s="1"/>
  <c r="E162" i="8"/>
  <c r="E114" i="18" s="1"/>
  <c r="E181" i="8"/>
  <c r="E163" i="8"/>
  <c r="E180" i="8"/>
  <c r="E619" i="19" s="1"/>
  <c r="E11" i="29"/>
  <c r="D373" i="8"/>
  <c r="D11" i="14" s="1"/>
  <c r="D71" i="20" l="1"/>
  <c r="D116" i="18"/>
  <c r="D80" i="20" s="1"/>
  <c r="D72" i="20"/>
  <c r="E71" i="20"/>
  <c r="E72" i="20"/>
  <c r="E116" i="18"/>
  <c r="E80" i="20" s="1"/>
  <c r="E99" i="21"/>
  <c r="E100" i="21"/>
  <c r="D85" i="21"/>
  <c r="D620" i="19"/>
  <c r="D101" i="21" s="1"/>
  <c r="D86" i="21"/>
  <c r="E85" i="21"/>
  <c r="E86" i="21"/>
  <c r="E620" i="19"/>
  <c r="E101" i="21" s="1"/>
  <c r="E78" i="20"/>
  <c r="E77" i="20"/>
  <c r="E97" i="21"/>
  <c r="E98" i="21"/>
  <c r="E179" i="31"/>
  <c r="E113" i="31"/>
  <c r="E373" i="8"/>
  <c r="E11" i="14" s="1"/>
  <c r="E169" i="21" l="1"/>
  <c r="D169" i="21"/>
  <c r="E168" i="21"/>
  <c r="D168" i="21"/>
  <c r="E167" i="21"/>
  <c r="D167" i="21"/>
  <c r="E166" i="21"/>
  <c r="D166" i="21"/>
  <c r="E165" i="21"/>
  <c r="D165" i="21"/>
  <c r="E67" i="21"/>
  <c r="D67" i="21"/>
  <c r="E66" i="21"/>
  <c r="D66" i="21"/>
  <c r="E65" i="21"/>
  <c r="D65" i="21"/>
  <c r="E64" i="21"/>
  <c r="D64" i="21"/>
  <c r="E63" i="21"/>
  <c r="D63" i="21"/>
  <c r="E59" i="21"/>
  <c r="D59" i="21"/>
  <c r="E58" i="21"/>
  <c r="D58" i="21"/>
  <c r="E57" i="21"/>
  <c r="D57" i="21"/>
  <c r="E56" i="21"/>
  <c r="D56" i="21"/>
  <c r="E55" i="21"/>
  <c r="D55" i="21"/>
  <c r="E52" i="21"/>
  <c r="D52" i="21"/>
  <c r="E51" i="21"/>
  <c r="D51" i="21"/>
  <c r="E50" i="21"/>
  <c r="D50" i="21"/>
  <c r="E49" i="21"/>
  <c r="D49" i="21"/>
  <c r="E48" i="21"/>
  <c r="D48" i="21"/>
  <c r="E47" i="21"/>
  <c r="D47" i="21"/>
  <c r="E46" i="21"/>
  <c r="D46" i="21"/>
  <c r="E45" i="21"/>
  <c r="D45" i="21"/>
  <c r="E44" i="21"/>
  <c r="D44" i="21"/>
  <c r="E43" i="21"/>
  <c r="D43" i="21"/>
  <c r="E42" i="21"/>
  <c r="D42" i="21"/>
  <c r="E41" i="21"/>
  <c r="D41" i="21"/>
  <c r="E654" i="19"/>
  <c r="D654" i="19"/>
  <c r="E653" i="19"/>
  <c r="D653" i="19"/>
  <c r="E652" i="19"/>
  <c r="D652" i="19"/>
  <c r="E134" i="20"/>
  <c r="D134" i="20"/>
  <c r="E133" i="20"/>
  <c r="D133" i="20"/>
  <c r="E132" i="20"/>
  <c r="D132" i="20"/>
  <c r="E131" i="20"/>
  <c r="D131" i="20"/>
  <c r="E127" i="20"/>
  <c r="D127" i="20"/>
  <c r="E53" i="20"/>
  <c r="D53" i="20"/>
  <c r="E52" i="20"/>
  <c r="D52" i="20"/>
  <c r="E51" i="20"/>
  <c r="D51" i="20"/>
  <c r="E50" i="20"/>
  <c r="D50" i="20"/>
  <c r="E46" i="20"/>
  <c r="D46" i="20"/>
  <c r="E45" i="20"/>
  <c r="D45" i="20"/>
  <c r="E44" i="20"/>
  <c r="D44" i="20"/>
  <c r="E43" i="20"/>
  <c r="D43" i="20"/>
  <c r="E42" i="20"/>
  <c r="D42" i="20"/>
  <c r="E41" i="20"/>
  <c r="D41" i="20"/>
  <c r="E40" i="20"/>
  <c r="D40" i="20"/>
  <c r="E39" i="20"/>
  <c r="D39" i="20"/>
  <c r="E38" i="20"/>
  <c r="D38" i="20"/>
  <c r="E37" i="20"/>
  <c r="D37" i="20"/>
  <c r="E36" i="20"/>
  <c r="D36" i="20"/>
  <c r="E35" i="20"/>
  <c r="D35" i="20"/>
  <c r="E34" i="20"/>
  <c r="D34" i="20"/>
  <c r="E150" i="18"/>
  <c r="D150" i="18"/>
  <c r="E149" i="18"/>
  <c r="D149" i="18"/>
  <c r="E148" i="18"/>
  <c r="D148" i="18"/>
  <c r="E144" i="18"/>
  <c r="D144" i="18"/>
  <c r="E11" i="18"/>
  <c r="E35" i="18" s="1"/>
  <c r="D11" i="18"/>
  <c r="D35" i="18" s="1"/>
  <c r="E161" i="21"/>
  <c r="D161" i="21"/>
  <c r="E160" i="21"/>
  <c r="D160" i="21"/>
  <c r="D352" i="8" l="1"/>
  <c r="E288" i="8"/>
  <c r="E296" i="8"/>
  <c r="E338" i="8"/>
  <c r="E277" i="8"/>
  <c r="E322" i="8"/>
  <c r="E335" i="8"/>
  <c r="E286" i="8"/>
  <c r="E302" i="8"/>
  <c r="E297" i="8"/>
  <c r="E315" i="8"/>
  <c r="E332" i="8"/>
  <c r="E349" i="8"/>
  <c r="E279" i="8"/>
  <c r="E273" i="8"/>
  <c r="E291" i="8"/>
  <c r="E308" i="8"/>
  <c r="E325" i="8"/>
  <c r="E328" i="8"/>
  <c r="E330" i="8"/>
  <c r="E284" i="8"/>
  <c r="E301" i="8"/>
  <c r="E336" i="8"/>
  <c r="E275" i="8"/>
  <c r="E292" i="8"/>
  <c r="E309" i="8"/>
  <c r="E327" i="8"/>
  <c r="E343" i="8"/>
  <c r="E350" i="8"/>
  <c r="E311" i="8"/>
  <c r="E329" i="8"/>
  <c r="E347" i="8"/>
  <c r="E290" i="8"/>
  <c r="E303" i="8"/>
  <c r="E310" i="8"/>
  <c r="E305" i="8"/>
  <c r="E323" i="8"/>
  <c r="E340" i="8"/>
  <c r="E270" i="8"/>
  <c r="E281" i="8"/>
  <c r="E299" i="8"/>
  <c r="E316" i="8"/>
  <c r="E333" i="8"/>
  <c r="E289" i="8"/>
  <c r="E307" i="8"/>
  <c r="E324" i="8"/>
  <c r="E341" i="8"/>
  <c r="E294" i="8"/>
  <c r="E278" i="8"/>
  <c r="E295" i="8"/>
  <c r="E312" i="8"/>
  <c r="E282" i="8"/>
  <c r="E268" i="8"/>
  <c r="E285" i="8"/>
  <c r="E306" i="8"/>
  <c r="E319" i="8"/>
  <c r="E337" i="8"/>
  <c r="E280" i="8"/>
  <c r="E346" i="8"/>
  <c r="E334" i="8"/>
  <c r="E313" i="8"/>
  <c r="E331" i="8"/>
  <c r="E348" i="8"/>
  <c r="E342" i="8"/>
  <c r="E321" i="8"/>
  <c r="E339" i="8"/>
  <c r="E272" i="8"/>
  <c r="E318" i="8"/>
  <c r="E304" i="8"/>
  <c r="E287" i="8"/>
  <c r="E326" i="8"/>
  <c r="E344" i="8"/>
  <c r="E283" i="8"/>
  <c r="E300" i="8"/>
  <c r="E317" i="8"/>
  <c r="E271" i="8"/>
  <c r="E320" i="8"/>
  <c r="E314" i="8"/>
  <c r="E276" i="8"/>
  <c r="E293" i="8"/>
  <c r="E274" i="8"/>
  <c r="E345" i="8"/>
  <c r="E298" i="8"/>
  <c r="E269" i="8"/>
  <c r="E351" i="8"/>
  <c r="E267" i="8"/>
  <c r="E352" i="8" l="1"/>
  <c r="E701" i="19" l="1"/>
  <c r="D701" i="19"/>
  <c r="E694" i="19"/>
  <c r="D694" i="19"/>
  <c r="E667" i="19"/>
  <c r="D667" i="19"/>
  <c r="E660" i="19"/>
  <c r="D660" i="19"/>
  <c r="E650" i="19"/>
  <c r="D650" i="19"/>
  <c r="E643" i="19"/>
  <c r="D643" i="19"/>
  <c r="E633" i="19"/>
  <c r="D633" i="19"/>
  <c r="E626" i="19"/>
  <c r="D626" i="19"/>
  <c r="E616" i="19"/>
  <c r="D616" i="19"/>
  <c r="E609" i="19"/>
  <c r="D609" i="19"/>
  <c r="E599" i="19"/>
  <c r="D599" i="19"/>
  <c r="E592" i="19"/>
  <c r="D592" i="19"/>
  <c r="E180" i="18"/>
  <c r="D180" i="18"/>
  <c r="E173" i="18"/>
  <c r="D173" i="18"/>
  <c r="E163" i="18"/>
  <c r="D163" i="18"/>
  <c r="E156" i="18"/>
  <c r="D156" i="18"/>
  <c r="E146" i="18"/>
  <c r="D146" i="18"/>
  <c r="E139" i="18"/>
  <c r="D139" i="18"/>
  <c r="E129" i="18"/>
  <c r="D129" i="18"/>
  <c r="E122" i="18"/>
  <c r="D122" i="18"/>
  <c r="E112" i="18"/>
  <c r="D112" i="18"/>
  <c r="E105" i="18"/>
  <c r="D105" i="18"/>
  <c r="E95" i="18"/>
  <c r="D95" i="18"/>
  <c r="E88" i="18"/>
  <c r="D88" i="18"/>
  <c r="E300" i="21" l="1"/>
  <c r="D300" i="21"/>
  <c r="E278" i="21"/>
  <c r="D278" i="21"/>
  <c r="E232" i="21"/>
  <c r="D232" i="21"/>
  <c r="E210" i="21"/>
  <c r="D210" i="21"/>
  <c r="E197" i="21"/>
  <c r="D197" i="21"/>
  <c r="E175" i="21"/>
  <c r="D175" i="21"/>
  <c r="E163" i="21"/>
  <c r="D163" i="21"/>
  <c r="E141" i="21"/>
  <c r="D141" i="21"/>
  <c r="E129" i="21"/>
  <c r="D129" i="21"/>
  <c r="E107" i="21"/>
  <c r="D107" i="21"/>
  <c r="E95" i="21"/>
  <c r="D95" i="21"/>
  <c r="E73" i="21"/>
  <c r="D73" i="21"/>
  <c r="E61" i="21"/>
  <c r="D61" i="21"/>
  <c r="E39" i="21"/>
  <c r="D39" i="21"/>
  <c r="E27" i="21"/>
  <c r="D27" i="21"/>
  <c r="E5" i="21"/>
  <c r="D5" i="21"/>
  <c r="E211" i="20" l="1"/>
  <c r="D211" i="20"/>
  <c r="E195" i="20"/>
  <c r="D195" i="20"/>
  <c r="E184" i="20"/>
  <c r="D184" i="20"/>
  <c r="E168" i="20"/>
  <c r="D168" i="20"/>
  <c r="E156" i="20"/>
  <c r="D156" i="20"/>
  <c r="E140" i="20"/>
  <c r="D140" i="20"/>
  <c r="E129" i="20"/>
  <c r="D129" i="20"/>
  <c r="E113" i="20"/>
  <c r="D113" i="20"/>
  <c r="D21" i="20"/>
  <c r="E21" i="20"/>
  <c r="E102" i="20"/>
  <c r="D102" i="20"/>
  <c r="E86" i="20"/>
  <c r="D86" i="20"/>
  <c r="E75" i="20"/>
  <c r="D75" i="20"/>
  <c r="E59" i="20"/>
  <c r="D59" i="20"/>
  <c r="E48" i="20"/>
  <c r="D48" i="20"/>
  <c r="E32" i="20"/>
  <c r="D32" i="20"/>
  <c r="E5" i="20"/>
  <c r="D5" i="20"/>
  <c r="E581" i="19" l="1"/>
  <c r="D581" i="19"/>
  <c r="E485" i="19"/>
  <c r="D485" i="19"/>
  <c r="E389" i="19"/>
  <c r="D389" i="19"/>
  <c r="E293" i="19"/>
  <c r="D293" i="19"/>
  <c r="E77" i="18"/>
  <c r="D77" i="18"/>
  <c r="E65" i="18"/>
  <c r="D65" i="18"/>
  <c r="E53" i="18"/>
  <c r="D53" i="18"/>
  <c r="E197" i="19" l="1"/>
  <c r="D197" i="19"/>
  <c r="C191" i="19"/>
  <c r="B191" i="19"/>
  <c r="C190" i="19"/>
  <c r="B190" i="19"/>
  <c r="C189" i="19"/>
  <c r="B189" i="19"/>
  <c r="C188" i="19"/>
  <c r="B188" i="19"/>
  <c r="C187" i="19"/>
  <c r="B187" i="19"/>
  <c r="C186" i="19"/>
  <c r="B186" i="19"/>
  <c r="C185" i="19"/>
  <c r="B185" i="19"/>
  <c r="C184" i="19"/>
  <c r="B184" i="19"/>
  <c r="C183" i="19"/>
  <c r="B183" i="19"/>
  <c r="C182" i="19"/>
  <c r="B182" i="19"/>
  <c r="C181" i="19"/>
  <c r="B181" i="19"/>
  <c r="C180" i="19"/>
  <c r="B180" i="19"/>
  <c r="C179" i="19"/>
  <c r="B179" i="19"/>
  <c r="C178" i="19"/>
  <c r="B178" i="19"/>
  <c r="C177" i="19"/>
  <c r="B177" i="19"/>
  <c r="C176" i="19"/>
  <c r="B176" i="19"/>
  <c r="C175" i="19"/>
  <c r="B175" i="19"/>
  <c r="C174" i="19"/>
  <c r="B174" i="19"/>
  <c r="C173" i="19"/>
  <c r="B173" i="19"/>
  <c r="C172" i="19"/>
  <c r="B172" i="19"/>
  <c r="C171" i="19"/>
  <c r="B171" i="19"/>
  <c r="C170" i="19"/>
  <c r="B170" i="19"/>
  <c r="C169" i="19"/>
  <c r="B169" i="19"/>
  <c r="C168" i="19"/>
  <c r="B168" i="19"/>
  <c r="C167" i="19"/>
  <c r="B167" i="19"/>
  <c r="C166" i="19"/>
  <c r="B166" i="19"/>
  <c r="C165" i="19"/>
  <c r="B165" i="19"/>
  <c r="C164" i="19"/>
  <c r="B164" i="19"/>
  <c r="C163" i="19"/>
  <c r="B163" i="19"/>
  <c r="C162" i="19"/>
  <c r="B162" i="19"/>
  <c r="C161" i="19"/>
  <c r="B161" i="19"/>
  <c r="C160" i="19"/>
  <c r="B160" i="19"/>
  <c r="C159" i="19"/>
  <c r="B159" i="19"/>
  <c r="C158" i="19"/>
  <c r="B158" i="19"/>
  <c r="C157" i="19"/>
  <c r="B157" i="19"/>
  <c r="C156" i="19"/>
  <c r="B156" i="19"/>
  <c r="C155" i="19"/>
  <c r="B155" i="19"/>
  <c r="C154" i="19"/>
  <c r="B154" i="19"/>
  <c r="C153" i="19"/>
  <c r="B153" i="19"/>
  <c r="C152" i="19"/>
  <c r="B152" i="19"/>
  <c r="C151" i="19"/>
  <c r="B151" i="19"/>
  <c r="C150" i="19"/>
  <c r="B150" i="19"/>
  <c r="C149" i="19"/>
  <c r="B149" i="19"/>
  <c r="C148" i="19"/>
  <c r="B148" i="19"/>
  <c r="C147" i="19"/>
  <c r="B147" i="19"/>
  <c r="C146" i="19"/>
  <c r="B146" i="19"/>
  <c r="C145" i="19"/>
  <c r="B145" i="19"/>
  <c r="C144" i="19"/>
  <c r="B144" i="19"/>
  <c r="C143" i="19"/>
  <c r="B143" i="19"/>
  <c r="C142" i="19"/>
  <c r="B142" i="19"/>
  <c r="C141" i="19"/>
  <c r="B141" i="19"/>
  <c r="C140" i="19"/>
  <c r="B140" i="19"/>
  <c r="C139" i="19"/>
  <c r="B139" i="19"/>
  <c r="C138" i="19"/>
  <c r="B138" i="19"/>
  <c r="C137" i="19"/>
  <c r="B137" i="19"/>
  <c r="C136" i="19"/>
  <c r="B136" i="19"/>
  <c r="C135" i="19"/>
  <c r="B135" i="19"/>
  <c r="C134" i="19"/>
  <c r="B134" i="19"/>
  <c r="C133" i="19"/>
  <c r="B133" i="19"/>
  <c r="C132" i="19"/>
  <c r="B132" i="19"/>
  <c r="C131" i="19"/>
  <c r="B131" i="19"/>
  <c r="C130" i="19"/>
  <c r="B130" i="19"/>
  <c r="C129" i="19"/>
  <c r="B129" i="19"/>
  <c r="C128" i="19"/>
  <c r="B128" i="19"/>
  <c r="C127" i="19"/>
  <c r="B127" i="19"/>
  <c r="C126" i="19"/>
  <c r="B126" i="19"/>
  <c r="C125" i="19"/>
  <c r="B125" i="19"/>
  <c r="C124" i="19"/>
  <c r="B124" i="19"/>
  <c r="C123" i="19"/>
  <c r="B123" i="19"/>
  <c r="C122" i="19"/>
  <c r="B122" i="19"/>
  <c r="C121" i="19"/>
  <c r="B121" i="19"/>
  <c r="C120" i="19"/>
  <c r="B120" i="19"/>
  <c r="C119" i="19"/>
  <c r="B119" i="19"/>
  <c r="C118" i="19"/>
  <c r="B118" i="19"/>
  <c r="C117" i="19"/>
  <c r="B117" i="19"/>
  <c r="C116" i="19"/>
  <c r="B116" i="19"/>
  <c r="C115" i="19"/>
  <c r="B115" i="19"/>
  <c r="C114" i="19"/>
  <c r="B114" i="19"/>
  <c r="C113" i="19"/>
  <c r="B113" i="19"/>
  <c r="C112" i="19"/>
  <c r="B112" i="19"/>
  <c r="C111" i="19"/>
  <c r="B111" i="19"/>
  <c r="C110" i="19"/>
  <c r="B110" i="19"/>
  <c r="C109" i="19"/>
  <c r="B109" i="19"/>
  <c r="C108" i="19"/>
  <c r="B108" i="19"/>
  <c r="C107" i="19"/>
  <c r="B107" i="19"/>
  <c r="C106" i="19"/>
  <c r="B106" i="19"/>
  <c r="C105" i="19"/>
  <c r="B105" i="19"/>
  <c r="C104" i="19"/>
  <c r="B104" i="19"/>
  <c r="C103" i="19"/>
  <c r="B103" i="19"/>
  <c r="E101" i="19"/>
  <c r="D101" i="19"/>
  <c r="E5" i="19"/>
  <c r="D5" i="19"/>
  <c r="E41" i="18" l="1"/>
  <c r="D41" i="18"/>
  <c r="E29" i="18"/>
  <c r="D29" i="18"/>
  <c r="E17" i="18"/>
  <c r="D17" i="18"/>
  <c r="E5" i="18"/>
  <c r="D5" i="18"/>
  <c r="B92" i="13" l="1"/>
  <c r="B93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C4" i="13" a="1"/>
  <c r="C4" i="13" s="1"/>
  <c r="B5" i="13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C21" i="6"/>
  <c r="B22" i="6"/>
  <c r="B13" i="6"/>
  <c r="C12" i="6"/>
  <c r="C4" i="6" a="1"/>
  <c r="E4" i="6" s="1"/>
  <c r="E22" i="6" s="1"/>
  <c r="B9" i="6"/>
  <c r="B27" i="6" s="1"/>
  <c r="B8" i="6"/>
  <c r="B17" i="6" s="1"/>
  <c r="B7" i="6"/>
  <c r="B6" i="6"/>
  <c r="B5" i="6"/>
  <c r="B14" i="6" s="1"/>
  <c r="E17" i="14"/>
  <c r="D17" i="14"/>
  <c r="E5" i="14"/>
  <c r="D5" i="14"/>
  <c r="B18" i="6" l="1"/>
  <c r="B168" i="13"/>
  <c r="B261" i="13"/>
  <c r="B152" i="13"/>
  <c r="B245" i="13"/>
  <c r="B112" i="13"/>
  <c r="B205" i="13"/>
  <c r="B23" i="6"/>
  <c r="B183" i="13"/>
  <c r="B276" i="13"/>
  <c r="B175" i="13"/>
  <c r="B268" i="13"/>
  <c r="B167" i="13"/>
  <c r="B260" i="13"/>
  <c r="B159" i="13"/>
  <c r="B252" i="13"/>
  <c r="B151" i="13"/>
  <c r="B244" i="13"/>
  <c r="B143" i="13"/>
  <c r="B236" i="13"/>
  <c r="B135" i="13"/>
  <c r="B228" i="13"/>
  <c r="B127" i="13"/>
  <c r="B220" i="13"/>
  <c r="B119" i="13"/>
  <c r="B212" i="13"/>
  <c r="B111" i="13"/>
  <c r="B204" i="13"/>
  <c r="B103" i="13"/>
  <c r="B196" i="13"/>
  <c r="B184" i="13"/>
  <c r="B277" i="13"/>
  <c r="B160" i="13"/>
  <c r="B253" i="13"/>
  <c r="B144" i="13"/>
  <c r="B237" i="13"/>
  <c r="B104" i="13"/>
  <c r="B197" i="13"/>
  <c r="B182" i="13"/>
  <c r="B275" i="13"/>
  <c r="B174" i="13"/>
  <c r="B267" i="13"/>
  <c r="B166" i="13"/>
  <c r="B259" i="13"/>
  <c r="B158" i="13"/>
  <c r="B251" i="13"/>
  <c r="B150" i="13"/>
  <c r="B243" i="13"/>
  <c r="B142" i="13"/>
  <c r="B235" i="13"/>
  <c r="B134" i="13"/>
  <c r="B227" i="13"/>
  <c r="B126" i="13"/>
  <c r="B219" i="13"/>
  <c r="B118" i="13"/>
  <c r="B211" i="13"/>
  <c r="B110" i="13"/>
  <c r="B203" i="13"/>
  <c r="B102" i="13"/>
  <c r="B195" i="13"/>
  <c r="B181" i="13"/>
  <c r="B274" i="13"/>
  <c r="B266" i="13"/>
  <c r="B173" i="13"/>
  <c r="B165" i="13"/>
  <c r="B258" i="13"/>
  <c r="B250" i="13"/>
  <c r="B157" i="13"/>
  <c r="B149" i="13"/>
  <c r="B242" i="13"/>
  <c r="B234" i="13"/>
  <c r="B141" i="13"/>
  <c r="B226" i="13"/>
  <c r="B133" i="13"/>
  <c r="B125" i="13"/>
  <c r="B218" i="13"/>
  <c r="B117" i="13"/>
  <c r="B210" i="13"/>
  <c r="B202" i="13"/>
  <c r="B109" i="13"/>
  <c r="B101" i="13"/>
  <c r="B194" i="13"/>
  <c r="B128" i="13"/>
  <c r="B221" i="13"/>
  <c r="E13" i="6"/>
  <c r="B273" i="13"/>
  <c r="B180" i="13"/>
  <c r="B265" i="13"/>
  <c r="B172" i="13"/>
  <c r="B257" i="13"/>
  <c r="B164" i="13"/>
  <c r="B249" i="13"/>
  <c r="B156" i="13"/>
  <c r="B241" i="13"/>
  <c r="B148" i="13"/>
  <c r="B233" i="13"/>
  <c r="B140" i="13"/>
  <c r="B225" i="13"/>
  <c r="B132" i="13"/>
  <c r="B217" i="13"/>
  <c r="B124" i="13"/>
  <c r="B209" i="13"/>
  <c r="B116" i="13"/>
  <c r="B201" i="13"/>
  <c r="B108" i="13"/>
  <c r="B193" i="13"/>
  <c r="B100" i="13"/>
  <c r="B136" i="13"/>
  <c r="B229" i="13"/>
  <c r="B179" i="13"/>
  <c r="B272" i="13"/>
  <c r="B171" i="13"/>
  <c r="B264" i="13"/>
  <c r="B163" i="13"/>
  <c r="B256" i="13"/>
  <c r="B155" i="13"/>
  <c r="B248" i="13"/>
  <c r="B147" i="13"/>
  <c r="B240" i="13"/>
  <c r="B139" i="13"/>
  <c r="B232" i="13"/>
  <c r="B131" i="13"/>
  <c r="B224" i="13"/>
  <c r="B123" i="13"/>
  <c r="B216" i="13"/>
  <c r="B115" i="13"/>
  <c r="B208" i="13"/>
  <c r="B107" i="13"/>
  <c r="B200" i="13"/>
  <c r="B99" i="13"/>
  <c r="B192" i="13"/>
  <c r="B176" i="13"/>
  <c r="B269" i="13"/>
  <c r="B120" i="13"/>
  <c r="B213" i="13"/>
  <c r="B98" i="13"/>
  <c r="B191" i="13"/>
  <c r="B178" i="13"/>
  <c r="B271" i="13"/>
  <c r="B170" i="13"/>
  <c r="B263" i="13"/>
  <c r="B162" i="13"/>
  <c r="B255" i="13"/>
  <c r="B154" i="13"/>
  <c r="B247" i="13"/>
  <c r="B146" i="13"/>
  <c r="B239" i="13"/>
  <c r="B138" i="13"/>
  <c r="B231" i="13"/>
  <c r="B130" i="13"/>
  <c r="B223" i="13"/>
  <c r="B122" i="13"/>
  <c r="B215" i="13"/>
  <c r="B114" i="13"/>
  <c r="B207" i="13"/>
  <c r="B106" i="13"/>
  <c r="B199" i="13"/>
  <c r="B186" i="13"/>
  <c r="B279" i="13"/>
  <c r="C97" i="13"/>
  <c r="C190" i="13"/>
  <c r="B177" i="13"/>
  <c r="B270" i="13"/>
  <c r="B169" i="13"/>
  <c r="B262" i="13"/>
  <c r="B161" i="13"/>
  <c r="B254" i="13"/>
  <c r="B153" i="13"/>
  <c r="B246" i="13"/>
  <c r="B145" i="13"/>
  <c r="B238" i="13"/>
  <c r="B137" i="13"/>
  <c r="B230" i="13"/>
  <c r="B129" i="13"/>
  <c r="B222" i="13"/>
  <c r="B121" i="13"/>
  <c r="B214" i="13"/>
  <c r="B113" i="13"/>
  <c r="B206" i="13"/>
  <c r="B105" i="13"/>
  <c r="B198" i="13"/>
  <c r="B185" i="13"/>
  <c r="B278" i="13"/>
  <c r="C5" i="13" a="1"/>
  <c r="C91" i="13" s="1"/>
  <c r="C98" i="13" a="1"/>
  <c r="E5" i="13" a="1"/>
  <c r="E48" i="13" s="1"/>
  <c r="E98" i="13" a="1"/>
  <c r="G98" i="13" a="1"/>
  <c r="D5" i="13" a="1"/>
  <c r="D9" i="13" s="1"/>
  <c r="D98" i="13" a="1"/>
  <c r="F5" i="13" a="1"/>
  <c r="F5" i="13" s="1"/>
  <c r="F98" i="13" a="1"/>
  <c r="B24" i="6"/>
  <c r="B15" i="6"/>
  <c r="B16" i="6"/>
  <c r="B25" i="6"/>
  <c r="G5" i="13" a="1"/>
  <c r="G66" i="13" s="1"/>
  <c r="B26" i="6"/>
  <c r="G4" i="13"/>
  <c r="F4" i="13"/>
  <c r="E4" i="13"/>
  <c r="D4" i="13"/>
  <c r="CK4" i="6"/>
  <c r="CC4" i="6"/>
  <c r="BU4" i="6"/>
  <c r="BM4" i="6"/>
  <c r="BE4" i="6"/>
  <c r="AW4" i="6"/>
  <c r="AO4" i="6"/>
  <c r="AG4" i="6"/>
  <c r="Y4" i="6"/>
  <c r="Q4" i="6"/>
  <c r="I4" i="6"/>
  <c r="BX4" i="6"/>
  <c r="AR4" i="6"/>
  <c r="T4" i="6"/>
  <c r="CE4" i="6"/>
  <c r="AY4" i="6"/>
  <c r="S4" i="6"/>
  <c r="CL4" i="6"/>
  <c r="CD4" i="6"/>
  <c r="BV4" i="6"/>
  <c r="BN4" i="6"/>
  <c r="BF4" i="6"/>
  <c r="AX4" i="6"/>
  <c r="AP4" i="6"/>
  <c r="AH4" i="6"/>
  <c r="Z4" i="6"/>
  <c r="R4" i="6"/>
  <c r="J4" i="6"/>
  <c r="CJ4" i="6"/>
  <c r="CB4" i="6"/>
  <c r="BT4" i="6"/>
  <c r="BL4" i="6"/>
  <c r="BD4" i="6"/>
  <c r="AV4" i="6"/>
  <c r="AN4" i="6"/>
  <c r="AF4" i="6"/>
  <c r="X4" i="6"/>
  <c r="P4" i="6"/>
  <c r="H4" i="6"/>
  <c r="CF4" i="6"/>
  <c r="BH4" i="6"/>
  <c r="AZ4" i="6"/>
  <c r="AB4" i="6"/>
  <c r="D4" i="6"/>
  <c r="CM4" i="6"/>
  <c r="BW4" i="6"/>
  <c r="BG4" i="6"/>
  <c r="AQ4" i="6"/>
  <c r="AA4" i="6"/>
  <c r="K4" i="6"/>
  <c r="CI4" i="6"/>
  <c r="BS4" i="6"/>
  <c r="BK4" i="6"/>
  <c r="AU4" i="6"/>
  <c r="AM4" i="6"/>
  <c r="W4" i="6"/>
  <c r="G4" i="6"/>
  <c r="CH4" i="6"/>
  <c r="BZ4" i="6"/>
  <c r="BR4" i="6"/>
  <c r="BJ4" i="6"/>
  <c r="BB4" i="6"/>
  <c r="AT4" i="6"/>
  <c r="AL4" i="6"/>
  <c r="AD4" i="6"/>
  <c r="V4" i="6"/>
  <c r="N4" i="6"/>
  <c r="F4" i="6"/>
  <c r="BP4" i="6"/>
  <c r="AJ4" i="6"/>
  <c r="L4" i="6"/>
  <c r="BO4" i="6"/>
  <c r="AI4" i="6"/>
  <c r="C4" i="6"/>
  <c r="CA4" i="6"/>
  <c r="BC4" i="6"/>
  <c r="AE4" i="6"/>
  <c r="O4" i="6"/>
  <c r="CG4" i="6"/>
  <c r="BY4" i="6"/>
  <c r="BQ4" i="6"/>
  <c r="BI4" i="6"/>
  <c r="BA4" i="6"/>
  <c r="AS4" i="6"/>
  <c r="AK4" i="6"/>
  <c r="AC4" i="6"/>
  <c r="U4" i="6"/>
  <c r="M4" i="6"/>
  <c r="F97" i="13" l="1"/>
  <c r="F190" i="13"/>
  <c r="E190" i="13"/>
  <c r="E97" i="13"/>
  <c r="G97" i="13"/>
  <c r="G190" i="13"/>
  <c r="D190" i="13"/>
  <c r="D97" i="13"/>
  <c r="G98" i="13"/>
  <c r="G176" i="13"/>
  <c r="G103" i="13"/>
  <c r="G126" i="13"/>
  <c r="G160" i="13"/>
  <c r="G172" i="13"/>
  <c r="G108" i="13"/>
  <c r="G173" i="13"/>
  <c r="G155" i="13"/>
  <c r="G161" i="13"/>
  <c r="G133" i="13"/>
  <c r="G138" i="13"/>
  <c r="G134" i="13"/>
  <c r="G146" i="13"/>
  <c r="G144" i="13"/>
  <c r="G182" i="13"/>
  <c r="G118" i="13"/>
  <c r="G128" i="13"/>
  <c r="G164" i="13"/>
  <c r="G100" i="13"/>
  <c r="G157" i="13"/>
  <c r="G147" i="13"/>
  <c r="G121" i="13"/>
  <c r="G109" i="13"/>
  <c r="G130" i="13"/>
  <c r="G180" i="13"/>
  <c r="G165" i="13"/>
  <c r="G112" i="13"/>
  <c r="G174" i="13"/>
  <c r="G110" i="13"/>
  <c r="G183" i="13"/>
  <c r="G156" i="13"/>
  <c r="G169" i="13"/>
  <c r="G141" i="13"/>
  <c r="G139" i="13"/>
  <c r="G168" i="13"/>
  <c r="G186" i="13"/>
  <c r="G122" i="13"/>
  <c r="G184" i="13"/>
  <c r="G99" i="13"/>
  <c r="G167" i="13"/>
  <c r="G166" i="13"/>
  <c r="G102" i="13"/>
  <c r="G135" i="13"/>
  <c r="G148" i="13"/>
  <c r="G137" i="13"/>
  <c r="G125" i="13"/>
  <c r="G131" i="13"/>
  <c r="G136" i="13"/>
  <c r="G178" i="13"/>
  <c r="G114" i="13"/>
  <c r="G159" i="13"/>
  <c r="G158" i="13"/>
  <c r="G185" i="13"/>
  <c r="G181" i="13"/>
  <c r="G140" i="13"/>
  <c r="G129" i="13"/>
  <c r="G101" i="13"/>
  <c r="G123" i="13"/>
  <c r="G104" i="13"/>
  <c r="G170" i="13"/>
  <c r="G106" i="13"/>
  <c r="G116" i="13"/>
  <c r="G177" i="13"/>
  <c r="G127" i="13"/>
  <c r="G150" i="13"/>
  <c r="G153" i="13"/>
  <c r="G149" i="13"/>
  <c r="G132" i="13"/>
  <c r="G152" i="13"/>
  <c r="G179" i="13"/>
  <c r="G115" i="13"/>
  <c r="G175" i="13"/>
  <c r="G162" i="13"/>
  <c r="G113" i="13"/>
  <c r="G163" i="13"/>
  <c r="G145" i="13"/>
  <c r="G119" i="13"/>
  <c r="G142" i="13"/>
  <c r="G105" i="13"/>
  <c r="G117" i="13"/>
  <c r="G124" i="13"/>
  <c r="G120" i="13"/>
  <c r="G171" i="13"/>
  <c r="G107" i="13"/>
  <c r="G143" i="13"/>
  <c r="G154" i="13"/>
  <c r="G111" i="13"/>
  <c r="G151" i="13"/>
  <c r="F100" i="13"/>
  <c r="F120" i="13"/>
  <c r="F135" i="13"/>
  <c r="F101" i="13"/>
  <c r="F170" i="13"/>
  <c r="F106" i="13"/>
  <c r="F137" i="13"/>
  <c r="F136" i="13"/>
  <c r="F142" i="13"/>
  <c r="F141" i="13"/>
  <c r="F155" i="13"/>
  <c r="F157" i="13"/>
  <c r="F145" i="13"/>
  <c r="F104" i="13"/>
  <c r="F127" i="13"/>
  <c r="F172" i="13"/>
  <c r="F162" i="13"/>
  <c r="F98" i="13"/>
  <c r="F129" i="13"/>
  <c r="F128" i="13"/>
  <c r="F134" i="13"/>
  <c r="F117" i="13"/>
  <c r="F147" i="13"/>
  <c r="F133" i="13"/>
  <c r="F152" i="13"/>
  <c r="F183" i="13"/>
  <c r="F119" i="13"/>
  <c r="F156" i="13"/>
  <c r="F154" i="13"/>
  <c r="F185" i="13"/>
  <c r="F121" i="13"/>
  <c r="F112" i="13"/>
  <c r="F126" i="13"/>
  <c r="F164" i="13"/>
  <c r="F139" i="13"/>
  <c r="F109" i="13"/>
  <c r="F178" i="13"/>
  <c r="F99" i="13"/>
  <c r="F175" i="13"/>
  <c r="F111" i="13"/>
  <c r="F140" i="13"/>
  <c r="F146" i="13"/>
  <c r="F177" i="13"/>
  <c r="F113" i="13"/>
  <c r="F182" i="13"/>
  <c r="F118" i="13"/>
  <c r="F132" i="13"/>
  <c r="F131" i="13"/>
  <c r="F180" i="13"/>
  <c r="F114" i="13"/>
  <c r="F167" i="13"/>
  <c r="F103" i="13"/>
  <c r="F124" i="13"/>
  <c r="F138" i="13"/>
  <c r="F169" i="13"/>
  <c r="F105" i="13"/>
  <c r="F174" i="13"/>
  <c r="F110" i="13"/>
  <c r="F116" i="13"/>
  <c r="F123" i="13"/>
  <c r="F148" i="13"/>
  <c r="F144" i="13"/>
  <c r="F165" i="13"/>
  <c r="F176" i="13"/>
  <c r="F159" i="13"/>
  <c r="F173" i="13"/>
  <c r="F108" i="13"/>
  <c r="F130" i="13"/>
  <c r="F161" i="13"/>
  <c r="F184" i="13"/>
  <c r="F166" i="13"/>
  <c r="F102" i="13"/>
  <c r="F179" i="13"/>
  <c r="F115" i="13"/>
  <c r="F125" i="13"/>
  <c r="F163" i="13"/>
  <c r="F160" i="13"/>
  <c r="F151" i="13"/>
  <c r="F149" i="13"/>
  <c r="F186" i="13"/>
  <c r="F122" i="13"/>
  <c r="F153" i="13"/>
  <c r="F168" i="13"/>
  <c r="F158" i="13"/>
  <c r="F181" i="13"/>
  <c r="F171" i="13"/>
  <c r="F107" i="13"/>
  <c r="F143" i="13"/>
  <c r="F150" i="13"/>
  <c r="E99" i="13"/>
  <c r="E161" i="13"/>
  <c r="E159" i="13"/>
  <c r="E170" i="13"/>
  <c r="E112" i="13"/>
  <c r="E157" i="13"/>
  <c r="E162" i="13"/>
  <c r="E104" i="13"/>
  <c r="E156" i="13"/>
  <c r="E186" i="13"/>
  <c r="E182" i="13"/>
  <c r="E139" i="13"/>
  <c r="E98" i="13"/>
  <c r="E136" i="13"/>
  <c r="E129" i="13"/>
  <c r="E151" i="13"/>
  <c r="E146" i="13"/>
  <c r="E166" i="13"/>
  <c r="E149" i="13"/>
  <c r="E138" i="13"/>
  <c r="E174" i="13"/>
  <c r="E148" i="13"/>
  <c r="E154" i="13"/>
  <c r="E150" i="13"/>
  <c r="E131" i="13"/>
  <c r="E103" i="13"/>
  <c r="E100" i="13"/>
  <c r="E184" i="13"/>
  <c r="E143" i="13"/>
  <c r="E114" i="13"/>
  <c r="E142" i="13"/>
  <c r="E141" i="13"/>
  <c r="E106" i="13"/>
  <c r="E158" i="13"/>
  <c r="E140" i="13"/>
  <c r="E122" i="13"/>
  <c r="E118" i="13"/>
  <c r="E123" i="13"/>
  <c r="E164" i="13"/>
  <c r="E152" i="13"/>
  <c r="E135" i="13"/>
  <c r="E169" i="13"/>
  <c r="E126" i="13"/>
  <c r="E133" i="13"/>
  <c r="E177" i="13"/>
  <c r="E134" i="13"/>
  <c r="E132" i="13"/>
  <c r="E185" i="13"/>
  <c r="E179" i="13"/>
  <c r="E115" i="13"/>
  <c r="E128" i="13"/>
  <c r="E127" i="13"/>
  <c r="E137" i="13"/>
  <c r="E102" i="13"/>
  <c r="E125" i="13"/>
  <c r="E153" i="13"/>
  <c r="E110" i="13"/>
  <c r="E124" i="13"/>
  <c r="E145" i="13"/>
  <c r="E171" i="13"/>
  <c r="E107" i="13"/>
  <c r="E165" i="13"/>
  <c r="E147" i="13"/>
  <c r="E178" i="13"/>
  <c r="E183" i="13"/>
  <c r="E119" i="13"/>
  <c r="E105" i="13"/>
  <c r="E181" i="13"/>
  <c r="E117" i="13"/>
  <c r="E121" i="13"/>
  <c r="E180" i="13"/>
  <c r="E116" i="13"/>
  <c r="E113" i="13"/>
  <c r="E163" i="13"/>
  <c r="E144" i="13"/>
  <c r="E120" i="13"/>
  <c r="E130" i="13"/>
  <c r="E175" i="13"/>
  <c r="E111" i="13"/>
  <c r="E176" i="13"/>
  <c r="E173" i="13"/>
  <c r="E109" i="13"/>
  <c r="E160" i="13"/>
  <c r="E172" i="13"/>
  <c r="E108" i="13"/>
  <c r="E168" i="13"/>
  <c r="E155" i="13"/>
  <c r="E167" i="13"/>
  <c r="E101" i="13"/>
  <c r="D98" i="13"/>
  <c r="D185" i="13"/>
  <c r="D169" i="13"/>
  <c r="D177" i="13"/>
  <c r="D161" i="13"/>
  <c r="D129" i="13"/>
  <c r="D152" i="13"/>
  <c r="D175" i="13"/>
  <c r="D111" i="13"/>
  <c r="D134" i="13"/>
  <c r="D157" i="13"/>
  <c r="D180" i="13"/>
  <c r="D116" i="13"/>
  <c r="D139" i="13"/>
  <c r="D170" i="13"/>
  <c r="D106" i="13"/>
  <c r="D160" i="13"/>
  <c r="D124" i="13"/>
  <c r="D121" i="13"/>
  <c r="D144" i="13"/>
  <c r="D167" i="13"/>
  <c r="D103" i="13"/>
  <c r="D126" i="13"/>
  <c r="D149" i="13"/>
  <c r="D172" i="13"/>
  <c r="D108" i="13"/>
  <c r="D131" i="13"/>
  <c r="D162" i="13"/>
  <c r="D119" i="13"/>
  <c r="D178" i="13"/>
  <c r="D113" i="13"/>
  <c r="D136" i="13"/>
  <c r="D159" i="13"/>
  <c r="D182" i="13"/>
  <c r="D118" i="13"/>
  <c r="D141" i="13"/>
  <c r="D164" i="13"/>
  <c r="D100" i="13"/>
  <c r="D123" i="13"/>
  <c r="D154" i="13"/>
  <c r="D183" i="13"/>
  <c r="D147" i="13"/>
  <c r="D105" i="13"/>
  <c r="D128" i="13"/>
  <c r="D151" i="13"/>
  <c r="D174" i="13"/>
  <c r="D110" i="13"/>
  <c r="D133" i="13"/>
  <c r="D156" i="13"/>
  <c r="D179" i="13"/>
  <c r="D115" i="13"/>
  <c r="D146" i="13"/>
  <c r="D184" i="13"/>
  <c r="D120" i="13"/>
  <c r="D143" i="13"/>
  <c r="D166" i="13"/>
  <c r="D102" i="13"/>
  <c r="D125" i="13"/>
  <c r="D148" i="13"/>
  <c r="D171" i="13"/>
  <c r="D107" i="13"/>
  <c r="D138" i="13"/>
  <c r="D165" i="13"/>
  <c r="D153" i="13"/>
  <c r="D176" i="13"/>
  <c r="D112" i="13"/>
  <c r="D135" i="13"/>
  <c r="D158" i="13"/>
  <c r="D181" i="13"/>
  <c r="D117" i="13"/>
  <c r="D140" i="13"/>
  <c r="D163" i="13"/>
  <c r="D99" i="13"/>
  <c r="D130" i="13"/>
  <c r="D142" i="13"/>
  <c r="D114" i="13"/>
  <c r="D145" i="13"/>
  <c r="D168" i="13"/>
  <c r="D104" i="13"/>
  <c r="D127" i="13"/>
  <c r="D150" i="13"/>
  <c r="D173" i="13"/>
  <c r="D109" i="13"/>
  <c r="D132" i="13"/>
  <c r="D155" i="13"/>
  <c r="D186" i="13"/>
  <c r="D122" i="13"/>
  <c r="D137" i="13"/>
  <c r="D101" i="13"/>
  <c r="C98" i="13"/>
  <c r="C112" i="13"/>
  <c r="C135" i="13"/>
  <c r="C118" i="13"/>
  <c r="C125" i="13"/>
  <c r="C126" i="13"/>
  <c r="C176" i="13"/>
  <c r="C163" i="13"/>
  <c r="C99" i="13"/>
  <c r="C134" i="13"/>
  <c r="C170" i="13"/>
  <c r="C106" i="13"/>
  <c r="C160" i="13"/>
  <c r="C150" i="13"/>
  <c r="C169" i="13"/>
  <c r="C104" i="13"/>
  <c r="C127" i="13"/>
  <c r="C181" i="13"/>
  <c r="C117" i="13"/>
  <c r="C164" i="13"/>
  <c r="C166" i="13"/>
  <c r="C155" i="13"/>
  <c r="C153" i="13"/>
  <c r="C110" i="13"/>
  <c r="C162" i="13"/>
  <c r="C152" i="13"/>
  <c r="C114" i="13"/>
  <c r="C137" i="13"/>
  <c r="C183" i="13"/>
  <c r="C119" i="13"/>
  <c r="C173" i="13"/>
  <c r="C109" i="13"/>
  <c r="C148" i="13"/>
  <c r="C142" i="13"/>
  <c r="C147" i="13"/>
  <c r="C121" i="13"/>
  <c r="C172" i="13"/>
  <c r="C154" i="13"/>
  <c r="C133" i="13"/>
  <c r="C178" i="13"/>
  <c r="C184" i="13"/>
  <c r="C175" i="13"/>
  <c r="C111" i="13"/>
  <c r="C165" i="13"/>
  <c r="C101" i="13"/>
  <c r="C132" i="13"/>
  <c r="C102" i="13"/>
  <c r="C139" i="13"/>
  <c r="C144" i="13"/>
  <c r="C156" i="13"/>
  <c r="C146" i="13"/>
  <c r="C168" i="13"/>
  <c r="C167" i="13"/>
  <c r="C103" i="13"/>
  <c r="C157" i="13"/>
  <c r="C185" i="13"/>
  <c r="C116" i="13"/>
  <c r="C180" i="13"/>
  <c r="C131" i="13"/>
  <c r="C182" i="13"/>
  <c r="C140" i="13"/>
  <c r="C138" i="13"/>
  <c r="C120" i="13"/>
  <c r="C171" i="13"/>
  <c r="C136" i="13"/>
  <c r="C159" i="13"/>
  <c r="C177" i="13"/>
  <c r="C149" i="13"/>
  <c r="C145" i="13"/>
  <c r="C100" i="13"/>
  <c r="C124" i="13"/>
  <c r="C123" i="13"/>
  <c r="C174" i="13"/>
  <c r="C108" i="13"/>
  <c r="C130" i="13"/>
  <c r="C129" i="13"/>
  <c r="C128" i="13"/>
  <c r="C151" i="13"/>
  <c r="C105" i="13"/>
  <c r="C141" i="13"/>
  <c r="C113" i="13"/>
  <c r="C161" i="13"/>
  <c r="C179" i="13"/>
  <c r="C115" i="13"/>
  <c r="C158" i="13"/>
  <c r="C186" i="13"/>
  <c r="C122" i="13"/>
  <c r="C143" i="13"/>
  <c r="C107" i="13"/>
  <c r="F16" i="13"/>
  <c r="G48" i="13"/>
  <c r="E39" i="13"/>
  <c r="F44" i="13"/>
  <c r="F78" i="13"/>
  <c r="F71" i="13"/>
  <c r="F75" i="13"/>
  <c r="F43" i="13"/>
  <c r="G23" i="13"/>
  <c r="E41" i="13"/>
  <c r="F68" i="13"/>
  <c r="F32" i="13"/>
  <c r="F79" i="13"/>
  <c r="F91" i="13"/>
  <c r="F51" i="13"/>
  <c r="G71" i="13"/>
  <c r="F13" i="13"/>
  <c r="F84" i="13"/>
  <c r="F88" i="13"/>
  <c r="F87" i="13"/>
  <c r="F26" i="13"/>
  <c r="G21" i="13"/>
  <c r="G79" i="13"/>
  <c r="F37" i="13"/>
  <c r="F36" i="13"/>
  <c r="F34" i="13"/>
  <c r="F14" i="13"/>
  <c r="F92" i="13"/>
  <c r="F41" i="13"/>
  <c r="F42" i="13"/>
  <c r="G25" i="13"/>
  <c r="F69" i="13"/>
  <c r="F7" i="13"/>
  <c r="F90" i="13"/>
  <c r="G85" i="13"/>
  <c r="E13" i="13"/>
  <c r="F77" i="13"/>
  <c r="F62" i="13"/>
  <c r="F15" i="13"/>
  <c r="F57" i="13"/>
  <c r="F11" i="13"/>
  <c r="G38" i="13"/>
  <c r="G81" i="13"/>
  <c r="F6" i="13"/>
  <c r="G29" i="13"/>
  <c r="F45" i="13"/>
  <c r="G77" i="13"/>
  <c r="F54" i="13"/>
  <c r="F49" i="13"/>
  <c r="G33" i="13"/>
  <c r="E7" i="13"/>
  <c r="F12" i="13"/>
  <c r="F70" i="13"/>
  <c r="F63" i="13"/>
  <c r="F65" i="13"/>
  <c r="F27" i="13"/>
  <c r="G15" i="13"/>
  <c r="G89" i="13"/>
  <c r="C25" i="13"/>
  <c r="E62" i="13"/>
  <c r="E64" i="13"/>
  <c r="E85" i="13"/>
  <c r="C85" i="13"/>
  <c r="E56" i="13"/>
  <c r="C59" i="13"/>
  <c r="C33" i="13"/>
  <c r="C67" i="13"/>
  <c r="E70" i="13"/>
  <c r="E79" i="13"/>
  <c r="E72" i="13"/>
  <c r="E65" i="13"/>
  <c r="F85" i="13"/>
  <c r="F89" i="13"/>
  <c r="C10" i="13"/>
  <c r="E6" i="13"/>
  <c r="E8" i="13"/>
  <c r="E88" i="13"/>
  <c r="F93" i="13"/>
  <c r="F23" i="13"/>
  <c r="F28" i="13"/>
  <c r="F50" i="13"/>
  <c r="G46" i="13"/>
  <c r="G50" i="13"/>
  <c r="C50" i="13"/>
  <c r="E29" i="13"/>
  <c r="E30" i="13"/>
  <c r="E23" i="13"/>
  <c r="E16" i="13"/>
  <c r="E25" i="13"/>
  <c r="F21" i="13"/>
  <c r="F24" i="13"/>
  <c r="F38" i="13"/>
  <c r="F56" i="13"/>
  <c r="F31" i="13"/>
  <c r="F25" i="13"/>
  <c r="F35" i="13"/>
  <c r="F58" i="13"/>
  <c r="F60" i="13"/>
  <c r="G54" i="13"/>
  <c r="G64" i="13"/>
  <c r="G58" i="13"/>
  <c r="C89" i="13"/>
  <c r="E93" i="13"/>
  <c r="E87" i="13"/>
  <c r="E80" i="13"/>
  <c r="E89" i="13"/>
  <c r="G75" i="13"/>
  <c r="E21" i="13"/>
  <c r="E15" i="13"/>
  <c r="F48" i="13"/>
  <c r="F19" i="13"/>
  <c r="F67" i="13"/>
  <c r="G56" i="13"/>
  <c r="C20" i="13"/>
  <c r="C58" i="13"/>
  <c r="E37" i="13"/>
  <c r="E38" i="13"/>
  <c r="E31" i="13"/>
  <c r="E24" i="13"/>
  <c r="E33" i="13"/>
  <c r="F29" i="13"/>
  <c r="F40" i="13"/>
  <c r="F46" i="13"/>
  <c r="F72" i="13"/>
  <c r="F39" i="13"/>
  <c r="F33" i="13"/>
  <c r="F59" i="13"/>
  <c r="F66" i="13"/>
  <c r="G13" i="13"/>
  <c r="G7" i="13"/>
  <c r="G17" i="13"/>
  <c r="C84" i="13"/>
  <c r="E69" i="13"/>
  <c r="E54" i="13"/>
  <c r="E47" i="13"/>
  <c r="E49" i="13"/>
  <c r="E77" i="13"/>
  <c r="E71" i="13"/>
  <c r="E57" i="13"/>
  <c r="C76" i="13"/>
  <c r="C69" i="13"/>
  <c r="E61" i="13"/>
  <c r="E46" i="13"/>
  <c r="AK22" i="6"/>
  <c r="AK13" i="6"/>
  <c r="BP22" i="6"/>
  <c r="BP13" i="6"/>
  <c r="BK22" i="6"/>
  <c r="BK13" i="6"/>
  <c r="CJ13" i="6"/>
  <c r="CJ22" i="6"/>
  <c r="AR22" i="6"/>
  <c r="AR13" i="6"/>
  <c r="D37" i="13"/>
  <c r="D46" i="13"/>
  <c r="D63" i="13"/>
  <c r="D56" i="13"/>
  <c r="AS22" i="6"/>
  <c r="AS13" i="6"/>
  <c r="F13" i="6"/>
  <c r="F22" i="6"/>
  <c r="BR13" i="6"/>
  <c r="BR22" i="6"/>
  <c r="D22" i="6"/>
  <c r="D13" i="6"/>
  <c r="AF13" i="6"/>
  <c r="AF22" i="6"/>
  <c r="J13" i="6"/>
  <c r="J22" i="6"/>
  <c r="BV13" i="6"/>
  <c r="BV22" i="6"/>
  <c r="BM22" i="6"/>
  <c r="BM13" i="6"/>
  <c r="D45" i="13"/>
  <c r="D7" i="13"/>
  <c r="D90" i="13"/>
  <c r="G5" i="13"/>
  <c r="G12" i="13"/>
  <c r="G44" i="13"/>
  <c r="G27" i="13"/>
  <c r="G60" i="13"/>
  <c r="G28" i="13"/>
  <c r="G68" i="13"/>
  <c r="G52" i="13"/>
  <c r="G43" i="13"/>
  <c r="G11" i="13"/>
  <c r="G76" i="13"/>
  <c r="G19" i="13"/>
  <c r="G84" i="13"/>
  <c r="G20" i="13"/>
  <c r="G92" i="13"/>
  <c r="G36" i="13"/>
  <c r="G35" i="13"/>
  <c r="G51" i="13"/>
  <c r="BQ22" i="6"/>
  <c r="BQ13" i="6"/>
  <c r="AD13" i="6"/>
  <c r="AD22" i="6"/>
  <c r="AA22" i="6"/>
  <c r="AA13" i="6"/>
  <c r="BD13" i="6"/>
  <c r="BD22" i="6"/>
  <c r="Y22" i="6"/>
  <c r="Y13" i="6"/>
  <c r="C44" i="13"/>
  <c r="C57" i="13"/>
  <c r="C82" i="13"/>
  <c r="D14" i="13"/>
  <c r="D31" i="13"/>
  <c r="D88" i="13"/>
  <c r="G45" i="13"/>
  <c r="G70" i="13"/>
  <c r="G39" i="13"/>
  <c r="G16" i="13"/>
  <c r="G80" i="13"/>
  <c r="G49" i="13"/>
  <c r="E5" i="13"/>
  <c r="E26" i="13"/>
  <c r="E44" i="13"/>
  <c r="E67" i="13"/>
  <c r="E90" i="13"/>
  <c r="E11" i="13"/>
  <c r="E34" i="13"/>
  <c r="E52" i="13"/>
  <c r="E75" i="13"/>
  <c r="E12" i="13"/>
  <c r="E35" i="13"/>
  <c r="E58" i="13"/>
  <c r="E76" i="13"/>
  <c r="E20" i="13"/>
  <c r="E59" i="13"/>
  <c r="E91" i="13"/>
  <c r="E27" i="13"/>
  <c r="E60" i="13"/>
  <c r="E92" i="13"/>
  <c r="E28" i="13"/>
  <c r="E66" i="13"/>
  <c r="E50" i="13"/>
  <c r="E36" i="13"/>
  <c r="E68" i="13"/>
  <c r="E43" i="13"/>
  <c r="E82" i="13"/>
  <c r="E83" i="13"/>
  <c r="E42" i="13"/>
  <c r="E74" i="13"/>
  <c r="E10" i="13"/>
  <c r="E18" i="13"/>
  <c r="E19" i="13"/>
  <c r="E51" i="13"/>
  <c r="E84" i="13"/>
  <c r="AE22" i="6"/>
  <c r="AE13" i="6"/>
  <c r="BJ22" i="6"/>
  <c r="BJ13" i="6"/>
  <c r="CM22" i="6"/>
  <c r="CM13" i="6"/>
  <c r="BN22" i="6"/>
  <c r="BN13" i="6"/>
  <c r="BE22" i="6"/>
  <c r="BE13" i="6"/>
  <c r="D33" i="13"/>
  <c r="D82" i="13"/>
  <c r="D74" i="13"/>
  <c r="D89" i="13"/>
  <c r="C12" i="13"/>
  <c r="C16" i="13"/>
  <c r="C38" i="13"/>
  <c r="C56" i="13"/>
  <c r="C79" i="13"/>
  <c r="C7" i="13"/>
  <c r="C23" i="13"/>
  <c r="C46" i="13"/>
  <c r="C64" i="13"/>
  <c r="C87" i="13"/>
  <c r="C8" i="13"/>
  <c r="C24" i="13"/>
  <c r="C47" i="13"/>
  <c r="C70" i="13"/>
  <c r="C88" i="13"/>
  <c r="C15" i="13"/>
  <c r="C48" i="13"/>
  <c r="C80" i="13"/>
  <c r="C13" i="13"/>
  <c r="C39" i="13"/>
  <c r="C72" i="13"/>
  <c r="C21" i="13"/>
  <c r="C54" i="13"/>
  <c r="C86" i="13"/>
  <c r="C22" i="13"/>
  <c r="C55" i="13"/>
  <c r="C30" i="13"/>
  <c r="C62" i="13"/>
  <c r="C6" i="13"/>
  <c r="C32" i="13"/>
  <c r="C71" i="13"/>
  <c r="C5" i="13"/>
  <c r="C31" i="13"/>
  <c r="C63" i="13"/>
  <c r="C78" i="13"/>
  <c r="C14" i="13"/>
  <c r="C40" i="13"/>
  <c r="C13" i="6"/>
  <c r="C22" i="6"/>
  <c r="CH13" i="6"/>
  <c r="CH22" i="6"/>
  <c r="AZ22" i="6"/>
  <c r="AZ13" i="6"/>
  <c r="AV22" i="6"/>
  <c r="AV13" i="6"/>
  <c r="CL13" i="6"/>
  <c r="CL22" i="6"/>
  <c r="CC22" i="6"/>
  <c r="CC13" i="6"/>
  <c r="C36" i="13"/>
  <c r="C49" i="13"/>
  <c r="C93" i="13"/>
  <c r="C74" i="13"/>
  <c r="C83" i="13"/>
  <c r="D61" i="13"/>
  <c r="D6" i="13"/>
  <c r="D70" i="13"/>
  <c r="D23" i="13"/>
  <c r="D87" i="13"/>
  <c r="D80" i="13"/>
  <c r="G37" i="13"/>
  <c r="G83" i="13"/>
  <c r="G62" i="13"/>
  <c r="G31" i="13"/>
  <c r="G8" i="13"/>
  <c r="G41" i="13"/>
  <c r="G74" i="13"/>
  <c r="AI13" i="6"/>
  <c r="AI22" i="6"/>
  <c r="G13" i="6"/>
  <c r="G22" i="6"/>
  <c r="BH22" i="6"/>
  <c r="BH13" i="6"/>
  <c r="AH22" i="6"/>
  <c r="AH13" i="6"/>
  <c r="CK22" i="6"/>
  <c r="CK13" i="6"/>
  <c r="C53" i="13"/>
  <c r="C18" i="13"/>
  <c r="C27" i="13"/>
  <c r="D69" i="13"/>
  <c r="D78" i="13"/>
  <c r="D17" i="13"/>
  <c r="G6" i="13"/>
  <c r="G82" i="13"/>
  <c r="M22" i="6"/>
  <c r="M13" i="6"/>
  <c r="BY22" i="6"/>
  <c r="BY13" i="6"/>
  <c r="BO13" i="6"/>
  <c r="BO22" i="6"/>
  <c r="AL22" i="6"/>
  <c r="AL13" i="6"/>
  <c r="W22" i="6"/>
  <c r="W13" i="6"/>
  <c r="AQ13" i="6"/>
  <c r="AQ22" i="6"/>
  <c r="CF13" i="6"/>
  <c r="CF22" i="6"/>
  <c r="BL22" i="6"/>
  <c r="BL13" i="6"/>
  <c r="AP22" i="6"/>
  <c r="AP13" i="6"/>
  <c r="AY13" i="6"/>
  <c r="AY22" i="6"/>
  <c r="AG22" i="6"/>
  <c r="AG13" i="6"/>
  <c r="C52" i="13"/>
  <c r="C77" i="13"/>
  <c r="C65" i="13"/>
  <c r="C26" i="13"/>
  <c r="C90" i="13"/>
  <c r="C35" i="13"/>
  <c r="D13" i="13"/>
  <c r="D77" i="13"/>
  <c r="D22" i="13"/>
  <c r="D86" i="13"/>
  <c r="D39" i="13"/>
  <c r="D49" i="13"/>
  <c r="D32" i="13"/>
  <c r="E45" i="13"/>
  <c r="E14" i="13"/>
  <c r="E78" i="13"/>
  <c r="E55" i="13"/>
  <c r="E32" i="13"/>
  <c r="E9" i="13"/>
  <c r="E73" i="13"/>
  <c r="F53" i="13"/>
  <c r="F64" i="13"/>
  <c r="F22" i="13"/>
  <c r="F86" i="13"/>
  <c r="F52" i="13"/>
  <c r="F47" i="13"/>
  <c r="F9" i="13"/>
  <c r="F73" i="13"/>
  <c r="F10" i="13"/>
  <c r="F74" i="13"/>
  <c r="F83" i="13"/>
  <c r="G53" i="13"/>
  <c r="G14" i="13"/>
  <c r="G78" i="13"/>
  <c r="G47" i="13"/>
  <c r="G24" i="13"/>
  <c r="G88" i="13"/>
  <c r="G57" i="13"/>
  <c r="G26" i="13"/>
  <c r="G90" i="13"/>
  <c r="D5" i="13"/>
  <c r="D19" i="13"/>
  <c r="D42" i="13"/>
  <c r="D67" i="13"/>
  <c r="D27" i="13"/>
  <c r="D50" i="13"/>
  <c r="D76" i="13"/>
  <c r="D10" i="13"/>
  <c r="D28" i="13"/>
  <c r="D51" i="13"/>
  <c r="D83" i="13"/>
  <c r="D35" i="13"/>
  <c r="D75" i="13"/>
  <c r="D26" i="13"/>
  <c r="D60" i="13"/>
  <c r="D36" i="13"/>
  <c r="D84" i="13"/>
  <c r="D11" i="13"/>
  <c r="D43" i="13"/>
  <c r="D91" i="13"/>
  <c r="D12" i="13"/>
  <c r="D44" i="13"/>
  <c r="D92" i="13"/>
  <c r="D20" i="13"/>
  <c r="D59" i="13"/>
  <c r="D18" i="13"/>
  <c r="D52" i="13"/>
  <c r="D34" i="13"/>
  <c r="D68" i="13"/>
  <c r="BC22" i="6"/>
  <c r="BC13" i="6"/>
  <c r="BX22" i="6"/>
  <c r="BX13" i="6"/>
  <c r="D57" i="13"/>
  <c r="D71" i="13"/>
  <c r="D64" i="13"/>
  <c r="BA22" i="6"/>
  <c r="BA13" i="6"/>
  <c r="N22" i="6"/>
  <c r="N13" i="6"/>
  <c r="BZ13" i="6"/>
  <c r="BZ22" i="6"/>
  <c r="AB13" i="6"/>
  <c r="AB22" i="6"/>
  <c r="CD13" i="6"/>
  <c r="CD22" i="6"/>
  <c r="BU22" i="6"/>
  <c r="BU13" i="6"/>
  <c r="C92" i="13"/>
  <c r="C61" i="13"/>
  <c r="C75" i="13"/>
  <c r="D62" i="13"/>
  <c r="D79" i="13"/>
  <c r="D72" i="13"/>
  <c r="G93" i="13"/>
  <c r="BI22" i="6"/>
  <c r="BI13" i="6"/>
  <c r="K13" i="6"/>
  <c r="K22" i="6"/>
  <c r="Q22" i="6"/>
  <c r="Q13" i="6"/>
  <c r="C19" i="13"/>
  <c r="G10" i="13"/>
  <c r="S13" i="6"/>
  <c r="S22" i="6"/>
  <c r="D24" i="13"/>
  <c r="G18" i="13"/>
  <c r="U22" i="6"/>
  <c r="U13" i="6"/>
  <c r="CG22" i="6"/>
  <c r="CG13" i="6"/>
  <c r="L22" i="6"/>
  <c r="L13" i="6"/>
  <c r="AT13" i="6"/>
  <c r="AT22" i="6"/>
  <c r="AM22" i="6"/>
  <c r="AM13" i="6"/>
  <c r="BG13" i="6"/>
  <c r="BG22" i="6"/>
  <c r="H13" i="6"/>
  <c r="H22" i="6"/>
  <c r="BT22" i="6"/>
  <c r="BT13" i="6"/>
  <c r="AX22" i="6"/>
  <c r="AX13" i="6"/>
  <c r="CE22" i="6"/>
  <c r="CE13" i="6"/>
  <c r="AO22" i="6"/>
  <c r="AO13" i="6"/>
  <c r="C60" i="13"/>
  <c r="C9" i="13"/>
  <c r="C73" i="13"/>
  <c r="C34" i="13"/>
  <c r="C37" i="13"/>
  <c r="C43" i="13"/>
  <c r="D21" i="13"/>
  <c r="D85" i="13"/>
  <c r="D30" i="13"/>
  <c r="D25" i="13"/>
  <c r="D47" i="13"/>
  <c r="D81" i="13"/>
  <c r="D40" i="13"/>
  <c r="D41" i="13"/>
  <c r="E53" i="13"/>
  <c r="E22" i="13"/>
  <c r="E86" i="13"/>
  <c r="E63" i="13"/>
  <c r="E40" i="13"/>
  <c r="E17" i="13"/>
  <c r="E81" i="13"/>
  <c r="F61" i="13"/>
  <c r="F80" i="13"/>
  <c r="F30" i="13"/>
  <c r="F8" i="13"/>
  <c r="F76" i="13"/>
  <c r="F55" i="13"/>
  <c r="F17" i="13"/>
  <c r="F81" i="13"/>
  <c r="F18" i="13"/>
  <c r="F82" i="13"/>
  <c r="F20" i="13"/>
  <c r="G61" i="13"/>
  <c r="G22" i="13"/>
  <c r="G86" i="13"/>
  <c r="G55" i="13"/>
  <c r="G32" i="13"/>
  <c r="G67" i="13"/>
  <c r="G65" i="13"/>
  <c r="G34" i="13"/>
  <c r="G59" i="13"/>
  <c r="X22" i="6"/>
  <c r="X13" i="6"/>
  <c r="BS13" i="6"/>
  <c r="BS22" i="6"/>
  <c r="D54" i="13"/>
  <c r="CA13" i="6"/>
  <c r="CA22" i="6"/>
  <c r="CI22" i="6"/>
  <c r="CI13" i="6"/>
  <c r="AN13" i="6"/>
  <c r="AN22" i="6"/>
  <c r="R22" i="6"/>
  <c r="R13" i="6"/>
  <c r="I22" i="6"/>
  <c r="I13" i="6"/>
  <c r="C28" i="13"/>
  <c r="C41" i="13"/>
  <c r="C66" i="13"/>
  <c r="C11" i="13"/>
  <c r="D53" i="13"/>
  <c r="D66" i="13"/>
  <c r="D15" i="13"/>
  <c r="D8" i="13"/>
  <c r="G87" i="13"/>
  <c r="V13" i="6"/>
  <c r="V22" i="6"/>
  <c r="Z22" i="6"/>
  <c r="Z13" i="6"/>
  <c r="C29" i="13"/>
  <c r="D16" i="13"/>
  <c r="G72" i="13"/>
  <c r="AC22" i="6"/>
  <c r="AC13" i="6"/>
  <c r="O22" i="6"/>
  <c r="O13" i="6"/>
  <c r="AJ22" i="6"/>
  <c r="AJ13" i="6"/>
  <c r="BB13" i="6"/>
  <c r="BB22" i="6"/>
  <c r="AU22" i="6"/>
  <c r="AU13" i="6"/>
  <c r="BW22" i="6"/>
  <c r="BW13" i="6"/>
  <c r="P13" i="6"/>
  <c r="P22" i="6"/>
  <c r="CB22" i="6"/>
  <c r="CB13" i="6"/>
  <c r="BF22" i="6"/>
  <c r="BF13" i="6"/>
  <c r="T22" i="6"/>
  <c r="T13" i="6"/>
  <c r="AW22" i="6"/>
  <c r="AW13" i="6"/>
  <c r="C68" i="13"/>
  <c r="C17" i="13"/>
  <c r="C81" i="13"/>
  <c r="C42" i="13"/>
  <c r="C45" i="13"/>
  <c r="C51" i="13"/>
  <c r="D29" i="13"/>
  <c r="D93" i="13"/>
  <c r="D38" i="13"/>
  <c r="D73" i="13"/>
  <c r="D55" i="13"/>
  <c r="D58" i="13"/>
  <c r="D48" i="13"/>
  <c r="D65" i="13"/>
  <c r="G69" i="13"/>
  <c r="G30" i="13"/>
  <c r="G91" i="13"/>
  <c r="G63" i="13"/>
  <c r="G40" i="13"/>
  <c r="G9" i="13"/>
  <c r="G73" i="13"/>
  <c r="G42" i="13"/>
  <c r="E265" i="8" l="1"/>
  <c r="D265" i="8"/>
  <c r="E256" i="8" l="1"/>
  <c r="D256" i="8"/>
  <c r="E211" i="8"/>
  <c r="D211" i="8"/>
  <c r="E202" i="8"/>
  <c r="D202" i="8"/>
  <c r="E195" i="8"/>
  <c r="D195" i="8"/>
  <c r="E188" i="8"/>
  <c r="D188" i="8"/>
  <c r="E176" i="8"/>
  <c r="D176" i="8"/>
  <c r="E160" i="8"/>
  <c r="D160" i="8"/>
  <c r="E169" i="8"/>
  <c r="D169" i="8"/>
  <c r="E153" i="8"/>
  <c r="D153" i="8"/>
  <c r="E89" i="8"/>
  <c r="D89" i="8"/>
  <c r="E131" i="8"/>
  <c r="D131" i="8"/>
  <c r="E63" i="8"/>
  <c r="D63" i="8"/>
  <c r="E38" i="8"/>
  <c r="D38" i="8"/>
  <c r="D237" i="31" l="1"/>
  <c r="E191" i="8"/>
  <c r="D180" i="31"/>
  <c r="D114" i="31"/>
  <c r="E237" i="31" l="1"/>
  <c r="E180" i="31"/>
  <c r="E114" i="31"/>
  <c r="E18" i="8" l="1"/>
  <c r="D18" i="8"/>
  <c r="D397" i="8" l="1"/>
  <c r="D9" i="30"/>
  <c r="D148" i="21"/>
  <c r="D646" i="19"/>
  <c r="D400" i="8"/>
  <c r="D151" i="21"/>
  <c r="D399" i="8"/>
  <c r="D150" i="21"/>
  <c r="D398" i="8"/>
  <c r="D149" i="21"/>
  <c r="D401" i="8"/>
  <c r="D152" i="21"/>
  <c r="E400" i="8" l="1"/>
  <c r="E151" i="21"/>
  <c r="E401" i="8"/>
  <c r="E152" i="21"/>
  <c r="E399" i="8"/>
  <c r="E150" i="21"/>
  <c r="E397" i="8"/>
  <c r="E9" i="30"/>
  <c r="E148" i="21"/>
  <c r="E646" i="19"/>
  <c r="E398" i="8"/>
  <c r="E149" i="21"/>
  <c r="D21" i="14"/>
  <c r="D9" i="19" s="1"/>
  <c r="E21" i="14" l="1"/>
  <c r="E9" i="19" s="1"/>
  <c r="E201" i="19" s="1"/>
  <c r="D201" i="19"/>
  <c r="D365" i="8"/>
  <c r="D119" i="20"/>
  <c r="E365" i="8" l="1"/>
  <c r="E119" i="20"/>
  <c r="D361" i="8" l="1"/>
  <c r="D7" i="29"/>
  <c r="D8" i="29"/>
  <c r="D115" i="20"/>
  <c r="D141" i="18"/>
  <c r="D363" i="8"/>
  <c r="D117" i="20"/>
  <c r="D364" i="8"/>
  <c r="D118" i="20"/>
  <c r="D362" i="8"/>
  <c r="D116" i="20"/>
  <c r="E363" i="8" l="1"/>
  <c r="E117" i="20"/>
  <c r="E362" i="8"/>
  <c r="E116" i="20"/>
  <c r="D8" i="14"/>
  <c r="D8" i="18" s="1"/>
  <c r="D32" i="18" s="1"/>
  <c r="D7" i="14"/>
  <c r="E364" i="8"/>
  <c r="E118" i="20"/>
  <c r="E361" i="8"/>
  <c r="E8" i="29"/>
  <c r="E7" i="29"/>
  <c r="E115" i="20"/>
  <c r="E141" i="18"/>
  <c r="D7" i="18" l="1"/>
  <c r="D31" i="18" s="1"/>
  <c r="E8" i="14"/>
  <c r="E8" i="18" s="1"/>
  <c r="E32" i="18" s="1"/>
  <c r="E7" i="14"/>
  <c r="E7" i="18" l="1"/>
  <c r="E31" i="18" s="1"/>
  <c r="D395" i="8" l="1"/>
  <c r="D146" i="21"/>
  <c r="D392" i="8"/>
  <c r="D7" i="30"/>
  <c r="D8" i="30"/>
  <c r="D143" i="21"/>
  <c r="D645" i="19"/>
  <c r="D393" i="8"/>
  <c r="D144" i="21"/>
  <c r="D394" i="8"/>
  <c r="D145" i="21"/>
  <c r="D396" i="8"/>
  <c r="D147" i="21"/>
  <c r="E392" i="8" l="1"/>
  <c r="E8" i="30"/>
  <c r="E7" i="30"/>
  <c r="E143" i="21"/>
  <c r="E645" i="19"/>
  <c r="D20" i="14"/>
  <c r="D8" i="19" s="1"/>
  <c r="D19" i="14"/>
  <c r="D7" i="19" s="1"/>
  <c r="E393" i="8"/>
  <c r="E144" i="21"/>
  <c r="D218" i="31"/>
  <c r="D219" i="31"/>
  <c r="D23" i="31"/>
  <c r="D87" i="31" s="1"/>
  <c r="D22" i="31"/>
  <c r="E396" i="8"/>
  <c r="E147" i="21"/>
  <c r="E395" i="8"/>
  <c r="E146" i="21"/>
  <c r="E394" i="8"/>
  <c r="E145" i="21"/>
  <c r="D26" i="31" l="1"/>
  <c r="D86" i="31"/>
  <c r="D199" i="19"/>
  <c r="D200" i="19"/>
  <c r="E218" i="31"/>
  <c r="E219" i="31"/>
  <c r="E22" i="31"/>
  <c r="E23" i="31"/>
  <c r="E87" i="31" s="1"/>
  <c r="E20" i="14"/>
  <c r="E8" i="19" s="1"/>
  <c r="E19" i="14"/>
  <c r="E7" i="19" s="1"/>
  <c r="D55" i="31" l="1"/>
  <c r="D153" i="31" s="1"/>
  <c r="D54" i="31"/>
  <c r="E26" i="31"/>
  <c r="E86" i="31"/>
  <c r="D403" i="8"/>
  <c r="D154" i="21"/>
  <c r="E199" i="19"/>
  <c r="E200" i="19"/>
  <c r="E403" i="8" l="1"/>
  <c r="E154" i="21"/>
  <c r="E55" i="31"/>
  <c r="E153" i="31" s="1"/>
  <c r="E54" i="31"/>
  <c r="D58" i="31"/>
  <c r="D152" i="31"/>
  <c r="E152" i="31" l="1"/>
  <c r="E58" i="31"/>
  <c r="D372" i="8" l="1"/>
  <c r="D126" i="20"/>
  <c r="D10" i="29"/>
  <c r="D371" i="8"/>
  <c r="D10" i="14" s="1"/>
  <c r="D10" i="18" s="1"/>
  <c r="D34" i="18" s="1"/>
  <c r="D125" i="20"/>
  <c r="D143" i="18"/>
  <c r="E371" i="8" l="1"/>
  <c r="E10" i="29"/>
  <c r="E143" i="18"/>
  <c r="E125" i="20"/>
  <c r="E372" i="8"/>
  <c r="E126" i="20"/>
  <c r="D10" i="30" l="1"/>
  <c r="D402" i="8"/>
  <c r="D22" i="14" s="1"/>
  <c r="D10" i="19" s="1"/>
  <c r="D153" i="21"/>
  <c r="D647" i="19"/>
  <c r="E10" i="14"/>
  <c r="E10" i="18" s="1"/>
  <c r="E34" i="18" s="1"/>
  <c r="D202" i="19" l="1"/>
  <c r="E10" i="30"/>
  <c r="E402" i="8"/>
  <c r="E22" i="14" s="1"/>
  <c r="E10" i="19" s="1"/>
  <c r="E153" i="21"/>
  <c r="E647" i="19"/>
  <c r="E202" i="19" l="1"/>
  <c r="D369" i="8" l="1"/>
  <c r="D123" i="20"/>
  <c r="D370" i="8" l="1"/>
  <c r="D124" i="20"/>
  <c r="D368" i="8"/>
  <c r="D122" i="20"/>
  <c r="D367" i="8"/>
  <c r="D121" i="20"/>
  <c r="E369" i="8"/>
  <c r="E123" i="20"/>
  <c r="E368" i="8" l="1"/>
  <c r="E122" i="20"/>
  <c r="D9" i="29"/>
  <c r="D366" i="8"/>
  <c r="D9" i="14" s="1"/>
  <c r="D120" i="20"/>
  <c r="D142" i="18"/>
  <c r="D24" i="31"/>
  <c r="D220" i="31"/>
  <c r="E367" i="8"/>
  <c r="E121" i="20"/>
  <c r="E370" i="8"/>
  <c r="E124" i="20"/>
  <c r="D9" i="18" l="1"/>
  <c r="D33" i="18" s="1"/>
  <c r="E366" i="8"/>
  <c r="E9" i="14" s="1"/>
  <c r="E9" i="29"/>
  <c r="E120" i="20"/>
  <c r="E142" i="18"/>
  <c r="E24" i="31"/>
  <c r="E220" i="31"/>
  <c r="D88" i="31"/>
  <c r="D178" i="30"/>
  <c r="D138" i="30"/>
  <c r="D106" i="30"/>
  <c r="D163" i="30"/>
  <c r="D121" i="30"/>
  <c r="D122" i="30"/>
  <c r="D113" i="30"/>
  <c r="D141" i="30"/>
  <c r="D110" i="30"/>
  <c r="D148" i="30"/>
  <c r="D176" i="30"/>
  <c r="D147" i="30"/>
  <c r="D154" i="30"/>
  <c r="D119" i="30"/>
  <c r="D170" i="30"/>
  <c r="D175" i="30"/>
  <c r="D114" i="30"/>
  <c r="D136" i="30"/>
  <c r="D129" i="30"/>
  <c r="D152" i="30"/>
  <c r="D151" i="30"/>
  <c r="D144" i="30"/>
  <c r="D143" i="30"/>
  <c r="D164" i="30"/>
  <c r="D118" i="30"/>
  <c r="D171" i="30"/>
  <c r="D128" i="30"/>
  <c r="D117" i="30"/>
  <c r="D132" i="30"/>
  <c r="D115" i="30"/>
  <c r="D191" i="30"/>
  <c r="D177" i="30"/>
  <c r="D137" i="30"/>
  <c r="D145" i="30"/>
  <c r="D159" i="30"/>
  <c r="D157" i="30"/>
  <c r="D158" i="30"/>
  <c r="D149" i="30"/>
  <c r="D126" i="30"/>
  <c r="D187" i="30"/>
  <c r="D134" i="30"/>
  <c r="D107" i="30"/>
  <c r="D105" i="30"/>
  <c r="D133" i="30"/>
  <c r="D135" i="30"/>
  <c r="D167" i="30"/>
  <c r="D165" i="30"/>
  <c r="D190" i="30"/>
  <c r="D180" i="30"/>
  <c r="D182" i="30"/>
  <c r="D172" i="30"/>
  <c r="D150" i="30"/>
  <c r="D123" i="30"/>
  <c r="D161" i="30"/>
  <c r="D130" i="30"/>
  <c r="D140" i="30"/>
  <c r="D127" i="30"/>
  <c r="D142" i="30"/>
  <c r="D125" i="30"/>
  <c r="D173" i="30"/>
  <c r="D103" i="30"/>
  <c r="D188" i="30"/>
  <c r="D168" i="30"/>
  <c r="D116" i="30"/>
  <c r="D104" i="30"/>
  <c r="D108" i="30"/>
  <c r="D166" i="30"/>
  <c r="D146" i="30"/>
  <c r="D160" i="30"/>
  <c r="D153" i="30"/>
  <c r="D111" i="30"/>
  <c r="D181" i="30"/>
  <c r="D109" i="30"/>
  <c r="D120" i="30"/>
  <c r="D124" i="30"/>
  <c r="D174" i="30"/>
  <c r="D139" i="30"/>
  <c r="D179" i="30"/>
  <c r="D131" i="30"/>
  <c r="D156" i="30"/>
  <c r="D169" i="30"/>
  <c r="D186" i="30"/>
  <c r="D183" i="30"/>
  <c r="D112" i="30"/>
  <c r="D162" i="30"/>
  <c r="D189" i="30"/>
  <c r="D155" i="30"/>
  <c r="D185" i="30"/>
  <c r="D184" i="30"/>
  <c r="E88" i="31" l="1"/>
  <c r="E105" i="30"/>
  <c r="E166" i="30"/>
  <c r="E150" i="30"/>
  <c r="E148" i="30"/>
  <c r="E175" i="30"/>
  <c r="E122" i="30"/>
  <c r="E188" i="30"/>
  <c r="E160" i="30"/>
  <c r="E103" i="30"/>
  <c r="E144" i="30"/>
  <c r="E154" i="30"/>
  <c r="E174" i="30"/>
  <c r="E165" i="30"/>
  <c r="E126" i="30"/>
  <c r="E110" i="30"/>
  <c r="E161" i="30"/>
  <c r="E191" i="30"/>
  <c r="E131" i="30"/>
  <c r="E128" i="30"/>
  <c r="E156" i="30"/>
  <c r="E181" i="30"/>
  <c r="E171" i="30"/>
  <c r="E149" i="30"/>
  <c r="E145" i="30"/>
  <c r="E182" i="30"/>
  <c r="E190" i="30"/>
  <c r="E143" i="30"/>
  <c r="E177" i="30"/>
  <c r="E180" i="30"/>
  <c r="E113" i="30"/>
  <c r="E176" i="30"/>
  <c r="E178" i="30"/>
  <c r="E162" i="30"/>
  <c r="E142" i="30"/>
  <c r="E152" i="30"/>
  <c r="E158" i="30"/>
  <c r="E179" i="30"/>
  <c r="E125" i="30"/>
  <c r="E107" i="30"/>
  <c r="E109" i="30"/>
  <c r="E168" i="30"/>
  <c r="E164" i="30"/>
  <c r="E133" i="30"/>
  <c r="E115" i="30"/>
  <c r="E141" i="30"/>
  <c r="E130" i="30"/>
  <c r="E106" i="30"/>
  <c r="E104" i="30"/>
  <c r="E132" i="30"/>
  <c r="E159" i="30"/>
  <c r="E116" i="30"/>
  <c r="E117" i="30"/>
  <c r="E136" i="30"/>
  <c r="E119" i="30"/>
  <c r="E123" i="30"/>
  <c r="E173" i="30"/>
  <c r="E129" i="30"/>
  <c r="E140" i="30"/>
  <c r="E135" i="30"/>
  <c r="E120" i="30"/>
  <c r="E137" i="30"/>
  <c r="E187" i="30"/>
  <c r="E157" i="30"/>
  <c r="E138" i="30"/>
  <c r="E147" i="30"/>
  <c r="E153" i="30"/>
  <c r="E127" i="30"/>
  <c r="E134" i="30"/>
  <c r="E155" i="30"/>
  <c r="E183" i="30"/>
  <c r="E139" i="30"/>
  <c r="E172" i="30"/>
  <c r="E186" i="30"/>
  <c r="E121" i="30"/>
  <c r="E146" i="30"/>
  <c r="E170" i="30"/>
  <c r="E184" i="30"/>
  <c r="E151" i="30"/>
  <c r="E112" i="30"/>
  <c r="E163" i="30"/>
  <c r="E111" i="30"/>
  <c r="E114" i="30"/>
  <c r="E124" i="30"/>
  <c r="E185" i="30"/>
  <c r="E108" i="30"/>
  <c r="E169" i="30"/>
  <c r="E118" i="30"/>
  <c r="E189" i="30"/>
  <c r="E167" i="30"/>
  <c r="E9" i="18"/>
  <c r="E33" i="18" s="1"/>
  <c r="D97" i="31"/>
  <c r="D95" i="31"/>
  <c r="D105" i="31"/>
  <c r="D306" i="19"/>
  <c r="D339" i="19"/>
  <c r="D303" i="19"/>
  <c r="D307" i="19"/>
  <c r="D347" i="19"/>
  <c r="D348" i="19"/>
  <c r="D369" i="19"/>
  <c r="D357" i="19"/>
  <c r="D352" i="19"/>
  <c r="D377" i="19"/>
  <c r="D372" i="19"/>
  <c r="D334" i="19"/>
  <c r="D320" i="19"/>
  <c r="D366" i="19"/>
  <c r="D56" i="31"/>
  <c r="D305" i="19"/>
  <c r="D300" i="19"/>
  <c r="D367" i="19"/>
  <c r="D332" i="19"/>
  <c r="D374" i="19"/>
  <c r="D314" i="19"/>
  <c r="D329" i="19"/>
  <c r="D373" i="19"/>
  <c r="D338" i="19"/>
  <c r="D378" i="19"/>
  <c r="D358" i="19"/>
  <c r="D343" i="19"/>
  <c r="D324" i="19"/>
  <c r="D382" i="19"/>
  <c r="D321" i="19"/>
  <c r="D354" i="19"/>
  <c r="D337" i="19"/>
  <c r="D364" i="19"/>
  <c r="D383" i="19"/>
  <c r="D317" i="19"/>
  <c r="D313" i="19"/>
  <c r="D335" i="19"/>
  <c r="D309" i="19"/>
  <c r="D370" i="19"/>
  <c r="D361" i="19"/>
  <c r="D340" i="19"/>
  <c r="D295" i="19"/>
  <c r="D346" i="19"/>
  <c r="D345" i="19"/>
  <c r="D322" i="19"/>
  <c r="D380" i="19"/>
  <c r="D356" i="19"/>
  <c r="D381" i="19"/>
  <c r="D328" i="19"/>
  <c r="D349" i="19"/>
  <c r="D323" i="19"/>
  <c r="D312" i="19"/>
  <c r="D299" i="19"/>
  <c r="D327" i="19"/>
  <c r="D363" i="19"/>
  <c r="D341" i="19"/>
  <c r="D351" i="19"/>
  <c r="D375" i="19"/>
  <c r="D298" i="19"/>
  <c r="D362" i="19"/>
  <c r="D301" i="19"/>
  <c r="D325" i="19"/>
  <c r="D302" i="19"/>
  <c r="D353" i="19"/>
  <c r="D365" i="19"/>
  <c r="D355" i="19"/>
  <c r="D344" i="19"/>
  <c r="D331" i="19"/>
  <c r="D359" i="19"/>
  <c r="D296" i="19"/>
  <c r="D297" i="19"/>
  <c r="D342" i="19"/>
  <c r="D310" i="19"/>
  <c r="D330" i="19"/>
  <c r="D336" i="19"/>
  <c r="D333" i="19"/>
  <c r="D379" i="19"/>
  <c r="D318" i="19"/>
  <c r="D326" i="19"/>
  <c r="D319" i="19"/>
  <c r="D371" i="19"/>
  <c r="D360" i="19"/>
  <c r="D308" i="19"/>
  <c r="D304" i="19"/>
  <c r="D315" i="19"/>
  <c r="D311" i="19"/>
  <c r="D350" i="19"/>
  <c r="D376" i="19"/>
  <c r="D316" i="19"/>
  <c r="D368" i="19"/>
  <c r="E56" i="31" l="1"/>
  <c r="E350" i="19"/>
  <c r="E370" i="19"/>
  <c r="E321" i="19"/>
  <c r="E333" i="19"/>
  <c r="E376" i="19"/>
  <c r="E349" i="19"/>
  <c r="E315" i="19"/>
  <c r="E326" i="19"/>
  <c r="E356" i="19"/>
  <c r="E304" i="19"/>
  <c r="E372" i="19"/>
  <c r="E364" i="19"/>
  <c r="E367" i="19"/>
  <c r="E352" i="19"/>
  <c r="E341" i="19"/>
  <c r="E366" i="19"/>
  <c r="E323" i="19"/>
  <c r="E299" i="19"/>
  <c r="E314" i="19"/>
  <c r="E305" i="19"/>
  <c r="E365" i="19"/>
  <c r="E373" i="19"/>
  <c r="E311" i="19"/>
  <c r="E322" i="19"/>
  <c r="E336" i="19"/>
  <c r="E368" i="19"/>
  <c r="E344" i="19"/>
  <c r="E313" i="19"/>
  <c r="E317" i="19"/>
  <c r="E307" i="19"/>
  <c r="E383" i="19"/>
  <c r="E355" i="19"/>
  <c r="E297" i="19"/>
  <c r="E334" i="19"/>
  <c r="E377" i="19"/>
  <c r="E381" i="19"/>
  <c r="E358" i="19"/>
  <c r="E343" i="19"/>
  <c r="E325" i="19"/>
  <c r="E329" i="19"/>
  <c r="E295" i="19"/>
  <c r="E348" i="19"/>
  <c r="E359" i="19"/>
  <c r="E380" i="19"/>
  <c r="E298" i="19"/>
  <c r="E339" i="19"/>
  <c r="E312" i="19"/>
  <c r="E371" i="19"/>
  <c r="E361" i="19"/>
  <c r="E382" i="19"/>
  <c r="E379" i="19"/>
  <c r="E302" i="19"/>
  <c r="E308" i="19"/>
  <c r="E375" i="19"/>
  <c r="E357" i="19"/>
  <c r="E331" i="19"/>
  <c r="E310" i="19"/>
  <c r="E330" i="19"/>
  <c r="E363" i="19"/>
  <c r="E318" i="19"/>
  <c r="E328" i="19"/>
  <c r="E300" i="19"/>
  <c r="E353" i="19"/>
  <c r="E316" i="19"/>
  <c r="E340" i="19"/>
  <c r="E306" i="19"/>
  <c r="E374" i="19"/>
  <c r="E319" i="19"/>
  <c r="E338" i="19"/>
  <c r="E345" i="19"/>
  <c r="E296" i="19"/>
  <c r="E362" i="19"/>
  <c r="E342" i="19"/>
  <c r="E309" i="19"/>
  <c r="E369" i="19"/>
  <c r="E324" i="19"/>
  <c r="E332" i="19"/>
  <c r="E337" i="19"/>
  <c r="E335" i="19"/>
  <c r="E346" i="19"/>
  <c r="E303" i="19"/>
  <c r="E354" i="19"/>
  <c r="E351" i="19"/>
  <c r="E347" i="19"/>
  <c r="E320" i="19"/>
  <c r="E327" i="19"/>
  <c r="E301" i="19"/>
  <c r="E360" i="19"/>
  <c r="E378" i="19"/>
  <c r="D171" i="31"/>
  <c r="E105" i="31"/>
  <c r="D154" i="31"/>
  <c r="E97" i="31"/>
  <c r="E95" i="31"/>
  <c r="E171" i="31" l="1"/>
  <c r="E154" i="31"/>
  <c r="E161" i="31" s="1"/>
  <c r="D163" i="31"/>
  <c r="D161" i="31"/>
  <c r="D406" i="8" l="1"/>
  <c r="D157" i="21"/>
  <c r="E406" i="8" l="1"/>
  <c r="E157" i="21"/>
  <c r="D7" i="8" l="1"/>
  <c r="F4" i="52" s="1"/>
  <c r="F5" i="52" s="1"/>
  <c r="E7" i="8"/>
  <c r="E8" i="8" s="1"/>
  <c r="D8" i="8" l="1"/>
  <c r="G4" i="50"/>
  <c r="G36" i="50" l="1"/>
  <c r="I37" i="53"/>
  <c r="D405" i="8"/>
  <c r="D156" i="21"/>
  <c r="G35" i="50" l="1"/>
  <c r="I36" i="53"/>
  <c r="G39" i="50"/>
  <c r="I40" i="53"/>
  <c r="G38" i="50"/>
  <c r="I39" i="53"/>
  <c r="E156" i="21"/>
  <c r="E405" i="8"/>
  <c r="D408" i="8"/>
  <c r="D159" i="21"/>
  <c r="D58" i="30"/>
  <c r="D47" i="30"/>
  <c r="D91" i="30"/>
  <c r="D648" i="19"/>
  <c r="D682" i="19" s="1"/>
  <c r="D23" i="30"/>
  <c r="D60" i="30"/>
  <c r="D67" i="30"/>
  <c r="D404" i="8"/>
  <c r="D56" i="30"/>
  <c r="D42" i="30"/>
  <c r="D63" i="30"/>
  <c r="D73" i="30"/>
  <c r="D55" i="30"/>
  <c r="D48" i="30"/>
  <c r="D78" i="30"/>
  <c r="D82" i="30"/>
  <c r="D17" i="30"/>
  <c r="D95" i="30"/>
  <c r="D22" i="30"/>
  <c r="D88" i="30"/>
  <c r="D34" i="30"/>
  <c r="D45" i="30"/>
  <c r="D72" i="30"/>
  <c r="D77" i="30"/>
  <c r="D87" i="30"/>
  <c r="D89" i="30"/>
  <c r="D61" i="30"/>
  <c r="D31" i="30"/>
  <c r="D15" i="30"/>
  <c r="D75" i="30"/>
  <c r="D44" i="30"/>
  <c r="D53" i="30"/>
  <c r="D29" i="30"/>
  <c r="D21" i="30"/>
  <c r="D90" i="30"/>
  <c r="D32" i="30"/>
  <c r="D40" i="30"/>
  <c r="D24" i="30"/>
  <c r="D81" i="30"/>
  <c r="D92" i="30"/>
  <c r="D74" i="30"/>
  <c r="D85" i="30"/>
  <c r="D14" i="30"/>
  <c r="D68" i="30"/>
  <c r="D43" i="30"/>
  <c r="D64" i="30"/>
  <c r="D86" i="30"/>
  <c r="D50" i="30"/>
  <c r="D26" i="30"/>
  <c r="D59" i="30"/>
  <c r="D12" i="30"/>
  <c r="D19" i="30"/>
  <c r="D71" i="30"/>
  <c r="D28" i="30"/>
  <c r="D94" i="30"/>
  <c r="D70" i="30"/>
  <c r="D41" i="30"/>
  <c r="D18" i="30"/>
  <c r="D57" i="30"/>
  <c r="D69" i="30"/>
  <c r="D25" i="30"/>
  <c r="D65" i="30"/>
  <c r="D27" i="30"/>
  <c r="D20" i="30"/>
  <c r="D54" i="30"/>
  <c r="D79" i="30"/>
  <c r="D35" i="30"/>
  <c r="D25" i="31"/>
  <c r="D155" i="21"/>
  <c r="D39" i="30"/>
  <c r="D93" i="30"/>
  <c r="D36" i="30"/>
  <c r="D76" i="30"/>
  <c r="D52" i="30"/>
  <c r="D11" i="30"/>
  <c r="D66" i="30"/>
  <c r="D80" i="30"/>
  <c r="D62" i="30"/>
  <c r="D46" i="30"/>
  <c r="D83" i="30"/>
  <c r="D33" i="30"/>
  <c r="D49" i="30"/>
  <c r="D13" i="30"/>
  <c r="D16" i="30"/>
  <c r="D51" i="30"/>
  <c r="D37" i="30"/>
  <c r="D84" i="30"/>
  <c r="D30" i="30"/>
  <c r="D38" i="30"/>
  <c r="D221" i="31"/>
  <c r="D407" i="8"/>
  <c r="D158" i="21"/>
  <c r="E408" i="8" l="1"/>
  <c r="E159" i="21"/>
  <c r="E648" i="19"/>
  <c r="E682" i="19" s="1"/>
  <c r="E28" i="30"/>
  <c r="E31" i="30"/>
  <c r="E55" i="30"/>
  <c r="E72" i="30"/>
  <c r="E65" i="30"/>
  <c r="E73" i="30"/>
  <c r="E34" i="30"/>
  <c r="E54" i="30"/>
  <c r="E49" i="30"/>
  <c r="E62" i="30"/>
  <c r="E41" i="30"/>
  <c r="E94" i="30"/>
  <c r="E44" i="30"/>
  <c r="E63" i="30"/>
  <c r="E47" i="30"/>
  <c r="E404" i="8"/>
  <c r="E56" i="30"/>
  <c r="E67" i="30"/>
  <c r="E77" i="30"/>
  <c r="E89" i="30"/>
  <c r="E92" i="30"/>
  <c r="E95" i="30"/>
  <c r="E22" i="30"/>
  <c r="E27" i="30"/>
  <c r="E80" i="30"/>
  <c r="E32" i="30"/>
  <c r="E30" i="30"/>
  <c r="E12" i="30"/>
  <c r="E155" i="21"/>
  <c r="E51" i="30"/>
  <c r="E23" i="30"/>
  <c r="E221" i="31"/>
  <c r="E70" i="30"/>
  <c r="E13" i="30"/>
  <c r="E71" i="30"/>
  <c r="E39" i="30"/>
  <c r="E74" i="30"/>
  <c r="E24" i="30"/>
  <c r="E52" i="30"/>
  <c r="E83" i="30"/>
  <c r="E43" i="30"/>
  <c r="E29" i="30"/>
  <c r="E18" i="30"/>
  <c r="E33" i="30"/>
  <c r="E85" i="30"/>
  <c r="E88" i="30"/>
  <c r="E14" i="30"/>
  <c r="E50" i="30"/>
  <c r="E11" i="30"/>
  <c r="E26" i="30"/>
  <c r="E48" i="30"/>
  <c r="E59" i="30"/>
  <c r="E57" i="30"/>
  <c r="E68" i="30"/>
  <c r="E60" i="30"/>
  <c r="E81" i="30"/>
  <c r="E37" i="30"/>
  <c r="E61" i="30"/>
  <c r="E53" i="30"/>
  <c r="E91" i="30"/>
  <c r="E19" i="30"/>
  <c r="E15" i="30"/>
  <c r="E79" i="30"/>
  <c r="E35" i="30"/>
  <c r="E58" i="30"/>
  <c r="E42" i="30"/>
  <c r="E90" i="30"/>
  <c r="E84" i="30"/>
  <c r="E82" i="30"/>
  <c r="E20" i="30"/>
  <c r="E38" i="30"/>
  <c r="E93" i="30"/>
  <c r="E21" i="30"/>
  <c r="E17" i="30"/>
  <c r="E16" i="30"/>
  <c r="E86" i="30"/>
  <c r="E40" i="30"/>
  <c r="E66" i="30"/>
  <c r="E25" i="31"/>
  <c r="E64" i="30"/>
  <c r="E69" i="30"/>
  <c r="E75" i="30"/>
  <c r="E25" i="30"/>
  <c r="E36" i="30"/>
  <c r="E87" i="30"/>
  <c r="E46" i="30"/>
  <c r="E76" i="30"/>
  <c r="E45" i="30"/>
  <c r="E78" i="30"/>
  <c r="E158" i="21"/>
  <c r="E407" i="8"/>
  <c r="D21" i="29"/>
  <c r="D104" i="31" s="1"/>
  <c r="D120" i="31" s="1"/>
  <c r="D19" i="29"/>
  <c r="D20" i="29"/>
  <c r="D22" i="29"/>
  <c r="D23" i="29"/>
  <c r="D107" i="31"/>
  <c r="D24" i="14"/>
  <c r="D12" i="19" s="1"/>
  <c r="D204" i="19" s="1"/>
  <c r="D23" i="14"/>
  <c r="D84" i="14"/>
  <c r="D72" i="19" s="1"/>
  <c r="D264" i="19" s="1"/>
  <c r="D37" i="14"/>
  <c r="D25" i="19" s="1"/>
  <c r="D217" i="19" s="1"/>
  <c r="D94" i="14"/>
  <c r="D82" i="19" s="1"/>
  <c r="D274" i="19" s="1"/>
  <c r="D72" i="14"/>
  <c r="D60" i="19" s="1"/>
  <c r="D252" i="19" s="1"/>
  <c r="D99" i="14"/>
  <c r="D87" i="19" s="1"/>
  <c r="D279" i="19" s="1"/>
  <c r="D55" i="14"/>
  <c r="D43" i="19" s="1"/>
  <c r="D235" i="19" s="1"/>
  <c r="D104" i="14"/>
  <c r="D92" i="19" s="1"/>
  <c r="D284" i="19" s="1"/>
  <c r="D34" i="14"/>
  <c r="D22" i="19" s="1"/>
  <c r="D214" i="19" s="1"/>
  <c r="D101" i="14"/>
  <c r="D89" i="19" s="1"/>
  <c r="D281" i="19" s="1"/>
  <c r="D89" i="14"/>
  <c r="D77" i="19" s="1"/>
  <c r="D269" i="19" s="1"/>
  <c r="D58" i="14"/>
  <c r="D46" i="19" s="1"/>
  <c r="D61" i="14"/>
  <c r="D49" i="19" s="1"/>
  <c r="D241" i="19" s="1"/>
  <c r="D79" i="14"/>
  <c r="D67" i="19" s="1"/>
  <c r="D259" i="19" s="1"/>
  <c r="D95" i="14"/>
  <c r="D83" i="19" s="1"/>
  <c r="D275" i="19" s="1"/>
  <c r="D28" i="14"/>
  <c r="D16" i="19" s="1"/>
  <c r="D208" i="19" s="1"/>
  <c r="D87" i="14"/>
  <c r="D75" i="19" s="1"/>
  <c r="D267" i="19" s="1"/>
  <c r="D40" i="14"/>
  <c r="D28" i="19" s="1"/>
  <c r="D220" i="19" s="1"/>
  <c r="D51" i="14"/>
  <c r="D39" i="19" s="1"/>
  <c r="D231" i="19" s="1"/>
  <c r="D59" i="14"/>
  <c r="D47" i="19" s="1"/>
  <c r="D239" i="19" s="1"/>
  <c r="D44" i="14"/>
  <c r="D32" i="19" s="1"/>
  <c r="D224" i="19" s="1"/>
  <c r="D46" i="14"/>
  <c r="D34" i="19" s="1"/>
  <c r="D226" i="19" s="1"/>
  <c r="D107" i="14"/>
  <c r="D95" i="19" s="1"/>
  <c r="D287" i="19" s="1"/>
  <c r="D67" i="14"/>
  <c r="D55" i="19" s="1"/>
  <c r="D247" i="19" s="1"/>
  <c r="D93" i="14"/>
  <c r="D81" i="19" s="1"/>
  <c r="D273" i="19" s="1"/>
  <c r="D103" i="14"/>
  <c r="D91" i="19" s="1"/>
  <c r="D283" i="19" s="1"/>
  <c r="D42" i="14"/>
  <c r="D30" i="19" s="1"/>
  <c r="D222" i="19" s="1"/>
  <c r="D29" i="14"/>
  <c r="D17" i="19" s="1"/>
  <c r="D209" i="19" s="1"/>
  <c r="D35" i="14"/>
  <c r="D23" i="19" s="1"/>
  <c r="D215" i="19" s="1"/>
  <c r="D74" i="14"/>
  <c r="D62" i="19" s="1"/>
  <c r="D254" i="19" s="1"/>
  <c r="D88" i="14"/>
  <c r="D76" i="19" s="1"/>
  <c r="D268" i="19" s="1"/>
  <c r="D86" i="14"/>
  <c r="D74" i="19" s="1"/>
  <c r="D266" i="19" s="1"/>
  <c r="D64" i="14"/>
  <c r="D52" i="19" s="1"/>
  <c r="D244" i="19" s="1"/>
  <c r="D60" i="14"/>
  <c r="D48" i="19" s="1"/>
  <c r="D240" i="19" s="1"/>
  <c r="D70" i="14"/>
  <c r="D58" i="19" s="1"/>
  <c r="D250" i="19" s="1"/>
  <c r="D30" i="14"/>
  <c r="D18" i="19" s="1"/>
  <c r="D210" i="19" s="1"/>
  <c r="D45" i="14"/>
  <c r="D33" i="19" s="1"/>
  <c r="D225" i="19" s="1"/>
  <c r="D98" i="14"/>
  <c r="D86" i="19" s="1"/>
  <c r="D278" i="19" s="1"/>
  <c r="D63" i="14"/>
  <c r="D51" i="19" s="1"/>
  <c r="D243" i="19" s="1"/>
  <c r="D71" i="14"/>
  <c r="D59" i="19" s="1"/>
  <c r="D251" i="19" s="1"/>
  <c r="D97" i="14"/>
  <c r="D85" i="19" s="1"/>
  <c r="D277" i="19" s="1"/>
  <c r="D105" i="14"/>
  <c r="D93" i="19" s="1"/>
  <c r="D285" i="19" s="1"/>
  <c r="D56" i="14"/>
  <c r="D44" i="19" s="1"/>
  <c r="D78" i="14"/>
  <c r="D66" i="19" s="1"/>
  <c r="D258" i="19" s="1"/>
  <c r="D90" i="14"/>
  <c r="D78" i="19" s="1"/>
  <c r="D270" i="19" s="1"/>
  <c r="D39" i="14"/>
  <c r="D27" i="19" s="1"/>
  <c r="D219" i="19" s="1"/>
  <c r="D48" i="14"/>
  <c r="D36" i="19" s="1"/>
  <c r="D228" i="19" s="1"/>
  <c r="D25" i="14"/>
  <c r="D13" i="19" s="1"/>
  <c r="D205" i="19" s="1"/>
  <c r="D69" i="14"/>
  <c r="D57" i="19" s="1"/>
  <c r="D249" i="19" s="1"/>
  <c r="D57" i="14"/>
  <c r="D45" i="19" s="1"/>
  <c r="D237" i="19" s="1"/>
  <c r="D73" i="14"/>
  <c r="D61" i="19" s="1"/>
  <c r="D253" i="19" s="1"/>
  <c r="D106" i="14"/>
  <c r="D94" i="19" s="1"/>
  <c r="D286" i="19" s="1"/>
  <c r="D41" i="14"/>
  <c r="D29" i="19" s="1"/>
  <c r="D102" i="14"/>
  <c r="D90" i="19" s="1"/>
  <c r="D282" i="19" s="1"/>
  <c r="D50" i="14"/>
  <c r="D38" i="19" s="1"/>
  <c r="D230" i="19" s="1"/>
  <c r="D36" i="14"/>
  <c r="D24" i="19" s="1"/>
  <c r="D216" i="19" s="1"/>
  <c r="D75" i="14"/>
  <c r="D63" i="19" s="1"/>
  <c r="D255" i="19" s="1"/>
  <c r="D33" i="14"/>
  <c r="D21" i="19" s="1"/>
  <c r="D47" i="14"/>
  <c r="D35" i="19" s="1"/>
  <c r="D77" i="14"/>
  <c r="D65" i="19" s="1"/>
  <c r="D257" i="19" s="1"/>
  <c r="D52" i="14"/>
  <c r="D40" i="19" s="1"/>
  <c r="D76" i="14"/>
  <c r="D64" i="19" s="1"/>
  <c r="D256" i="19" s="1"/>
  <c r="D43" i="14"/>
  <c r="D31" i="19" s="1"/>
  <c r="D223" i="19" s="1"/>
  <c r="D100" i="14"/>
  <c r="D88" i="19" s="1"/>
  <c r="D280" i="19" s="1"/>
  <c r="D68" i="14"/>
  <c r="D56" i="19" s="1"/>
  <c r="D248" i="19" s="1"/>
  <c r="D81" i="14"/>
  <c r="D69" i="19" s="1"/>
  <c r="D261" i="19" s="1"/>
  <c r="D85" i="14"/>
  <c r="D73" i="19" s="1"/>
  <c r="D265" i="19" s="1"/>
  <c r="D26" i="14"/>
  <c r="D14" i="19" s="1"/>
  <c r="D206" i="19" s="1"/>
  <c r="D32" i="14"/>
  <c r="D20" i="19" s="1"/>
  <c r="D212" i="19" s="1"/>
  <c r="D54" i="14"/>
  <c r="D42" i="19" s="1"/>
  <c r="D234" i="19" s="1"/>
  <c r="D53" i="14"/>
  <c r="D41" i="19" s="1"/>
  <c r="D233" i="19" s="1"/>
  <c r="D31" i="14"/>
  <c r="D19" i="19" s="1"/>
  <c r="D211" i="19" s="1"/>
  <c r="D62" i="14"/>
  <c r="D50" i="19" s="1"/>
  <c r="D242" i="19" s="1"/>
  <c r="D49" i="14"/>
  <c r="D37" i="19" s="1"/>
  <c r="D65" i="14"/>
  <c r="D53" i="19" s="1"/>
  <c r="D245" i="19" s="1"/>
  <c r="D80" i="14"/>
  <c r="D68" i="19" s="1"/>
  <c r="D260" i="19" s="1"/>
  <c r="D82" i="14"/>
  <c r="D70" i="19" s="1"/>
  <c r="D262" i="19" s="1"/>
  <c r="D91" i="14"/>
  <c r="D79" i="19" s="1"/>
  <c r="D271" i="19" s="1"/>
  <c r="D83" i="14"/>
  <c r="D71" i="19" s="1"/>
  <c r="D263" i="19" s="1"/>
  <c r="D27" i="14"/>
  <c r="D15" i="19" s="1"/>
  <c r="D207" i="19" s="1"/>
  <c r="D92" i="14"/>
  <c r="D80" i="19" s="1"/>
  <c r="D272" i="19" s="1"/>
  <c r="D96" i="14"/>
  <c r="D84" i="19" s="1"/>
  <c r="D276" i="19" s="1"/>
  <c r="D66" i="14"/>
  <c r="D54" i="19" s="1"/>
  <c r="D246" i="19" s="1"/>
  <c r="D38" i="14"/>
  <c r="D26" i="19" s="1"/>
  <c r="D218" i="19" s="1"/>
  <c r="D27" i="31"/>
  <c r="D89" i="31"/>
  <c r="D90" i="31" s="1"/>
  <c r="D526" i="19" l="1"/>
  <c r="D238" i="19"/>
  <c r="D524" i="19"/>
  <c r="D236" i="19"/>
  <c r="E23" i="29"/>
  <c r="E107" i="31"/>
  <c r="E21" i="29"/>
  <c r="E104" i="31" s="1"/>
  <c r="E120" i="31" s="1"/>
  <c r="E19" i="29"/>
  <c r="E22" i="29"/>
  <c r="E20" i="29"/>
  <c r="D229" i="19"/>
  <c r="D517" i="19"/>
  <c r="D501" i="19"/>
  <c r="D213" i="19"/>
  <c r="E85" i="14"/>
  <c r="E73" i="19" s="1"/>
  <c r="E265" i="19" s="1"/>
  <c r="E90" i="14"/>
  <c r="E78" i="19" s="1"/>
  <c r="E270" i="19" s="1"/>
  <c r="E92" i="14"/>
  <c r="E80" i="19" s="1"/>
  <c r="E272" i="19" s="1"/>
  <c r="E89" i="14"/>
  <c r="E77" i="19" s="1"/>
  <c r="E269" i="19" s="1"/>
  <c r="E88" i="14"/>
  <c r="E76" i="19" s="1"/>
  <c r="E268" i="19" s="1"/>
  <c r="E32" i="14"/>
  <c r="E20" i="19" s="1"/>
  <c r="E212" i="19" s="1"/>
  <c r="E35" i="14"/>
  <c r="E23" i="19" s="1"/>
  <c r="E215" i="19" s="1"/>
  <c r="E33" i="14"/>
  <c r="E21" i="19" s="1"/>
  <c r="E98" i="14"/>
  <c r="E86" i="19" s="1"/>
  <c r="E278" i="19" s="1"/>
  <c r="E75" i="14"/>
  <c r="E63" i="19" s="1"/>
  <c r="E255" i="19" s="1"/>
  <c r="E27" i="14"/>
  <c r="E15" i="19" s="1"/>
  <c r="E207" i="19" s="1"/>
  <c r="E99" i="14"/>
  <c r="E87" i="19" s="1"/>
  <c r="E279" i="19" s="1"/>
  <c r="E77" i="14"/>
  <c r="E65" i="19" s="1"/>
  <c r="E257" i="19" s="1"/>
  <c r="E28" i="14"/>
  <c r="E16" i="19" s="1"/>
  <c r="E208" i="19" s="1"/>
  <c r="E101" i="14"/>
  <c r="E89" i="19" s="1"/>
  <c r="E281" i="19" s="1"/>
  <c r="E83" i="14"/>
  <c r="E71" i="19" s="1"/>
  <c r="E263" i="19" s="1"/>
  <c r="E48" i="14"/>
  <c r="E36" i="19" s="1"/>
  <c r="E228" i="19" s="1"/>
  <c r="E53" i="14"/>
  <c r="E41" i="19" s="1"/>
  <c r="E233" i="19" s="1"/>
  <c r="E50" i="14"/>
  <c r="E38" i="19" s="1"/>
  <c r="E230" i="19" s="1"/>
  <c r="E63" i="14"/>
  <c r="E51" i="19" s="1"/>
  <c r="E243" i="19" s="1"/>
  <c r="E37" i="14"/>
  <c r="E25" i="19" s="1"/>
  <c r="E217" i="19" s="1"/>
  <c r="E84" i="14"/>
  <c r="E72" i="19" s="1"/>
  <c r="E264" i="19" s="1"/>
  <c r="E26" i="14"/>
  <c r="E14" i="19" s="1"/>
  <c r="E206" i="19" s="1"/>
  <c r="E104" i="14"/>
  <c r="E92" i="19" s="1"/>
  <c r="E284" i="19" s="1"/>
  <c r="E45" i="14"/>
  <c r="E33" i="19" s="1"/>
  <c r="E225" i="19" s="1"/>
  <c r="E102" i="14"/>
  <c r="E90" i="19" s="1"/>
  <c r="E282" i="19" s="1"/>
  <c r="E95" i="14"/>
  <c r="E83" i="19" s="1"/>
  <c r="E275" i="19" s="1"/>
  <c r="E80" i="14"/>
  <c r="E68" i="19" s="1"/>
  <c r="E260" i="19" s="1"/>
  <c r="E54" i="14"/>
  <c r="E42" i="19" s="1"/>
  <c r="E234" i="19" s="1"/>
  <c r="E42" i="14"/>
  <c r="E30" i="19" s="1"/>
  <c r="E222" i="19" s="1"/>
  <c r="E39" i="14"/>
  <c r="E27" i="19" s="1"/>
  <c r="E219" i="19" s="1"/>
  <c r="E105" i="14"/>
  <c r="E93" i="19" s="1"/>
  <c r="E285" i="19" s="1"/>
  <c r="E103" i="14"/>
  <c r="E91" i="19" s="1"/>
  <c r="E283" i="19" s="1"/>
  <c r="E68" i="14"/>
  <c r="E56" i="19" s="1"/>
  <c r="E248" i="19" s="1"/>
  <c r="E70" i="14"/>
  <c r="E58" i="19" s="1"/>
  <c r="E250" i="19" s="1"/>
  <c r="E64" i="14"/>
  <c r="E52" i="19" s="1"/>
  <c r="E244" i="19" s="1"/>
  <c r="E100" i="14"/>
  <c r="E88" i="19" s="1"/>
  <c r="E280" i="19" s="1"/>
  <c r="E71" i="14"/>
  <c r="E59" i="19" s="1"/>
  <c r="E251" i="19" s="1"/>
  <c r="E59" i="14"/>
  <c r="E47" i="19" s="1"/>
  <c r="E239" i="19" s="1"/>
  <c r="E52" i="14"/>
  <c r="E40" i="19" s="1"/>
  <c r="E72" i="14"/>
  <c r="E60" i="19" s="1"/>
  <c r="E252" i="19" s="1"/>
  <c r="E46" i="14"/>
  <c r="E34" i="19" s="1"/>
  <c r="E226" i="19" s="1"/>
  <c r="E44" i="14"/>
  <c r="E32" i="19" s="1"/>
  <c r="E224" i="19" s="1"/>
  <c r="E97" i="14"/>
  <c r="E85" i="19" s="1"/>
  <c r="E277" i="19" s="1"/>
  <c r="E66" i="14"/>
  <c r="E54" i="19" s="1"/>
  <c r="E246" i="19" s="1"/>
  <c r="E76" i="14"/>
  <c r="E64" i="19" s="1"/>
  <c r="E256" i="19" s="1"/>
  <c r="E49" i="14"/>
  <c r="E37" i="19" s="1"/>
  <c r="E74" i="14"/>
  <c r="E62" i="19" s="1"/>
  <c r="E254" i="19" s="1"/>
  <c r="E55" i="14"/>
  <c r="E43" i="19" s="1"/>
  <c r="E235" i="19" s="1"/>
  <c r="E56" i="14"/>
  <c r="E44" i="19" s="1"/>
  <c r="E106" i="14"/>
  <c r="E94" i="19" s="1"/>
  <c r="E286" i="19" s="1"/>
  <c r="E61" i="14"/>
  <c r="E49" i="19" s="1"/>
  <c r="E241" i="19" s="1"/>
  <c r="E79" i="14"/>
  <c r="E67" i="19" s="1"/>
  <c r="E259" i="19" s="1"/>
  <c r="E25" i="14"/>
  <c r="E13" i="19" s="1"/>
  <c r="E205" i="19" s="1"/>
  <c r="E47" i="14"/>
  <c r="E35" i="19" s="1"/>
  <c r="E23" i="14"/>
  <c r="E86" i="14"/>
  <c r="E74" i="19" s="1"/>
  <c r="E266" i="19" s="1"/>
  <c r="E96" i="14"/>
  <c r="E84" i="19" s="1"/>
  <c r="E276" i="19" s="1"/>
  <c r="E24" i="14"/>
  <c r="E12" i="19" s="1"/>
  <c r="E204" i="19" s="1"/>
  <c r="E107" i="14"/>
  <c r="E95" i="19" s="1"/>
  <c r="E287" i="19" s="1"/>
  <c r="E65" i="14"/>
  <c r="E53" i="19" s="1"/>
  <c r="E245" i="19" s="1"/>
  <c r="E31" i="14"/>
  <c r="E19" i="19" s="1"/>
  <c r="E211" i="19" s="1"/>
  <c r="E36" i="14"/>
  <c r="E24" i="19" s="1"/>
  <c r="E216" i="19" s="1"/>
  <c r="E67" i="14"/>
  <c r="E55" i="19" s="1"/>
  <c r="E247" i="19" s="1"/>
  <c r="E57" i="14"/>
  <c r="E45" i="19" s="1"/>
  <c r="E237" i="19" s="1"/>
  <c r="E73" i="14"/>
  <c r="E61" i="19" s="1"/>
  <c r="E253" i="19" s="1"/>
  <c r="E58" i="14"/>
  <c r="E46" i="19" s="1"/>
  <c r="E91" i="14"/>
  <c r="E79" i="19" s="1"/>
  <c r="E271" i="19" s="1"/>
  <c r="E30" i="14"/>
  <c r="E18" i="19" s="1"/>
  <c r="E210" i="19" s="1"/>
  <c r="E41" i="14"/>
  <c r="E29" i="19" s="1"/>
  <c r="E82" i="14"/>
  <c r="E70" i="19" s="1"/>
  <c r="E262" i="19" s="1"/>
  <c r="E38" i="14"/>
  <c r="E26" i="19" s="1"/>
  <c r="E218" i="19" s="1"/>
  <c r="E43" i="14"/>
  <c r="E31" i="19" s="1"/>
  <c r="E223" i="19" s="1"/>
  <c r="E60" i="14"/>
  <c r="E48" i="19" s="1"/>
  <c r="E240" i="19" s="1"/>
  <c r="E69" i="14"/>
  <c r="E57" i="19" s="1"/>
  <c r="E249" i="19" s="1"/>
  <c r="E40" i="14"/>
  <c r="E28" i="19" s="1"/>
  <c r="E220" i="19" s="1"/>
  <c r="E62" i="14"/>
  <c r="E50" i="19" s="1"/>
  <c r="E242" i="19" s="1"/>
  <c r="E29" i="14"/>
  <c r="E17" i="19" s="1"/>
  <c r="E209" i="19" s="1"/>
  <c r="E51" i="14"/>
  <c r="E39" i="19" s="1"/>
  <c r="E231" i="19" s="1"/>
  <c r="E78" i="14"/>
  <c r="E66" i="19" s="1"/>
  <c r="E258" i="19" s="1"/>
  <c r="E94" i="14"/>
  <c r="E82" i="19" s="1"/>
  <c r="E274" i="19" s="1"/>
  <c r="E81" i="14"/>
  <c r="E69" i="19" s="1"/>
  <c r="E261" i="19" s="1"/>
  <c r="E87" i="14"/>
  <c r="E75" i="19" s="1"/>
  <c r="E267" i="19" s="1"/>
  <c r="E34" i="14"/>
  <c r="E22" i="19" s="1"/>
  <c r="E214" i="19" s="1"/>
  <c r="E93" i="14"/>
  <c r="E81" i="19" s="1"/>
  <c r="E273" i="19" s="1"/>
  <c r="D227" i="19"/>
  <c r="D515" i="19"/>
  <c r="D106" i="31"/>
  <c r="D122" i="31" s="1"/>
  <c r="D98" i="31"/>
  <c r="D123" i="31" s="1"/>
  <c r="D96" i="31"/>
  <c r="D121" i="31" s="1"/>
  <c r="D124" i="31" s="1"/>
  <c r="D232" i="19"/>
  <c r="D520" i="19"/>
  <c r="D509" i="19"/>
  <c r="D221" i="19"/>
  <c r="D28" i="31"/>
  <c r="D258" i="21"/>
  <c r="D11" i="19"/>
  <c r="D203" i="19" s="1"/>
  <c r="D222" i="31"/>
  <c r="E27" i="31"/>
  <c r="E89" i="31"/>
  <c r="D402" i="19" l="1"/>
  <c r="D498" i="19" s="1"/>
  <c r="D448" i="19"/>
  <c r="D544" i="19" s="1"/>
  <c r="D434" i="19"/>
  <c r="D530" i="19" s="1"/>
  <c r="D412" i="19"/>
  <c r="D508" i="19" s="1"/>
  <c r="D432" i="19"/>
  <c r="D528" i="19" s="1"/>
  <c r="D425" i="19"/>
  <c r="D521" i="19" s="1"/>
  <c r="D445" i="19"/>
  <c r="D541" i="19" s="1"/>
  <c r="D399" i="19"/>
  <c r="D495" i="19" s="1"/>
  <c r="D436" i="19"/>
  <c r="D532" i="19" s="1"/>
  <c r="D449" i="19"/>
  <c r="D545" i="19" s="1"/>
  <c r="D429" i="19"/>
  <c r="D525" i="19" s="1"/>
  <c r="D467" i="19"/>
  <c r="D563" i="19" s="1"/>
  <c r="D459" i="19"/>
  <c r="D555" i="19" s="1"/>
  <c r="D401" i="19"/>
  <c r="D497" i="19" s="1"/>
  <c r="D441" i="19"/>
  <c r="D537" i="19" s="1"/>
  <c r="D421" i="19"/>
  <c r="D438" i="19"/>
  <c r="D534" i="19" s="1"/>
  <c r="D417" i="19"/>
  <c r="D513" i="19" s="1"/>
  <c r="D454" i="19"/>
  <c r="D550" i="19" s="1"/>
  <c r="E11" i="19"/>
  <c r="E203" i="19" s="1"/>
  <c r="E258" i="21"/>
  <c r="E28" i="31"/>
  <c r="E222" i="31"/>
  <c r="E520" i="19"/>
  <c r="E232" i="19"/>
  <c r="E501" i="19"/>
  <c r="E213" i="19"/>
  <c r="D471" i="19"/>
  <c r="D567" i="19" s="1"/>
  <c r="D418" i="19"/>
  <c r="D514" i="19" s="1"/>
  <c r="D470" i="19"/>
  <c r="D566" i="19" s="1"/>
  <c r="D474" i="19"/>
  <c r="D570" i="19" s="1"/>
  <c r="D453" i="19"/>
  <c r="D549" i="19" s="1"/>
  <c r="D463" i="19"/>
  <c r="D559" i="19" s="1"/>
  <c r="E106" i="31"/>
  <c r="E122" i="31" s="1"/>
  <c r="D409" i="19"/>
  <c r="D505" i="19" s="1"/>
  <c r="D442" i="19"/>
  <c r="D538" i="19" s="1"/>
  <c r="D422" i="19"/>
  <c r="D518" i="19" s="1"/>
  <c r="D396" i="19"/>
  <c r="D492" i="19" s="1"/>
  <c r="D400" i="19"/>
  <c r="D496" i="19" s="1"/>
  <c r="D397" i="19"/>
  <c r="D493" i="19" s="1"/>
  <c r="D414" i="19"/>
  <c r="D510" i="19" s="1"/>
  <c r="D443" i="19"/>
  <c r="D539" i="19" s="1"/>
  <c r="D444" i="19"/>
  <c r="D540" i="19" s="1"/>
  <c r="D413" i="19"/>
  <c r="D479" i="19"/>
  <c r="D575" i="19" s="1"/>
  <c r="D455" i="19"/>
  <c r="D551" i="19" s="1"/>
  <c r="D398" i="19"/>
  <c r="D494" i="19" s="1"/>
  <c r="D391" i="19"/>
  <c r="D46" i="18"/>
  <c r="D394" i="19"/>
  <c r="D490" i="19" s="1"/>
  <c r="D585" i="19" s="1"/>
  <c r="D47" i="18"/>
  <c r="D57" i="31"/>
  <c r="D393" i="19"/>
  <c r="D489" i="19" s="1"/>
  <c r="D584" i="19" s="1"/>
  <c r="D43" i="18"/>
  <c r="D173" i="31"/>
  <c r="D44" i="18"/>
  <c r="D45" i="18"/>
  <c r="D392" i="19"/>
  <c r="D488" i="19" s="1"/>
  <c r="D395" i="19"/>
  <c r="D491" i="19" s="1"/>
  <c r="D406" i="19"/>
  <c r="D502" i="19" s="1"/>
  <c r="D465" i="19"/>
  <c r="D561" i="19" s="1"/>
  <c r="D469" i="19"/>
  <c r="D565" i="19" s="1"/>
  <c r="D440" i="19"/>
  <c r="D536" i="19" s="1"/>
  <c r="D464" i="19"/>
  <c r="D560" i="19" s="1"/>
  <c r="D125" i="31"/>
  <c r="D460" i="19"/>
  <c r="D556" i="19" s="1"/>
  <c r="D419" i="19"/>
  <c r="D476" i="19"/>
  <c r="D572" i="19" s="1"/>
  <c r="D450" i="19"/>
  <c r="D546" i="19" s="1"/>
  <c r="D452" i="19"/>
  <c r="D548" i="19" s="1"/>
  <c r="E238" i="19"/>
  <c r="E526" i="19"/>
  <c r="E227" i="19"/>
  <c r="E515" i="19"/>
  <c r="E229" i="19"/>
  <c r="E517" i="19"/>
  <c r="D473" i="19"/>
  <c r="D569" i="19" s="1"/>
  <c r="D475" i="19"/>
  <c r="D571" i="19" s="1"/>
  <c r="D477" i="19"/>
  <c r="D573" i="19" s="1"/>
  <c r="D456" i="19"/>
  <c r="D552" i="19" s="1"/>
  <c r="D405" i="19"/>
  <c r="D426" i="19"/>
  <c r="D522" i="19" s="1"/>
  <c r="D468" i="19"/>
  <c r="D564" i="19" s="1"/>
  <c r="D461" i="19"/>
  <c r="D557" i="19" s="1"/>
  <c r="D428" i="19"/>
  <c r="D457" i="19"/>
  <c r="D553" i="19" s="1"/>
  <c r="D466" i="19"/>
  <c r="D562" i="19" s="1"/>
  <c r="D439" i="19"/>
  <c r="D535" i="19" s="1"/>
  <c r="D408" i="19"/>
  <c r="D504" i="19" s="1"/>
  <c r="D420" i="19"/>
  <c r="D516" i="19" s="1"/>
  <c r="D403" i="19"/>
  <c r="D499" i="19" s="1"/>
  <c r="D416" i="19"/>
  <c r="D512" i="19" s="1"/>
  <c r="D424" i="19"/>
  <c r="E90" i="31"/>
  <c r="E163" i="31" s="1"/>
  <c r="E98" i="31"/>
  <c r="E123" i="31" s="1"/>
  <c r="E96" i="31"/>
  <c r="E121" i="31" s="1"/>
  <c r="E124" i="31" s="1"/>
  <c r="D261" i="21"/>
  <c r="D264" i="21"/>
  <c r="D263" i="21"/>
  <c r="D259" i="21"/>
  <c r="D260" i="21"/>
  <c r="D262" i="21"/>
  <c r="D433" i="19"/>
  <c r="D529" i="19" s="1"/>
  <c r="D407" i="19"/>
  <c r="D503" i="19" s="1"/>
  <c r="D462" i="19"/>
  <c r="D558" i="19" s="1"/>
  <c r="D447" i="19"/>
  <c r="D543" i="19" s="1"/>
  <c r="D404" i="19"/>
  <c r="D500" i="19" s="1"/>
  <c r="D427" i="19"/>
  <c r="D523" i="19" s="1"/>
  <c r="D435" i="19"/>
  <c r="D531" i="19" s="1"/>
  <c r="D415" i="19"/>
  <c r="D511" i="19" s="1"/>
  <c r="D431" i="19"/>
  <c r="D527" i="19" s="1"/>
  <c r="D478" i="19"/>
  <c r="D574" i="19" s="1"/>
  <c r="D410" i="19"/>
  <c r="D506" i="19" s="1"/>
  <c r="E509" i="19"/>
  <c r="E221" i="19"/>
  <c r="E524" i="19"/>
  <c r="E236" i="19"/>
  <c r="D451" i="19"/>
  <c r="D547" i="19" s="1"/>
  <c r="D446" i="19"/>
  <c r="D542" i="19" s="1"/>
  <c r="D411" i="19"/>
  <c r="D507" i="19" s="1"/>
  <c r="D423" i="19"/>
  <c r="D519" i="19" s="1"/>
  <c r="D437" i="19"/>
  <c r="D533" i="19" s="1"/>
  <c r="D430" i="19"/>
  <c r="D458" i="19"/>
  <c r="D554" i="19" s="1"/>
  <c r="D472" i="19"/>
  <c r="D568" i="19" s="1"/>
  <c r="E440" i="19" l="1"/>
  <c r="E536" i="19" s="1"/>
  <c r="E125" i="31"/>
  <c r="E462" i="19"/>
  <c r="E558" i="19" s="1"/>
  <c r="E428" i="19"/>
  <c r="E425" i="19"/>
  <c r="E521" i="19" s="1"/>
  <c r="E451" i="19"/>
  <c r="E547" i="19" s="1"/>
  <c r="E452" i="19"/>
  <c r="E548" i="19" s="1"/>
  <c r="E464" i="19"/>
  <c r="E560" i="19" s="1"/>
  <c r="E421" i="19"/>
  <c r="D596" i="19"/>
  <c r="D630" i="19" s="1"/>
  <c r="D18" i="21"/>
  <c r="D120" i="21" s="1"/>
  <c r="D17" i="21"/>
  <c r="D119" i="21" s="1"/>
  <c r="D603" i="19"/>
  <c r="D637" i="19" s="1"/>
  <c r="D33" i="21"/>
  <c r="D135" i="21" s="1"/>
  <c r="E409" i="19"/>
  <c r="E505" i="19" s="1"/>
  <c r="E435" i="19"/>
  <c r="E531" i="19" s="1"/>
  <c r="E446" i="19"/>
  <c r="E542" i="19" s="1"/>
  <c r="E264" i="21"/>
  <c r="E261" i="21"/>
  <c r="E263" i="21"/>
  <c r="E259" i="21"/>
  <c r="E260" i="21"/>
  <c r="E262" i="21"/>
  <c r="E429" i="19"/>
  <c r="E525" i="19" s="1"/>
  <c r="E447" i="19"/>
  <c r="E543" i="19" s="1"/>
  <c r="E474" i="19"/>
  <c r="E570" i="19" s="1"/>
  <c r="E418" i="19"/>
  <c r="E514" i="19" s="1"/>
  <c r="E397" i="19"/>
  <c r="E493" i="19" s="1"/>
  <c r="E413" i="19"/>
  <c r="E453" i="19"/>
  <c r="E549" i="19" s="1"/>
  <c r="E472" i="19"/>
  <c r="E568" i="19" s="1"/>
  <c r="E465" i="19"/>
  <c r="E561" i="19" s="1"/>
  <c r="E399" i="19"/>
  <c r="E495" i="19" s="1"/>
  <c r="E467" i="19"/>
  <c r="E563" i="19" s="1"/>
  <c r="E416" i="19"/>
  <c r="E512" i="19" s="1"/>
  <c r="E423" i="19"/>
  <c r="E519" i="19" s="1"/>
  <c r="D56" i="18"/>
  <c r="D68" i="18" s="1"/>
  <c r="D59" i="31"/>
  <c r="D60" i="31" s="1"/>
  <c r="D155" i="31"/>
  <c r="D156" i="31" s="1"/>
  <c r="D228" i="31"/>
  <c r="D487" i="19"/>
  <c r="D583" i="19" s="1"/>
  <c r="E438" i="19"/>
  <c r="E534" i="19" s="1"/>
  <c r="E471" i="19"/>
  <c r="E567" i="19" s="1"/>
  <c r="E479" i="19"/>
  <c r="E575" i="19" s="1"/>
  <c r="E412" i="19"/>
  <c r="E508" i="19" s="1"/>
  <c r="E444" i="19"/>
  <c r="E540" i="19" s="1"/>
  <c r="E432" i="19"/>
  <c r="E528" i="19" s="1"/>
  <c r="E420" i="19"/>
  <c r="E516" i="19" s="1"/>
  <c r="E422" i="19"/>
  <c r="E518" i="19" s="1"/>
  <c r="E396" i="19"/>
  <c r="E492" i="19" s="1"/>
  <c r="D55" i="18"/>
  <c r="D67" i="18" s="1"/>
  <c r="E405" i="19"/>
  <c r="E400" i="19"/>
  <c r="E496" i="19" s="1"/>
  <c r="E414" i="19"/>
  <c r="E510" i="19" s="1"/>
  <c r="E448" i="19"/>
  <c r="E544" i="19" s="1"/>
  <c r="E468" i="19"/>
  <c r="E564" i="19" s="1"/>
  <c r="E460" i="19"/>
  <c r="E556" i="19" s="1"/>
  <c r="E427" i="19"/>
  <c r="E523" i="19" s="1"/>
  <c r="E473" i="19"/>
  <c r="E569" i="19" s="1"/>
  <c r="E411" i="19"/>
  <c r="E507" i="19" s="1"/>
  <c r="E419" i="19"/>
  <c r="E430" i="19"/>
  <c r="E459" i="19"/>
  <c r="E555" i="19" s="1"/>
  <c r="D586" i="19"/>
  <c r="D59" i="18"/>
  <c r="D71" i="18" s="1"/>
  <c r="D82" i="18" s="1"/>
  <c r="E450" i="19"/>
  <c r="E546" i="19" s="1"/>
  <c r="E470" i="19"/>
  <c r="E566" i="19" s="1"/>
  <c r="E458" i="19"/>
  <c r="E554" i="19" s="1"/>
  <c r="E461" i="19"/>
  <c r="E557" i="19" s="1"/>
  <c r="E455" i="19"/>
  <c r="E551" i="19" s="1"/>
  <c r="E477" i="19"/>
  <c r="E573" i="19" s="1"/>
  <c r="E469" i="19"/>
  <c r="E565" i="19" s="1"/>
  <c r="E439" i="19"/>
  <c r="E535" i="19" s="1"/>
  <c r="E406" i="19"/>
  <c r="E502" i="19" s="1"/>
  <c r="E457" i="19"/>
  <c r="E553" i="19" s="1"/>
  <c r="E403" i="19"/>
  <c r="E499" i="19" s="1"/>
  <c r="E437" i="19"/>
  <c r="E533" i="19" s="1"/>
  <c r="E442" i="19"/>
  <c r="E538" i="19" s="1"/>
  <c r="E454" i="19"/>
  <c r="E550" i="19" s="1"/>
  <c r="E402" i="19"/>
  <c r="E498" i="19" s="1"/>
  <c r="E436" i="19"/>
  <c r="E532" i="19" s="1"/>
  <c r="E463" i="19"/>
  <c r="E559" i="19" s="1"/>
  <c r="E449" i="19"/>
  <c r="E545" i="19" s="1"/>
  <c r="E404" i="19"/>
  <c r="E500" i="19" s="1"/>
  <c r="E456" i="19"/>
  <c r="E552" i="19" s="1"/>
  <c r="E443" i="19"/>
  <c r="E539" i="19" s="1"/>
  <c r="E445" i="19"/>
  <c r="E541" i="19" s="1"/>
  <c r="E401" i="19"/>
  <c r="E497" i="19" s="1"/>
  <c r="E426" i="19"/>
  <c r="E522" i="19" s="1"/>
  <c r="E415" i="19"/>
  <c r="E511" i="19" s="1"/>
  <c r="E407" i="19"/>
  <c r="E503" i="19" s="1"/>
  <c r="E398" i="19"/>
  <c r="E494" i="19" s="1"/>
  <c r="E431" i="19"/>
  <c r="E527" i="19" s="1"/>
  <c r="E478" i="19"/>
  <c r="E574" i="19" s="1"/>
  <c r="E408" i="19"/>
  <c r="E504" i="19" s="1"/>
  <c r="E441" i="19"/>
  <c r="E537" i="19" s="1"/>
  <c r="D170" i="31"/>
  <c r="D186" i="31" s="1"/>
  <c r="D57" i="18"/>
  <c r="D595" i="19"/>
  <c r="D629" i="19" s="1"/>
  <c r="D602" i="19"/>
  <c r="D636" i="19" s="1"/>
  <c r="D32" i="21"/>
  <c r="D134" i="21" s="1"/>
  <c r="D12" i="21"/>
  <c r="D114" i="21" s="1"/>
  <c r="D16" i="21"/>
  <c r="D118" i="21" s="1"/>
  <c r="D31" i="21"/>
  <c r="D133" i="21" s="1"/>
  <c r="D14" i="21"/>
  <c r="D116" i="21" s="1"/>
  <c r="D13" i="21"/>
  <c r="D115" i="21" s="1"/>
  <c r="D15" i="21"/>
  <c r="D117" i="21" s="1"/>
  <c r="D58" i="18"/>
  <c r="D70" i="18" s="1"/>
  <c r="D81" i="18" s="1"/>
  <c r="E475" i="19"/>
  <c r="E571" i="19" s="1"/>
  <c r="E466" i="19"/>
  <c r="E562" i="19" s="1"/>
  <c r="E476" i="19"/>
  <c r="E572" i="19" s="1"/>
  <c r="E424" i="19"/>
  <c r="E433" i="19"/>
  <c r="E529" i="19" s="1"/>
  <c r="E57" i="31"/>
  <c r="E391" i="19"/>
  <c r="E173" i="31"/>
  <c r="E394" i="19"/>
  <c r="E490" i="19" s="1"/>
  <c r="E585" i="19" s="1"/>
  <c r="E44" i="18"/>
  <c r="E47" i="18"/>
  <c r="E395" i="19"/>
  <c r="E491" i="19" s="1"/>
  <c r="E393" i="19"/>
  <c r="E489" i="19" s="1"/>
  <c r="E584" i="19" s="1"/>
  <c r="E43" i="18"/>
  <c r="E45" i="18"/>
  <c r="E392" i="19"/>
  <c r="E488" i="19" s="1"/>
  <c r="E46" i="18"/>
  <c r="E410" i="19"/>
  <c r="E506" i="19" s="1"/>
  <c r="E417" i="19"/>
  <c r="E513" i="19" s="1"/>
  <c r="E434" i="19"/>
  <c r="E530" i="19" s="1"/>
  <c r="D79" i="18" l="1"/>
  <c r="D11" i="20" s="1"/>
  <c r="D92" i="20" s="1"/>
  <c r="E56" i="18"/>
  <c r="E68" i="18" s="1"/>
  <c r="E55" i="18"/>
  <c r="E67" i="18" s="1"/>
  <c r="E155" i="31"/>
  <c r="E156" i="31" s="1"/>
  <c r="E59" i="31"/>
  <c r="E60" i="31" s="1"/>
  <c r="D183" i="21"/>
  <c r="D188" i="21"/>
  <c r="E58" i="18"/>
  <c r="E70" i="18" s="1"/>
  <c r="E81" i="18" s="1"/>
  <c r="E595" i="19"/>
  <c r="E629" i="19" s="1"/>
  <c r="E13" i="21"/>
  <c r="E115" i="21" s="1"/>
  <c r="E15" i="21"/>
  <c r="E117" i="21" s="1"/>
  <c r="E14" i="21"/>
  <c r="E116" i="21" s="1"/>
  <c r="E12" i="21"/>
  <c r="E114" i="21" s="1"/>
  <c r="E16" i="21"/>
  <c r="E118" i="21" s="1"/>
  <c r="E32" i="21"/>
  <c r="E134" i="21" s="1"/>
  <c r="E31" i="21"/>
  <c r="E133" i="21" s="1"/>
  <c r="E602" i="19"/>
  <c r="E636" i="19" s="1"/>
  <c r="E18" i="21"/>
  <c r="E120" i="21" s="1"/>
  <c r="E596" i="19"/>
  <c r="E630" i="19" s="1"/>
  <c r="E33" i="21"/>
  <c r="E135" i="21" s="1"/>
  <c r="E603" i="19"/>
  <c r="E637" i="19" s="1"/>
  <c r="E17" i="21"/>
  <c r="E119" i="21" s="1"/>
  <c r="D184" i="21"/>
  <c r="D202" i="21"/>
  <c r="D19" i="20"/>
  <c r="D100" i="20" s="1"/>
  <c r="D93" i="18"/>
  <c r="D127" i="18" s="1"/>
  <c r="D162" i="31"/>
  <c r="D164" i="31"/>
  <c r="D189" i="31" s="1"/>
  <c r="D203" i="21"/>
  <c r="E586" i="19"/>
  <c r="D17" i="20"/>
  <c r="D98" i="20" s="1"/>
  <c r="D92" i="18"/>
  <c r="D126" i="18" s="1"/>
  <c r="D99" i="18"/>
  <c r="D133" i="18" s="1"/>
  <c r="D18" i="20"/>
  <c r="D99" i="20" s="1"/>
  <c r="D26" i="20"/>
  <c r="D107" i="20" s="1"/>
  <c r="D201" i="21"/>
  <c r="D20" i="21"/>
  <c r="D122" i="21" s="1"/>
  <c r="D25" i="21"/>
  <c r="D127" i="21" s="1"/>
  <c r="D597" i="19"/>
  <c r="D631" i="19" s="1"/>
  <c r="D19" i="21"/>
  <c r="D121" i="21" s="1"/>
  <c r="D22" i="21"/>
  <c r="D124" i="21" s="1"/>
  <c r="D23" i="21"/>
  <c r="D125" i="21" s="1"/>
  <c r="D21" i="21"/>
  <c r="D123" i="21" s="1"/>
  <c r="D24" i="21"/>
  <c r="D126" i="21" s="1"/>
  <c r="D30" i="21"/>
  <c r="D132" i="21" s="1"/>
  <c r="D594" i="19"/>
  <c r="D628" i="19" s="1"/>
  <c r="D8" i="21"/>
  <c r="D110" i="21" s="1"/>
  <c r="D7" i="21"/>
  <c r="D109" i="21" s="1"/>
  <c r="D29" i="21"/>
  <c r="D131" i="21" s="1"/>
  <c r="D9" i="21"/>
  <c r="D111" i="21" s="1"/>
  <c r="D11" i="21"/>
  <c r="D113" i="21" s="1"/>
  <c r="D601" i="19"/>
  <c r="D635" i="19" s="1"/>
  <c r="D10" i="21"/>
  <c r="D112" i="21" s="1"/>
  <c r="D182" i="21"/>
  <c r="D69" i="18"/>
  <c r="D80" i="18" s="1"/>
  <c r="D227" i="31"/>
  <c r="E170" i="31"/>
  <c r="E186" i="31" s="1"/>
  <c r="E57" i="18"/>
  <c r="E59" i="18"/>
  <c r="E71" i="18" s="1"/>
  <c r="E82" i="18" s="1"/>
  <c r="E487" i="19"/>
  <c r="E583" i="19" s="1"/>
  <c r="E228" i="31"/>
  <c r="D185" i="21"/>
  <c r="D186" i="21"/>
  <c r="D172" i="31"/>
  <c r="D188" i="31" s="1"/>
  <c r="D230" i="31"/>
  <c r="D246" i="31" s="1"/>
  <c r="D244" i="31"/>
  <c r="D187" i="21"/>
  <c r="D90" i="18" l="1"/>
  <c r="D124" i="18" s="1"/>
  <c r="D8" i="20"/>
  <c r="D89" i="20" s="1"/>
  <c r="D143" i="20" s="1"/>
  <c r="D97" i="18"/>
  <c r="D131" i="18" s="1"/>
  <c r="D23" i="20"/>
  <c r="D104" i="20" s="1"/>
  <c r="D158" i="20" s="1"/>
  <c r="D10" i="20"/>
  <c r="D91" i="20" s="1"/>
  <c r="D145" i="20" s="1"/>
  <c r="D24" i="20"/>
  <c r="D105" i="20" s="1"/>
  <c r="D159" i="20" s="1"/>
  <c r="D9" i="20"/>
  <c r="D90" i="20" s="1"/>
  <c r="D144" i="20" s="1"/>
  <c r="D7" i="20"/>
  <c r="D88" i="20" s="1"/>
  <c r="E79" i="18"/>
  <c r="E24" i="20" s="1"/>
  <c r="E105" i="20" s="1"/>
  <c r="D671" i="19"/>
  <c r="D705" i="19" s="1"/>
  <c r="D663" i="19"/>
  <c r="D697" i="19" s="1"/>
  <c r="D662" i="19"/>
  <c r="D696" i="19" s="1"/>
  <c r="D664" i="19"/>
  <c r="D698" i="19" s="1"/>
  <c r="E227" i="31"/>
  <c r="E69" i="18"/>
  <c r="E80" i="18" s="1"/>
  <c r="D199" i="21"/>
  <c r="D193" i="21"/>
  <c r="E201" i="21"/>
  <c r="E184" i="21"/>
  <c r="E230" i="31"/>
  <c r="E246" i="31" s="1"/>
  <c r="E244" i="31"/>
  <c r="D669" i="19"/>
  <c r="D703" i="19" s="1"/>
  <c r="D177" i="21"/>
  <c r="D192" i="21"/>
  <c r="D190" i="21"/>
  <c r="D161" i="20"/>
  <c r="D152" i="20"/>
  <c r="D191" i="31"/>
  <c r="D154" i="20"/>
  <c r="E202" i="21"/>
  <c r="E185" i="21"/>
  <c r="E164" i="31"/>
  <c r="E189" i="31" s="1"/>
  <c r="E162" i="31"/>
  <c r="E203" i="21"/>
  <c r="E18" i="20"/>
  <c r="E99" i="20" s="1"/>
  <c r="E26" i="20"/>
  <c r="E107" i="20" s="1"/>
  <c r="E99" i="18"/>
  <c r="E133" i="18" s="1"/>
  <c r="E92" i="18"/>
  <c r="E126" i="18" s="1"/>
  <c r="E17" i="20"/>
  <c r="E98" i="20" s="1"/>
  <c r="E11" i="21"/>
  <c r="E113" i="21" s="1"/>
  <c r="E594" i="19"/>
  <c r="E628" i="19" s="1"/>
  <c r="E8" i="21"/>
  <c r="E110" i="21" s="1"/>
  <c r="E30" i="21"/>
  <c r="E132" i="21" s="1"/>
  <c r="E9" i="21"/>
  <c r="E111" i="21" s="1"/>
  <c r="E601" i="19"/>
  <c r="E635" i="19" s="1"/>
  <c r="E7" i="21"/>
  <c r="E109" i="21" s="1"/>
  <c r="E29" i="21"/>
  <c r="E131" i="21" s="1"/>
  <c r="E10" i="21"/>
  <c r="E112" i="21" s="1"/>
  <c r="D229" i="31"/>
  <c r="D245" i="31" s="1"/>
  <c r="D248" i="31" s="1"/>
  <c r="J8" i="31" s="1"/>
  <c r="D243" i="31"/>
  <c r="D247" i="31" s="1"/>
  <c r="J7" i="31" s="1"/>
  <c r="D181" i="21"/>
  <c r="D178" i="21"/>
  <c r="D194" i="21"/>
  <c r="D189" i="21"/>
  <c r="D670" i="19"/>
  <c r="D704" i="19" s="1"/>
  <c r="D153" i="20"/>
  <c r="E20" i="21"/>
  <c r="E122" i="21" s="1"/>
  <c r="E21" i="21"/>
  <c r="E123" i="21" s="1"/>
  <c r="E24" i="21"/>
  <c r="E126" i="21" s="1"/>
  <c r="E23" i="21"/>
  <c r="E125" i="21" s="1"/>
  <c r="E597" i="19"/>
  <c r="E631" i="19" s="1"/>
  <c r="E22" i="21"/>
  <c r="E124" i="21" s="1"/>
  <c r="E25" i="21"/>
  <c r="E127" i="21" s="1"/>
  <c r="E19" i="21"/>
  <c r="E121" i="21" s="1"/>
  <c r="D165" i="31"/>
  <c r="D187" i="31"/>
  <c r="D190" i="31" s="1"/>
  <c r="E187" i="21"/>
  <c r="E188" i="21"/>
  <c r="E186" i="21"/>
  <c r="E183" i="21"/>
  <c r="E172" i="31"/>
  <c r="E188" i="31" s="1"/>
  <c r="D180" i="21"/>
  <c r="D200" i="21"/>
  <c r="D195" i="21"/>
  <c r="E19" i="20"/>
  <c r="E100" i="20" s="1"/>
  <c r="E93" i="18"/>
  <c r="E127" i="18" s="1"/>
  <c r="D15" i="20"/>
  <c r="D96" i="20" s="1"/>
  <c r="D12" i="20"/>
  <c r="D93" i="20" s="1"/>
  <c r="D25" i="20"/>
  <c r="D106" i="20" s="1"/>
  <c r="D98" i="18"/>
  <c r="D132" i="18" s="1"/>
  <c r="D13" i="20"/>
  <c r="D94" i="20" s="1"/>
  <c r="D16" i="20"/>
  <c r="D97" i="20" s="1"/>
  <c r="D14" i="20"/>
  <c r="D95" i="20" s="1"/>
  <c r="D91" i="18"/>
  <c r="D125" i="18" s="1"/>
  <c r="D179" i="21"/>
  <c r="D191" i="21"/>
  <c r="D665" i="19"/>
  <c r="D699" i="19" s="1"/>
  <c r="D146" i="20"/>
  <c r="E182" i="21"/>
  <c r="D142" i="20" l="1"/>
  <c r="E9" i="20"/>
  <c r="E90" i="20" s="1"/>
  <c r="E90" i="18"/>
  <c r="E124" i="18" s="1"/>
  <c r="E97" i="18"/>
  <c r="E131" i="18" s="1"/>
  <c r="E10" i="20"/>
  <c r="E91" i="20" s="1"/>
  <c r="E145" i="20" s="1"/>
  <c r="E23" i="20"/>
  <c r="E104" i="20" s="1"/>
  <c r="E158" i="20" s="1"/>
  <c r="E7" i="20"/>
  <c r="E88" i="20" s="1"/>
  <c r="E142" i="20" s="1"/>
  <c r="E11" i="20"/>
  <c r="E92" i="20" s="1"/>
  <c r="E146" i="20" s="1"/>
  <c r="E8" i="20"/>
  <c r="E89" i="20" s="1"/>
  <c r="E143" i="20" s="1"/>
  <c r="D159" i="18"/>
  <c r="D176" i="18" s="1"/>
  <c r="E191" i="31"/>
  <c r="D706" i="19"/>
  <c r="D707" i="19" s="1"/>
  <c r="E665" i="19"/>
  <c r="E699" i="19" s="1"/>
  <c r="E190" i="21"/>
  <c r="E177" i="21"/>
  <c r="D167" i="18"/>
  <c r="D184" i="18" s="1"/>
  <c r="D149" i="20"/>
  <c r="D160" i="20"/>
  <c r="E154" i="20"/>
  <c r="E189" i="21"/>
  <c r="E193" i="21"/>
  <c r="E669" i="19"/>
  <c r="E703" i="19" s="1"/>
  <c r="E662" i="19"/>
  <c r="E696" i="19" s="1"/>
  <c r="D165" i="18"/>
  <c r="D182" i="18" s="1"/>
  <c r="D161" i="18"/>
  <c r="D178" i="18" s="1"/>
  <c r="E25" i="20"/>
  <c r="E106" i="20" s="1"/>
  <c r="E15" i="20"/>
  <c r="E96" i="20" s="1"/>
  <c r="E16" i="20"/>
  <c r="E97" i="20" s="1"/>
  <c r="E91" i="18"/>
  <c r="E125" i="18" s="1"/>
  <c r="E12" i="20"/>
  <c r="E93" i="20" s="1"/>
  <c r="E14" i="20"/>
  <c r="E95" i="20" s="1"/>
  <c r="E98" i="18"/>
  <c r="E132" i="18" s="1"/>
  <c r="E13" i="20"/>
  <c r="E94" i="20" s="1"/>
  <c r="E178" i="21"/>
  <c r="E664" i="19"/>
  <c r="E698" i="19" s="1"/>
  <c r="D158" i="18"/>
  <c r="D175" i="18" s="1"/>
  <c r="E144" i="20"/>
  <c r="E670" i="19"/>
  <c r="E704" i="19" s="1"/>
  <c r="E671" i="19"/>
  <c r="E705" i="19" s="1"/>
  <c r="E195" i="21"/>
  <c r="E194" i="21"/>
  <c r="E180" i="21"/>
  <c r="E179" i="21"/>
  <c r="E181" i="21"/>
  <c r="E161" i="20"/>
  <c r="D160" i="18"/>
  <c r="D177" i="18" s="1"/>
  <c r="E187" i="31"/>
  <c r="E190" i="31" s="1"/>
  <c r="E165" i="31"/>
  <c r="E229" i="31"/>
  <c r="E245" i="31" s="1"/>
  <c r="E248" i="31" s="1"/>
  <c r="E243" i="31"/>
  <c r="E247" i="31" s="1"/>
  <c r="E159" i="20"/>
  <c r="D166" i="18"/>
  <c r="D183" i="18" s="1"/>
  <c r="E663" i="19"/>
  <c r="E697" i="19" s="1"/>
  <c r="D151" i="20"/>
  <c r="D147" i="20"/>
  <c r="D148" i="20"/>
  <c r="D150" i="20"/>
  <c r="E192" i="21"/>
  <c r="E191" i="21"/>
  <c r="D231" i="31"/>
  <c r="E199" i="21"/>
  <c r="E200" i="21"/>
  <c r="E152" i="20"/>
  <c r="E153" i="20"/>
  <c r="D204" i="21"/>
  <c r="E159" i="18" l="1"/>
  <c r="E176" i="18" s="1"/>
  <c r="D162" i="20"/>
  <c r="D178" i="20" s="1"/>
  <c r="E158" i="18"/>
  <c r="E175" i="18" s="1"/>
  <c r="E160" i="18"/>
  <c r="E177" i="18" s="1"/>
  <c r="E166" i="18"/>
  <c r="E183" i="18" s="1"/>
  <c r="E151" i="20"/>
  <c r="D236" i="21"/>
  <c r="D304" i="21" s="1"/>
  <c r="D220" i="21"/>
  <c r="D237" i="21"/>
  <c r="D305" i="21" s="1"/>
  <c r="D222" i="21"/>
  <c r="H28" i="55" s="1"/>
  <c r="G28" i="51" s="1"/>
  <c r="D217" i="21"/>
  <c r="H23" i="55" s="1"/>
  <c r="G23" i="51" s="1"/>
  <c r="D218" i="21"/>
  <c r="D223" i="21"/>
  <c r="D238" i="21"/>
  <c r="D306" i="21" s="1"/>
  <c r="D221" i="21"/>
  <c r="D219" i="21"/>
  <c r="D234" i="21"/>
  <c r="D302" i="21" s="1"/>
  <c r="D227" i="21"/>
  <c r="D216" i="21"/>
  <c r="D229" i="21"/>
  <c r="D226" i="21"/>
  <c r="D215" i="21"/>
  <c r="D230" i="21"/>
  <c r="D214" i="21"/>
  <c r="D224" i="21"/>
  <c r="H30" i="55" s="1"/>
  <c r="G30" i="51" s="1"/>
  <c r="D235" i="21"/>
  <c r="D303" i="21" s="1"/>
  <c r="D228" i="21"/>
  <c r="D212" i="21"/>
  <c r="H18" i="55" s="1"/>
  <c r="G18" i="51" s="1"/>
  <c r="D225" i="21"/>
  <c r="D213" i="21"/>
  <c r="E148" i="20"/>
  <c r="E167" i="18"/>
  <c r="E184" i="18" s="1"/>
  <c r="E149" i="20"/>
  <c r="E150" i="20"/>
  <c r="E706" i="19"/>
  <c r="E707" i="19" s="1"/>
  <c r="E165" i="18"/>
  <c r="E182" i="18" s="1"/>
  <c r="E231" i="31"/>
  <c r="D185" i="18"/>
  <c r="D186" i="18" s="1"/>
  <c r="E147" i="20"/>
  <c r="E160" i="20"/>
  <c r="E204" i="21"/>
  <c r="E161" i="18"/>
  <c r="E178" i="18" s="1"/>
  <c r="D176" i="20" l="1"/>
  <c r="D186" i="20"/>
  <c r="D213" i="20" s="1"/>
  <c r="D179" i="20"/>
  <c r="D283" i="21"/>
  <c r="H21" i="55"/>
  <c r="G21" i="51" s="1"/>
  <c r="D298" i="21"/>
  <c r="H36" i="55"/>
  <c r="G36" i="51" s="1"/>
  <c r="D289" i="21"/>
  <c r="H27" i="55"/>
  <c r="G27" i="51" s="1"/>
  <c r="D281" i="21"/>
  <c r="H19" i="55"/>
  <c r="G19" i="51" s="1"/>
  <c r="D293" i="21"/>
  <c r="H31" i="55"/>
  <c r="G31" i="51" s="1"/>
  <c r="D294" i="21"/>
  <c r="H32" i="55"/>
  <c r="G32" i="51" s="1"/>
  <c r="D291" i="21"/>
  <c r="H29" i="55"/>
  <c r="G29" i="51" s="1"/>
  <c r="R52" i="55"/>
  <c r="D297" i="21"/>
  <c r="H35" i="55"/>
  <c r="G35" i="51" s="1"/>
  <c r="D286" i="21"/>
  <c r="H24" i="55"/>
  <c r="G24" i="51" s="1"/>
  <c r="D296" i="21"/>
  <c r="H34" i="55"/>
  <c r="G34" i="51" s="1"/>
  <c r="D284" i="21"/>
  <c r="H22" i="55"/>
  <c r="G22" i="51" s="1"/>
  <c r="S57" i="55"/>
  <c r="D295" i="21"/>
  <c r="H33" i="55"/>
  <c r="G33" i="51" s="1"/>
  <c r="S62" i="55"/>
  <c r="D205" i="20"/>
  <c r="H13" i="55"/>
  <c r="G13" i="51" s="1"/>
  <c r="D206" i="20"/>
  <c r="H14" i="55"/>
  <c r="G14" i="51" s="1"/>
  <c r="R64" i="55"/>
  <c r="D203" i="20"/>
  <c r="H11" i="55"/>
  <c r="G11" i="51" s="1"/>
  <c r="D282" i="21"/>
  <c r="H20" i="55"/>
  <c r="G20" i="51" s="1"/>
  <c r="D287" i="21"/>
  <c r="H25" i="55"/>
  <c r="G25" i="51" s="1"/>
  <c r="D288" i="21"/>
  <c r="H26" i="55"/>
  <c r="G26" i="51" s="1"/>
  <c r="D171" i="20"/>
  <c r="D173" i="20"/>
  <c r="D188" i="20"/>
  <c r="D215" i="20" s="1"/>
  <c r="D177" i="20"/>
  <c r="D181" i="20"/>
  <c r="D189" i="20"/>
  <c r="D216" i="20" s="1"/>
  <c r="D180" i="20"/>
  <c r="D174" i="20"/>
  <c r="D175" i="20"/>
  <c r="H10" i="55" s="1"/>
  <c r="G10" i="51" s="1"/>
  <c r="D182" i="20"/>
  <c r="D170" i="20"/>
  <c r="D172" i="20"/>
  <c r="D187" i="20"/>
  <c r="D214" i="20" s="1"/>
  <c r="E162" i="20"/>
  <c r="E189" i="20" s="1"/>
  <c r="E216" i="20" s="1"/>
  <c r="D280" i="21"/>
  <c r="D10" i="38"/>
  <c r="E185" i="18"/>
  <c r="E186" i="18" s="1"/>
  <c r="E236" i="21"/>
  <c r="E304" i="21" s="1"/>
  <c r="E222" i="21"/>
  <c r="I28" i="55" s="1"/>
  <c r="H28" i="51" s="1"/>
  <c r="E221" i="21"/>
  <c r="E217" i="21"/>
  <c r="I23" i="55" s="1"/>
  <c r="H23" i="51" s="1"/>
  <c r="E237" i="21"/>
  <c r="E305" i="21" s="1"/>
  <c r="E219" i="21"/>
  <c r="E223" i="21"/>
  <c r="E218" i="21"/>
  <c r="E220" i="21"/>
  <c r="E238" i="21"/>
  <c r="E306" i="21" s="1"/>
  <c r="E230" i="21"/>
  <c r="E215" i="21"/>
  <c r="E216" i="21"/>
  <c r="E235" i="21"/>
  <c r="E303" i="21" s="1"/>
  <c r="E228" i="21"/>
  <c r="E226" i="21"/>
  <c r="E212" i="21"/>
  <c r="I18" i="55" s="1"/>
  <c r="H18" i="51" s="1"/>
  <c r="E224" i="21"/>
  <c r="I30" i="55" s="1"/>
  <c r="H30" i="51" s="1"/>
  <c r="E213" i="21"/>
  <c r="E227" i="21"/>
  <c r="E225" i="21"/>
  <c r="E229" i="21"/>
  <c r="E214" i="21"/>
  <c r="E234" i="21"/>
  <c r="E302" i="21" s="1"/>
  <c r="D285" i="21"/>
  <c r="D11" i="38"/>
  <c r="D13" i="38"/>
  <c r="D292" i="21"/>
  <c r="D290" i="21"/>
  <c r="D12" i="38"/>
  <c r="D198" i="20" l="1"/>
  <c r="H6" i="55"/>
  <c r="G6" i="51" s="1"/>
  <c r="E288" i="21"/>
  <c r="I26" i="55"/>
  <c r="H26" i="51" s="1"/>
  <c r="D209" i="20"/>
  <c r="H17" i="55"/>
  <c r="G17" i="51" s="1"/>
  <c r="D200" i="20"/>
  <c r="H8" i="55"/>
  <c r="G8" i="51" s="1"/>
  <c r="R45" i="55"/>
  <c r="R53" i="55"/>
  <c r="E294" i="21"/>
  <c r="I32" i="55"/>
  <c r="H32" i="51" s="1"/>
  <c r="R68" i="55"/>
  <c r="D201" i="20"/>
  <c r="H9" i="55"/>
  <c r="G9" i="51" s="1"/>
  <c r="S60" i="55"/>
  <c r="S63" i="55"/>
  <c r="S61" i="55"/>
  <c r="D202" i="20"/>
  <c r="E297" i="21"/>
  <c r="I35" i="55"/>
  <c r="H35" i="51" s="1"/>
  <c r="E287" i="21"/>
  <c r="I25" i="55"/>
  <c r="H25" i="51" s="1"/>
  <c r="D207" i="20"/>
  <c r="H15" i="55"/>
  <c r="G15" i="51" s="1"/>
  <c r="S64" i="55"/>
  <c r="R67" i="55"/>
  <c r="S58" i="55"/>
  <c r="R44" i="55"/>
  <c r="E282" i="21"/>
  <c r="I20" i="55"/>
  <c r="H20" i="51" s="1"/>
  <c r="E296" i="21"/>
  <c r="I34" i="55"/>
  <c r="H34" i="51" s="1"/>
  <c r="E291" i="21"/>
  <c r="I29" i="55"/>
  <c r="H29" i="51" s="1"/>
  <c r="D7" i="38"/>
  <c r="E293" i="21"/>
  <c r="I31" i="55"/>
  <c r="H31" i="51" s="1"/>
  <c r="E284" i="21"/>
  <c r="I22" i="55"/>
  <c r="H22" i="51" s="1"/>
  <c r="S59" i="55"/>
  <c r="R66" i="55"/>
  <c r="R70" i="55"/>
  <c r="E283" i="21"/>
  <c r="I21" i="55"/>
  <c r="H21" i="51" s="1"/>
  <c r="R48" i="55"/>
  <c r="R69" i="55"/>
  <c r="S69" i="55"/>
  <c r="E286" i="21"/>
  <c r="I24" i="55"/>
  <c r="H24" i="51" s="1"/>
  <c r="D208" i="20"/>
  <c r="H16" i="55"/>
  <c r="G16" i="51" s="1"/>
  <c r="E281" i="21"/>
  <c r="I19" i="55"/>
  <c r="H19" i="51" s="1"/>
  <c r="E298" i="21"/>
  <c r="I36" i="55"/>
  <c r="H36" i="51" s="1"/>
  <c r="E289" i="21"/>
  <c r="I27" i="55"/>
  <c r="H27" i="51" s="1"/>
  <c r="D199" i="20"/>
  <c r="H7" i="55"/>
  <c r="G7" i="51" s="1"/>
  <c r="D204" i="20"/>
  <c r="H12" i="55"/>
  <c r="G12" i="51" s="1"/>
  <c r="R54" i="55"/>
  <c r="R65" i="55"/>
  <c r="R55" i="55"/>
  <c r="E295" i="21"/>
  <c r="I33" i="55"/>
  <c r="H33" i="51" s="1"/>
  <c r="D197" i="20"/>
  <c r="H5" i="55"/>
  <c r="G5" i="51" s="1"/>
  <c r="R47" i="55"/>
  <c r="R56" i="55"/>
  <c r="S52" i="55"/>
  <c r="D8" i="38"/>
  <c r="D7" i="31"/>
  <c r="D6" i="38"/>
  <c r="D9" i="38"/>
  <c r="E176" i="20"/>
  <c r="E178" i="20"/>
  <c r="E188" i="20"/>
  <c r="E215" i="20" s="1"/>
  <c r="E174" i="20"/>
  <c r="E186" i="20"/>
  <c r="E213" i="20" s="1"/>
  <c r="E181" i="20"/>
  <c r="E175" i="20"/>
  <c r="E180" i="20"/>
  <c r="E173" i="20"/>
  <c r="E187" i="20"/>
  <c r="E214" i="20" s="1"/>
  <c r="E182" i="20"/>
  <c r="E170" i="20"/>
  <c r="E177" i="20"/>
  <c r="E179" i="20"/>
  <c r="E172" i="20"/>
  <c r="E171" i="20"/>
  <c r="E290" i="21"/>
  <c r="E12" i="38"/>
  <c r="E280" i="21"/>
  <c r="E10" i="38"/>
  <c r="E13" i="38"/>
  <c r="E292" i="21"/>
  <c r="E285" i="21"/>
  <c r="E11" i="38"/>
  <c r="D307" i="21"/>
  <c r="D8" i="31"/>
  <c r="S66" i="55" l="1"/>
  <c r="S56" i="55"/>
  <c r="S54" i="55"/>
  <c r="D217" i="20"/>
  <c r="S65" i="55"/>
  <c r="E197" i="20"/>
  <c r="I5" i="55"/>
  <c r="H5" i="51" s="1"/>
  <c r="E201" i="20"/>
  <c r="I9" i="55"/>
  <c r="H9" i="51" s="1"/>
  <c r="R42" i="55"/>
  <c r="E205" i="20"/>
  <c r="I13" i="55"/>
  <c r="S67" i="55"/>
  <c r="S53" i="55"/>
  <c r="R51" i="55"/>
  <c r="E199" i="20"/>
  <c r="I7" i="55"/>
  <c r="H7" i="51" s="1"/>
  <c r="E7" i="38"/>
  <c r="I10" i="55"/>
  <c r="E209" i="20"/>
  <c r="I17" i="55"/>
  <c r="H17" i="51" s="1"/>
  <c r="E200" i="20"/>
  <c r="I8" i="55"/>
  <c r="H8" i="51" s="1"/>
  <c r="E203" i="20"/>
  <c r="I11" i="55"/>
  <c r="S55" i="55"/>
  <c r="R43" i="55"/>
  <c r="E198" i="20"/>
  <c r="I6" i="55"/>
  <c r="H6" i="51" s="1"/>
  <c r="E207" i="20"/>
  <c r="I15" i="55"/>
  <c r="H15" i="51" s="1"/>
  <c r="R46" i="55"/>
  <c r="S70" i="55"/>
  <c r="S68" i="55"/>
  <c r="E206" i="20"/>
  <c r="I14" i="55"/>
  <c r="E208" i="20"/>
  <c r="I16" i="55"/>
  <c r="H16" i="51" s="1"/>
  <c r="R41" i="55"/>
  <c r="S50" i="55"/>
  <c r="S49" i="55"/>
  <c r="R40" i="55"/>
  <c r="E204" i="20"/>
  <c r="I12" i="55"/>
  <c r="H12" i="51" s="1"/>
  <c r="R39" i="55"/>
  <c r="E9" i="38"/>
  <c r="E8" i="38"/>
  <c r="E6" i="38"/>
  <c r="E202" i="20"/>
  <c r="D11" i="31"/>
  <c r="E7" i="31"/>
  <c r="D9" i="31"/>
  <c r="D218" i="20"/>
  <c r="E8" i="31"/>
  <c r="E307" i="21"/>
  <c r="D10" i="31"/>
  <c r="D308" i="21"/>
  <c r="D67" i="31" l="1"/>
  <c r="J4" i="31"/>
  <c r="J10" i="31" s="1"/>
  <c r="S39" i="55"/>
  <c r="S41" i="55"/>
  <c r="S42" i="55"/>
  <c r="S40" i="55"/>
  <c r="S46" i="55"/>
  <c r="H11" i="51"/>
  <c r="S45" i="55"/>
  <c r="S51" i="55"/>
  <c r="S43" i="55"/>
  <c r="H10" i="51"/>
  <c r="S44" i="55"/>
  <c r="H14" i="51"/>
  <c r="S48" i="55"/>
  <c r="E217" i="20"/>
  <c r="E218" i="20" s="1"/>
  <c r="H13" i="51"/>
  <c r="S47" i="55"/>
  <c r="D199" i="31"/>
  <c r="D35" i="31"/>
  <c r="D133" i="31"/>
  <c r="D256" i="31"/>
  <c r="E10" i="31"/>
  <c r="E308" i="21"/>
  <c r="D12" i="31"/>
  <c r="E11" i="31"/>
  <c r="F10" i="52" l="1"/>
  <c r="F11" i="52" s="1"/>
  <c r="C9" i="54" s="1"/>
  <c r="D9" i="54" s="1"/>
  <c r="J5" i="31"/>
  <c r="J11" i="31" s="1"/>
  <c r="J12" i="31" s="1"/>
  <c r="E9" i="31"/>
  <c r="E12" i="31" s="1"/>
  <c r="E13" i="31" s="1"/>
  <c r="D13" i="31"/>
  <c r="D257" i="31"/>
  <c r="D265" i="31" s="1"/>
  <c r="D134" i="31"/>
  <c r="D142" i="31" s="1"/>
  <c r="D200" i="31"/>
  <c r="D208" i="31" s="1"/>
  <c r="D36" i="31"/>
  <c r="D44" i="31" s="1"/>
  <c r="D68" i="31"/>
  <c r="D76" i="31" s="1"/>
  <c r="E256" i="31"/>
  <c r="E199" i="31"/>
  <c r="E67" i="31"/>
  <c r="E133" i="31"/>
  <c r="E35" i="31"/>
  <c r="E257" i="31" l="1"/>
  <c r="E265" i="31" s="1"/>
  <c r="E36" i="31"/>
  <c r="E44" i="31" s="1"/>
  <c r="E200" i="31"/>
  <c r="E208" i="31" s="1"/>
  <c r="E134" i="31"/>
  <c r="E142" i="31" s="1"/>
  <c r="E68" i="31"/>
  <c r="E76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Horta (ERSE)</author>
  </authors>
  <commentList>
    <comment ref="G2" authorId="0" shapeId="0" xr:uid="{400F7338-4D53-42C3-BD51-792C778D8EC3}">
      <text>
        <r>
          <rPr>
            <b/>
            <sz val="9"/>
            <color indexed="81"/>
            <rFont val="Tahoma"/>
            <family val="2"/>
          </rPr>
          <t>Valores desta coluna colados manulamente do ano anterior.</t>
        </r>
      </text>
    </comment>
  </commentList>
</comments>
</file>

<file path=xl/sharedStrings.xml><?xml version="1.0" encoding="utf-8"?>
<sst xmlns="http://schemas.openxmlformats.org/spreadsheetml/2006/main" count="5135" uniqueCount="805">
  <si>
    <t>CTS Campo Maior</t>
  </si>
  <si>
    <t>Exit point</t>
  </si>
  <si>
    <t>Entry point</t>
  </si>
  <si>
    <t>Effective distance, in km</t>
  </si>
  <si>
    <t>Distance, in km</t>
  </si>
  <si>
    <t>Economic value</t>
  </si>
  <si>
    <t>Product</t>
  </si>
  <si>
    <t>Entry</t>
  </si>
  <si>
    <t>VIP</t>
  </si>
  <si>
    <t>Annual</t>
  </si>
  <si>
    <t>Quarterly</t>
  </si>
  <si>
    <t>Monthly</t>
  </si>
  <si>
    <t>Daily</t>
  </si>
  <si>
    <t>Within-day</t>
  </si>
  <si>
    <t>LNG terminal</t>
  </si>
  <si>
    <t>Underground storage</t>
  </si>
  <si>
    <t>Exit</t>
  </si>
  <si>
    <t>Distribution networks and HP customers</t>
  </si>
  <si>
    <t>Long uses</t>
  </si>
  <si>
    <t>HP customers</t>
  </si>
  <si>
    <t>Annual Flexible Tariff - Annual Base Capacity</t>
  </si>
  <si>
    <t>Annual Flexible Tariff - Additional Monthly Capacity (April to September)</t>
  </si>
  <si>
    <t>Flexible Monthly Tariff - Monthly Capacity (October to March)</t>
  </si>
  <si>
    <t>Flexible Monthly Tariff - Monthly Capacity (April to September)</t>
  </si>
  <si>
    <t>Daily Flexible Tariff - Daily Capacity (October to March)</t>
  </si>
  <si>
    <t>Daily Flexible Tariff - Daily Capacity (April to September)</t>
  </si>
  <si>
    <t>Gas producers</t>
  </si>
  <si>
    <t>Used capacity at injection</t>
  </si>
  <si>
    <t>2024-25</t>
  </si>
  <si>
    <t>2025-26</t>
  </si>
  <si>
    <t>Allowed revenues of the transmission system operator</t>
  </si>
  <si>
    <t>TOTAL</t>
  </si>
  <si>
    <t>2. Demand forecast by entry point</t>
  </si>
  <si>
    <t>3. Demand forecast by exit point</t>
  </si>
  <si>
    <t>2026-27</t>
  </si>
  <si>
    <t>Allowed revenues</t>
  </si>
  <si>
    <t>Entry-exit split</t>
  </si>
  <si>
    <t>Multipliers at entry points</t>
  </si>
  <si>
    <t>Multipliers at exit points</t>
  </si>
  <si>
    <t>Discounts at entry points (interruptible capacity)</t>
  </si>
  <si>
    <t>Discounts at exit points (interruptible capacity)</t>
  </si>
  <si>
    <t>4. Multipliers and discounts</t>
  </si>
  <si>
    <t>5. Parameters for the Reference Price Methodology</t>
  </si>
  <si>
    <t>Economic value factor</t>
  </si>
  <si>
    <t>%</t>
  </si>
  <si>
    <t>Domestic exit points</t>
  </si>
  <si>
    <t>Physical flow factor at entry points</t>
  </si>
  <si>
    <t>Gas routes ending in domestic exit points</t>
  </si>
  <si>
    <t>Other gas routes</t>
  </si>
  <si>
    <t>Physical flow factor at exit points</t>
  </si>
  <si>
    <t>Campo Maior (entry)</t>
  </si>
  <si>
    <t>Valença do Minho (entry)</t>
  </si>
  <si>
    <t>Campo Maior (exit)</t>
  </si>
  <si>
    <t>Valença do Minho (exit)</t>
  </si>
  <si>
    <t>GRMS 01059</t>
  </si>
  <si>
    <t>Setúbal</t>
  </si>
  <si>
    <t>GRMS 01109</t>
  </si>
  <si>
    <t>Seixal</t>
  </si>
  <si>
    <t>GRMS 01119</t>
  </si>
  <si>
    <t>Palmela - BV</t>
  </si>
  <si>
    <t>GRMS 01129</t>
  </si>
  <si>
    <t>GRMS 01139</t>
  </si>
  <si>
    <t>Rio Frio</t>
  </si>
  <si>
    <t>GRMS 01149</t>
  </si>
  <si>
    <t>Alcochete</t>
  </si>
  <si>
    <t>GRMS 01159</t>
  </si>
  <si>
    <t>Barreiro</t>
  </si>
  <si>
    <t>GRMS 01179</t>
  </si>
  <si>
    <t>Benavente - JCT</t>
  </si>
  <si>
    <t>GRMS 01189</t>
  </si>
  <si>
    <t>Castanheira do Ribatejo</t>
  </si>
  <si>
    <t>GRMS 01209</t>
  </si>
  <si>
    <t>Frielas</t>
  </si>
  <si>
    <t>GRMS 01219</t>
  </si>
  <si>
    <t>C.T. Carregado</t>
  </si>
  <si>
    <t>GRMS 01229</t>
  </si>
  <si>
    <t xml:space="preserve"> Loures</t>
  </si>
  <si>
    <t>GRMS 01239</t>
  </si>
  <si>
    <t>Alpriate</t>
  </si>
  <si>
    <t>GRMS 01259</t>
  </si>
  <si>
    <t>Alenquer - ICJCT</t>
  </si>
  <si>
    <t>GRMS 01269</t>
  </si>
  <si>
    <t>GRMS 01279</t>
  </si>
  <si>
    <t>GRMS 01309</t>
  </si>
  <si>
    <t>Cartaxo</t>
  </si>
  <si>
    <t>GRMS 01319</t>
  </si>
  <si>
    <t>Abrigada</t>
  </si>
  <si>
    <t>GRMS 01359</t>
  </si>
  <si>
    <t>Torres Vedras</t>
  </si>
  <si>
    <t>GRMS 01369</t>
  </si>
  <si>
    <t>GRMS 01409</t>
  </si>
  <si>
    <t>Rio Maior</t>
  </si>
  <si>
    <t>GRMS 02069</t>
  </si>
  <si>
    <t>Porto de Mós</t>
  </si>
  <si>
    <t>GRMS 02089</t>
  </si>
  <si>
    <t>Maceira</t>
  </si>
  <si>
    <t>GRMS 02159</t>
  </si>
  <si>
    <t>Leiria</t>
  </si>
  <si>
    <t>GRMS 02509</t>
  </si>
  <si>
    <t>Carriço</t>
  </si>
  <si>
    <t>GRMS 02519</t>
  </si>
  <si>
    <t>Leirosa</t>
  </si>
  <si>
    <t>GRMS 02539</t>
  </si>
  <si>
    <t>GRMS 02549</t>
  </si>
  <si>
    <t>C.C.C. Lares</t>
  </si>
  <si>
    <t>GRMS 02559</t>
  </si>
  <si>
    <t>Pombal - JCT</t>
  </si>
  <si>
    <t>GRMS 02569</t>
  </si>
  <si>
    <t>GRMS 02709</t>
  </si>
  <si>
    <t>Soure</t>
  </si>
  <si>
    <t>GRMS 02719</t>
  </si>
  <si>
    <t>Montemor</t>
  </si>
  <si>
    <t>GRMS 02739</t>
  </si>
  <si>
    <t>Condeixa</t>
  </si>
  <si>
    <t>GRMS 03009</t>
  </si>
  <si>
    <t>Ameal</t>
  </si>
  <si>
    <t>GRMS 03059</t>
  </si>
  <si>
    <t>Coimbra</t>
  </si>
  <si>
    <t>GRMS 03069</t>
  </si>
  <si>
    <t>Souselas</t>
  </si>
  <si>
    <t>GRMS 03109</t>
  </si>
  <si>
    <t>Mealhada</t>
  </si>
  <si>
    <t>GRMS 03169</t>
  </si>
  <si>
    <t>Cantanhede</t>
  </si>
  <si>
    <t>GRMS 03219</t>
  </si>
  <si>
    <t>Oliveira do Bairro</t>
  </si>
  <si>
    <t>GRMS 03229</t>
  </si>
  <si>
    <t>Oiã</t>
  </si>
  <si>
    <t>GRMS 03259</t>
  </si>
  <si>
    <t>Aveiro - GRMS</t>
  </si>
  <si>
    <t>GRMS 03269</t>
  </si>
  <si>
    <t>GRMS 03309</t>
  </si>
  <si>
    <t>Roxico</t>
  </si>
  <si>
    <t>GRMS 03359</t>
  </si>
  <si>
    <t>Estarreja</t>
  </si>
  <si>
    <t>GRMS 03369</t>
  </si>
  <si>
    <t>GRMS 03459</t>
  </si>
  <si>
    <t>Feira - JCT</t>
  </si>
  <si>
    <t>GRMS 03559</t>
  </si>
  <si>
    <t>Fiães</t>
  </si>
  <si>
    <t>GRMS 03609</t>
  </si>
  <si>
    <t>Vila Nova de Gaia</t>
  </si>
  <si>
    <t>GRMS 03619</t>
  </si>
  <si>
    <t>Avintes</t>
  </si>
  <si>
    <t>GRMS 03659</t>
  </si>
  <si>
    <t>C.T. Tapada</t>
  </si>
  <si>
    <t>GRMS 04059</t>
  </si>
  <si>
    <t>Valongo</t>
  </si>
  <si>
    <t>GRMS 04109</t>
  </si>
  <si>
    <t>Maia</t>
  </si>
  <si>
    <t>GRMS 04149</t>
  </si>
  <si>
    <t>Perafita</t>
  </si>
  <si>
    <t>GRMS 04159</t>
  </si>
  <si>
    <t>Santo Tirso</t>
  </si>
  <si>
    <t>GRMS 04209</t>
  </si>
  <si>
    <t>Famalicão</t>
  </si>
  <si>
    <t>GRMS 05009</t>
  </si>
  <si>
    <t>Braga</t>
  </si>
  <si>
    <t>GRMS 05119</t>
  </si>
  <si>
    <t>Barcelos</t>
  </si>
  <si>
    <t>GRMS 05179</t>
  </si>
  <si>
    <t>Viana do Castelo</t>
  </si>
  <si>
    <t>GRMS 05309</t>
  </si>
  <si>
    <t>Ponte de Lima</t>
  </si>
  <si>
    <t>GRMS 05609</t>
  </si>
  <si>
    <t>Vila Nova de Cerveira</t>
  </si>
  <si>
    <t>GRMS 07009</t>
  </si>
  <si>
    <t>Campo Maior</t>
  </si>
  <si>
    <t>GRMS 08009</t>
  </si>
  <si>
    <t>Ponte de Sor</t>
  </si>
  <si>
    <t>GRMS 08109</t>
  </si>
  <si>
    <t>Pego</t>
  </si>
  <si>
    <t>GRMS 08119</t>
  </si>
  <si>
    <t>C.C.C. Pego</t>
  </si>
  <si>
    <t>GRMS 08209</t>
  </si>
  <si>
    <t>Santa Margarida da Coutada</t>
  </si>
  <si>
    <t>GRMS 08309</t>
  </si>
  <si>
    <t>Asseiceira</t>
  </si>
  <si>
    <t>GRMS 08409</t>
  </si>
  <si>
    <t>Sabacheira</t>
  </si>
  <si>
    <t>GRMS 08559</t>
  </si>
  <si>
    <t>Madalena</t>
  </si>
  <si>
    <t>GRMS 10079</t>
  </si>
  <si>
    <t>Portalegre</t>
  </si>
  <si>
    <t>GRMS 10159</t>
  </si>
  <si>
    <t>Vila Velha de Rodão</t>
  </si>
  <si>
    <t>GRMS 10209</t>
  </si>
  <si>
    <t>Castelo Branco</t>
  </si>
  <si>
    <t>GRMS 10309</t>
  </si>
  <si>
    <t>Fundão</t>
  </si>
  <si>
    <t>GRMS 10359</t>
  </si>
  <si>
    <t>Covilhã</t>
  </si>
  <si>
    <t>GRMS 10459</t>
  </si>
  <si>
    <t>Guarda</t>
  </si>
  <si>
    <t>GRMS 11109</t>
  </si>
  <si>
    <t>Mortágua</t>
  </si>
  <si>
    <t>GRMS 11159</t>
  </si>
  <si>
    <t>Santa Comba Dão</t>
  </si>
  <si>
    <t>GRMS 11209</t>
  </si>
  <si>
    <t>Tondela</t>
  </si>
  <si>
    <t>GRMS 11279</t>
  </si>
  <si>
    <t>Viseu</t>
  </si>
  <si>
    <t>GRMS 11309</t>
  </si>
  <si>
    <t>Mangualde</t>
  </si>
  <si>
    <t>GRMS 12209</t>
  </si>
  <si>
    <t>Mitrena</t>
  </si>
  <si>
    <t>GRMS 12609</t>
  </si>
  <si>
    <t>Chaparral</t>
  </si>
  <si>
    <t>GRMS 12619</t>
  </si>
  <si>
    <t>GRMS 12619B</t>
  </si>
  <si>
    <t>Zona Industrial e Logística de Sines (ZILS)</t>
  </si>
  <si>
    <t>GRMS 12629</t>
  </si>
  <si>
    <t>GRMS 12809</t>
  </si>
  <si>
    <t>Sines</t>
  </si>
  <si>
    <t>Type</t>
  </si>
  <si>
    <t>CTS Valença do Minho</t>
  </si>
  <si>
    <t>Interconnection point</t>
  </si>
  <si>
    <t>LNG Terminal Sines</t>
  </si>
  <si>
    <t>Underground storage Carriço</t>
  </si>
  <si>
    <t>Producer</t>
  </si>
  <si>
    <t>Domestic exit</t>
  </si>
  <si>
    <t>1. Forecasted capacity at entry points</t>
  </si>
  <si>
    <t>1. Forecasted capacity at exit points</t>
  </si>
  <si>
    <t>5. Weight of cost at entry points</t>
  </si>
  <si>
    <t>Virtual Interconnection point</t>
  </si>
  <si>
    <t>VIP Iberico</t>
  </si>
  <si>
    <t>5. Weight of cost at exit points</t>
  </si>
  <si>
    <t>HP customers and distribution networks</t>
  </si>
  <si>
    <t>Product of firm capacity</t>
  </si>
  <si>
    <t>Product of interruptible capacity</t>
  </si>
  <si>
    <t>2. Multipliers</t>
  </si>
  <si>
    <t>3. Discounts</t>
  </si>
  <si>
    <t>Without multipliers and without discounts.</t>
  </si>
  <si>
    <t>Includes yearly and short-term products. Includes firm and interruptible capacity. Conversion internalizes multipliers.</t>
  </si>
  <si>
    <t>9. Discounts at entry points by firm/interruptible capacity</t>
  </si>
  <si>
    <t>Includes discounts.</t>
  </si>
  <si>
    <t>Discounts at entry points</t>
  </si>
  <si>
    <t>Discounts at exit points</t>
  </si>
  <si>
    <t>Firm capacity</t>
  </si>
  <si>
    <t>Interruptible capacity</t>
  </si>
  <si>
    <t>Intra-system network use</t>
  </si>
  <si>
    <t>Cross-system network use</t>
  </si>
  <si>
    <t>Network use</t>
  </si>
  <si>
    <t>2.2 Ratio = Revenues ÷ Cost driver</t>
  </si>
  <si>
    <t>2.3 Capacity cost allocation comparison index</t>
  </si>
  <si>
    <t>2. Cost allocation assessment (Capacity): Forecasted capacity as cost driver</t>
  </si>
  <si>
    <t>Capacity cost allocation comparison index</t>
  </si>
  <si>
    <t>A positive result (+) implies that cross-system users are being subsidized.</t>
  </si>
  <si>
    <t>3. Cost allocation assessment (Capacity): Effective capacity as cost driver</t>
  </si>
  <si>
    <t>Measured in equivalent capacity.</t>
  </si>
  <si>
    <t>3.3 Capacity cost allocation comparison index</t>
  </si>
  <si>
    <t>3.2 Ratio = Revenues ÷ Cost driver</t>
  </si>
  <si>
    <t>Ratio between revenues and the cost driver.</t>
  </si>
  <si>
    <t>Cross-system network use = Flow [Entry from LNG terminal] towards [Exit to VIP Iberico]</t>
  </si>
  <si>
    <t>Capacity structure by GRMS</t>
  </si>
  <si>
    <t>6. Demand forecast for RPM</t>
  </si>
  <si>
    <t>LNG Terminal</t>
  </si>
  <si>
    <t>4.2 Ratio = Revenues ÷ Cost driver</t>
  </si>
  <si>
    <t>4.3 Capacity cost allocation comparison index</t>
  </si>
  <si>
    <t>5.2 Ratio = Revenues ÷ Cost driver</t>
  </si>
  <si>
    <t>5.3 Capacity cost allocation comparison index</t>
  </si>
  <si>
    <t>4. Cost allocation assessment (Capacity): Forecasted capacity &amp; Distance as cost driver</t>
  </si>
  <si>
    <t>2. Average weighted distance at entry points</t>
  </si>
  <si>
    <t>Calculation according to CWD (without effective capacity and without effective distance).</t>
  </si>
  <si>
    <t>2. Average weighted distance at exit points</t>
  </si>
  <si>
    <t>Forecasted capacity</t>
  </si>
  <si>
    <t>Average distance</t>
  </si>
  <si>
    <t>5. Cost allocation assessment (Capacity): Effective capacity &amp; Distance as cost driver</t>
  </si>
  <si>
    <t>Effective capacity</t>
  </si>
  <si>
    <t>Includes yearly and short-term products. Includes firm and interruptible capacity. Conversion internalizes multipliers (but not discounts).</t>
  </si>
  <si>
    <t>4.1 Cost drivers: Forecasted capacity &amp; Distance</t>
  </si>
  <si>
    <t>As percentage of aggregate capacity at entry/exit</t>
  </si>
  <si>
    <t>Forecasted capacity (%)</t>
  </si>
  <si>
    <t>E/X split</t>
  </si>
  <si>
    <t>5.1 Cost drivers: Effective capacity &amp; Distance</t>
  </si>
  <si>
    <t>Effective capacity (%)</t>
  </si>
  <si>
    <t>6.2 Ratio = Revenues ÷ Cost driver</t>
  </si>
  <si>
    <t>6.3 Capacity cost allocation comparison index</t>
  </si>
  <si>
    <t>CWD</t>
  </si>
  <si>
    <t>List of RPM</t>
  </si>
  <si>
    <t>Discount mode</t>
  </si>
  <si>
    <t>On</t>
  </si>
  <si>
    <t>Off</t>
  </si>
  <si>
    <t>Default: On</t>
  </si>
  <si>
    <t>Domestic consumption</t>
  </si>
  <si>
    <t>Yes</t>
  </si>
  <si>
    <t>No</t>
  </si>
  <si>
    <t>In order to simulate the Postage Stamp approach, prices are set here equal to 1.</t>
  </si>
  <si>
    <t>Commercial utilization factor at entry points</t>
  </si>
  <si>
    <t>Commercial utilization factor at exit points</t>
  </si>
  <si>
    <t>Commercial utilization factor by default. Physical flow factor in mCWD.</t>
  </si>
  <si>
    <t>Effective capacity by default. Forecasted capacity in CWD.</t>
  </si>
  <si>
    <t>Direction</t>
  </si>
  <si>
    <t>Point</t>
  </si>
  <si>
    <t>Price for a capacity product for firm capacity with a duration of one year</t>
  </si>
  <si>
    <t>mCWD (2019)</t>
  </si>
  <si>
    <t>6.1 Cost drivers: Effective capacity &amp; Distance</t>
  </si>
  <si>
    <t>Weight of cost (%)</t>
  </si>
  <si>
    <t>6. Cost allocation assessment (Capacity): Weight of cost and E/X split as cost driver</t>
  </si>
  <si>
    <t>(in equivalent capacity)</t>
  </si>
  <si>
    <t>Point ID</t>
  </si>
  <si>
    <t>Point designation</t>
  </si>
  <si>
    <t>Designation by TSO</t>
  </si>
  <si>
    <t>Entry point?</t>
  </si>
  <si>
    <t>Exit point?</t>
  </si>
  <si>
    <t>IP Campo Maior</t>
  </si>
  <si>
    <t>IP Valença</t>
  </si>
  <si>
    <t>CTS Valença</t>
  </si>
  <si>
    <t>Terminal de GNL</t>
  </si>
  <si>
    <t>Armazenamento Subterrâneo</t>
  </si>
  <si>
    <t>PP Gas producers</t>
  </si>
  <si>
    <t>GRMS 01059 - Setúbal</t>
  </si>
  <si>
    <t>GRMS 01109 - Seixal</t>
  </si>
  <si>
    <t>GRMS 01119 - Palmela - BV</t>
  </si>
  <si>
    <t>GRMS 01129 - Seixal</t>
  </si>
  <si>
    <t>GRMS 01139 - Rio Frio</t>
  </si>
  <si>
    <t>GRMS 01149 - Alcochete</t>
  </si>
  <si>
    <t>GRMS 01159 - Barreiro</t>
  </si>
  <si>
    <t>GRMS 01179 - Benavente - JCT</t>
  </si>
  <si>
    <t>GRMS 01189 - Castanheira do Ribatejo</t>
  </si>
  <si>
    <t>GRMS 01209 - Frielas</t>
  </si>
  <si>
    <t>GRMS 01219 - C.T. Carregado</t>
  </si>
  <si>
    <t>GRMS 01229 -  Loures</t>
  </si>
  <si>
    <t>GRMS 01239 - Alpriate</t>
  </si>
  <si>
    <t>GRMS 01259 - Alenquer - ICJCT</t>
  </si>
  <si>
    <t>GRMS 01269 - C.T. Carregado</t>
  </si>
  <si>
    <t>GRMS 01279 - Alpriate</t>
  </si>
  <si>
    <t>GRMS 01309 - Cartaxo</t>
  </si>
  <si>
    <t>GRMS 01319 - Abrigada</t>
  </si>
  <si>
    <t>GRMS 01359 - Torres Vedras</t>
  </si>
  <si>
    <t>GRMS 01369 - Torres Vedras</t>
  </si>
  <si>
    <t>GRMS 01409 - Rio Maior</t>
  </si>
  <si>
    <t>GRMS 02069 - Porto de Mós</t>
  </si>
  <si>
    <t>GRMS 02089 - Maceira</t>
  </si>
  <si>
    <t>GRMS 02159 - Leiria</t>
  </si>
  <si>
    <t>GRMS 02509 - Carriço</t>
  </si>
  <si>
    <t>GRMS 02519 - Leirosa</t>
  </si>
  <si>
    <t>GRMS 02539 - Leirosa</t>
  </si>
  <si>
    <t>GRMS 02549 - C.C.C. Lares</t>
  </si>
  <si>
    <t>GRMS 02559 - Pombal - JCT</t>
  </si>
  <si>
    <t>GRMS 02569 - C.C.C. Lares</t>
  </si>
  <si>
    <t>GRMS 02709 - Soure</t>
  </si>
  <si>
    <t>GRMS 02719 - Montemor</t>
  </si>
  <si>
    <t>GRMS 02739 - Condeixa</t>
  </si>
  <si>
    <t>GRMS 03009 - Ameal</t>
  </si>
  <si>
    <t>GRMS 03059 - Coimbra</t>
  </si>
  <si>
    <t>GRMS 03069 - Souselas</t>
  </si>
  <si>
    <t>GRMS 03109 - Mealhada</t>
  </si>
  <si>
    <t>GRMS 03169 - Cantanhede</t>
  </si>
  <si>
    <t>GRMS 03219 - Oliveira do Bairro</t>
  </si>
  <si>
    <t>GRMS 03229 - Oiã</t>
  </si>
  <si>
    <t>GRMS 03259 - Aveiro - GRMS</t>
  </si>
  <si>
    <t>GRMS 03269 - Aveiro - GRMS</t>
  </si>
  <si>
    <t>GRMS 03309 - Roxico</t>
  </si>
  <si>
    <t>GRMS 03359 - Estarreja</t>
  </si>
  <si>
    <t>GRMS 03369 - Estarreja</t>
  </si>
  <si>
    <t>GRMS 03459 - Feira - JCT</t>
  </si>
  <si>
    <t>GRMS 03559 - Fiães</t>
  </si>
  <si>
    <t>GRMS 03609 - Vila Nova de Gaia</t>
  </si>
  <si>
    <t>GRMS 03619 - Avintes</t>
  </si>
  <si>
    <t>GRMS 03659 - C.T. Tapada</t>
  </si>
  <si>
    <t>GRMS 04059 - Valongo</t>
  </si>
  <si>
    <t>GRMS 04109 - Maia</t>
  </si>
  <si>
    <t>GRMS 04149 - Perafita</t>
  </si>
  <si>
    <t>GRMS 04159 - Santo Tirso</t>
  </si>
  <si>
    <t>GRMS 04209 - Famalicão</t>
  </si>
  <si>
    <t>GRMS 05009 - Braga</t>
  </si>
  <si>
    <t>GRMS 05119 - Barcelos</t>
  </si>
  <si>
    <t>GRMS 05179 - Viana do Castelo</t>
  </si>
  <si>
    <t>GRMS 05309 - Ponte de Lima</t>
  </si>
  <si>
    <t>GRMS 05609 - Vila Nova de Cerveira</t>
  </si>
  <si>
    <t>GRMS 07009 - Campo Maior</t>
  </si>
  <si>
    <t>GRMS 08009 - Ponte de Sor</t>
  </si>
  <si>
    <t>GRMS 08109 - Pego</t>
  </si>
  <si>
    <t>GRMS 08119 - C.C.C. Pego</t>
  </si>
  <si>
    <t>GRMS 08209 - Santa Margarida da Coutada</t>
  </si>
  <si>
    <t>GRMS 08309 - Asseiceira</t>
  </si>
  <si>
    <t>GRMS 08409 - Sabacheira</t>
  </si>
  <si>
    <t>GRMS 08559 - Madalena</t>
  </si>
  <si>
    <t>GRMS 10079 - Portalegre</t>
  </si>
  <si>
    <t>GRMS 10159 - Vila Velha de Rodão</t>
  </si>
  <si>
    <t>GRMS 10209 - Castelo Branco</t>
  </si>
  <si>
    <t>GRMS 10309 - Fundão</t>
  </si>
  <si>
    <t>GRMS 10359 - Covilhã</t>
  </si>
  <si>
    <t>GRMS 10459 - Guarda</t>
  </si>
  <si>
    <t>GRMS 11109 - Mortágua</t>
  </si>
  <si>
    <t>GRMS 11159 - Santa Comba Dão</t>
  </si>
  <si>
    <t>GRMS 11209 - Tondela</t>
  </si>
  <si>
    <t>GRMS 11279 - Viseu</t>
  </si>
  <si>
    <t>GRMS 11309 - Mangualde</t>
  </si>
  <si>
    <t>GRMS 12209 - Mitrena</t>
  </si>
  <si>
    <t>GRMS 12609 - Chaparral</t>
  </si>
  <si>
    <t>GRMS 12619 - Chaparral</t>
  </si>
  <si>
    <t>GRMS 12619B - Zona Industrial e Logística de Sines (ZILS)</t>
  </si>
  <si>
    <t>GRMS 12629 - Chaparral</t>
  </si>
  <si>
    <t>GRMS 12809 - Sines</t>
  </si>
  <si>
    <t>NP Abul</t>
  </si>
  <si>
    <t>Abul</t>
  </si>
  <si>
    <t>NP Albergaria-a-Velha</t>
  </si>
  <si>
    <t>Albergaria-a-Velha</t>
  </si>
  <si>
    <t>NP Alcobaça</t>
  </si>
  <si>
    <t>Alcobaça</t>
  </si>
  <si>
    <t>NP Alenquer</t>
  </si>
  <si>
    <t>Alenquer</t>
  </si>
  <si>
    <t>NP Almojanda</t>
  </si>
  <si>
    <t>Almojanda</t>
  </si>
  <si>
    <t>NP Alter-do-Chão</t>
  </si>
  <si>
    <t>Alter-do-Chão</t>
  </si>
  <si>
    <t>NP Alto da Serra</t>
  </si>
  <si>
    <t>Alto da Serra</t>
  </si>
  <si>
    <t>NP Arcozelo</t>
  </si>
  <si>
    <t>Arcozelo</t>
  </si>
  <si>
    <t>NP Areias de Vilar</t>
  </si>
  <si>
    <t>Areias de Vilar</t>
  </si>
  <si>
    <t>NP Arruda</t>
  </si>
  <si>
    <t>Arruda</t>
  </si>
  <si>
    <t>NP Atalaia</t>
  </si>
  <si>
    <t>Atalaia</t>
  </si>
  <si>
    <t>NP Aveiro</t>
  </si>
  <si>
    <t>Aveiro</t>
  </si>
  <si>
    <t>NP Avelãs de Ambom</t>
  </si>
  <si>
    <t>Avelãs de Ambom</t>
  </si>
  <si>
    <t>NP Azambuja</t>
  </si>
  <si>
    <t>Azambuja</t>
  </si>
  <si>
    <t>NP Belmonte</t>
  </si>
  <si>
    <t>Belmonte</t>
  </si>
  <si>
    <t>NP Benavente</t>
  </si>
  <si>
    <t>Benavente</t>
  </si>
  <si>
    <t>NP Bidoeira</t>
  </si>
  <si>
    <t>Bidoeira</t>
  </si>
  <si>
    <t>NP Cachada</t>
  </si>
  <si>
    <t>Cachada</t>
  </si>
  <si>
    <t>NP Carregado</t>
  </si>
  <si>
    <t>Carregado</t>
  </si>
  <si>
    <t>NP Castelo de Vide</t>
  </si>
  <si>
    <t>Castelo de Vide</t>
  </si>
  <si>
    <t>NP Celorico</t>
  </si>
  <si>
    <t>Celorico</t>
  </si>
  <si>
    <t>NP Elvas</t>
  </si>
  <si>
    <t>Elvas</t>
  </si>
  <si>
    <t>NP Feira</t>
  </si>
  <si>
    <t>Feira</t>
  </si>
  <si>
    <t>NP Gaia</t>
  </si>
  <si>
    <t>Gaia</t>
  </si>
  <si>
    <t>NP Gondomar</t>
  </si>
  <si>
    <t>Gondomar</t>
  </si>
  <si>
    <t>NP Grândola</t>
  </si>
  <si>
    <t>Grândola</t>
  </si>
  <si>
    <t>NP Labruja</t>
  </si>
  <si>
    <t>Labruja</t>
  </si>
  <si>
    <t>NP Luso</t>
  </si>
  <si>
    <t>Luso</t>
  </si>
  <si>
    <t>NP Marinha Grande</t>
  </si>
  <si>
    <t>Marinha Grande</t>
  </si>
  <si>
    <t>NP Monforte</t>
  </si>
  <si>
    <t>Monforte</t>
  </si>
  <si>
    <t>NP Mosteiró</t>
  </si>
  <si>
    <t>Mosteiró</t>
  </si>
  <si>
    <t>NP Ortigosa</t>
  </si>
  <si>
    <t>Ortigosa</t>
  </si>
  <si>
    <t>NP Ourém</t>
  </si>
  <si>
    <t>Ourém</t>
  </si>
  <si>
    <t>NP Ovar</t>
  </si>
  <si>
    <t>Ovar</t>
  </si>
  <si>
    <t>NP Palmela</t>
  </si>
  <si>
    <t>Palmela</t>
  </si>
  <si>
    <t>NP Palmela B</t>
  </si>
  <si>
    <t>Palmela B</t>
  </si>
  <si>
    <t>NP Paredes de Coura</t>
  </si>
  <si>
    <t>Paredes de Coura</t>
  </si>
  <si>
    <t>NP Pombal</t>
  </si>
  <si>
    <t>Pombal</t>
  </si>
  <si>
    <t>NP Ponte</t>
  </si>
  <si>
    <t>Ponte</t>
  </si>
  <si>
    <t>NP Porto Coelheiro</t>
  </si>
  <si>
    <t>Porto Coelheiro</t>
  </si>
  <si>
    <t>NP Quereledo</t>
  </si>
  <si>
    <t>Quereledo</t>
  </si>
  <si>
    <t>NP Rêgo de Água</t>
  </si>
  <si>
    <t>Rêgo de Água</t>
  </si>
  <si>
    <t>NP S. Cosme Vale</t>
  </si>
  <si>
    <t>S. Cosme Vale</t>
  </si>
  <si>
    <t>NP S. Julião</t>
  </si>
  <si>
    <t>S. Julião</t>
  </si>
  <si>
    <t>NP Silgueiros</t>
  </si>
  <si>
    <t>Silgueiros</t>
  </si>
  <si>
    <t>NP Sto André</t>
  </si>
  <si>
    <t>Sto André</t>
  </si>
  <si>
    <t>NP V. Soeiro do Chão</t>
  </si>
  <si>
    <t>V. Soeiro do Chão</t>
  </si>
  <si>
    <t>NP Vale Marim</t>
  </si>
  <si>
    <t>Vale Marim</t>
  </si>
  <si>
    <t>pk 0,14 (Valença)</t>
  </si>
  <si>
    <t>0,14 (Valença)</t>
  </si>
  <si>
    <t>pk 0,40 (Campo Maior)</t>
  </si>
  <si>
    <t>0,40 (Campo Maior)</t>
  </si>
  <si>
    <t>pk 1,31 (Sines)</t>
  </si>
  <si>
    <t>1,31 (Sines)</t>
  </si>
  <si>
    <t>pk 2,19 (Sines)</t>
  </si>
  <si>
    <t>2,19 (Sines)</t>
  </si>
  <si>
    <t>DP Air Liquide</t>
  </si>
  <si>
    <t>Air Liquide</t>
  </si>
  <si>
    <t>DP C. Ribatejo</t>
  </si>
  <si>
    <t>C. Ribatejo</t>
  </si>
  <si>
    <t>DP C.T. Carregado</t>
  </si>
  <si>
    <t>DP C.T. Outeiro</t>
  </si>
  <si>
    <t>C.T. Outeiro</t>
  </si>
  <si>
    <t>DP Cogeração Carriço</t>
  </si>
  <si>
    <t>Cogeração Carriço</t>
  </si>
  <si>
    <t>DP 02508 - Cogeração Carriço</t>
  </si>
  <si>
    <t>DP Indorama</t>
  </si>
  <si>
    <t>Indorama</t>
  </si>
  <si>
    <t>DP Navigator Setúbal</t>
  </si>
  <si>
    <t>Navigator Setúbal</t>
  </si>
  <si>
    <t>DP Portucel (Viana)</t>
  </si>
  <si>
    <t>Portucel (Viana)</t>
  </si>
  <si>
    <t>DP 05178 - Portucel (Viana)</t>
  </si>
  <si>
    <t>DP Refinaria Sines #1</t>
  </si>
  <si>
    <t>Refinaria Sines #1</t>
  </si>
  <si>
    <t>DP Refinaria Sines #2</t>
  </si>
  <si>
    <t>Refinaria Sines #2</t>
  </si>
  <si>
    <t>DP Repsol</t>
  </si>
  <si>
    <t>Repsol</t>
  </si>
  <si>
    <t>DP Soporcel</t>
  </si>
  <si>
    <t>DP 02518 - Soporcel</t>
  </si>
  <si>
    <t>Point ID start</t>
  </si>
  <si>
    <t>Point ID end</t>
  </si>
  <si>
    <t>Distance [km]</t>
  </si>
  <si>
    <t>E/X system</t>
  </si>
  <si>
    <t>Trunk?</t>
  </si>
  <si>
    <t>Bi-directional?</t>
  </si>
  <si>
    <t>Instrumental?</t>
  </si>
  <si>
    <t>Lote</t>
  </si>
  <si>
    <t>Comments</t>
  </si>
  <si>
    <t>Unidirectional based on TSO information</t>
  </si>
  <si>
    <t>Beyond GRMS 03659. Unidirectional based on TSO information.</t>
  </si>
  <si>
    <t>Instrumental distance (unidirectional)</t>
  </si>
  <si>
    <t>According to TSO's distance matrix, GRMS 02509 is at zero distance from Underground Storage</t>
  </si>
  <si>
    <t>Fictional point</t>
  </si>
  <si>
    <t>Beyond GRMS 01219. Unidirectional based on TSO information.</t>
  </si>
  <si>
    <t>Beyond GRMS 01269. Unidirectional based on TSO information.</t>
  </si>
  <si>
    <t>Beyond GRMS 12619. Unidirectional based on TSO information</t>
  </si>
  <si>
    <t>According to TSO's distance matrix, GRMS12809 is at zero distance from LNG terminal</t>
  </si>
  <si>
    <t xml:space="preserve">Instrumental distance </t>
  </si>
  <si>
    <t>Choose a reference price methodology:</t>
  </si>
  <si>
    <t>Choose whether discounts shall be included:</t>
  </si>
  <si>
    <t>Revenues</t>
  </si>
  <si>
    <t>million €</t>
  </si>
  <si>
    <t>Cost driver: capacity and distance</t>
  </si>
  <si>
    <t>Ratio = Revenues ÷ Cost driver</t>
  </si>
  <si>
    <t>Capacity CACI</t>
  </si>
  <si>
    <t>Transmission services</t>
  </si>
  <si>
    <t>Non-transmission services</t>
  </si>
  <si>
    <t>CWD 28/72</t>
  </si>
  <si>
    <t>Counter-factual</t>
  </si>
  <si>
    <t>Distance matrix</t>
  </si>
  <si>
    <t>Assumption for RPM</t>
  </si>
  <si>
    <t>Note</t>
  </si>
  <si>
    <t>Trunk</t>
  </si>
  <si>
    <t>Entry split</t>
  </si>
  <si>
    <t>Parameter</t>
  </si>
  <si>
    <t>Only a share of the revenues (56%), corresponding to the non-regional assets, is allocated through the RPM, as transmission service revenues.
The remaining share is allocated as non-transmission service revenues to domestic exits, as a uniform capacity price.</t>
  </si>
  <si>
    <t>Version of distance matrix that excludes network segments that are not part of the trunk network</t>
  </si>
  <si>
    <t>Value applicable to gas routes ending in domestic exits.</t>
  </si>
  <si>
    <t>Share of revenues recovered from entry points.</t>
  </si>
  <si>
    <t>Only for counter-factual.</t>
  </si>
  <si>
    <t>Euros</t>
  </si>
  <si>
    <t>mCWD (2024)</t>
  </si>
  <si>
    <t>Postage stamp 28/72</t>
  </si>
  <si>
    <t>Default: mCWD (2024)</t>
  </si>
  <si>
    <t>2. Only primary pipelines</t>
  </si>
  <si>
    <t>1. All pipelines,</t>
  </si>
  <si>
    <t>including primary</t>
  </si>
  <si>
    <t>and secondary pipelines</t>
  </si>
  <si>
    <t>1. Allowed revenues of the transmission system operator, in Euros</t>
  </si>
  <si>
    <t>2.1 Firm capacity, in kWh/day</t>
  </si>
  <si>
    <t>2.2 Interruptible capacity, in kWh/day</t>
  </si>
  <si>
    <t>2.3 Gas volume, in MWh</t>
  </si>
  <si>
    <t>3.1 Firm capacity, in kWh/day</t>
  </si>
  <si>
    <t>3.2 Interruptible capacity, in kWh/day</t>
  </si>
  <si>
    <t>3.3 Gas volume, in MWh</t>
  </si>
  <si>
    <t>Technical capacity at entry points, GWh/day</t>
  </si>
  <si>
    <t>Technical capacity at exit points, GWh/day</t>
  </si>
  <si>
    <t>Technical capacity at VIP Iberico, GWh/day</t>
  </si>
  <si>
    <t>6.1 Firm capacity at entry points, in kWh/day</t>
  </si>
  <si>
    <t>6.2 Interruptible capacity at entry points, in kWh/day</t>
  </si>
  <si>
    <t>6.3 Firm capacity at exit points, in kWh/day</t>
  </si>
  <si>
    <t>6.4 Interruptible capacity at exit points, in kWh/day</t>
  </si>
  <si>
    <t>1.a Entry capacity forecast (equivalent capacity), in kWh/day</t>
  </si>
  <si>
    <t>1.b Exit capacity forecast (equivalent capacity), in kWh/day</t>
  </si>
  <si>
    <t>1. Forecasted capacity at entry points, in kWh/day</t>
  </si>
  <si>
    <t>4. Average weighted distance at entry points, in km</t>
  </si>
  <si>
    <t>Reference price, in EUR/kWh/d/year</t>
  </si>
  <si>
    <t>6. Pre-equalization price at entry points, in EUR/kWh/d/year</t>
  </si>
  <si>
    <t>7. Post-equalization price at entry points, in EUR/kWh/d/year</t>
  </si>
  <si>
    <t>8. Post-equalization price at entry points by firm/interruptible capacity, in EUR/kWh/d/year</t>
  </si>
  <si>
    <t>10. Pre-scaling price at entry points by firm/interruptible capacity, in EUR/kWh/d/year</t>
  </si>
  <si>
    <t>10. Demand, kWh/day</t>
  </si>
  <si>
    <t>11. Reference prices, in EUR/kWh/d/year</t>
  </si>
  <si>
    <t>12. Revenues, in EUR</t>
  </si>
  <si>
    <t>1. Post-equalization price by entry point and capacity product, in EUR/kWh/d/year</t>
  </si>
  <si>
    <t>4. Pre-scaling prices by entry point and capacity product, in EUR/kWh/d/year</t>
  </si>
  <si>
    <t>5. Demand forecast by entry point, kWh/day</t>
  </si>
  <si>
    <t>6. Pre-scaling revenues, in EUR</t>
  </si>
  <si>
    <t>7. Reference prices, in EUR/kWh/d/year</t>
  </si>
  <si>
    <t>8. Revenues from reference prices, in EUR</t>
  </si>
  <si>
    <t>1. Forecasted capacity at exit points, in kWh/day</t>
  </si>
  <si>
    <t>4. Average weighted distance at exit points, in km</t>
  </si>
  <si>
    <t>6. Pre-equalization price at exit points, in EUR/kWh/d/year</t>
  </si>
  <si>
    <t>7. Post-equalization price at exit points, in EUR/kWh/d/year</t>
  </si>
  <si>
    <t>8. Post-equalization price at exit points by firm/interruptible capacity, in EUR/kWh/d/year</t>
  </si>
  <si>
    <t>10. Demand, in kWh/day</t>
  </si>
  <si>
    <t>12. Prices for non-transmission services, in EUR/kWh/d/year</t>
  </si>
  <si>
    <t>13. Revenues, in EUR</t>
  </si>
  <si>
    <t>1. Post-equalization price by exit point and capacity product, in EUR/kWh/d/year</t>
  </si>
  <si>
    <t>4. Pre-scaling prices by exit point and capacity product, in EUR/kWh/d/year</t>
  </si>
  <si>
    <t>5. Demand forecast by exit point, in kWh/day</t>
  </si>
  <si>
    <t>8. Prices for non-transmission services, in EUR/kWh/d/year</t>
  </si>
  <si>
    <t>9. Revenues, in EUR</t>
  </si>
  <si>
    <t>1. Revenues from network use, in EUR</t>
  </si>
  <si>
    <t>2.1 Forecasted capacity, in kWh/day</t>
  </si>
  <si>
    <t>3.1 Effective capacity, in kWh/day</t>
  </si>
  <si>
    <t>Seixal #1</t>
  </si>
  <si>
    <t>Seixal #2</t>
  </si>
  <si>
    <t>C.T. Carregado #1</t>
  </si>
  <si>
    <t>Loures</t>
  </si>
  <si>
    <t>Alpriate #1</t>
  </si>
  <si>
    <t>C.T. Carregado #2</t>
  </si>
  <si>
    <t>Alpriate #2</t>
  </si>
  <si>
    <t>Torres Vedras #1</t>
  </si>
  <si>
    <t>Torres Vedras #2</t>
  </si>
  <si>
    <t>Leirosa #1</t>
  </si>
  <si>
    <t>Leirosa #2</t>
  </si>
  <si>
    <t>C.C.C. Lares #1</t>
  </si>
  <si>
    <t>C.C.C. Lares #2</t>
  </si>
  <si>
    <t>Aveiro - GRMS #1</t>
  </si>
  <si>
    <t>Aveiro - GRMS #2</t>
  </si>
  <si>
    <t>Estarreja #1</t>
  </si>
  <si>
    <t>Estarreja #2</t>
  </si>
  <si>
    <t>Chaparral #1</t>
  </si>
  <si>
    <t>Chaparral #2</t>
  </si>
  <si>
    <t>Chaparral #3</t>
  </si>
  <si>
    <t>Beyond GRMS 03369. Unidirectional based on TSO information</t>
  </si>
  <si>
    <t>Beyond GRMS 12609. Unidirectional based on TSO information</t>
  </si>
  <si>
    <t>Beyond GRMS 12629. Unidirectional based on TSO information</t>
  </si>
  <si>
    <t>€/(kWh/dia)/ano</t>
  </si>
  <si>
    <t>Terminal GNL</t>
  </si>
  <si>
    <t>Produtores de gás</t>
  </si>
  <si>
    <t>Descrição</t>
  </si>
  <si>
    <t>Language / Idioma</t>
  </si>
  <si>
    <t>Português</t>
  </si>
  <si>
    <t>2025-2026</t>
  </si>
  <si>
    <t>2026-2027</t>
  </si>
  <si>
    <t>Artigo do código de rede</t>
  </si>
  <si>
    <t>Art. 30 (1)(b)(i)</t>
  </si>
  <si>
    <t>Proveitos permitidos/previstos, em milhares de euros</t>
  </si>
  <si>
    <t>Art. 30 (1)(b)(iv)</t>
  </si>
  <si>
    <t>Receitas dos serviços de transporte, em milhares de euros</t>
  </si>
  <si>
    <t>Art. 30 (1)(b)(v)(1)</t>
  </si>
  <si>
    <t>Divisão capacidade-energia</t>
  </si>
  <si>
    <t>Capacidade</t>
  </si>
  <si>
    <t>Energia</t>
  </si>
  <si>
    <t>Art. 30 (1)(b)(v)(2)</t>
  </si>
  <si>
    <t>Divisão entrada-saída (nas tarifas de transporte baseadas na capacidade)</t>
  </si>
  <si>
    <t>Entrada</t>
  </si>
  <si>
    <t>Saída</t>
  </si>
  <si>
    <t>Art. 30 (1)(b)(v)(3)</t>
  </si>
  <si>
    <t>Divisão transfronteiriço-nacional (calculada nos termos do artigo 5.º)</t>
  </si>
  <si>
    <t>Utilização intrasistema</t>
  </si>
  <si>
    <t>Utilização intersistema</t>
  </si>
  <si>
    <t>Capacidade técnica, em GWh/dia</t>
  </si>
  <si>
    <t>-</t>
  </si>
  <si>
    <t>Capacidade prevista</t>
  </si>
  <si>
    <t>Divisão capacidade-energia, ou seja, a repartição entre a receita proveniente das tarifas de transporte baseadas na capacidade e a receita proveniente das tarifas de transporte baseadas na energia</t>
  </si>
  <si>
    <t>Divisão entrada-saída, ou seja, a repartição entre a receita proveniente das tarifas de transporte baseadas na capacidade em todos os pontos de entrada e a receita proveniente das tarifas de transporte baseadas na capacidade em todos os pontos de saída</t>
  </si>
  <si>
    <t>Transfronteiriço</t>
  </si>
  <si>
    <t>Nacional</t>
  </si>
  <si>
    <t>Divisão transfronteiriço-nacional, ou seja, a repartição entre a receita proveniente dos utilizadores nacionais da rede, tanto nos pontos de entrada como nos de saída, e a receita proveniente dos utilizadores transfronteiriços da rede, tanto nos pontos de entrada como de saída, calculada nos termos do artigo 5.º.</t>
  </si>
  <si>
    <t>Tarifas de uso da rede de transporte (até ao final do período de regulação)</t>
  </si>
  <si>
    <t>NOTA</t>
  </si>
  <si>
    <t>Chosen language</t>
  </si>
  <si>
    <t>English</t>
  </si>
  <si>
    <t>Transmission tariffs for natural gas</t>
  </si>
  <si>
    <t>Tarifas de transporte para o gás natural</t>
  </si>
  <si>
    <t>Simplified tariff model</t>
  </si>
  <si>
    <t>Modelo tarifário simplificado</t>
  </si>
  <si>
    <t>All calculated data are for information purposes only.</t>
  </si>
  <si>
    <t>Todos os dados calculados são apenas para fins informativos.</t>
  </si>
  <si>
    <t>The calculated prices do not include value-added tax (VAT).</t>
  </si>
  <si>
    <t>Os preços calculados não incluem o imposto sobre o valor acrescentado (IVA).</t>
  </si>
  <si>
    <t>Description of the simplified tariff model</t>
  </si>
  <si>
    <t>Descrição do modelo tarifário simplificado</t>
  </si>
  <si>
    <t>This model includes two additional worksheets, with the following purposes:</t>
  </si>
  <si>
    <t>Este modelo inclui duas folhas de cálculo adicionais, com as seguintes finalidades:</t>
  </si>
  <si>
    <t xml:space="preserve">Input - </t>
  </si>
  <si>
    <t xml:space="preserve">Output - </t>
  </si>
  <si>
    <t>This worksheet includes the allowed revenues of the transmission system operator and the forecasted capacity demand.</t>
  </si>
  <si>
    <t>Esta folha inclui os proveitos permitidos do operador da rede de transporte e os valores para a capacidade prevista.</t>
  </si>
  <si>
    <t>This worksheet computes the transmission tariffs applicable for the use of the transmission system based on the values from the 'Input' worksheet.</t>
  </si>
  <si>
    <t>Esta folha calcula as tarifas de transporte aplicáveis para o uso da rede de transporte com base nos valores da folha 'Input'.</t>
  </si>
  <si>
    <t>The values that can be changed by the user are the yellow cells included in the 'Input' worksheet.</t>
  </si>
  <si>
    <t>Os valores que podem ser alterados pelo utilizador são as células amarelas incluídas na folha 'Input'.</t>
  </si>
  <si>
    <t>Color legend</t>
  </si>
  <si>
    <t>Legenda de cores</t>
  </si>
  <si>
    <t>This information can be changed by the user in order to simulate what the transmission tariffs would have been equal to if demand or revenues were different.</t>
  </si>
  <si>
    <t>Esta informação pode ser alterada pelo utilizador para simular qual teria sido o efeito nas tarifas de transporte se a procura ou os proveitos tivessem sido diferentes.</t>
  </si>
  <si>
    <t>Green cells in the worksheet 'Output' are computed based on the values entered in the yellow cells in the 'Input' worksheet.</t>
  </si>
  <si>
    <t>Células verdes na folha 'Output' são valores estimados com base nos valores introduzidos nas células amarelas na folha 'Input'.</t>
  </si>
  <si>
    <t>Last update:</t>
  </si>
  <si>
    <t>Última atualização:</t>
  </si>
  <si>
    <t>Input</t>
  </si>
  <si>
    <t>Proveitos permitidos</t>
  </si>
  <si>
    <t>Proveitos permitidos do operador da rede de transporte</t>
  </si>
  <si>
    <t>Forecasted capacity demand</t>
  </si>
  <si>
    <t>Ponto</t>
  </si>
  <si>
    <t>Produtos</t>
  </si>
  <si>
    <t>VIP Ibérico</t>
  </si>
  <si>
    <t>Underground Storage</t>
  </si>
  <si>
    <t>Distribution networks and HP Customers</t>
  </si>
  <si>
    <t>Redes de distribuição e clientes em AP</t>
  </si>
  <si>
    <t>HP Customers</t>
  </si>
  <si>
    <t>Clientes em AP</t>
  </si>
  <si>
    <t>Yearly</t>
  </si>
  <si>
    <t>Anual</t>
  </si>
  <si>
    <t>Trimestral</t>
  </si>
  <si>
    <t>Mensal</t>
  </si>
  <si>
    <t>Diário</t>
  </si>
  <si>
    <t>Intraday</t>
  </si>
  <si>
    <t>Intradiário</t>
  </si>
  <si>
    <t>Capacidade utilizada na injeção</t>
  </si>
  <si>
    <t>Long Uses</t>
  </si>
  <si>
    <t>Longas utilizações</t>
  </si>
  <si>
    <t>Annual Flexible Rate - Annual Base Capacity</t>
  </si>
  <si>
    <t>Tarifa flexível anual - capacidade base anual</t>
  </si>
  <si>
    <t>Annual Flexible Rate - Additional Monthly Capacity (April to September)</t>
  </si>
  <si>
    <t>Tarifa flexível anual - capacidade mensal adicional (abril a setembro)</t>
  </si>
  <si>
    <t>Flexible Monthly Rate - Monthly Capacity (October to March)</t>
  </si>
  <si>
    <t>Tarifa flexível mensal - capacidade mensal (outubro a março)</t>
  </si>
  <si>
    <t>Flexible Monthly Rate - Monthly Capacity (April to September)</t>
  </si>
  <si>
    <t>Tarifa flexível mensal - capacidade mensal (abril a setembro)</t>
  </si>
  <si>
    <t>Daily Flexible Rate - Daily Capacity (October to March)</t>
  </si>
  <si>
    <t>Tarifa flexível diária - capacidade diária (outubro a março)</t>
  </si>
  <si>
    <t>Daily Flexible Rate - Daily Capacity (April to September)</t>
  </si>
  <si>
    <t>Tarifa flexível diária - capacidade diária (abril a setembro)</t>
  </si>
  <si>
    <t>Unit</t>
  </si>
  <si>
    <t>Unidade</t>
  </si>
  <si>
    <t>kWh/day</t>
  </si>
  <si>
    <t>kWh/dia</t>
  </si>
  <si>
    <t>kWh/h</t>
  </si>
  <si>
    <t>Yellow cells can be changed by the user</t>
  </si>
  <si>
    <t>Células amarelas podem ser alteradas pelo utilizador</t>
  </si>
  <si>
    <t>Output</t>
  </si>
  <si>
    <t>Transmission tariffs</t>
  </si>
  <si>
    <t>Tarifas de uso da rede de transporte</t>
  </si>
  <si>
    <t>€/(kWh/day)/year</t>
  </si>
  <si>
    <t>€/(kWh/h)/year</t>
  </si>
  <si>
    <t>€/(kWh/h)/ano</t>
  </si>
  <si>
    <t>Green cells are estimates</t>
  </si>
  <si>
    <t>Células verdes são estimativas</t>
  </si>
  <si>
    <t>Art 30(1)(a)</t>
  </si>
  <si>
    <t>Interconnection point (Campo Maior)</t>
  </si>
  <si>
    <t>Ponto de interligação (Campo Maior)</t>
  </si>
  <si>
    <t>Interconnection point (Valença do Minho)</t>
  </si>
  <si>
    <t>Ponto de interligação (Valença do Minho)</t>
  </si>
  <si>
    <t>Terminal de GNL (Sines)</t>
  </si>
  <si>
    <t>Armazenamento Subterrâneo (Carriço)</t>
  </si>
  <si>
    <t>Tipo</t>
  </si>
  <si>
    <t>Contracted</t>
  </si>
  <si>
    <t>Contratada</t>
  </si>
  <si>
    <t>Used</t>
  </si>
  <si>
    <t>Utilizada</t>
  </si>
  <si>
    <t>Type of point</t>
  </si>
  <si>
    <t>Tipo de ponto</t>
  </si>
  <si>
    <t>Valença do Minho</t>
  </si>
  <si>
    <t>LNG terminal (Sines)</t>
  </si>
  <si>
    <t>Terminal de Sines</t>
  </si>
  <si>
    <t>Underground storage (Carriço)</t>
  </si>
  <si>
    <t>Lisboagás, Setgás, Carregado, Ribatejo</t>
  </si>
  <si>
    <t>Portgás, Outeiro power plant</t>
  </si>
  <si>
    <t>Portgás, Central Outeiro</t>
  </si>
  <si>
    <t>Lusitâniagás, Lares power plant, Figueira da Foz power plant</t>
  </si>
  <si>
    <t>Lusitâniagás, Central Lares, Central Figueira da Foz</t>
  </si>
  <si>
    <t>Tagusgás, Pego power plant</t>
  </si>
  <si>
    <t>Tagusgás, Central Pego</t>
  </si>
  <si>
    <t>Portucel</t>
  </si>
  <si>
    <t>Sines Refinary, Portucel</t>
  </si>
  <si>
    <t>Refinaria Sines, Portucel</t>
  </si>
  <si>
    <t>Beiragás</t>
  </si>
  <si>
    <t>Ponto de interligação</t>
  </si>
  <si>
    <t>Storage</t>
  </si>
  <si>
    <t>Armazenamento</t>
  </si>
  <si>
    <t>Consumption</t>
  </si>
  <si>
    <t>Consumo</t>
  </si>
  <si>
    <t>Technical capacity</t>
  </si>
  <si>
    <t>Capacidade técnica</t>
  </si>
  <si>
    <t>Physical flow</t>
  </si>
  <si>
    <t>Fluxo físico</t>
  </si>
  <si>
    <t>Physical utilization factor</t>
  </si>
  <si>
    <t>Fator de utilização física</t>
  </si>
  <si>
    <t>This simplified tariff model presents the transmission tariffs for natural gas since gas year 2025-2026 until gas year 2026-2027.</t>
  </si>
  <si>
    <t>Este modelo tarifário simplificado apresenta as tarifas de transporte de gás natural desde o ano gás de 2025-2026 até ao ano gás 2026-2027.</t>
  </si>
  <si>
    <t>Yellow cells in the worksheet 'Input' correspond to the information used in the tariff approval for gas year 2025-2026.</t>
  </si>
  <si>
    <t>Células amarelas na folha 'Input' é informação utilizada na aprovação das tarifas para o ano gás 2025-2026.</t>
  </si>
  <si>
    <t>Ano Gás 2025-2026</t>
  </si>
  <si>
    <t>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</si>
</sst>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00%"/>
    <numFmt numFmtId="167" formatCode="0.0%"/>
    <numFmt numFmtId="168" formatCode="#,##0.0"/>
    <numFmt numFmtId="169" formatCode="#,##0.000000"/>
    <numFmt numFmtId="170" formatCode="#,##0.000"/>
    <numFmt numFmtId="171" formatCode="\(\+\)\ 0.0%;\(\-\)\ 0.0%"/>
    <numFmt numFmtId="172" formatCode="0.0000"/>
    <numFmt numFmtId="173" formatCode="#,##0.0000"/>
    <numFmt numFmtId="174" formatCode="#,##0\ &quot;€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name val="CG Omega"/>
      <family val="2"/>
    </font>
    <font>
      <b/>
      <sz val="9"/>
      <color indexed="81"/>
      <name val="Tahoma"/>
      <family val="2"/>
    </font>
    <font>
      <i/>
      <sz val="11"/>
      <color rgb="FFCC9925"/>
      <name val="Calibri"/>
      <family val="2"/>
      <scheme val="minor"/>
    </font>
    <font>
      <b/>
      <sz val="18"/>
      <color rgb="FFCC992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C992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CC992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99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ck">
        <color rgb="FFCC992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CC9925"/>
      </left>
      <right/>
      <top style="medium">
        <color rgb="FFCC9925"/>
      </top>
      <bottom/>
      <diagonal/>
    </border>
    <border>
      <left/>
      <right/>
      <top style="medium">
        <color rgb="FFCC9925"/>
      </top>
      <bottom/>
      <diagonal/>
    </border>
    <border>
      <left/>
      <right style="medium">
        <color rgb="FFCC9925"/>
      </right>
      <top style="medium">
        <color rgb="FFCC992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9925"/>
      </left>
      <right/>
      <top/>
      <bottom/>
      <diagonal/>
    </border>
    <border>
      <left/>
      <right style="medium">
        <color rgb="FFCC9925"/>
      </right>
      <top/>
      <bottom/>
      <diagonal/>
    </border>
    <border>
      <left style="medium">
        <color rgb="FFCC9925"/>
      </left>
      <right/>
      <top/>
      <bottom style="medium">
        <color rgb="FFCC9925"/>
      </bottom>
      <diagonal/>
    </border>
    <border>
      <left/>
      <right/>
      <top/>
      <bottom style="medium">
        <color rgb="FFCC9925"/>
      </bottom>
      <diagonal/>
    </border>
    <border>
      <left/>
      <right style="medium">
        <color rgb="FFCC9925"/>
      </right>
      <top/>
      <bottom style="medium">
        <color rgb="FFCC992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6" fillId="0" borderId="0" applyNumberFormat="0" applyFont="0" applyFill="0" applyBorder="0" applyAlignment="0" applyProtection="0"/>
    <xf numFmtId="0" fontId="1" fillId="0" borderId="0"/>
    <xf numFmtId="0" fontId="27" fillId="19" borderId="79" applyNumberFormat="0" applyAlignment="0" applyProtection="0"/>
    <xf numFmtId="0" fontId="28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6" fillId="0" borderId="0" xfId="0" applyFont="1"/>
    <xf numFmtId="0" fontId="0" fillId="0" borderId="1" xfId="0" applyFont="1" applyBorder="1"/>
    <xf numFmtId="3" fontId="0" fillId="4" borderId="1" xfId="0" applyNumberFormat="1" applyFont="1" applyFill="1" applyBorder="1" applyAlignment="1">
      <alignment horizontal="right"/>
    </xf>
    <xf numFmtId="0" fontId="2" fillId="5" borderId="0" xfId="0" applyFont="1" applyFill="1"/>
    <xf numFmtId="0" fontId="2" fillId="3" borderId="2" xfId="0" applyFont="1" applyFill="1" applyBorder="1" applyAlignment="1">
      <alignment horizontal="centerContinuous"/>
    </xf>
    <xf numFmtId="0" fontId="0" fillId="2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Continuous"/>
    </xf>
    <xf numFmtId="0" fontId="2" fillId="3" borderId="4" xfId="0" applyFont="1" applyFill="1" applyBorder="1"/>
    <xf numFmtId="0" fontId="0" fillId="2" borderId="4" xfId="0" applyFont="1" applyFill="1" applyBorder="1"/>
    <xf numFmtId="0" fontId="7" fillId="2" borderId="5" xfId="0" applyFont="1" applyFill="1" applyBorder="1"/>
    <xf numFmtId="0" fontId="7" fillId="2" borderId="3" xfId="0" applyFont="1" applyFill="1" applyBorder="1"/>
    <xf numFmtId="0" fontId="0" fillId="2" borderId="5" xfId="0" applyFont="1" applyFill="1" applyBorder="1"/>
    <xf numFmtId="0" fontId="0" fillId="2" borderId="3" xfId="0" applyFont="1" applyFill="1" applyBorder="1"/>
    <xf numFmtId="0" fontId="0" fillId="2" borderId="1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/>
    <xf numFmtId="0" fontId="0" fillId="0" borderId="7" xfId="0" applyFont="1" applyBorder="1"/>
    <xf numFmtId="3" fontId="2" fillId="3" borderId="7" xfId="0" applyNumberFormat="1" applyFont="1" applyFill="1" applyBorder="1" applyAlignment="1">
      <alignment horizontal="right"/>
    </xf>
    <xf numFmtId="0" fontId="2" fillId="3" borderId="10" xfId="0" applyFont="1" applyFill="1" applyBorder="1"/>
    <xf numFmtId="0" fontId="2" fillId="3" borderId="11" xfId="0" applyFont="1" applyFill="1" applyBorder="1"/>
    <xf numFmtId="0" fontId="0" fillId="2" borderId="11" xfId="0" applyFont="1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2" xfId="0" applyFill="1" applyBorder="1"/>
    <xf numFmtId="0" fontId="2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4" borderId="1" xfId="1" applyFont="1" applyFill="1" applyBorder="1" applyAlignment="1">
      <alignment horizontal="right"/>
    </xf>
    <xf numFmtId="0" fontId="2" fillId="5" borderId="0" xfId="0" applyFont="1" applyFill="1" applyAlignment="1">
      <alignment horizontal="left" vertical="center" indent="1"/>
    </xf>
    <xf numFmtId="0" fontId="0" fillId="0" borderId="1" xfId="0" applyFont="1" applyFill="1" applyBorder="1"/>
    <xf numFmtId="0" fontId="8" fillId="0" borderId="0" xfId="0" applyFont="1"/>
    <xf numFmtId="3" fontId="0" fillId="0" borderId="1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right"/>
    </xf>
    <xf numFmtId="167" fontId="0" fillId="4" borderId="1" xfId="1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0" fillId="2" borderId="12" xfId="0" applyFont="1" applyFill="1" applyBorder="1"/>
    <xf numFmtId="0" fontId="2" fillId="3" borderId="2" xfId="0" applyFont="1" applyFill="1" applyBorder="1" applyAlignment="1">
      <alignment horizontal="left"/>
    </xf>
    <xf numFmtId="0" fontId="0" fillId="2" borderId="15" xfId="0" applyFont="1" applyFill="1" applyBorder="1"/>
    <xf numFmtId="0" fontId="0" fillId="2" borderId="14" xfId="0" applyFont="1" applyFill="1" applyBorder="1"/>
    <xf numFmtId="165" fontId="0" fillId="4" borderId="2" xfId="0" applyNumberFormat="1" applyFont="1" applyFill="1" applyBorder="1"/>
    <xf numFmtId="9" fontId="0" fillId="0" borderId="1" xfId="0" applyNumberFormat="1" applyFont="1" applyFill="1" applyBorder="1"/>
    <xf numFmtId="9" fontId="0" fillId="0" borderId="1" xfId="1" applyNumberFormat="1" applyFont="1" applyFill="1" applyBorder="1"/>
    <xf numFmtId="168" fontId="0" fillId="0" borderId="1" xfId="0" applyNumberFormat="1" applyFont="1" applyFill="1" applyBorder="1"/>
    <xf numFmtId="168" fontId="0" fillId="0" borderId="1" xfId="0" applyNumberFormat="1" applyBorder="1"/>
    <xf numFmtId="9" fontId="0" fillId="0" borderId="1" xfId="1" applyFont="1" applyFill="1" applyBorder="1" applyAlignment="1">
      <alignment horizontal="right"/>
    </xf>
    <xf numFmtId="168" fontId="0" fillId="0" borderId="1" xfId="0" applyNumberFormat="1" applyFont="1" applyFill="1" applyBorder="1" applyAlignment="1">
      <alignment horizontal="right"/>
    </xf>
    <xf numFmtId="167" fontId="0" fillId="0" borderId="1" xfId="1" applyNumberFormat="1" applyFont="1" applyFill="1" applyBorder="1" applyAlignment="1">
      <alignment horizontal="right"/>
    </xf>
    <xf numFmtId="169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Fill="1" applyBorder="1" applyAlignment="1">
      <alignment horizontal="right"/>
    </xf>
    <xf numFmtId="0" fontId="9" fillId="0" borderId="0" xfId="0" applyFont="1"/>
    <xf numFmtId="9" fontId="1" fillId="4" borderId="1" xfId="1" applyFont="1" applyFill="1" applyBorder="1" applyAlignment="1">
      <alignment horizontal="right"/>
    </xf>
    <xf numFmtId="3" fontId="9" fillId="0" borderId="0" xfId="0" applyNumberFormat="1" applyFont="1"/>
    <xf numFmtId="3" fontId="0" fillId="6" borderId="1" xfId="0" applyNumberFormat="1" applyFont="1" applyFill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0" fillId="7" borderId="1" xfId="0" applyNumberFormat="1" applyFont="1" applyFill="1" applyBorder="1" applyAlignment="1">
      <alignment horizontal="right"/>
    </xf>
    <xf numFmtId="9" fontId="0" fillId="7" borderId="1" xfId="1" applyFont="1" applyFill="1" applyBorder="1" applyAlignment="1">
      <alignment horizontal="right"/>
    </xf>
    <xf numFmtId="167" fontId="0" fillId="7" borderId="1" xfId="1" applyNumberFormat="1" applyFont="1" applyFill="1" applyBorder="1" applyAlignment="1">
      <alignment horizontal="right"/>
    </xf>
    <xf numFmtId="166" fontId="0" fillId="7" borderId="1" xfId="1" applyNumberFormat="1" applyFont="1" applyFill="1" applyBorder="1" applyAlignment="1">
      <alignment horizontal="right"/>
    </xf>
    <xf numFmtId="166" fontId="0" fillId="6" borderId="1" xfId="1" applyNumberFormat="1" applyFont="1" applyFill="1" applyBorder="1" applyAlignment="1">
      <alignment horizontal="right"/>
    </xf>
    <xf numFmtId="9" fontId="0" fillId="0" borderId="1" xfId="1" applyFont="1" applyBorder="1"/>
    <xf numFmtId="0" fontId="2" fillId="3" borderId="0" xfId="0" applyFont="1" applyFill="1" applyBorder="1"/>
    <xf numFmtId="0" fontId="0" fillId="3" borderId="0" xfId="0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3" fontId="7" fillId="0" borderId="1" xfId="0" applyNumberFormat="1" applyFont="1" applyFill="1" applyBorder="1" applyAlignment="1">
      <alignment horizontal="right"/>
    </xf>
    <xf numFmtId="168" fontId="7" fillId="0" borderId="1" xfId="0" applyNumberFormat="1" applyFont="1" applyFill="1" applyBorder="1" applyAlignment="1">
      <alignment horizontal="right"/>
    </xf>
    <xf numFmtId="170" fontId="7" fillId="0" borderId="1" xfId="0" applyNumberFormat="1" applyFont="1" applyFill="1" applyBorder="1" applyAlignment="1">
      <alignment horizontal="right"/>
    </xf>
    <xf numFmtId="171" fontId="7" fillId="0" borderId="1" xfId="0" applyNumberFormat="1" applyFont="1" applyFill="1" applyBorder="1" applyAlignment="1">
      <alignment horizontal="right"/>
    </xf>
    <xf numFmtId="0" fontId="10" fillId="3" borderId="13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7" fillId="0" borderId="0" xfId="0" applyFont="1"/>
    <xf numFmtId="0" fontId="0" fillId="8" borderId="4" xfId="0" applyFill="1" applyBorder="1"/>
    <xf numFmtId="0" fontId="0" fillId="8" borderId="5" xfId="0" applyFill="1" applyBorder="1"/>
    <xf numFmtId="0" fontId="0" fillId="8" borderId="3" xfId="0" applyFill="1" applyBorder="1"/>
    <xf numFmtId="9" fontId="0" fillId="0" borderId="1" xfId="1" applyNumberFormat="1" applyFont="1" applyFill="1" applyBorder="1" applyAlignment="1">
      <alignment horizontal="right"/>
    </xf>
    <xf numFmtId="0" fontId="0" fillId="8" borderId="1" xfId="0" applyFill="1" applyBorder="1"/>
    <xf numFmtId="0" fontId="11" fillId="0" borderId="0" xfId="0" applyFont="1" applyAlignment="1">
      <alignment horizontal="left" indent="1"/>
    </xf>
    <xf numFmtId="170" fontId="0" fillId="4" borderId="1" xfId="0" applyNumberFormat="1" applyFont="1" applyFill="1" applyBorder="1" applyAlignment="1">
      <alignment horizontal="right"/>
    </xf>
    <xf numFmtId="170" fontId="0" fillId="7" borderId="1" xfId="0" applyNumberFormat="1" applyFont="1" applyFill="1" applyBorder="1" applyAlignment="1">
      <alignment horizontal="right"/>
    </xf>
    <xf numFmtId="0" fontId="0" fillId="0" borderId="0" xfId="0" applyFill="1"/>
    <xf numFmtId="167" fontId="0" fillId="6" borderId="1" xfId="1" applyNumberFormat="1" applyFont="1" applyFill="1" applyBorder="1" applyAlignment="1">
      <alignment horizontal="right"/>
    </xf>
    <xf numFmtId="169" fontId="0" fillId="7" borderId="1" xfId="0" applyNumberFormat="1" applyFont="1" applyFill="1" applyBorder="1" applyAlignment="1">
      <alignment horizontal="right"/>
    </xf>
    <xf numFmtId="9" fontId="7" fillId="0" borderId="1" xfId="1" applyFont="1" applyFill="1" applyBorder="1" applyAlignment="1">
      <alignment horizontal="right"/>
    </xf>
    <xf numFmtId="0" fontId="3" fillId="3" borderId="13" xfId="0" applyFont="1" applyFill="1" applyBorder="1"/>
    <xf numFmtId="0" fontId="7" fillId="10" borderId="17" xfId="0" applyFont="1" applyFill="1" applyBorder="1" applyAlignment="1">
      <alignment vertical="center" wrapText="1"/>
    </xf>
    <xf numFmtId="0" fontId="7" fillId="10" borderId="18" xfId="0" applyFont="1" applyFill="1" applyBorder="1" applyAlignment="1">
      <alignment vertical="center"/>
    </xf>
    <xf numFmtId="0" fontId="7" fillId="9" borderId="17" xfId="0" applyFont="1" applyFill="1" applyBorder="1"/>
    <xf numFmtId="0" fontId="0" fillId="9" borderId="18" xfId="0" applyFill="1" applyBorder="1"/>
    <xf numFmtId="0" fontId="0" fillId="9" borderId="25" xfId="0" applyFill="1" applyBorder="1"/>
    <xf numFmtId="0" fontId="0" fillId="0" borderId="19" xfId="0" applyBorder="1"/>
    <xf numFmtId="0" fontId="0" fillId="0" borderId="20" xfId="0" applyBorder="1"/>
    <xf numFmtId="2" fontId="0" fillId="0" borderId="21" xfId="1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2" fontId="0" fillId="0" borderId="24" xfId="1" applyNumberFormat="1" applyFont="1" applyBorder="1" applyAlignment="1">
      <alignment horizontal="center"/>
    </xf>
    <xf numFmtId="172" fontId="0" fillId="0" borderId="21" xfId="0" applyNumberFormat="1" applyBorder="1" applyAlignment="1">
      <alignment horizontal="center"/>
    </xf>
    <xf numFmtId="172" fontId="0" fillId="0" borderId="24" xfId="0" applyNumberFormat="1" applyBorder="1" applyAlignment="1">
      <alignment horizontal="center"/>
    </xf>
    <xf numFmtId="171" fontId="7" fillId="0" borderId="25" xfId="1" applyNumberFormat="1" applyFont="1" applyBorder="1" applyAlignment="1">
      <alignment horizontal="center" vertical="center"/>
    </xf>
    <xf numFmtId="167" fontId="0" fillId="0" borderId="21" xfId="1" applyNumberFormat="1" applyFont="1" applyBorder="1" applyAlignment="1">
      <alignment horizontal="center"/>
    </xf>
    <xf numFmtId="167" fontId="0" fillId="0" borderId="24" xfId="1" applyNumberFormat="1" applyFont="1" applyBorder="1" applyAlignment="1">
      <alignment horizontal="center"/>
    </xf>
    <xf numFmtId="0" fontId="8" fillId="0" borderId="0" xfId="0" applyFont="1" applyFill="1"/>
    <xf numFmtId="0" fontId="12" fillId="12" borderId="26" xfId="0" applyFont="1" applyFill="1" applyBorder="1"/>
    <xf numFmtId="0" fontId="12" fillId="0" borderId="26" xfId="0" applyFont="1" applyBorder="1"/>
    <xf numFmtId="0" fontId="12" fillId="0" borderId="28" xfId="0" applyFont="1" applyBorder="1"/>
    <xf numFmtId="3" fontId="9" fillId="6" borderId="1" xfId="0" applyNumberFormat="1" applyFont="1" applyFill="1" applyBorder="1" applyAlignment="1">
      <alignment horizontal="right"/>
    </xf>
    <xf numFmtId="0" fontId="3" fillId="14" borderId="0" xfId="0" applyFont="1" applyFill="1"/>
    <xf numFmtId="0" fontId="2" fillId="14" borderId="0" xfId="0" applyFont="1" applyFill="1"/>
    <xf numFmtId="0" fontId="14" fillId="0" borderId="0" xfId="0" applyFont="1"/>
    <xf numFmtId="0" fontId="14" fillId="0" borderId="0" xfId="0" applyFont="1" applyAlignment="1">
      <alignment horizontal="left" vertical="top"/>
    </xf>
    <xf numFmtId="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7" fillId="0" borderId="10" xfId="0" applyFont="1" applyFill="1" applyBorder="1"/>
    <xf numFmtId="0" fontId="7" fillId="0" borderId="11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169" fontId="0" fillId="0" borderId="0" xfId="0" applyNumberFormat="1" applyFont="1" applyFill="1" applyBorder="1" applyAlignment="1">
      <alignment horizontal="right"/>
    </xf>
    <xf numFmtId="0" fontId="0" fillId="0" borderId="1" xfId="0" applyBorder="1"/>
    <xf numFmtId="4" fontId="0" fillId="6" borderId="1" xfId="0" applyNumberFormat="1" applyFont="1" applyFill="1" applyBorder="1" applyAlignment="1">
      <alignment horizontal="right"/>
    </xf>
    <xf numFmtId="0" fontId="15" fillId="11" borderId="27" xfId="0" applyFont="1" applyFill="1" applyBorder="1"/>
    <xf numFmtId="3" fontId="7" fillId="6" borderId="7" xfId="0" applyNumberFormat="1" applyFont="1" applyFill="1" applyBorder="1" applyAlignment="1">
      <alignment horizontal="right"/>
    </xf>
    <xf numFmtId="0" fontId="0" fillId="9" borderId="0" xfId="0" applyFill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right" indent="1"/>
      <protection hidden="1"/>
    </xf>
    <xf numFmtId="0" fontId="7" fillId="15" borderId="31" xfId="0" applyFont="1" applyFill="1" applyBorder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right"/>
      <protection hidden="1"/>
    </xf>
    <xf numFmtId="14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32" xfId="0" applyFont="1" applyBorder="1" applyProtection="1">
      <protection hidden="1"/>
    </xf>
    <xf numFmtId="0" fontId="0" fillId="0" borderId="32" xfId="0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13" borderId="0" xfId="0" applyFill="1" applyProtection="1">
      <protection hidden="1"/>
    </xf>
    <xf numFmtId="0" fontId="0" fillId="0" borderId="0" xfId="0" applyAlignment="1" applyProtection="1">
      <alignment horizontal="left" indent="1"/>
      <protection hidden="1"/>
    </xf>
    <xf numFmtId="0" fontId="0" fillId="16" borderId="0" xfId="0" applyFill="1" applyProtection="1">
      <protection hidden="1"/>
    </xf>
    <xf numFmtId="0" fontId="0" fillId="9" borderId="0" xfId="0" applyFill="1"/>
    <xf numFmtId="0" fontId="22" fillId="15" borderId="33" xfId="0" applyFont="1" applyFill="1" applyBorder="1"/>
    <xf numFmtId="0" fontId="0" fillId="15" borderId="20" xfId="0" applyFill="1" applyBorder="1"/>
    <xf numFmtId="0" fontId="0" fillId="15" borderId="21" xfId="0" applyFill="1" applyBorder="1"/>
    <xf numFmtId="0" fontId="0" fillId="15" borderId="34" xfId="0" applyFill="1" applyBorder="1"/>
    <xf numFmtId="0" fontId="0" fillId="15" borderId="0" xfId="0" applyFill="1"/>
    <xf numFmtId="0" fontId="2" fillId="17" borderId="35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0" fillId="15" borderId="36" xfId="0" applyFill="1" applyBorder="1"/>
    <xf numFmtId="0" fontId="0" fillId="0" borderId="37" xfId="0" applyBorder="1"/>
    <xf numFmtId="0" fontId="23" fillId="0" borderId="38" xfId="0" applyFont="1" applyBorder="1" applyAlignment="1">
      <alignment horizontal="left"/>
    </xf>
    <xf numFmtId="0" fontId="0" fillId="0" borderId="38" xfId="0" applyBorder="1"/>
    <xf numFmtId="0" fontId="0" fillId="0" borderId="39" xfId="0" applyBorder="1"/>
    <xf numFmtId="0" fontId="0" fillId="0" borderId="17" xfId="0" applyBorder="1"/>
    <xf numFmtId="0" fontId="7" fillId="0" borderId="25" xfId="0" applyFont="1" applyBorder="1"/>
    <xf numFmtId="0" fontId="7" fillId="15" borderId="0" xfId="0" applyFont="1" applyFill="1" applyAlignment="1">
      <alignment horizontal="left"/>
    </xf>
    <xf numFmtId="174" fontId="0" fillId="0" borderId="40" xfId="0" applyNumberFormat="1" applyBorder="1"/>
    <xf numFmtId="174" fontId="0" fillId="13" borderId="42" xfId="0" applyNumberFormat="1" applyFill="1" applyBorder="1" applyProtection="1">
      <protection locked="0"/>
    </xf>
    <xf numFmtId="174" fontId="13" fillId="15" borderId="0" xfId="0" applyNumberFormat="1" applyFont="1" applyFill="1"/>
    <xf numFmtId="0" fontId="0" fillId="0" borderId="43" xfId="0" applyBorder="1"/>
    <xf numFmtId="0" fontId="0" fillId="13" borderId="0" xfId="0" applyFill="1"/>
    <xf numFmtId="0" fontId="0" fillId="0" borderId="0" xfId="0" applyAlignment="1">
      <alignment horizontal="left" indent="1"/>
    </xf>
    <xf numFmtId="0" fontId="0" fillId="0" borderId="44" xfId="0" applyBorder="1"/>
    <xf numFmtId="0" fontId="0" fillId="15" borderId="22" xfId="0" applyFill="1" applyBorder="1"/>
    <xf numFmtId="0" fontId="0" fillId="15" borderId="23" xfId="0" applyFill="1" applyBorder="1"/>
    <xf numFmtId="0" fontId="13" fillId="15" borderId="23" xfId="0" applyFont="1" applyFill="1" applyBorder="1"/>
    <xf numFmtId="0" fontId="0" fillId="15" borderId="24" xfId="0" applyFill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2" fillId="17" borderId="17" xfId="0" applyFont="1" applyFill="1" applyBorder="1"/>
    <xf numFmtId="0" fontId="2" fillId="17" borderId="25" xfId="0" applyFont="1" applyFill="1" applyBorder="1"/>
    <xf numFmtId="0" fontId="2" fillId="17" borderId="31" xfId="0" applyFont="1" applyFill="1" applyBorder="1" applyAlignment="1">
      <alignment horizontal="center"/>
    </xf>
    <xf numFmtId="0" fontId="2" fillId="17" borderId="33" xfId="0" applyFont="1" applyFill="1" applyBorder="1" applyAlignment="1">
      <alignment horizontal="center"/>
    </xf>
    <xf numFmtId="0" fontId="0" fillId="0" borderId="48" xfId="0" applyBorder="1"/>
    <xf numFmtId="0" fontId="0" fillId="0" borderId="49" xfId="0" applyBorder="1"/>
    <xf numFmtId="3" fontId="0" fillId="0" borderId="50" xfId="0" applyNumberFormat="1" applyBorder="1"/>
    <xf numFmtId="3" fontId="0" fillId="13" borderId="49" xfId="0" applyNumberFormat="1" applyFill="1" applyBorder="1" applyProtection="1">
      <protection locked="0"/>
    </xf>
    <xf numFmtId="0" fontId="7" fillId="15" borderId="13" xfId="0" applyFont="1" applyFill="1" applyBorder="1" applyAlignment="1">
      <alignment horizontal="left"/>
    </xf>
    <xf numFmtId="0" fontId="0" fillId="0" borderId="52" xfId="0" applyBorder="1" applyAlignment="1">
      <alignment horizontal="left"/>
    </xf>
    <xf numFmtId="0" fontId="2" fillId="17" borderId="53" xfId="0" applyFont="1" applyFill="1" applyBorder="1" applyAlignment="1">
      <alignment horizontal="center"/>
    </xf>
    <xf numFmtId="0" fontId="0" fillId="0" borderId="54" xfId="0" applyBorder="1"/>
    <xf numFmtId="0" fontId="0" fillId="0" borderId="55" xfId="0" applyBorder="1"/>
    <xf numFmtId="3" fontId="0" fillId="0" borderId="56" xfId="0" applyNumberFormat="1" applyBorder="1"/>
    <xf numFmtId="3" fontId="0" fillId="13" borderId="55" xfId="0" applyNumberFormat="1" applyFill="1" applyBorder="1" applyProtection="1">
      <protection locked="0"/>
    </xf>
    <xf numFmtId="0" fontId="0" fillId="0" borderId="57" xfId="0" applyBorder="1"/>
    <xf numFmtId="0" fontId="8" fillId="15" borderId="0" xfId="0" applyFont="1" applyFill="1"/>
    <xf numFmtId="0" fontId="8" fillId="15" borderId="13" xfId="0" applyFont="1" applyFill="1" applyBorder="1"/>
    <xf numFmtId="0" fontId="0" fillId="0" borderId="58" xfId="0" applyBorder="1"/>
    <xf numFmtId="0" fontId="0" fillId="0" borderId="59" xfId="0" applyBorder="1"/>
    <xf numFmtId="3" fontId="0" fillId="0" borderId="60" xfId="0" applyNumberFormat="1" applyBorder="1"/>
    <xf numFmtId="3" fontId="0" fillId="13" borderId="59" xfId="0" applyNumberFormat="1" applyFill="1" applyBorder="1" applyProtection="1">
      <protection locked="0"/>
    </xf>
    <xf numFmtId="0" fontId="0" fillId="0" borderId="62" xfId="0" applyBorder="1"/>
    <xf numFmtId="0" fontId="0" fillId="0" borderId="64" xfId="0" applyBorder="1" applyAlignment="1">
      <alignment horizontal="left"/>
    </xf>
    <xf numFmtId="0" fontId="3" fillId="17" borderId="53" xfId="0" applyFont="1" applyFill="1" applyBorder="1"/>
    <xf numFmtId="0" fontId="3" fillId="17" borderId="65" xfId="0" applyFont="1" applyFill="1" applyBorder="1"/>
    <xf numFmtId="0" fontId="0" fillId="0" borderId="66" xfId="0" applyBorder="1"/>
    <xf numFmtId="3" fontId="0" fillId="0" borderId="54" xfId="0" applyNumberFormat="1" applyBorder="1"/>
    <xf numFmtId="3" fontId="0" fillId="13" borderId="66" xfId="0" applyNumberFormat="1" applyFill="1" applyBorder="1" applyProtection="1">
      <protection locked="0"/>
    </xf>
    <xf numFmtId="0" fontId="0" fillId="0" borderId="53" xfId="0" applyBorder="1"/>
    <xf numFmtId="0" fontId="0" fillId="0" borderId="40" xfId="0" applyBorder="1"/>
    <xf numFmtId="0" fontId="0" fillId="0" borderId="42" xfId="0" applyBorder="1"/>
    <xf numFmtId="3" fontId="0" fillId="0" borderId="40" xfId="0" applyNumberFormat="1" applyBorder="1"/>
    <xf numFmtId="3" fontId="0" fillId="13" borderId="42" xfId="0" applyNumberFormat="1" applyFill="1" applyBorder="1" applyProtection="1">
      <protection locked="0"/>
    </xf>
    <xf numFmtId="0" fontId="0" fillId="0" borderId="35" xfId="0" applyBorder="1"/>
    <xf numFmtId="0" fontId="0" fillId="0" borderId="64" xfId="0" applyBorder="1"/>
    <xf numFmtId="0" fontId="0" fillId="16" borderId="0" xfId="0" applyFill="1"/>
    <xf numFmtId="173" fontId="0" fillId="0" borderId="50" xfId="0" applyNumberFormat="1" applyBorder="1" applyProtection="1">
      <protection hidden="1"/>
    </xf>
    <xf numFmtId="169" fontId="0" fillId="16" borderId="49" xfId="0" applyNumberFormat="1" applyFill="1" applyBorder="1" applyProtection="1">
      <protection hidden="1"/>
    </xf>
    <xf numFmtId="173" fontId="0" fillId="0" borderId="56" xfId="0" applyNumberFormat="1" applyBorder="1" applyProtection="1">
      <protection hidden="1"/>
    </xf>
    <xf numFmtId="169" fontId="0" fillId="16" borderId="55" xfId="0" applyNumberFormat="1" applyFill="1" applyBorder="1" applyProtection="1">
      <protection hidden="1"/>
    </xf>
    <xf numFmtId="173" fontId="0" fillId="0" borderId="60" xfId="0" applyNumberFormat="1" applyBorder="1" applyProtection="1">
      <protection hidden="1"/>
    </xf>
    <xf numFmtId="169" fontId="0" fillId="16" borderId="59" xfId="0" applyNumberFormat="1" applyFill="1" applyBorder="1" applyProtection="1">
      <protection hidden="1"/>
    </xf>
    <xf numFmtId="173" fontId="0" fillId="0" borderId="54" xfId="0" quotePrefix="1" applyNumberFormat="1" applyBorder="1" applyAlignment="1" applyProtection="1">
      <alignment horizontal="right"/>
      <protection hidden="1"/>
    </xf>
    <xf numFmtId="169" fontId="0" fillId="16" borderId="66" xfId="0" applyNumberFormat="1" applyFill="1" applyBorder="1" applyProtection="1">
      <protection hidden="1"/>
    </xf>
    <xf numFmtId="173" fontId="0" fillId="0" borderId="40" xfId="0" applyNumberFormat="1" applyBorder="1" applyProtection="1">
      <protection hidden="1"/>
    </xf>
    <xf numFmtId="169" fontId="0" fillId="16" borderId="42" xfId="0" applyNumberFormat="1" applyFill="1" applyBorder="1" applyProtection="1">
      <protection hidden="1"/>
    </xf>
    <xf numFmtId="0" fontId="0" fillId="2" borderId="0" xfId="0" applyFill="1"/>
    <xf numFmtId="0" fontId="7" fillId="9" borderId="40" xfId="0" applyFont="1" applyFill="1" applyBorder="1"/>
    <xf numFmtId="0" fontId="7" fillId="9" borderId="41" xfId="0" applyFont="1" applyFill="1" applyBorder="1"/>
    <xf numFmtId="0" fontId="7" fillId="9" borderId="18" xfId="0" applyFont="1" applyFill="1" applyBorder="1"/>
    <xf numFmtId="0" fontId="7" fillId="9" borderId="41" xfId="0" applyFont="1" applyFill="1" applyBorder="1" applyAlignment="1">
      <alignment horizontal="left"/>
    </xf>
    <xf numFmtId="0" fontId="7" fillId="9" borderId="25" xfId="0" applyFont="1" applyFill="1" applyBorder="1"/>
    <xf numFmtId="0" fontId="0" fillId="0" borderId="40" xfId="0" applyBorder="1" applyAlignment="1">
      <alignment horizontal="left" vertical="top" indent="1"/>
    </xf>
    <xf numFmtId="0" fontId="0" fillId="0" borderId="41" xfId="0" applyBorder="1" applyAlignment="1">
      <alignment horizontal="left" vertical="top" wrapText="1" indent="1"/>
    </xf>
    <xf numFmtId="0" fontId="0" fillId="0" borderId="69" xfId="0" applyBorder="1" applyAlignment="1">
      <alignment horizontal="left" vertical="top" wrapText="1" indent="1"/>
    </xf>
    <xf numFmtId="0" fontId="0" fillId="0" borderId="41" xfId="0" applyBorder="1" applyAlignment="1">
      <alignment horizontal="left" vertical="top" indent="1"/>
    </xf>
    <xf numFmtId="3" fontId="0" fillId="0" borderId="25" xfId="0" applyNumberFormat="1" applyBorder="1" applyAlignment="1">
      <alignment horizontal="center" vertical="center"/>
    </xf>
    <xf numFmtId="0" fontId="0" fillId="0" borderId="48" xfId="0" applyBorder="1" applyAlignment="1">
      <alignment horizontal="left" vertical="top" indent="1"/>
    </xf>
    <xf numFmtId="0" fontId="0" fillId="0" borderId="70" xfId="0" applyBorder="1" applyAlignment="1">
      <alignment horizontal="left" vertical="top" indent="1"/>
    </xf>
    <xf numFmtId="0" fontId="0" fillId="0" borderId="71" xfId="0" applyBorder="1" applyAlignment="1">
      <alignment horizontal="left" vertical="top" indent="1"/>
    </xf>
    <xf numFmtId="0" fontId="0" fillId="0" borderId="51" xfId="0" applyBorder="1" applyAlignment="1">
      <alignment horizontal="center" vertical="center" wrapText="1"/>
    </xf>
    <xf numFmtId="9" fontId="0" fillId="0" borderId="72" xfId="0" applyNumberFormat="1" applyBorder="1" applyAlignment="1">
      <alignment horizontal="center" vertical="center"/>
    </xf>
    <xf numFmtId="0" fontId="0" fillId="0" borderId="58" xfId="0" applyBorder="1" applyAlignment="1">
      <alignment horizontal="left" vertical="top" indent="1"/>
    </xf>
    <xf numFmtId="0" fontId="0" fillId="0" borderId="73" xfId="0" applyBorder="1" applyAlignment="1">
      <alignment horizontal="left" vertical="top" indent="1"/>
    </xf>
    <xf numFmtId="0" fontId="0" fillId="0" borderId="74" xfId="0" applyBorder="1" applyAlignment="1">
      <alignment horizontal="left" vertical="top" indent="1"/>
    </xf>
    <xf numFmtId="0" fontId="0" fillId="0" borderId="68" xfId="0" applyBorder="1" applyAlignment="1">
      <alignment horizontal="center" vertical="center" wrapText="1"/>
    </xf>
    <xf numFmtId="9" fontId="0" fillId="0" borderId="75" xfId="0" applyNumberFormat="1" applyBorder="1" applyAlignment="1">
      <alignment horizontal="center" vertical="center"/>
    </xf>
    <xf numFmtId="0" fontId="0" fillId="0" borderId="71" xfId="0" applyBorder="1" applyAlignment="1">
      <alignment horizontal="left" vertical="top" wrapText="1" indent="1"/>
    </xf>
    <xf numFmtId="9" fontId="0" fillId="0" borderId="72" xfId="0" applyNumberFormat="1" applyBorder="1" applyAlignment="1">
      <alignment horizontal="center" vertical="center" wrapText="1"/>
    </xf>
    <xf numFmtId="0" fontId="0" fillId="0" borderId="74" xfId="0" applyBorder="1" applyAlignment="1">
      <alignment horizontal="left" vertical="top" wrapText="1" indent="1"/>
    </xf>
    <xf numFmtId="9" fontId="0" fillId="0" borderId="75" xfId="0" applyNumberFormat="1" applyBorder="1" applyAlignment="1">
      <alignment horizontal="center" vertical="center" wrapText="1"/>
    </xf>
    <xf numFmtId="167" fontId="0" fillId="0" borderId="72" xfId="1" applyNumberFormat="1" applyFont="1" applyBorder="1" applyAlignment="1">
      <alignment horizontal="center" vertical="center" wrapText="1"/>
    </xf>
    <xf numFmtId="167" fontId="0" fillId="0" borderId="75" xfId="1" applyNumberFormat="1" applyFont="1" applyBorder="1" applyAlignment="1">
      <alignment horizontal="center" vertical="center"/>
    </xf>
    <xf numFmtId="0" fontId="13" fillId="0" borderId="0" xfId="0" applyFont="1"/>
    <xf numFmtId="0" fontId="0" fillId="15" borderId="6" xfId="0" applyFill="1" applyBorder="1"/>
    <xf numFmtId="0" fontId="2" fillId="15" borderId="29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0" fillId="0" borderId="3" xfId="0" applyBorder="1"/>
    <xf numFmtId="4" fontId="0" fillId="0" borderId="3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quotePrefix="1" applyNumberFormat="1" applyBorder="1" applyAlignment="1">
      <alignment horizontal="right"/>
    </xf>
    <xf numFmtId="0" fontId="2" fillId="15" borderId="17" xfId="0" applyFont="1" applyFill="1" applyBorder="1"/>
    <xf numFmtId="0" fontId="2" fillId="15" borderId="25" xfId="0" applyFont="1" applyFill="1" applyBorder="1"/>
    <xf numFmtId="0" fontId="2" fillId="15" borderId="35" xfId="0" applyFont="1" applyFill="1" applyBorder="1" applyAlignment="1">
      <alignment horizontal="center"/>
    </xf>
    <xf numFmtId="0" fontId="2" fillId="15" borderId="31" xfId="0" applyFont="1" applyFill="1" applyBorder="1" applyAlignment="1">
      <alignment horizontal="center"/>
    </xf>
    <xf numFmtId="0" fontId="2" fillId="15" borderId="33" xfId="0" applyFont="1" applyFill="1" applyBorder="1" applyAlignment="1">
      <alignment horizontal="center"/>
    </xf>
    <xf numFmtId="3" fontId="0" fillId="0" borderId="64" xfId="0" applyNumberFormat="1" applyBorder="1"/>
    <xf numFmtId="0" fontId="2" fillId="15" borderId="53" xfId="0" applyFont="1" applyFill="1" applyBorder="1" applyAlignment="1">
      <alignment horizontal="center"/>
    </xf>
    <xf numFmtId="3" fontId="0" fillId="0" borderId="57" xfId="0" applyNumberFormat="1" applyBorder="1"/>
    <xf numFmtId="3" fontId="0" fillId="0" borderId="62" xfId="0" applyNumberFormat="1" applyBorder="1"/>
    <xf numFmtId="0" fontId="3" fillId="15" borderId="53" xfId="0" applyFont="1" applyFill="1" applyBorder="1"/>
    <xf numFmtId="0" fontId="3" fillId="15" borderId="65" xfId="0" applyFont="1" applyFill="1" applyBorder="1"/>
    <xf numFmtId="3" fontId="0" fillId="0" borderId="53" xfId="0" applyNumberFormat="1" applyBorder="1"/>
    <xf numFmtId="3" fontId="0" fillId="0" borderId="35" xfId="0" applyNumberFormat="1" applyBorder="1"/>
    <xf numFmtId="0" fontId="24" fillId="9" borderId="4" xfId="0" applyFont="1" applyFill="1" applyBorder="1" applyAlignment="1">
      <alignment horizontal="left" vertical="top"/>
    </xf>
    <xf numFmtId="0" fontId="24" fillId="0" borderId="4" xfId="0" applyFont="1" applyBorder="1" applyAlignment="1">
      <alignment horizontal="center" vertical="top"/>
    </xf>
    <xf numFmtId="0" fontId="24" fillId="0" borderId="4" xfId="0" applyFont="1" applyBorder="1" applyAlignment="1">
      <alignment horizontal="center"/>
    </xf>
    <xf numFmtId="0" fontId="24" fillId="9" borderId="5" xfId="0" applyFont="1" applyFill="1" applyBorder="1" applyAlignment="1">
      <alignment horizontal="left" vertical="top"/>
    </xf>
    <xf numFmtId="9" fontId="24" fillId="0" borderId="5" xfId="0" applyNumberFormat="1" applyFont="1" applyBorder="1" applyAlignment="1">
      <alignment horizontal="center" vertical="top"/>
    </xf>
    <xf numFmtId="9" fontId="24" fillId="0" borderId="5" xfId="0" applyNumberFormat="1" applyFont="1" applyBorder="1" applyAlignment="1">
      <alignment horizontal="center"/>
    </xf>
    <xf numFmtId="0" fontId="25" fillId="9" borderId="3" xfId="0" applyFont="1" applyFill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167" fontId="24" fillId="0" borderId="5" xfId="1" applyNumberFormat="1" applyFont="1" applyFill="1" applyBorder="1" applyAlignment="1">
      <alignment horizontal="center" vertical="top"/>
    </xf>
    <xf numFmtId="167" fontId="24" fillId="0" borderId="5" xfId="1" applyNumberFormat="1" applyFont="1" applyBorder="1" applyAlignment="1">
      <alignment horizontal="center"/>
    </xf>
    <xf numFmtId="0" fontId="26" fillId="0" borderId="0" xfId="0" applyFont="1"/>
    <xf numFmtId="0" fontId="0" fillId="0" borderId="36" xfId="0" applyBorder="1"/>
    <xf numFmtId="0" fontId="7" fillId="0" borderId="0" xfId="0" applyFont="1" applyAlignment="1">
      <alignment horizontal="left"/>
    </xf>
    <xf numFmtId="173" fontId="0" fillId="0" borderId="63" xfId="0" applyNumberFormat="1" applyBorder="1" applyProtection="1">
      <protection hidden="1"/>
    </xf>
    <xf numFmtId="0" fontId="7" fillId="0" borderId="13" xfId="0" applyFont="1" applyBorder="1" applyAlignment="1">
      <alignment horizontal="left"/>
    </xf>
    <xf numFmtId="173" fontId="0" fillId="0" borderId="1" xfId="0" applyNumberFormat="1" applyBorder="1" applyProtection="1">
      <protection hidden="1"/>
    </xf>
    <xf numFmtId="0" fontId="8" fillId="0" borderId="13" xfId="0" applyFont="1" applyBorder="1"/>
    <xf numFmtId="173" fontId="0" fillId="0" borderId="61" xfId="0" applyNumberFormat="1" applyBorder="1" applyProtection="1">
      <protection hidden="1"/>
    </xf>
    <xf numFmtId="173" fontId="0" fillId="0" borderId="5" xfId="0" applyNumberFormat="1" applyBorder="1" applyAlignment="1" applyProtection="1">
      <alignment horizontal="right"/>
      <protection hidden="1"/>
    </xf>
    <xf numFmtId="173" fontId="0" fillId="0" borderId="67" xfId="0" applyNumberFormat="1" applyBorder="1" applyProtection="1">
      <protection hidden="1"/>
    </xf>
    <xf numFmtId="167" fontId="0" fillId="0" borderId="51" xfId="1" applyNumberFormat="1" applyFont="1" applyFill="1" applyBorder="1" applyAlignment="1" applyProtection="1">
      <alignment horizontal="center"/>
      <protection hidden="1"/>
    </xf>
    <xf numFmtId="167" fontId="0" fillId="0" borderId="49" xfId="1" applyNumberFormat="1" applyFont="1" applyFill="1" applyBorder="1" applyAlignment="1" applyProtection="1">
      <alignment horizontal="center"/>
      <protection hidden="1"/>
    </xf>
    <xf numFmtId="167" fontId="0" fillId="0" borderId="6" xfId="1" applyNumberFormat="1" applyFont="1" applyFill="1" applyBorder="1" applyAlignment="1" applyProtection="1">
      <alignment horizontal="center"/>
      <protection hidden="1"/>
    </xf>
    <xf numFmtId="167" fontId="0" fillId="0" borderId="55" xfId="1" applyNumberFormat="1" applyFont="1" applyFill="1" applyBorder="1" applyAlignment="1" applyProtection="1">
      <alignment horizontal="center"/>
      <protection hidden="1"/>
    </xf>
    <xf numFmtId="167" fontId="0" fillId="0" borderId="68" xfId="1" applyNumberFormat="1" applyFont="1" applyFill="1" applyBorder="1" applyAlignment="1" applyProtection="1">
      <alignment horizontal="center"/>
      <protection hidden="1"/>
    </xf>
    <xf numFmtId="167" fontId="0" fillId="0" borderId="59" xfId="1" applyNumberFormat="1" applyFont="1" applyFill="1" applyBorder="1" applyAlignment="1" applyProtection="1">
      <alignment horizontal="center"/>
      <protection hidden="1"/>
    </xf>
    <xf numFmtId="167" fontId="0" fillId="0" borderId="41" xfId="1" applyNumberFormat="1" applyFont="1" applyFill="1" applyBorder="1" applyAlignment="1" applyProtection="1">
      <alignment horizontal="center"/>
      <protection hidden="1"/>
    </xf>
    <xf numFmtId="167" fontId="0" fillId="0" borderId="42" xfId="1" applyNumberFormat="1" applyFont="1" applyFill="1" applyBorder="1" applyAlignment="1" applyProtection="1">
      <alignment horizontal="center"/>
      <protection hidden="1"/>
    </xf>
    <xf numFmtId="0" fontId="7" fillId="18" borderId="76" xfId="0" applyFont="1" applyFill="1" applyBorder="1"/>
    <xf numFmtId="0" fontId="7" fillId="6" borderId="76" xfId="0" applyFont="1" applyFill="1" applyBorder="1"/>
    <xf numFmtId="0" fontId="7" fillId="0" borderId="0" xfId="0" applyFont="1" applyAlignment="1">
      <alignment horizontal="left" vertical="top"/>
    </xf>
    <xf numFmtId="0" fontId="0" fillId="18" borderId="3" xfId="0" applyFill="1" applyBorder="1" applyAlignment="1">
      <alignment horizontal="left" vertical="top" wrapText="1"/>
    </xf>
    <xf numFmtId="0" fontId="0" fillId="0" borderId="77" xfId="0" applyBorder="1"/>
    <xf numFmtId="0" fontId="0" fillId="6" borderId="78" xfId="0" applyFill="1" applyBorder="1" applyAlignment="1">
      <alignment horizontal="left" vertical="top" wrapText="1"/>
    </xf>
    <xf numFmtId="0" fontId="0" fillId="18" borderId="78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18" borderId="2" xfId="0" applyFill="1" applyBorder="1" applyAlignment="1">
      <alignment horizontal="left" vertical="top" wrapText="1"/>
    </xf>
    <xf numFmtId="0" fontId="0" fillId="6" borderId="30" xfId="0" applyFill="1" applyBorder="1" applyAlignment="1">
      <alignment horizontal="left" vertical="top" wrapText="1"/>
    </xf>
    <xf numFmtId="0" fontId="0" fillId="18" borderId="76" xfId="0" applyFill="1" applyBorder="1" applyAlignment="1">
      <alignment horizontal="left" vertical="top" wrapText="1"/>
    </xf>
    <xf numFmtId="0" fontId="0" fillId="6" borderId="76" xfId="0" applyFill="1" applyBorder="1" applyAlignment="1">
      <alignment horizontal="left" vertical="top" wrapText="1"/>
    </xf>
    <xf numFmtId="0" fontId="13" fillId="13" borderId="0" xfId="8" applyFont="1" applyFill="1" applyAlignment="1">
      <alignment horizontal="left"/>
    </xf>
    <xf numFmtId="173" fontId="0" fillId="0" borderId="63" xfId="0" applyNumberFormat="1" applyFill="1" applyBorder="1" applyProtection="1">
      <protection hidden="1"/>
    </xf>
    <xf numFmtId="173" fontId="0" fillId="0" borderId="1" xfId="0" applyNumberFormat="1" applyFill="1" applyBorder="1" applyProtection="1">
      <protection hidden="1"/>
    </xf>
    <xf numFmtId="173" fontId="0" fillId="0" borderId="61" xfId="0" applyNumberFormat="1" applyFill="1" applyBorder="1" applyProtection="1">
      <protection hidden="1"/>
    </xf>
    <xf numFmtId="173" fontId="0" fillId="0" borderId="5" xfId="0" applyNumberFormat="1" applyFill="1" applyBorder="1" applyAlignment="1" applyProtection="1">
      <alignment horizontal="right"/>
      <protection hidden="1"/>
    </xf>
    <xf numFmtId="173" fontId="0" fillId="0" borderId="67" xfId="0" applyNumberFormat="1" applyFill="1" applyBorder="1" applyProtection="1">
      <protection hidden="1"/>
    </xf>
    <xf numFmtId="3" fontId="27" fillId="19" borderId="79" xfId="7" applyNumberFormat="1" applyAlignment="1">
      <alignment horizontal="right"/>
    </xf>
    <xf numFmtId="0" fontId="0" fillId="0" borderId="70" xfId="0" applyBorder="1" applyAlignment="1">
      <alignment horizontal="left" vertical="top" wrapText="1" indent="1"/>
    </xf>
    <xf numFmtId="0" fontId="0" fillId="0" borderId="73" xfId="0" applyBorder="1" applyAlignment="1">
      <alignment horizontal="left" vertical="top" wrapText="1" indent="1"/>
    </xf>
  </cellXfs>
  <cellStyles count="9">
    <cellStyle name="Comma 2" xfId="3" xr:uid="{00000000-0005-0000-0000-000000000000}"/>
    <cellStyle name="Entrada" xfId="7" builtinId="20"/>
    <cellStyle name="Normal" xfId="0" builtinId="0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Percentagem" xfId="1" builtinId="5"/>
    <cellStyle name="Texto de Aviso" xfId="8" builtinId="11"/>
    <cellStyle name="Vírgula 2" xfId="2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3" formatCode="0%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2</xdr:row>
      <xdr:rowOff>57149</xdr:rowOff>
    </xdr:from>
    <xdr:to>
      <xdr:col>6</xdr:col>
      <xdr:colOff>378216</xdr:colOff>
      <xdr:row>6</xdr:row>
      <xdr:rowOff>114081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B4E8FC-4467-4D03-8914-40AE682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" y="430529"/>
          <a:ext cx="2938536" cy="7865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1:E155" totalsRowShown="0" headerRowDxfId="46" dataDxfId="44" headerRowBorderDxfId="45" tableBorderDxfId="43" totalsRowBorderDxfId="42">
  <autoFilter ref="A1:E155" xr:uid="{00000000-0009-0000-0100-000001000000}"/>
  <tableColumns count="5">
    <tableColumn id="1" xr3:uid="{00000000-0010-0000-0100-000001000000}" name="Point ID" dataDxfId="41"/>
    <tableColumn id="2" xr3:uid="{00000000-0010-0000-0100-000002000000}" name="Point designation" dataDxfId="40"/>
    <tableColumn id="3" xr3:uid="{00000000-0010-0000-0100-000003000000}" name="Designation by TSO" dataDxfId="39"/>
    <tableColumn id="4" xr3:uid="{00000000-0010-0000-0100-000004000000}" name="Entry point?" dataDxfId="38"/>
    <tableColumn id="5" xr3:uid="{00000000-0010-0000-0100-000005000000}" name="Exit point?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A1:I155" totalsRowShown="0" headerRowDxfId="36" dataDxfId="34" headerRowBorderDxfId="35" tableBorderDxfId="33" totalsRowBorderDxfId="32">
  <autoFilter ref="A1:I155" xr:uid="{00000000-0009-0000-0100-000002000000}"/>
  <tableColumns count="9">
    <tableColumn id="1" xr3:uid="{00000000-0010-0000-0200-000001000000}" name="Point ID start" dataDxfId="31"/>
    <tableColumn id="2" xr3:uid="{00000000-0010-0000-0200-000002000000}" name="Point ID end" dataDxfId="30"/>
    <tableColumn id="3" xr3:uid="{00000000-0010-0000-0200-000003000000}" name="Distance [km]" dataDxfId="29"/>
    <tableColumn id="4" xr3:uid="{00000000-0010-0000-0200-000004000000}" name="E/X system" dataDxfId="28"/>
    <tableColumn id="5" xr3:uid="{00000000-0010-0000-0200-000005000000}" name="Trunk?" dataDxfId="27"/>
    <tableColumn id="6" xr3:uid="{00000000-0010-0000-0200-000006000000}" name="Bi-directional?" dataDxfId="26"/>
    <tableColumn id="7" xr3:uid="{00000000-0010-0000-0200-000007000000}" name="Instrumental?" dataDxfId="25"/>
    <tableColumn id="8" xr3:uid="{00000000-0010-0000-0200-000008000000}" name="Lote" dataDxfId="24"/>
    <tableColumn id="9" xr3:uid="{00000000-0010-0000-0200-000009000000}" name="Comments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a3" displayName="Tabela3" ref="A1:C5" totalsRowShown="0" headerRowDxfId="22" dataDxfId="21">
  <autoFilter ref="A1:C5" xr:uid="{00000000-0009-0000-0100-000003000000}"/>
  <tableColumns count="3">
    <tableColumn id="1" xr3:uid="{00000000-0010-0000-0300-000001000000}" name="Parameter" dataDxfId="20"/>
    <tableColumn id="2" xr3:uid="{00000000-0010-0000-0300-000002000000}" name="Assumption for RPM" dataDxfId="19"/>
    <tableColumn id="3" xr3:uid="{00000000-0010-0000-0300-000003000000}" name="Note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RS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4C03-94CD-4CD5-8B0E-319B478E1E24}">
  <sheetPr>
    <tabColor theme="5"/>
  </sheetPr>
  <dimension ref="A1:U37"/>
  <sheetViews>
    <sheetView showGridLines="0" showRowColHeaders="0" tabSelected="1" zoomScaleNormal="100" workbookViewId="0">
      <selection activeCell="R3" sqref="R3"/>
    </sheetView>
  </sheetViews>
  <sheetFormatPr defaultColWidth="0" defaultRowHeight="14.4" customHeight="1" zeroHeight="1"/>
  <cols>
    <col min="1" max="2" width="3.6640625" style="135" customWidth="1"/>
    <col min="3" max="3" width="9.44140625" style="135" customWidth="1"/>
    <col min="4" max="4" width="10.88671875" style="135" bestFit="1" customWidth="1"/>
    <col min="5" max="10" width="9.109375" style="135" customWidth="1"/>
    <col min="11" max="11" width="17.88671875" style="135" customWidth="1"/>
    <col min="12" max="17" width="9.109375" style="135" customWidth="1"/>
    <col min="18" max="18" width="13.33203125" style="135" customWidth="1"/>
    <col min="19" max="19" width="9.109375" style="135" customWidth="1"/>
    <col min="20" max="20" width="3.6640625" style="135" customWidth="1"/>
    <col min="21" max="21" width="9.109375" style="135" customWidth="1"/>
    <col min="22" max="16384" width="9.109375" style="135" hidden="1"/>
  </cols>
  <sheetData>
    <row r="1" spans="1:21" s="136" customForma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s="136" customFormat="1" ht="15" thickBot="1">
      <c r="A2" s="135"/>
      <c r="U2" s="135"/>
    </row>
    <row r="3" spans="1:21" s="136" customFormat="1" ht="15" thickBot="1">
      <c r="A3" s="135"/>
      <c r="Q3" s="137" t="s">
        <v>649</v>
      </c>
      <c r="R3" s="138" t="s">
        <v>681</v>
      </c>
      <c r="U3" s="135"/>
    </row>
    <row r="4" spans="1:21" s="136" customFormat="1">
      <c r="A4" s="135"/>
      <c r="U4" s="135"/>
    </row>
    <row r="5" spans="1:21" s="136" customFormat="1">
      <c r="A5" s="135"/>
      <c r="Q5" s="139" t="str">
        <f>+Labels!B19</f>
        <v>Last update:</v>
      </c>
      <c r="R5" s="140">
        <v>45898</v>
      </c>
      <c r="U5" s="135"/>
    </row>
    <row r="6" spans="1:21" s="136" customFormat="1">
      <c r="A6" s="135"/>
      <c r="U6" s="135"/>
    </row>
    <row r="7" spans="1:21" s="136" customFormat="1">
      <c r="A7" s="135"/>
      <c r="U7" s="135"/>
    </row>
    <row r="8" spans="1:21" s="136" customFormat="1">
      <c r="A8" s="135"/>
      <c r="U8" s="135"/>
    </row>
    <row r="9" spans="1:21" s="136" customFormat="1" ht="23.4">
      <c r="A9" s="135"/>
      <c r="C9" s="141" t="str">
        <f>+Labels!B3</f>
        <v>Transmission tariffs for natural gas</v>
      </c>
      <c r="U9" s="135"/>
    </row>
    <row r="10" spans="1:21" s="136" customFormat="1" ht="23.4">
      <c r="A10" s="135"/>
      <c r="C10" s="142" t="str">
        <f>+Labels!B4</f>
        <v>Simplified tariff model</v>
      </c>
      <c r="U10" s="135"/>
    </row>
    <row r="11" spans="1:21" s="136" customFormat="1">
      <c r="A11" s="135"/>
      <c r="U11" s="135"/>
    </row>
    <row r="12" spans="1:21" s="136" customFormat="1">
      <c r="A12" s="135"/>
      <c r="C12" s="136" t="str">
        <f>+Labels!B5</f>
        <v>This simplified tariff model presents the transmission tariffs for natural gas since gas year 2025-2026 until gas year 2026-2027.</v>
      </c>
      <c r="U12" s="135"/>
    </row>
    <row r="13" spans="1:21" s="136" customFormat="1">
      <c r="A13" s="135"/>
      <c r="C13" s="136" t="str">
        <f>+Labels!B6</f>
        <v>All calculated data are for information purposes only.</v>
      </c>
      <c r="U13" s="135"/>
    </row>
    <row r="14" spans="1:21" s="136" customFormat="1">
      <c r="A14" s="135"/>
      <c r="C14" s="136" t="str">
        <f>+Labels!B7</f>
        <v>The calculated prices do not include value-added tax (VAT).</v>
      </c>
      <c r="U14" s="135"/>
    </row>
    <row r="15" spans="1:21" s="136" customFormat="1">
      <c r="A15" s="135"/>
      <c r="U15" s="135"/>
    </row>
    <row r="16" spans="1:21" s="136" customFormat="1">
      <c r="A16" s="135"/>
      <c r="U16" s="135"/>
    </row>
    <row r="17" spans="1:21" s="136" customFormat="1" ht="18.600000000000001" thickBot="1">
      <c r="A17" s="135"/>
      <c r="C17" s="143" t="str">
        <f>+Labels!B8</f>
        <v>Description of the simplified tariff model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U17" s="135"/>
    </row>
    <row r="18" spans="1:21" s="136" customFormat="1" ht="15" thickTop="1">
      <c r="A18" s="135"/>
      <c r="C18" s="136" t="str">
        <f>+Labels!B9</f>
        <v>This model includes two additional worksheets, with the following purposes:</v>
      </c>
      <c r="U18" s="135"/>
    </row>
    <row r="19" spans="1:21" s="136" customFormat="1">
      <c r="A19" s="135"/>
      <c r="U19" s="135"/>
    </row>
    <row r="20" spans="1:21" s="136" customFormat="1">
      <c r="A20" s="135"/>
      <c r="C20" s="145" t="str">
        <f>+Labels!B10</f>
        <v xml:space="preserve">Input - </v>
      </c>
      <c r="D20" s="136" t="str">
        <f>+Labels!B12</f>
        <v>This worksheet includes the allowed revenues of the transmission system operator and the forecasted capacity demand.</v>
      </c>
      <c r="U20" s="135"/>
    </row>
    <row r="21" spans="1:21" s="136" customFormat="1">
      <c r="A21" s="135"/>
      <c r="C21" s="145" t="str">
        <f>+Labels!B11</f>
        <v xml:space="preserve">Output - </v>
      </c>
      <c r="D21" s="136" t="str">
        <f>+Labels!B13</f>
        <v>This worksheet computes the transmission tariffs applicable for the use of the transmission system based on the values from the 'Input' worksheet.</v>
      </c>
      <c r="U21" s="135"/>
    </row>
    <row r="22" spans="1:21" s="136" customFormat="1">
      <c r="A22" s="135"/>
      <c r="U22" s="135"/>
    </row>
    <row r="23" spans="1:21" s="136" customFormat="1">
      <c r="A23" s="135"/>
      <c r="C23" s="136" t="str">
        <f>+Labels!B14</f>
        <v>The values that can be changed by the user are the yellow cells included in the 'Input' worksheet.</v>
      </c>
      <c r="U23" s="135"/>
    </row>
    <row r="24" spans="1:21" s="136" customFormat="1">
      <c r="A24" s="135"/>
      <c r="U24" s="135"/>
    </row>
    <row r="25" spans="1:21" s="136" customFormat="1">
      <c r="A25" s="135"/>
      <c r="U25" s="135"/>
    </row>
    <row r="26" spans="1:21" s="136" customFormat="1" ht="18.600000000000001" thickBot="1">
      <c r="A26" s="135"/>
      <c r="C26" s="143" t="str">
        <f>+Labels!B15</f>
        <v>Color legend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U26" s="135"/>
    </row>
    <row r="27" spans="1:21" s="136" customFormat="1" ht="15" thickTop="1">
      <c r="A27" s="135"/>
      <c r="U27" s="135"/>
    </row>
    <row r="28" spans="1:21" s="136" customFormat="1">
      <c r="A28" s="135"/>
      <c r="C28" s="146"/>
      <c r="D28" s="147" t="str">
        <f>+Labels!B16</f>
        <v>Yellow cells in the worksheet 'Input' correspond to the information used in the tariff approval for gas year 2025-2026.</v>
      </c>
      <c r="U28" s="135"/>
    </row>
    <row r="29" spans="1:21" s="136" customFormat="1">
      <c r="A29" s="135"/>
      <c r="D29" s="147" t="str">
        <f>+Labels!B17</f>
        <v>This information can be changed by the user in order to simulate what the transmission tariffs would have been equal to if demand or revenues were different.</v>
      </c>
      <c r="U29" s="135"/>
    </row>
    <row r="30" spans="1:21" s="136" customFormat="1">
      <c r="A30" s="135"/>
      <c r="C30" s="148"/>
      <c r="D30" s="147" t="str">
        <f>+Labels!B18</f>
        <v>Green cells in the worksheet 'Output' are computed based on the values entered in the yellow cells in the 'Input' worksheet.</v>
      </c>
      <c r="U30" s="135"/>
    </row>
    <row r="31" spans="1:21" s="136" customFormat="1">
      <c r="A31" s="135"/>
      <c r="U31" s="135"/>
    </row>
    <row r="32" spans="1:21" s="136" customFormat="1">
      <c r="A32" s="135"/>
      <c r="U32" s="135"/>
    </row>
    <row r="33" spans="1:21" s="136" customFormat="1">
      <c r="A33" s="135"/>
      <c r="U33" s="135"/>
    </row>
    <row r="34" spans="1:21" s="136" customFormat="1">
      <c r="A34" s="135"/>
      <c r="U34" s="135"/>
    </row>
    <row r="35" spans="1:21" s="136" customForma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</row>
    <row r="36" spans="1:21"/>
    <row r="37" spans="1:21"/>
  </sheetData>
  <sheetProtection selectLockedCells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ECE182-37B7-433A-A588-113777238888}">
          <x14:formula1>
            <xm:f>Labels!$D$2:$E$2</xm:f>
          </x14:formula1>
          <xm:sqref>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F184-6FA8-44A0-9631-F1CE7D9731A3}">
  <sheetPr>
    <tabColor theme="5"/>
  </sheetPr>
  <dimension ref="A1:W43"/>
  <sheetViews>
    <sheetView showGridLines="0" zoomScale="90" zoomScaleNormal="90" workbookViewId="0"/>
  </sheetViews>
  <sheetFormatPr defaultColWidth="0" defaultRowHeight="0" customHeight="1" zeroHeight="1"/>
  <cols>
    <col min="1" max="1" width="3.6640625" style="1" customWidth="1"/>
    <col min="2" max="2" width="2.88671875" style="1" customWidth="1"/>
    <col min="3" max="3" width="11" style="1" customWidth="1"/>
    <col min="4" max="4" width="39.88671875" style="1" customWidth="1"/>
    <col min="5" max="5" width="66" style="1" customWidth="1"/>
    <col min="6" max="6" width="3.6640625" style="1" customWidth="1"/>
    <col min="7" max="8" width="13.88671875" style="1" customWidth="1"/>
    <col min="9" max="9" width="3.6640625" style="1" customWidth="1"/>
    <col min="10" max="10" width="10.44140625" style="1" customWidth="1"/>
    <col min="11" max="12" width="3.6640625" style="1" customWidth="1"/>
    <col min="13" max="13" width="1.6640625" style="149" customWidth="1"/>
    <col min="14" max="14" width="5.6640625" style="149" customWidth="1"/>
    <col min="15" max="15" width="49.6640625" style="149" customWidth="1"/>
    <col min="16" max="16" width="1.6640625" style="149" customWidth="1"/>
    <col min="17" max="17" width="3.6640625" style="149" customWidth="1"/>
    <col min="18" max="19" width="9.109375" style="1" hidden="1" customWidth="1"/>
    <col min="20" max="20" width="3.6640625" style="1" hidden="1" customWidth="1"/>
    <col min="21" max="21" width="9.109375" style="1" hidden="1" customWidth="1"/>
    <col min="22" max="23" width="3.6640625" style="1" hidden="1" customWidth="1"/>
    <col min="24" max="16384" width="9.109375" style="1" hidden="1"/>
  </cols>
  <sheetData>
    <row r="1" spans="1:16" ht="15" customHeight="1" thickBo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6" ht="18.600000000000001" thickBot="1">
      <c r="A2" s="149"/>
      <c r="B2" s="150" t="str">
        <f>+Labels!B20</f>
        <v>Allowed revenues</v>
      </c>
      <c r="C2" s="151"/>
      <c r="D2" s="151"/>
      <c r="E2" s="151"/>
      <c r="F2" s="151"/>
      <c r="G2" s="151"/>
      <c r="H2" s="151"/>
      <c r="I2" s="151"/>
      <c r="J2" s="151"/>
      <c r="K2" s="152"/>
      <c r="L2" s="149"/>
    </row>
    <row r="3" spans="1:16" ht="16.2" thickBot="1">
      <c r="A3" s="149"/>
      <c r="B3" s="153"/>
      <c r="C3" s="154"/>
      <c r="D3" s="154"/>
      <c r="E3" s="154"/>
      <c r="F3" s="154"/>
      <c r="G3" s="155" t="s">
        <v>651</v>
      </c>
      <c r="H3" s="155" t="s">
        <v>652</v>
      </c>
      <c r="I3" s="156"/>
      <c r="J3" s="156"/>
      <c r="K3" s="157"/>
      <c r="L3" s="149"/>
      <c r="M3" s="158"/>
      <c r="N3" s="159"/>
      <c r="O3" s="160"/>
      <c r="P3" s="161"/>
    </row>
    <row r="4" spans="1:16" ht="15" thickBot="1">
      <c r="A4" s="149"/>
      <c r="B4" s="153"/>
      <c r="C4" s="154"/>
      <c r="D4" s="162" t="str">
        <f>+Labels!B21</f>
        <v>Allowed revenues of the transmission system operator</v>
      </c>
      <c r="E4" s="163"/>
      <c r="F4" s="164"/>
      <c r="G4" s="165">
        <f>'Input data'!D7</f>
        <v>70657477.91176337</v>
      </c>
      <c r="H4" s="166">
        <v>70657477.91176337</v>
      </c>
      <c r="I4" s="167"/>
      <c r="J4" s="167"/>
      <c r="K4" s="157"/>
      <c r="L4" s="149"/>
      <c r="M4" s="168"/>
      <c r="N4" s="169"/>
      <c r="O4" s="170" t="str">
        <f>+Labels!B49</f>
        <v>Yellow cells can be changed by the user</v>
      </c>
      <c r="P4" s="171"/>
    </row>
    <row r="5" spans="1:16" ht="15" thickBot="1">
      <c r="A5" s="149"/>
      <c r="B5" s="172"/>
      <c r="C5" s="173"/>
      <c r="D5" s="173"/>
      <c r="E5" s="173"/>
      <c r="F5" s="173"/>
      <c r="G5" s="174"/>
      <c r="H5" s="173"/>
      <c r="I5" s="173"/>
      <c r="J5" s="173"/>
      <c r="K5" s="175"/>
      <c r="L5" s="149"/>
      <c r="M5" s="176"/>
      <c r="N5" s="177"/>
      <c r="O5" s="177"/>
      <c r="P5" s="178"/>
    </row>
    <row r="6" spans="1:16" ht="15" customHeight="1" thickBo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6" ht="18">
      <c r="A7" s="149"/>
      <c r="B7" s="150" t="str">
        <f>+Labels!B22</f>
        <v>Forecasted capacity demand</v>
      </c>
      <c r="C7" s="151"/>
      <c r="D7" s="151"/>
      <c r="E7" s="151"/>
      <c r="F7" s="151"/>
      <c r="G7" s="151"/>
      <c r="H7" s="151"/>
      <c r="I7" s="151"/>
      <c r="J7" s="151"/>
      <c r="K7" s="152"/>
      <c r="L7" s="149"/>
    </row>
    <row r="8" spans="1:16" ht="15" thickBot="1">
      <c r="A8" s="149"/>
      <c r="B8" s="153"/>
      <c r="C8" s="154"/>
      <c r="D8" s="154"/>
      <c r="E8" s="154"/>
      <c r="F8" s="154"/>
      <c r="G8" s="154"/>
      <c r="H8" s="154"/>
      <c r="I8" s="154"/>
      <c r="J8" s="154"/>
      <c r="K8" s="157"/>
      <c r="L8" s="149"/>
    </row>
    <row r="9" spans="1:16" ht="15" thickBot="1">
      <c r="A9" s="149"/>
      <c r="B9" s="153"/>
      <c r="C9" s="154"/>
      <c r="D9" s="179" t="str">
        <f>+Labels!B23</f>
        <v>Point</v>
      </c>
      <c r="E9" s="180" t="str">
        <f>+Labels!B24</f>
        <v>Product</v>
      </c>
      <c r="F9" s="154"/>
      <c r="G9" s="155" t="str">
        <f>+G3</f>
        <v>2025-2026</v>
      </c>
      <c r="H9" s="155" t="str">
        <f t="shared" ref="H9" si="0">+H3</f>
        <v>2026-2027</v>
      </c>
      <c r="I9" s="154"/>
      <c r="J9" s="181" t="str">
        <f>+Labels!B46</f>
        <v>Unit</v>
      </c>
      <c r="K9" s="157"/>
      <c r="L9" s="149"/>
    </row>
    <row r="10" spans="1:16" ht="14.4">
      <c r="A10" s="149"/>
      <c r="B10" s="153"/>
      <c r="C10" s="182" t="str">
        <f>+Labels!B25</f>
        <v>Entry</v>
      </c>
      <c r="D10" s="183" t="str">
        <f>+Labels!B27</f>
        <v>VIP Iberico</v>
      </c>
      <c r="E10" s="184" t="str">
        <f>+Labels!B33</f>
        <v>Yearly</v>
      </c>
      <c r="F10" s="164"/>
      <c r="G10" s="185">
        <f>'Input data'!D20</f>
        <v>8676558</v>
      </c>
      <c r="H10" s="186">
        <v>8676558</v>
      </c>
      <c r="I10" s="187"/>
      <c r="J10" s="188" t="str">
        <f>+Labels!B47</f>
        <v>kWh/day</v>
      </c>
      <c r="K10" s="157"/>
      <c r="L10" s="149"/>
    </row>
    <row r="11" spans="1:16" ht="14.4">
      <c r="A11" s="149"/>
      <c r="B11" s="153"/>
      <c r="C11" s="189"/>
      <c r="D11" s="190"/>
      <c r="E11" s="191" t="str">
        <f>+Labels!B34</f>
        <v>Quarterly</v>
      </c>
      <c r="F11" s="154"/>
      <c r="G11" s="192">
        <f>'Input data'!D21</f>
        <v>1596384</v>
      </c>
      <c r="H11" s="193">
        <v>1596384</v>
      </c>
      <c r="I11" s="154"/>
      <c r="J11" s="194" t="str">
        <f>+$J$10</f>
        <v>kWh/day</v>
      </c>
      <c r="K11" s="157"/>
      <c r="L11" s="149"/>
    </row>
    <row r="12" spans="1:16" ht="14.4">
      <c r="A12" s="149"/>
      <c r="B12" s="153"/>
      <c r="C12" s="189"/>
      <c r="D12" s="190"/>
      <c r="E12" s="191" t="str">
        <f>+Labels!B35</f>
        <v>Monthly</v>
      </c>
      <c r="F12" s="195"/>
      <c r="G12" s="192">
        <f>'Input data'!D22</f>
        <v>2512022</v>
      </c>
      <c r="H12" s="193">
        <v>2512022</v>
      </c>
      <c r="I12" s="196"/>
      <c r="J12" s="194" t="str">
        <f t="shared" ref="J12:J41" si="1">+$J$10</f>
        <v>kWh/day</v>
      </c>
      <c r="K12" s="157"/>
      <c r="L12" s="149"/>
    </row>
    <row r="13" spans="1:16" ht="14.4">
      <c r="A13" s="149"/>
      <c r="B13" s="153"/>
      <c r="C13" s="189"/>
      <c r="D13" s="190"/>
      <c r="E13" s="191" t="str">
        <f>+Labels!B36</f>
        <v>Daily</v>
      </c>
      <c r="F13" s="195"/>
      <c r="G13" s="192">
        <f>'Input data'!D23</f>
        <v>2568168.3524590163</v>
      </c>
      <c r="H13" s="193">
        <v>2568168.3524590163</v>
      </c>
      <c r="I13" s="195"/>
      <c r="J13" s="194" t="str">
        <f t="shared" si="1"/>
        <v>kWh/day</v>
      </c>
      <c r="K13" s="157"/>
      <c r="L13" s="149"/>
    </row>
    <row r="14" spans="1:16" ht="15" thickBot="1">
      <c r="A14" s="149"/>
      <c r="B14" s="153"/>
      <c r="C14" s="189"/>
      <c r="D14" s="197"/>
      <c r="E14" s="198" t="str">
        <f>+Labels!B37</f>
        <v>Intraday</v>
      </c>
      <c r="F14" s="164"/>
      <c r="G14" s="199">
        <f>'Input data'!D24</f>
        <v>390410.33879781421</v>
      </c>
      <c r="H14" s="200">
        <v>390410.33879781421</v>
      </c>
      <c r="I14" s="187"/>
      <c r="J14" s="201" t="str">
        <f t="shared" si="1"/>
        <v>kWh/day</v>
      </c>
      <c r="K14" s="157"/>
      <c r="L14" s="149"/>
    </row>
    <row r="15" spans="1:16" ht="14.4">
      <c r="A15" s="149"/>
      <c r="B15" s="153"/>
      <c r="C15" s="189"/>
      <c r="D15" s="183" t="str">
        <f>+Labels!B28</f>
        <v>LNG terminal</v>
      </c>
      <c r="E15" s="184" t="str">
        <f>+E10</f>
        <v>Yearly</v>
      </c>
      <c r="F15" s="154"/>
      <c r="G15" s="185">
        <f>'Input data'!D25</f>
        <v>182000000</v>
      </c>
      <c r="H15" s="186">
        <v>182000000</v>
      </c>
      <c r="I15" s="154"/>
      <c r="J15" s="202" t="str">
        <f t="shared" si="1"/>
        <v>kWh/day</v>
      </c>
      <c r="K15" s="157"/>
      <c r="L15" s="149"/>
    </row>
    <row r="16" spans="1:16" ht="14.4">
      <c r="A16" s="149"/>
      <c r="B16" s="153"/>
      <c r="C16" s="189"/>
      <c r="D16" s="190"/>
      <c r="E16" s="191" t="str">
        <f t="shared" ref="E16:E19" si="2">+E11</f>
        <v>Quarterly</v>
      </c>
      <c r="F16" s="195"/>
      <c r="G16" s="192">
        <f>'Input data'!D26</f>
        <v>0</v>
      </c>
      <c r="H16" s="193">
        <v>0</v>
      </c>
      <c r="I16" s="196"/>
      <c r="J16" s="194" t="str">
        <f t="shared" si="1"/>
        <v>kWh/day</v>
      </c>
      <c r="K16" s="157"/>
      <c r="L16" s="149"/>
    </row>
    <row r="17" spans="1:12" ht="14.4">
      <c r="A17" s="149"/>
      <c r="B17" s="153"/>
      <c r="C17" s="189"/>
      <c r="D17" s="190"/>
      <c r="E17" s="191" t="str">
        <f t="shared" si="2"/>
        <v>Monthly</v>
      </c>
      <c r="F17" s="195"/>
      <c r="G17" s="192">
        <f>'Input data'!D27</f>
        <v>0</v>
      </c>
      <c r="H17" s="193">
        <v>0</v>
      </c>
      <c r="I17" s="195"/>
      <c r="J17" s="194" t="str">
        <f t="shared" si="1"/>
        <v>kWh/day</v>
      </c>
      <c r="K17" s="157"/>
      <c r="L17" s="149"/>
    </row>
    <row r="18" spans="1:12" ht="14.4">
      <c r="A18" s="149"/>
      <c r="B18" s="153"/>
      <c r="C18" s="189"/>
      <c r="D18" s="190"/>
      <c r="E18" s="191" t="str">
        <f t="shared" si="2"/>
        <v>Daily</v>
      </c>
      <c r="F18" s="164"/>
      <c r="G18" s="192">
        <f>'Input data'!D28</f>
        <v>16422.295081967215</v>
      </c>
      <c r="H18" s="193">
        <v>16422.295081967215</v>
      </c>
      <c r="I18" s="187"/>
      <c r="J18" s="194" t="str">
        <f t="shared" si="1"/>
        <v>kWh/day</v>
      </c>
      <c r="K18" s="157"/>
      <c r="L18" s="149"/>
    </row>
    <row r="19" spans="1:12" ht="15" thickBot="1">
      <c r="A19" s="149"/>
      <c r="B19" s="153"/>
      <c r="C19" s="189"/>
      <c r="D19" s="197"/>
      <c r="E19" s="198" t="str">
        <f t="shared" si="2"/>
        <v>Intraday</v>
      </c>
      <c r="F19" s="154"/>
      <c r="G19" s="199">
        <f>'Input data'!D29</f>
        <v>180266.40163934426</v>
      </c>
      <c r="H19" s="200">
        <v>180266.40163934426</v>
      </c>
      <c r="I19" s="154"/>
      <c r="J19" s="201" t="str">
        <f t="shared" si="1"/>
        <v>kWh/day</v>
      </c>
      <c r="K19" s="157"/>
      <c r="L19" s="149"/>
    </row>
    <row r="20" spans="1:12" ht="14.4">
      <c r="A20" s="149"/>
      <c r="B20" s="153"/>
      <c r="C20" s="189"/>
      <c r="D20" s="183" t="str">
        <f>+Labels!B29</f>
        <v>Underground Storage</v>
      </c>
      <c r="E20" s="184" t="str">
        <f>+E13</f>
        <v>Daily</v>
      </c>
      <c r="F20" s="195"/>
      <c r="G20" s="185">
        <f>'Input data'!D30</f>
        <v>4951057.1361363269</v>
      </c>
      <c r="H20" s="186">
        <v>4951057.1361363269</v>
      </c>
      <c r="I20" s="196"/>
      <c r="J20" s="202" t="str">
        <f t="shared" si="1"/>
        <v>kWh/day</v>
      </c>
      <c r="K20" s="157"/>
      <c r="L20" s="149"/>
    </row>
    <row r="21" spans="1:12" ht="15" thickBot="1">
      <c r="A21" s="149"/>
      <c r="B21" s="153"/>
      <c r="C21" s="203"/>
      <c r="D21" s="197"/>
      <c r="E21" s="198" t="str">
        <f>+E14</f>
        <v>Intraday</v>
      </c>
      <c r="F21" s="195"/>
      <c r="G21" s="199">
        <f>'Input data'!D31</f>
        <v>1918358.1253384296</v>
      </c>
      <c r="H21" s="200">
        <v>1918358.1253384296</v>
      </c>
      <c r="I21" s="195"/>
      <c r="J21" s="201" t="str">
        <f t="shared" si="1"/>
        <v>kWh/day</v>
      </c>
      <c r="K21" s="157"/>
      <c r="L21" s="149"/>
    </row>
    <row r="22" spans="1:12" ht="15" thickBot="1">
      <c r="A22" s="149"/>
      <c r="B22" s="153"/>
      <c r="C22" s="204"/>
      <c r="D22" s="190" t="str">
        <f>+Labels!B30</f>
        <v>Gas producers</v>
      </c>
      <c r="E22" s="205" t="str">
        <f>+Labels!B38</f>
        <v>Used capacity at injection</v>
      </c>
      <c r="F22" s="195"/>
      <c r="G22" s="206">
        <f>'Input data'!D32</f>
        <v>1</v>
      </c>
      <c r="H22" s="207">
        <v>1</v>
      </c>
      <c r="I22" s="195"/>
      <c r="J22" s="208" t="str">
        <f t="shared" si="1"/>
        <v>kWh/day</v>
      </c>
      <c r="K22" s="157"/>
      <c r="L22" s="149"/>
    </row>
    <row r="23" spans="1:12" ht="14.4">
      <c r="A23" s="149"/>
      <c r="B23" s="153"/>
      <c r="C23" s="182" t="str">
        <f>+Labels!B26</f>
        <v>Exit</v>
      </c>
      <c r="D23" s="183" t="str">
        <f>+D10</f>
        <v>VIP Iberico</v>
      </c>
      <c r="E23" s="184" t="str">
        <f>+E10</f>
        <v>Yearly</v>
      </c>
      <c r="F23" s="164"/>
      <c r="G23" s="185">
        <f>'Input data'!D65</f>
        <v>0</v>
      </c>
      <c r="H23" s="186">
        <v>0</v>
      </c>
      <c r="I23" s="187"/>
      <c r="J23" s="202" t="str">
        <f t="shared" si="1"/>
        <v>kWh/day</v>
      </c>
      <c r="K23" s="157"/>
      <c r="L23" s="149"/>
    </row>
    <row r="24" spans="1:12" ht="14.4">
      <c r="A24" s="149"/>
      <c r="B24" s="153"/>
      <c r="C24" s="203"/>
      <c r="D24" s="190"/>
      <c r="E24" s="191" t="str">
        <f t="shared" ref="E24:E34" si="3">+E11</f>
        <v>Quarterly</v>
      </c>
      <c r="F24" s="154"/>
      <c r="G24" s="192">
        <f>'Input data'!D66</f>
        <v>0</v>
      </c>
      <c r="H24" s="193">
        <v>0</v>
      </c>
      <c r="I24" s="154"/>
      <c r="J24" s="194" t="str">
        <f t="shared" si="1"/>
        <v>kWh/day</v>
      </c>
      <c r="K24" s="157"/>
      <c r="L24" s="149"/>
    </row>
    <row r="25" spans="1:12" ht="14.4">
      <c r="A25" s="149"/>
      <c r="B25" s="153"/>
      <c r="C25" s="203"/>
      <c r="D25" s="190"/>
      <c r="E25" s="191" t="str">
        <f t="shared" si="3"/>
        <v>Monthly</v>
      </c>
      <c r="F25" s="195"/>
      <c r="G25" s="192">
        <f>'Input data'!D67</f>
        <v>13013032</v>
      </c>
      <c r="H25" s="193">
        <v>13013032</v>
      </c>
      <c r="I25" s="196"/>
      <c r="J25" s="194" t="str">
        <f t="shared" si="1"/>
        <v>kWh/day</v>
      </c>
      <c r="K25" s="157"/>
      <c r="L25" s="149"/>
    </row>
    <row r="26" spans="1:12" ht="14.4">
      <c r="A26" s="149"/>
      <c r="B26" s="153"/>
      <c r="C26" s="203"/>
      <c r="D26" s="190"/>
      <c r="E26" s="191" t="str">
        <f t="shared" si="3"/>
        <v>Daily</v>
      </c>
      <c r="F26" s="195"/>
      <c r="G26" s="192">
        <f>'Input data'!D68</f>
        <v>31102189</v>
      </c>
      <c r="H26" s="193">
        <v>31102189</v>
      </c>
      <c r="I26" s="195"/>
      <c r="J26" s="194" t="str">
        <f t="shared" si="1"/>
        <v>kWh/day</v>
      </c>
      <c r="K26" s="157"/>
      <c r="L26" s="149"/>
    </row>
    <row r="27" spans="1:12" ht="15" thickBot="1">
      <c r="A27" s="149"/>
      <c r="B27" s="153"/>
      <c r="C27" s="203"/>
      <c r="D27" s="197"/>
      <c r="E27" s="198" t="str">
        <f t="shared" si="3"/>
        <v>Intraday</v>
      </c>
      <c r="F27" s="164"/>
      <c r="G27" s="199">
        <f>'Input data'!D69</f>
        <v>111340</v>
      </c>
      <c r="H27" s="200">
        <v>111340</v>
      </c>
      <c r="I27" s="187"/>
      <c r="J27" s="201" t="str">
        <f t="shared" si="1"/>
        <v>kWh/day</v>
      </c>
      <c r="K27" s="157"/>
      <c r="L27" s="149"/>
    </row>
    <row r="28" spans="1:12" ht="14.4">
      <c r="A28" s="149"/>
      <c r="B28" s="153"/>
      <c r="C28" s="203"/>
      <c r="D28" s="183" t="str">
        <f>+D15</f>
        <v>LNG terminal</v>
      </c>
      <c r="E28" s="184" t="str">
        <f t="shared" si="3"/>
        <v>Yearly</v>
      </c>
      <c r="F28" s="154"/>
      <c r="G28" s="185">
        <f>'Input data'!D70</f>
        <v>0</v>
      </c>
      <c r="H28" s="186">
        <v>0</v>
      </c>
      <c r="I28" s="154"/>
      <c r="J28" s="202" t="str">
        <f t="shared" si="1"/>
        <v>kWh/day</v>
      </c>
      <c r="K28" s="157"/>
      <c r="L28" s="149"/>
    </row>
    <row r="29" spans="1:12" ht="14.4">
      <c r="A29" s="149"/>
      <c r="B29" s="153"/>
      <c r="C29" s="203"/>
      <c r="D29" s="190"/>
      <c r="E29" s="191" t="str">
        <f t="shared" si="3"/>
        <v>Quarterly</v>
      </c>
      <c r="F29" s="195"/>
      <c r="G29" s="192">
        <f>'Input data'!D71</f>
        <v>0</v>
      </c>
      <c r="H29" s="193">
        <v>0</v>
      </c>
      <c r="I29" s="196"/>
      <c r="J29" s="194" t="str">
        <f t="shared" si="1"/>
        <v>kWh/day</v>
      </c>
      <c r="K29" s="157"/>
      <c r="L29" s="149"/>
    </row>
    <row r="30" spans="1:12" ht="14.4">
      <c r="A30" s="149"/>
      <c r="B30" s="153"/>
      <c r="C30" s="203"/>
      <c r="D30" s="190"/>
      <c r="E30" s="191" t="str">
        <f t="shared" si="3"/>
        <v>Monthly</v>
      </c>
      <c r="F30" s="195"/>
      <c r="G30" s="192">
        <f>'Input data'!D72</f>
        <v>0</v>
      </c>
      <c r="H30" s="193">
        <v>0</v>
      </c>
      <c r="I30" s="195"/>
      <c r="J30" s="194" t="str">
        <f t="shared" si="1"/>
        <v>kWh/day</v>
      </c>
      <c r="K30" s="157"/>
      <c r="L30" s="149"/>
    </row>
    <row r="31" spans="1:12" ht="14.4">
      <c r="A31" s="149"/>
      <c r="B31" s="153"/>
      <c r="C31" s="203"/>
      <c r="D31" s="190"/>
      <c r="E31" s="191" t="str">
        <f t="shared" si="3"/>
        <v>Daily</v>
      </c>
      <c r="F31" s="164"/>
      <c r="G31" s="192">
        <f>'Input data'!D73</f>
        <v>0</v>
      </c>
      <c r="H31" s="193">
        <v>0</v>
      </c>
      <c r="I31" s="187"/>
      <c r="J31" s="194" t="str">
        <f t="shared" si="1"/>
        <v>kWh/day</v>
      </c>
      <c r="K31" s="157"/>
      <c r="L31" s="149"/>
    </row>
    <row r="32" spans="1:12" ht="15" thickBot="1">
      <c r="A32" s="149"/>
      <c r="B32" s="153"/>
      <c r="C32" s="203"/>
      <c r="D32" s="197"/>
      <c r="E32" s="198" t="str">
        <f t="shared" si="3"/>
        <v>Intraday</v>
      </c>
      <c r="F32" s="154"/>
      <c r="G32" s="199">
        <f>'Input data'!D74</f>
        <v>0</v>
      </c>
      <c r="H32" s="200">
        <v>0</v>
      </c>
      <c r="I32" s="154"/>
      <c r="J32" s="201" t="str">
        <f t="shared" si="1"/>
        <v>kWh/day</v>
      </c>
      <c r="K32" s="157"/>
      <c r="L32" s="149"/>
    </row>
    <row r="33" spans="1:12" ht="14.4">
      <c r="A33" s="149"/>
      <c r="B33" s="153"/>
      <c r="C33" s="203"/>
      <c r="D33" s="183" t="str">
        <f>+D20</f>
        <v>Underground Storage</v>
      </c>
      <c r="E33" s="184" t="str">
        <f t="shared" si="3"/>
        <v>Daily</v>
      </c>
      <c r="F33" s="195"/>
      <c r="G33" s="185">
        <f>'Input data'!D75</f>
        <v>6593617.2301879274</v>
      </c>
      <c r="H33" s="186">
        <v>6593617.2301879274</v>
      </c>
      <c r="I33" s="196"/>
      <c r="J33" s="202" t="str">
        <f t="shared" si="1"/>
        <v>kWh/day</v>
      </c>
      <c r="K33" s="157"/>
      <c r="L33" s="149"/>
    </row>
    <row r="34" spans="1:12" ht="15" thickBot="1">
      <c r="A34" s="149"/>
      <c r="B34" s="153"/>
      <c r="C34" s="203"/>
      <c r="D34" s="197"/>
      <c r="E34" s="198" t="str">
        <f t="shared" si="3"/>
        <v>Intraday</v>
      </c>
      <c r="F34" s="195"/>
      <c r="G34" s="199">
        <f>'Input data'!D76</f>
        <v>683624.83242554544</v>
      </c>
      <c r="H34" s="200">
        <v>683624.83242554544</v>
      </c>
      <c r="I34" s="195"/>
      <c r="J34" s="201" t="str">
        <f t="shared" si="1"/>
        <v>kWh/day</v>
      </c>
      <c r="K34" s="157"/>
      <c r="L34" s="149"/>
    </row>
    <row r="35" spans="1:12" ht="15" thickBot="1">
      <c r="A35" s="149"/>
      <c r="B35" s="153"/>
      <c r="C35" s="203"/>
      <c r="D35" s="209" t="str">
        <f>+Labels!B31</f>
        <v>Distribution networks and HP Customers</v>
      </c>
      <c r="E35" s="210" t="str">
        <f>+Labels!B39</f>
        <v>Long Uses</v>
      </c>
      <c r="F35" s="164"/>
      <c r="G35" s="211">
        <f>'Input data'!D77</f>
        <v>157646327.37832683</v>
      </c>
      <c r="H35" s="212">
        <v>157646327.37832683</v>
      </c>
      <c r="I35" s="187"/>
      <c r="J35" s="213" t="str">
        <f t="shared" si="1"/>
        <v>kWh/day</v>
      </c>
      <c r="K35" s="157"/>
      <c r="L35" s="149"/>
    </row>
    <row r="36" spans="1:12" ht="14.4">
      <c r="A36" s="149"/>
      <c r="B36" s="153"/>
      <c r="C36" s="203"/>
      <c r="D36" s="183" t="str">
        <f>+Labels!B32</f>
        <v>HP Customers</v>
      </c>
      <c r="E36" s="184" t="str">
        <f>+Labels!B40</f>
        <v>Annual Flexible Rate - Annual Base Capacity</v>
      </c>
      <c r="F36" s="154"/>
      <c r="G36" s="185">
        <f>'Input data'!D78</f>
        <v>110137542.48308744</v>
      </c>
      <c r="H36" s="186">
        <v>110137542.48308744</v>
      </c>
      <c r="I36" s="154"/>
      <c r="J36" s="214" t="str">
        <f t="shared" si="1"/>
        <v>kWh/day</v>
      </c>
      <c r="K36" s="157"/>
      <c r="L36" s="149"/>
    </row>
    <row r="37" spans="1:12" ht="14.4">
      <c r="A37" s="149"/>
      <c r="B37" s="153"/>
      <c r="C37" s="203"/>
      <c r="D37" s="190"/>
      <c r="E37" s="191" t="str">
        <f>+Labels!B41</f>
        <v>Annual Flexible Rate - Additional Monthly Capacity (April to September)</v>
      </c>
      <c r="F37" s="195"/>
      <c r="G37" s="192">
        <f>'Input data'!D79</f>
        <v>0</v>
      </c>
      <c r="H37" s="193">
        <v>0</v>
      </c>
      <c r="I37" s="196"/>
      <c r="J37" s="194" t="str">
        <f t="shared" si="1"/>
        <v>kWh/day</v>
      </c>
      <c r="K37" s="157"/>
      <c r="L37" s="149"/>
    </row>
    <row r="38" spans="1:12" ht="14.4">
      <c r="A38" s="149"/>
      <c r="B38" s="153"/>
      <c r="C38" s="203"/>
      <c r="D38" s="190"/>
      <c r="E38" s="191" t="str">
        <f>+Labels!B42</f>
        <v>Flexible Monthly Rate - Monthly Capacity (October to March)</v>
      </c>
      <c r="F38" s="195"/>
      <c r="G38" s="192">
        <f>'Input data'!D80</f>
        <v>732895.5</v>
      </c>
      <c r="H38" s="193">
        <v>732895.5</v>
      </c>
      <c r="I38" s="195"/>
      <c r="J38" s="194" t="str">
        <f t="shared" si="1"/>
        <v>kWh/day</v>
      </c>
      <c r="K38" s="157"/>
      <c r="L38" s="149"/>
    </row>
    <row r="39" spans="1:12" ht="14.4">
      <c r="A39" s="149"/>
      <c r="B39" s="153"/>
      <c r="C39" s="203"/>
      <c r="D39" s="190"/>
      <c r="E39" s="191" t="str">
        <f>+Labels!B43</f>
        <v>Flexible Monthly Rate - Monthly Capacity (April to September)</v>
      </c>
      <c r="F39" s="164"/>
      <c r="G39" s="192">
        <f>'Input data'!D81</f>
        <v>732895.5</v>
      </c>
      <c r="H39" s="193">
        <v>732895.5</v>
      </c>
      <c r="I39" s="187"/>
      <c r="J39" s="194" t="str">
        <f t="shared" si="1"/>
        <v>kWh/day</v>
      </c>
      <c r="K39" s="157"/>
      <c r="L39" s="149"/>
    </row>
    <row r="40" spans="1:12" ht="14.4">
      <c r="A40" s="149"/>
      <c r="B40" s="153"/>
      <c r="C40" s="203"/>
      <c r="D40" s="190"/>
      <c r="E40" s="191" t="str">
        <f>+Labels!B44</f>
        <v>Daily Flexible Rate - Daily Capacity (October to March)</v>
      </c>
      <c r="F40" s="154"/>
      <c r="G40" s="192">
        <f>'Input data'!D82</f>
        <v>0</v>
      </c>
      <c r="H40" s="193">
        <v>0</v>
      </c>
      <c r="I40" s="154"/>
      <c r="J40" s="194" t="str">
        <f t="shared" si="1"/>
        <v>kWh/day</v>
      </c>
      <c r="K40" s="157"/>
      <c r="L40" s="149"/>
    </row>
    <row r="41" spans="1:12" ht="15" thickBot="1">
      <c r="A41" s="149"/>
      <c r="B41" s="153"/>
      <c r="C41" s="204"/>
      <c r="D41" s="197"/>
      <c r="E41" s="198" t="str">
        <f>+Labels!B45</f>
        <v>Daily Flexible Rate - Daily Capacity (April to September)</v>
      </c>
      <c r="F41" s="195"/>
      <c r="G41" s="199">
        <f>'Input data'!D83</f>
        <v>0</v>
      </c>
      <c r="H41" s="200">
        <v>0</v>
      </c>
      <c r="I41" s="196"/>
      <c r="J41" s="201" t="str">
        <f t="shared" si="1"/>
        <v>kWh/day</v>
      </c>
      <c r="K41" s="157"/>
      <c r="L41" s="149"/>
    </row>
    <row r="42" spans="1:12" ht="15" thickBot="1">
      <c r="A42" s="149"/>
      <c r="B42" s="172"/>
      <c r="C42" s="173"/>
      <c r="D42" s="173"/>
      <c r="E42" s="173"/>
      <c r="F42" s="173"/>
      <c r="G42" s="173"/>
      <c r="H42" s="173"/>
      <c r="I42" s="173"/>
      <c r="J42" s="173"/>
      <c r="K42" s="175"/>
      <c r="L42" s="149"/>
    </row>
    <row r="43" spans="1:12" ht="14.4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4198-224F-4516-89A5-9AF9D606E2CA}">
  <sheetPr>
    <tabColor theme="5"/>
  </sheetPr>
  <dimension ref="A1:T38"/>
  <sheetViews>
    <sheetView showGridLines="0" zoomScale="90" zoomScaleNormal="90" workbookViewId="0"/>
  </sheetViews>
  <sheetFormatPr defaultColWidth="0" defaultRowHeight="0" customHeight="1" zeroHeight="1"/>
  <cols>
    <col min="1" max="2" width="3.6640625" style="149" customWidth="1"/>
    <col min="3" max="3" width="11" style="149" customWidth="1"/>
    <col min="4" max="4" width="37.5546875" style="149" bestFit="1" customWidth="1"/>
    <col min="5" max="5" width="66.44140625" style="149" bestFit="1" customWidth="1"/>
    <col min="6" max="6" width="3.6640625" style="149" customWidth="1"/>
    <col min="7" max="8" width="13.88671875" style="149" customWidth="1"/>
    <col min="9" max="9" width="3.6640625" style="149" customWidth="1"/>
    <col min="10" max="10" width="18.6640625" style="149" customWidth="1"/>
    <col min="11" max="12" width="3.6640625" style="149" customWidth="1"/>
    <col min="13" max="13" width="1.6640625" style="226" customWidth="1"/>
    <col min="14" max="14" width="5.6640625" style="226" customWidth="1"/>
    <col min="15" max="15" width="31.6640625" style="226" customWidth="1"/>
    <col min="16" max="16" width="1.6640625" style="226" customWidth="1"/>
    <col min="17" max="17" width="3.6640625" style="226" customWidth="1"/>
    <col min="18" max="20" width="0" style="226" hidden="1" customWidth="1"/>
    <col min="21" max="16384" width="9.109375" style="226" hidden="1"/>
  </cols>
  <sheetData>
    <row r="1" spans="1:17" s="1" customFormat="1" ht="24.9" customHeight="1" thickBo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17" s="1" customFormat="1" ht="18">
      <c r="A2" s="149"/>
      <c r="B2" s="150" t="str">
        <f>+Labels!B50</f>
        <v>Transmission tariffs</v>
      </c>
      <c r="C2" s="151"/>
      <c r="D2" s="151"/>
      <c r="E2" s="151"/>
      <c r="F2" s="151"/>
      <c r="G2" s="151"/>
      <c r="H2" s="151"/>
      <c r="I2" s="151"/>
      <c r="J2" s="151"/>
      <c r="K2" s="152"/>
      <c r="L2" s="149"/>
      <c r="M2" s="158"/>
      <c r="N2" s="159"/>
      <c r="O2" s="160"/>
      <c r="P2" s="161"/>
      <c r="Q2" s="149"/>
    </row>
    <row r="3" spans="1:17" s="1" customFormat="1" ht="15" thickBot="1">
      <c r="A3" s="149"/>
      <c r="B3" s="153"/>
      <c r="C3" s="154"/>
      <c r="D3" s="154"/>
      <c r="E3" s="154"/>
      <c r="F3" s="154"/>
      <c r="G3" s="154"/>
      <c r="H3" s="154"/>
      <c r="I3" s="154"/>
      <c r="J3" s="154"/>
      <c r="K3" s="157"/>
      <c r="L3" s="149"/>
      <c r="M3" s="168"/>
      <c r="N3" s="215"/>
      <c r="O3" s="170" t="str">
        <f>+Labels!B53</f>
        <v>Green cells are estimates</v>
      </c>
      <c r="P3" s="171"/>
      <c r="Q3" s="149"/>
    </row>
    <row r="4" spans="1:17" s="1" customFormat="1" ht="15" thickBot="1">
      <c r="A4" s="149"/>
      <c r="B4" s="153"/>
      <c r="C4" s="154"/>
      <c r="D4" s="179" t="str">
        <f>+Input!D9</f>
        <v>Point</v>
      </c>
      <c r="E4" s="180" t="str">
        <f>+Input!E9</f>
        <v>Product</v>
      </c>
      <c r="F4" s="154"/>
      <c r="G4" s="155" t="str">
        <f>+Input!G9</f>
        <v>2025-2026</v>
      </c>
      <c r="H4" s="155" t="str">
        <f>+Input!H9</f>
        <v>2026-2027</v>
      </c>
      <c r="I4" s="157"/>
      <c r="J4" s="155" t="str">
        <f>+Input!J9</f>
        <v>Unit</v>
      </c>
      <c r="K4" s="157"/>
      <c r="L4" s="149"/>
      <c r="M4" s="176"/>
      <c r="N4" s="177"/>
      <c r="O4" s="177"/>
      <c r="P4" s="178"/>
      <c r="Q4" s="149"/>
    </row>
    <row r="5" spans="1:17" s="1" customFormat="1" ht="14.4">
      <c r="A5" s="149"/>
      <c r="B5" s="153"/>
      <c r="C5" s="182" t="str">
        <f>+Input!C10</f>
        <v>Entry</v>
      </c>
      <c r="D5" s="183" t="str">
        <f>+Input!D10</f>
        <v>VIP Iberico</v>
      </c>
      <c r="E5" s="184" t="str">
        <f>+Input!E10</f>
        <v>Yearly</v>
      </c>
      <c r="F5" s="164"/>
      <c r="G5" s="216">
        <f>'Art30(2)(a)'!H5</f>
        <v>3.7366318116816469E-2</v>
      </c>
      <c r="H5" s="217">
        <f>'Art30(2)(a)'!I5</f>
        <v>3.7366318116816469E-2</v>
      </c>
      <c r="I5" s="187"/>
      <c r="J5" s="202" t="str">
        <f>+Labels!B51</f>
        <v>€/(kWh/day)/year</v>
      </c>
      <c r="K5" s="157"/>
      <c r="L5" s="149"/>
      <c r="M5" s="149"/>
      <c r="N5" s="149"/>
      <c r="O5" s="149"/>
      <c r="P5" s="149"/>
      <c r="Q5" s="149"/>
    </row>
    <row r="6" spans="1:17" s="1" customFormat="1" ht="14.4">
      <c r="A6" s="149"/>
      <c r="B6" s="153"/>
      <c r="C6" s="189"/>
      <c r="D6" s="190"/>
      <c r="E6" s="191" t="str">
        <f>+Input!E11</f>
        <v>Quarterly</v>
      </c>
      <c r="F6" s="154"/>
      <c r="G6" s="218">
        <f>'Art30(2)(a)'!H6</f>
        <v>4.4092255377843427E-2</v>
      </c>
      <c r="H6" s="219">
        <f>'Art30(2)(a)'!I6</f>
        <v>4.4092255377843427E-2</v>
      </c>
      <c r="I6" s="154"/>
      <c r="J6" s="194" t="str">
        <f>+$J$5</f>
        <v>€/(kWh/day)/year</v>
      </c>
      <c r="K6" s="157"/>
      <c r="L6" s="149"/>
      <c r="M6" s="149"/>
      <c r="N6" s="149"/>
      <c r="O6" s="149"/>
      <c r="P6" s="149"/>
      <c r="Q6" s="149"/>
    </row>
    <row r="7" spans="1:17" s="1" customFormat="1" ht="14.4">
      <c r="A7" s="149"/>
      <c r="B7" s="153"/>
      <c r="C7" s="189"/>
      <c r="D7" s="190"/>
      <c r="E7" s="191" t="str">
        <f>+Input!E12</f>
        <v>Monthly</v>
      </c>
      <c r="F7" s="195"/>
      <c r="G7" s="218">
        <f>'Art30(2)(a)'!H7</f>
        <v>5.0444529457702232E-2</v>
      </c>
      <c r="H7" s="219">
        <f>'Art30(2)(a)'!I7</f>
        <v>5.0444529457702232E-2</v>
      </c>
      <c r="I7" s="196"/>
      <c r="J7" s="194" t="str">
        <f t="shared" ref="J7:J36" si="0">+$J$5</f>
        <v>€/(kWh/day)/year</v>
      </c>
      <c r="K7" s="157"/>
      <c r="L7" s="149"/>
      <c r="M7" s="149"/>
      <c r="N7" s="149"/>
      <c r="O7" s="149"/>
      <c r="P7" s="149"/>
      <c r="Q7" s="149"/>
    </row>
    <row r="8" spans="1:17" s="1" customFormat="1" ht="14.4">
      <c r="A8" s="149"/>
      <c r="B8" s="153"/>
      <c r="C8" s="189"/>
      <c r="D8" s="190"/>
      <c r="E8" s="191" t="str">
        <f>+Input!E13</f>
        <v>Daily</v>
      </c>
      <c r="F8" s="195"/>
      <c r="G8" s="218">
        <f>'Art30(2)(a)'!H8</f>
        <v>7.2490657146623949E-2</v>
      </c>
      <c r="H8" s="219">
        <f>'Art30(2)(a)'!I8</f>
        <v>7.2490657146623949E-2</v>
      </c>
      <c r="I8" s="195"/>
      <c r="J8" s="194" t="str">
        <f t="shared" si="0"/>
        <v>€/(kWh/day)/year</v>
      </c>
      <c r="K8" s="157"/>
      <c r="L8" s="149"/>
      <c r="M8" s="149"/>
      <c r="N8" s="149"/>
      <c r="O8" s="149"/>
      <c r="P8" s="149"/>
      <c r="Q8" s="149"/>
    </row>
    <row r="9" spans="1:17" s="1" customFormat="1" ht="15" thickBot="1">
      <c r="A9" s="149"/>
      <c r="B9" s="153"/>
      <c r="C9" s="189"/>
      <c r="D9" s="197"/>
      <c r="E9" s="198" t="str">
        <f>+Input!E14</f>
        <v>Intraday</v>
      </c>
      <c r="F9" s="164"/>
      <c r="G9" s="220">
        <f>'Art30(2)(a)'!H9</f>
        <v>7.9590257588819074E-2</v>
      </c>
      <c r="H9" s="221">
        <f>'Art30(2)(a)'!I9</f>
        <v>7.9590257588819074E-2</v>
      </c>
      <c r="I9" s="187"/>
      <c r="J9" s="201" t="str">
        <f t="shared" si="0"/>
        <v>€/(kWh/day)/year</v>
      </c>
      <c r="K9" s="157"/>
      <c r="L9" s="149"/>
      <c r="M9" s="149"/>
      <c r="N9" s="149"/>
      <c r="O9" s="149"/>
      <c r="P9" s="149"/>
      <c r="Q9" s="149"/>
    </row>
    <row r="10" spans="1:17" s="1" customFormat="1" ht="14.4">
      <c r="A10" s="149"/>
      <c r="B10" s="153"/>
      <c r="C10" s="189"/>
      <c r="D10" s="183" t="str">
        <f>+Input!D15</f>
        <v>LNG terminal</v>
      </c>
      <c r="E10" s="184" t="str">
        <f>+Input!E15</f>
        <v>Yearly</v>
      </c>
      <c r="F10" s="154"/>
      <c r="G10" s="216">
        <f>'Art30(2)(a)'!H10</f>
        <v>0.10440725521264488</v>
      </c>
      <c r="H10" s="217">
        <f>'Art30(2)(a)'!I10</f>
        <v>0.10440725521264488</v>
      </c>
      <c r="I10" s="154"/>
      <c r="J10" s="202" t="str">
        <f t="shared" si="0"/>
        <v>€/(kWh/day)/year</v>
      </c>
      <c r="K10" s="157"/>
      <c r="L10" s="149"/>
      <c r="M10" s="149"/>
      <c r="N10" s="149"/>
      <c r="O10" s="149"/>
      <c r="P10" s="149"/>
      <c r="Q10" s="149"/>
    </row>
    <row r="11" spans="1:17" s="1" customFormat="1" ht="14.4">
      <c r="A11" s="149"/>
      <c r="B11" s="153"/>
      <c r="C11" s="189"/>
      <c r="D11" s="190"/>
      <c r="E11" s="191" t="str">
        <f>+Input!E16</f>
        <v>Quarterly</v>
      </c>
      <c r="F11" s="195"/>
      <c r="G11" s="218">
        <f>'Art30(2)(a)'!H11</f>
        <v>0.12320056115092094</v>
      </c>
      <c r="H11" s="219">
        <f>'Art30(2)(a)'!I11</f>
        <v>0.12320056115092094</v>
      </c>
      <c r="I11" s="196"/>
      <c r="J11" s="194" t="str">
        <f t="shared" si="0"/>
        <v>€/(kWh/day)/year</v>
      </c>
      <c r="K11" s="157"/>
      <c r="L11" s="149"/>
      <c r="M11" s="149"/>
      <c r="N11" s="149"/>
      <c r="O11" s="149"/>
      <c r="P11" s="149"/>
      <c r="Q11" s="149"/>
    </row>
    <row r="12" spans="1:17" s="1" customFormat="1" ht="14.4">
      <c r="A12" s="149"/>
      <c r="B12" s="153"/>
      <c r="C12" s="189"/>
      <c r="D12" s="190"/>
      <c r="E12" s="191" t="str">
        <f>+Input!E17</f>
        <v>Monthly</v>
      </c>
      <c r="F12" s="195"/>
      <c r="G12" s="218">
        <f>'Art30(2)(a)'!H12</f>
        <v>0.1409497945370706</v>
      </c>
      <c r="H12" s="219">
        <f>'Art30(2)(a)'!I12</f>
        <v>0.1409497945370706</v>
      </c>
      <c r="I12" s="195"/>
      <c r="J12" s="194" t="str">
        <f t="shared" si="0"/>
        <v>€/(kWh/day)/year</v>
      </c>
      <c r="K12" s="157"/>
      <c r="L12" s="149"/>
      <c r="M12" s="149"/>
      <c r="N12" s="149"/>
      <c r="O12" s="149"/>
      <c r="P12" s="149"/>
      <c r="Q12" s="149"/>
    </row>
    <row r="13" spans="1:17" s="1" customFormat="1" ht="14.4">
      <c r="A13" s="149"/>
      <c r="B13" s="153"/>
      <c r="C13" s="189"/>
      <c r="D13" s="190"/>
      <c r="E13" s="191" t="str">
        <f>+Input!E18</f>
        <v>Daily</v>
      </c>
      <c r="F13" s="164"/>
      <c r="G13" s="218">
        <f>'Art30(2)(a)'!H13</f>
        <v>0.20255007511253109</v>
      </c>
      <c r="H13" s="219">
        <f>'Art30(2)(a)'!I13</f>
        <v>0.20255007511253109</v>
      </c>
      <c r="I13" s="187"/>
      <c r="J13" s="194" t="str">
        <f t="shared" si="0"/>
        <v>€/(kWh/day)/year</v>
      </c>
      <c r="K13" s="157"/>
      <c r="L13" s="149"/>
      <c r="M13" s="149"/>
      <c r="N13" s="149"/>
      <c r="O13" s="149"/>
      <c r="P13" s="149"/>
      <c r="Q13" s="149"/>
    </row>
    <row r="14" spans="1:17" s="1" customFormat="1" ht="15" thickBot="1">
      <c r="A14" s="149"/>
      <c r="B14" s="153"/>
      <c r="C14" s="189"/>
      <c r="D14" s="197"/>
      <c r="E14" s="198" t="str">
        <f>+Input!E19</f>
        <v>Intraday</v>
      </c>
      <c r="F14" s="154"/>
      <c r="G14" s="220">
        <f>'Art30(2)(a)'!H14</f>
        <v>0.22238745360293358</v>
      </c>
      <c r="H14" s="221">
        <f>'Art30(2)(a)'!I14</f>
        <v>0.22238745360293358</v>
      </c>
      <c r="I14" s="154"/>
      <c r="J14" s="201" t="str">
        <f t="shared" si="0"/>
        <v>€/(kWh/day)/year</v>
      </c>
      <c r="K14" s="157"/>
      <c r="L14" s="149"/>
      <c r="M14" s="149"/>
      <c r="N14" s="149"/>
      <c r="O14" s="149"/>
      <c r="P14" s="149"/>
      <c r="Q14" s="149"/>
    </row>
    <row r="15" spans="1:17" s="1" customFormat="1" ht="14.4">
      <c r="A15" s="149"/>
      <c r="B15" s="153"/>
      <c r="C15" s="189"/>
      <c r="D15" s="183" t="str">
        <f>+Input!D20</f>
        <v>Underground Storage</v>
      </c>
      <c r="E15" s="184" t="str">
        <f>+Input!E20</f>
        <v>Daily</v>
      </c>
      <c r="F15" s="195"/>
      <c r="G15" s="216">
        <f>'Art30(2)(a)'!H15</f>
        <v>0</v>
      </c>
      <c r="H15" s="217">
        <f>'Art30(2)(a)'!I15</f>
        <v>0</v>
      </c>
      <c r="I15" s="196"/>
      <c r="J15" s="202" t="str">
        <f t="shared" si="0"/>
        <v>€/(kWh/day)/year</v>
      </c>
      <c r="K15" s="157"/>
      <c r="L15" s="149"/>
      <c r="M15" s="149"/>
      <c r="N15" s="149"/>
      <c r="O15" s="149"/>
      <c r="P15" s="149"/>
      <c r="Q15" s="149"/>
    </row>
    <row r="16" spans="1:17" s="1" customFormat="1" ht="15" thickBot="1">
      <c r="A16" s="149"/>
      <c r="B16" s="153"/>
      <c r="C16" s="203"/>
      <c r="D16" s="197"/>
      <c r="E16" s="198" t="str">
        <f>+Input!E21</f>
        <v>Intraday</v>
      </c>
      <c r="F16" s="195"/>
      <c r="G16" s="220">
        <f>'Art30(2)(a)'!H16</f>
        <v>0</v>
      </c>
      <c r="H16" s="221">
        <f>'Art30(2)(a)'!I16</f>
        <v>0</v>
      </c>
      <c r="I16" s="195"/>
      <c r="J16" s="201" t="str">
        <f t="shared" si="0"/>
        <v>€/(kWh/day)/year</v>
      </c>
      <c r="K16" s="157"/>
      <c r="L16" s="149"/>
      <c r="M16" s="149"/>
      <c r="N16" s="149"/>
      <c r="O16" s="149"/>
      <c r="P16" s="149"/>
      <c r="Q16" s="149"/>
    </row>
    <row r="17" spans="1:17" s="1" customFormat="1" ht="15" thickBot="1">
      <c r="A17" s="149"/>
      <c r="B17" s="153"/>
      <c r="C17" s="204"/>
      <c r="D17" s="190" t="str">
        <f>+Input!D22</f>
        <v>Gas producers</v>
      </c>
      <c r="E17" s="205" t="str">
        <f>+Input!E22</f>
        <v>Used capacity at injection</v>
      </c>
      <c r="F17" s="195"/>
      <c r="G17" s="222">
        <f>'Art30(2)(a)'!H17</f>
        <v>7.3225838532495419E-3</v>
      </c>
      <c r="H17" s="223">
        <f>'Art30(2)(a)'!I17</f>
        <v>7.3225838532495419E-3</v>
      </c>
      <c r="I17" s="195"/>
      <c r="J17" s="208" t="str">
        <f t="shared" si="0"/>
        <v>€/(kWh/day)/year</v>
      </c>
      <c r="K17" s="157"/>
      <c r="L17" s="149"/>
      <c r="M17" s="149"/>
      <c r="N17" s="149"/>
      <c r="O17" s="149"/>
      <c r="P17" s="149"/>
      <c r="Q17" s="149"/>
    </row>
    <row r="18" spans="1:17" s="1" customFormat="1" ht="14.4">
      <c r="A18" s="149"/>
      <c r="B18" s="153"/>
      <c r="C18" s="182" t="str">
        <f>+Input!C23</f>
        <v>Exit</v>
      </c>
      <c r="D18" s="183" t="str">
        <f>+Input!D23</f>
        <v>VIP Iberico</v>
      </c>
      <c r="E18" s="184" t="str">
        <f>+Input!E23</f>
        <v>Yearly</v>
      </c>
      <c r="F18" s="164"/>
      <c r="G18" s="216">
        <f>'Art30(2)(a)'!H18</f>
        <v>3.6839986548534723E-2</v>
      </c>
      <c r="H18" s="217">
        <f>'Art30(2)(a)'!I18</f>
        <v>3.6839986548534723E-2</v>
      </c>
      <c r="I18" s="187"/>
      <c r="J18" s="202" t="str">
        <f t="shared" si="0"/>
        <v>€/(kWh/day)/year</v>
      </c>
      <c r="K18" s="157"/>
      <c r="L18" s="149"/>
      <c r="M18" s="149"/>
      <c r="N18" s="149"/>
      <c r="O18" s="149"/>
      <c r="P18" s="149"/>
      <c r="Q18" s="149"/>
    </row>
    <row r="19" spans="1:17" s="1" customFormat="1" ht="14.4">
      <c r="A19" s="149"/>
      <c r="B19" s="153"/>
      <c r="C19" s="203"/>
      <c r="D19" s="190"/>
      <c r="E19" s="191" t="str">
        <f>+Input!E24</f>
        <v>Quarterly</v>
      </c>
      <c r="F19" s="154"/>
      <c r="G19" s="218">
        <f>'Art30(2)(a)'!H19</f>
        <v>4.3471184127270961E-2</v>
      </c>
      <c r="H19" s="219">
        <f>'Art30(2)(a)'!I19</f>
        <v>4.3471184127270961E-2</v>
      </c>
      <c r="I19" s="154"/>
      <c r="J19" s="194" t="str">
        <f t="shared" si="0"/>
        <v>€/(kWh/day)/year</v>
      </c>
      <c r="K19" s="157"/>
      <c r="L19" s="149"/>
      <c r="M19" s="149"/>
      <c r="N19" s="149"/>
      <c r="O19" s="149"/>
      <c r="P19" s="149"/>
      <c r="Q19" s="149"/>
    </row>
    <row r="20" spans="1:17" s="1" customFormat="1" ht="14.4">
      <c r="A20" s="149"/>
      <c r="B20" s="153"/>
      <c r="C20" s="203"/>
      <c r="D20" s="190"/>
      <c r="E20" s="191" t="str">
        <f>+Input!E25</f>
        <v>Monthly</v>
      </c>
      <c r="F20" s="195"/>
      <c r="G20" s="218">
        <f>'Art30(2)(a)'!H20</f>
        <v>4.9733981840521871E-2</v>
      </c>
      <c r="H20" s="219">
        <f>'Art30(2)(a)'!I20</f>
        <v>4.9733981840521871E-2</v>
      </c>
      <c r="I20" s="196"/>
      <c r="J20" s="194" t="str">
        <f t="shared" si="0"/>
        <v>€/(kWh/day)/year</v>
      </c>
      <c r="K20" s="157"/>
      <c r="L20" s="149"/>
      <c r="M20" s="149"/>
      <c r="N20" s="149"/>
      <c r="O20" s="149"/>
      <c r="P20" s="149"/>
      <c r="Q20" s="149"/>
    </row>
    <row r="21" spans="1:17" s="1" customFormat="1" ht="14.4">
      <c r="A21" s="149"/>
      <c r="B21" s="153"/>
      <c r="C21" s="203"/>
      <c r="D21" s="190"/>
      <c r="E21" s="191" t="str">
        <f>+Input!E26</f>
        <v>Daily</v>
      </c>
      <c r="F21" s="195"/>
      <c r="G21" s="218">
        <f>'Art30(2)(a)'!H21</f>
        <v>7.1469573904157355E-2</v>
      </c>
      <c r="H21" s="219">
        <f>'Art30(2)(a)'!I21</f>
        <v>7.1469573904157355E-2</v>
      </c>
      <c r="I21" s="195"/>
      <c r="J21" s="194" t="str">
        <f t="shared" si="0"/>
        <v>€/(kWh/day)/year</v>
      </c>
      <c r="K21" s="157"/>
      <c r="L21" s="149"/>
      <c r="M21" s="149"/>
      <c r="N21" s="149"/>
      <c r="O21" s="149"/>
      <c r="P21" s="149"/>
      <c r="Q21" s="149"/>
    </row>
    <row r="22" spans="1:17" s="1" customFormat="1" ht="15" thickBot="1">
      <c r="A22" s="149"/>
      <c r="B22" s="153"/>
      <c r="C22" s="203"/>
      <c r="D22" s="197"/>
      <c r="E22" s="198" t="str">
        <f>+Input!E27</f>
        <v>Intraday</v>
      </c>
      <c r="F22" s="164"/>
      <c r="G22" s="220">
        <f>'Art30(2)(a)'!H22</f>
        <v>7.8469171348378941E-2</v>
      </c>
      <c r="H22" s="221">
        <f>'Art30(2)(a)'!I22</f>
        <v>7.8469171348378941E-2</v>
      </c>
      <c r="I22" s="187"/>
      <c r="J22" s="201" t="str">
        <f t="shared" si="0"/>
        <v>€/(kWh/day)/year</v>
      </c>
      <c r="K22" s="157"/>
      <c r="L22" s="149"/>
      <c r="M22" s="149"/>
      <c r="N22" s="149"/>
      <c r="O22" s="149"/>
      <c r="P22" s="149"/>
      <c r="Q22" s="149"/>
    </row>
    <row r="23" spans="1:17" s="1" customFormat="1" ht="14.4">
      <c r="A23" s="149"/>
      <c r="B23" s="153"/>
      <c r="C23" s="203"/>
      <c r="D23" s="183" t="str">
        <f>+Input!D28</f>
        <v>LNG terminal</v>
      </c>
      <c r="E23" s="184" t="str">
        <f>+Input!E28</f>
        <v>Yearly</v>
      </c>
      <c r="F23" s="154"/>
      <c r="G23" s="216">
        <f>'Art30(2)(a)'!H23</f>
        <v>0</v>
      </c>
      <c r="H23" s="217">
        <f>'Art30(2)(a)'!I23</f>
        <v>0</v>
      </c>
      <c r="I23" s="154"/>
      <c r="J23" s="202" t="str">
        <f t="shared" si="0"/>
        <v>€/(kWh/day)/year</v>
      </c>
      <c r="K23" s="157"/>
      <c r="L23" s="149"/>
      <c r="M23" s="149"/>
      <c r="N23" s="149"/>
      <c r="O23" s="149"/>
      <c r="P23" s="149"/>
      <c r="Q23" s="149"/>
    </row>
    <row r="24" spans="1:17" s="1" customFormat="1" ht="14.4">
      <c r="A24" s="149"/>
      <c r="B24" s="153"/>
      <c r="C24" s="203"/>
      <c r="D24" s="190"/>
      <c r="E24" s="191" t="str">
        <f>+Input!E29</f>
        <v>Quarterly</v>
      </c>
      <c r="F24" s="195"/>
      <c r="G24" s="218">
        <f>'Art30(2)(a)'!H24</f>
        <v>0</v>
      </c>
      <c r="H24" s="219">
        <f>'Art30(2)(a)'!I24</f>
        <v>0</v>
      </c>
      <c r="I24" s="196"/>
      <c r="J24" s="194" t="str">
        <f t="shared" si="0"/>
        <v>€/(kWh/day)/year</v>
      </c>
      <c r="K24" s="157"/>
      <c r="L24" s="149"/>
      <c r="M24" s="149"/>
      <c r="N24" s="149"/>
      <c r="O24" s="149"/>
      <c r="P24" s="149"/>
      <c r="Q24" s="149"/>
    </row>
    <row r="25" spans="1:17" s="1" customFormat="1" ht="14.4">
      <c r="A25" s="149"/>
      <c r="B25" s="153"/>
      <c r="C25" s="203"/>
      <c r="D25" s="190"/>
      <c r="E25" s="191" t="str">
        <f>+Input!E30</f>
        <v>Monthly</v>
      </c>
      <c r="F25" s="195"/>
      <c r="G25" s="218">
        <f>'Art30(2)(a)'!H25</f>
        <v>0</v>
      </c>
      <c r="H25" s="219">
        <f>'Art30(2)(a)'!I25</f>
        <v>0</v>
      </c>
      <c r="I25" s="195"/>
      <c r="J25" s="194" t="str">
        <f t="shared" si="0"/>
        <v>€/(kWh/day)/year</v>
      </c>
      <c r="K25" s="157"/>
      <c r="L25" s="149"/>
      <c r="M25" s="149"/>
      <c r="N25" s="149"/>
      <c r="O25" s="149"/>
      <c r="P25" s="149"/>
      <c r="Q25" s="149"/>
    </row>
    <row r="26" spans="1:17" s="1" customFormat="1" ht="14.4">
      <c r="A26" s="149"/>
      <c r="B26" s="153"/>
      <c r="C26" s="203"/>
      <c r="D26" s="190"/>
      <c r="E26" s="191" t="str">
        <f>+Input!E31</f>
        <v>Daily</v>
      </c>
      <c r="F26" s="164"/>
      <c r="G26" s="218">
        <f>'Art30(2)(a)'!H26</f>
        <v>0</v>
      </c>
      <c r="H26" s="219">
        <f>'Art30(2)(a)'!I26</f>
        <v>0</v>
      </c>
      <c r="I26" s="187"/>
      <c r="J26" s="194" t="str">
        <f t="shared" si="0"/>
        <v>€/(kWh/day)/year</v>
      </c>
      <c r="K26" s="157"/>
      <c r="L26" s="149"/>
      <c r="M26" s="149"/>
      <c r="N26" s="149"/>
      <c r="O26" s="149"/>
      <c r="P26" s="149"/>
      <c r="Q26" s="149"/>
    </row>
    <row r="27" spans="1:17" s="1" customFormat="1" ht="15" thickBot="1">
      <c r="A27" s="149"/>
      <c r="B27" s="153"/>
      <c r="C27" s="203"/>
      <c r="D27" s="197"/>
      <c r="E27" s="198" t="str">
        <f>+Input!E32</f>
        <v>Intraday</v>
      </c>
      <c r="F27" s="154"/>
      <c r="G27" s="220">
        <f>'Art30(2)(a)'!H27</f>
        <v>0</v>
      </c>
      <c r="H27" s="221">
        <f>'Art30(2)(a)'!I27</f>
        <v>0</v>
      </c>
      <c r="I27" s="154"/>
      <c r="J27" s="201" t="str">
        <f t="shared" si="0"/>
        <v>€/(kWh/day)/year</v>
      </c>
      <c r="K27" s="157"/>
      <c r="L27" s="149"/>
      <c r="M27" s="149"/>
      <c r="N27" s="149"/>
      <c r="O27" s="149"/>
      <c r="P27" s="149"/>
      <c r="Q27" s="149"/>
    </row>
    <row r="28" spans="1:17" s="1" customFormat="1" ht="14.4">
      <c r="A28" s="149"/>
      <c r="B28" s="153"/>
      <c r="C28" s="203"/>
      <c r="D28" s="183" t="str">
        <f>+Input!D33</f>
        <v>Underground Storage</v>
      </c>
      <c r="E28" s="184" t="str">
        <f>+Input!E33</f>
        <v>Daily</v>
      </c>
      <c r="F28" s="195"/>
      <c r="G28" s="216">
        <f>'Art30(2)(a)'!H28</f>
        <v>0</v>
      </c>
      <c r="H28" s="217">
        <f>'Art30(2)(a)'!I28</f>
        <v>0</v>
      </c>
      <c r="I28" s="196"/>
      <c r="J28" s="202" t="str">
        <f t="shared" si="0"/>
        <v>€/(kWh/day)/year</v>
      </c>
      <c r="K28" s="157"/>
      <c r="L28" s="149"/>
      <c r="M28" s="149"/>
      <c r="N28" s="149"/>
      <c r="O28" s="149"/>
      <c r="P28" s="149"/>
      <c r="Q28" s="149"/>
    </row>
    <row r="29" spans="1:17" s="1" customFormat="1" ht="15" thickBot="1">
      <c r="A29" s="149"/>
      <c r="B29" s="153"/>
      <c r="C29" s="203"/>
      <c r="D29" s="197"/>
      <c r="E29" s="198" t="str">
        <f>+Input!E34</f>
        <v>Intraday</v>
      </c>
      <c r="F29" s="195"/>
      <c r="G29" s="220">
        <f>'Art30(2)(a)'!H29</f>
        <v>0</v>
      </c>
      <c r="H29" s="221">
        <f>'Art30(2)(a)'!I29</f>
        <v>0</v>
      </c>
      <c r="I29" s="195"/>
      <c r="J29" s="201" t="str">
        <f t="shared" si="0"/>
        <v>€/(kWh/day)/year</v>
      </c>
      <c r="K29" s="157"/>
      <c r="L29" s="149"/>
      <c r="M29" s="149"/>
      <c r="N29" s="149"/>
      <c r="O29" s="149"/>
      <c r="P29" s="149"/>
      <c r="Q29" s="149"/>
    </row>
    <row r="30" spans="1:17" s="1" customFormat="1" ht="15" thickBot="1">
      <c r="A30" s="149"/>
      <c r="B30" s="153"/>
      <c r="C30" s="203"/>
      <c r="D30" s="209" t="str">
        <f>+Input!D35</f>
        <v>Distribution networks and HP Customers</v>
      </c>
      <c r="E30" s="210" t="str">
        <f>+Input!E35</f>
        <v>Long Uses</v>
      </c>
      <c r="F30" s="164"/>
      <c r="G30" s="224">
        <f>'Art30(2)(a)'!H30</f>
        <v>0.17704832862406322</v>
      </c>
      <c r="H30" s="225">
        <f>'Art30(2)(a)'!I30</f>
        <v>0.17704832862406322</v>
      </c>
      <c r="I30" s="187"/>
      <c r="J30" s="213" t="str">
        <f t="shared" si="0"/>
        <v>€/(kWh/day)/year</v>
      </c>
      <c r="K30" s="157"/>
      <c r="L30" s="149"/>
      <c r="M30" s="149"/>
      <c r="N30" s="149"/>
      <c r="O30" s="149"/>
      <c r="P30" s="149"/>
      <c r="Q30" s="149"/>
    </row>
    <row r="31" spans="1:17" s="1" customFormat="1" ht="14.4">
      <c r="A31" s="149"/>
      <c r="B31" s="153"/>
      <c r="C31" s="203"/>
      <c r="D31" s="183" t="str">
        <f>+Input!D36</f>
        <v>HP Customers</v>
      </c>
      <c r="E31" s="184" t="str">
        <f>+Input!E36</f>
        <v>Annual Flexible Rate - Annual Base Capacity</v>
      </c>
      <c r="F31" s="154"/>
      <c r="G31" s="216">
        <f>'Art30(2)(a)'!H31</f>
        <v>0.17704832862406322</v>
      </c>
      <c r="H31" s="217">
        <f>'Art30(2)(a)'!I31</f>
        <v>0.17704832862406322</v>
      </c>
      <c r="I31" s="154"/>
      <c r="J31" s="214" t="str">
        <f t="shared" si="0"/>
        <v>€/(kWh/day)/year</v>
      </c>
      <c r="K31" s="157"/>
      <c r="L31" s="149"/>
      <c r="M31" s="149"/>
      <c r="N31" s="149"/>
      <c r="O31" s="149"/>
      <c r="P31" s="149"/>
      <c r="Q31" s="149"/>
    </row>
    <row r="32" spans="1:17" s="1" customFormat="1" ht="14.4">
      <c r="A32" s="149"/>
      <c r="B32" s="153"/>
      <c r="C32" s="203"/>
      <c r="D32" s="190"/>
      <c r="E32" s="191" t="str">
        <f>+Input!E37</f>
        <v>Annual Flexible Rate - Additional Monthly Capacity (April to September)</v>
      </c>
      <c r="F32" s="195"/>
      <c r="G32" s="218">
        <f>'Art30(2)(a)'!H32</f>
        <v>0.26557249293609486</v>
      </c>
      <c r="H32" s="219">
        <f>'Art30(2)(a)'!I32</f>
        <v>0.26557249293609486</v>
      </c>
      <c r="I32" s="196"/>
      <c r="J32" s="194" t="str">
        <f t="shared" si="0"/>
        <v>€/(kWh/day)/year</v>
      </c>
      <c r="K32" s="157"/>
      <c r="L32" s="149"/>
      <c r="M32" s="149"/>
      <c r="N32" s="149"/>
      <c r="O32" s="149"/>
      <c r="P32" s="149"/>
      <c r="Q32" s="149"/>
    </row>
    <row r="33" spans="1:17" s="1" customFormat="1" ht="14.4">
      <c r="A33" s="149"/>
      <c r="B33" s="153"/>
      <c r="C33" s="203"/>
      <c r="D33" s="190"/>
      <c r="E33" s="191" t="str">
        <f>+Input!E38</f>
        <v>Flexible Monthly Rate - Monthly Capacity (October to March)</v>
      </c>
      <c r="F33" s="195"/>
      <c r="G33" s="218">
        <f>'Art30(2)(a)'!H33</f>
        <v>0.53114498587218972</v>
      </c>
      <c r="H33" s="219">
        <f>'Art30(2)(a)'!I33</f>
        <v>0.53114498587218972</v>
      </c>
      <c r="I33" s="195"/>
      <c r="J33" s="194" t="str">
        <f t="shared" si="0"/>
        <v>€/(kWh/day)/year</v>
      </c>
      <c r="K33" s="157"/>
      <c r="L33" s="149"/>
      <c r="M33" s="149"/>
      <c r="N33" s="149"/>
      <c r="O33" s="149"/>
      <c r="P33" s="149"/>
      <c r="Q33" s="149"/>
    </row>
    <row r="34" spans="1:17" s="1" customFormat="1" ht="14.4">
      <c r="A34" s="149"/>
      <c r="B34" s="153"/>
      <c r="C34" s="203"/>
      <c r="D34" s="190"/>
      <c r="E34" s="191" t="str">
        <f>+Input!E39</f>
        <v>Flexible Monthly Rate - Monthly Capacity (April to September)</v>
      </c>
      <c r="F34" s="164"/>
      <c r="G34" s="218">
        <f>'Art30(2)(a)'!H34</f>
        <v>0.26557249293609486</v>
      </c>
      <c r="H34" s="219">
        <f>'Art30(2)(a)'!I34</f>
        <v>0.26557249293609486</v>
      </c>
      <c r="I34" s="187"/>
      <c r="J34" s="194" t="str">
        <f t="shared" si="0"/>
        <v>€/(kWh/day)/year</v>
      </c>
      <c r="K34" s="157"/>
      <c r="L34" s="149"/>
      <c r="M34" s="149"/>
      <c r="N34" s="149"/>
      <c r="O34" s="149"/>
      <c r="P34" s="149"/>
      <c r="Q34" s="149"/>
    </row>
    <row r="35" spans="1:17" s="1" customFormat="1" ht="14.4">
      <c r="A35" s="149"/>
      <c r="B35" s="153"/>
      <c r="C35" s="203"/>
      <c r="D35" s="190"/>
      <c r="E35" s="191" t="str">
        <f>+Input!E40</f>
        <v>Daily Flexible Rate - Daily Capacity (October to March)</v>
      </c>
      <c r="F35" s="154"/>
      <c r="G35" s="218">
        <f>'Art30(2)(a)'!H35</f>
        <v>1.7704832862406321</v>
      </c>
      <c r="H35" s="219">
        <f>'Art30(2)(a)'!I35</f>
        <v>1.7704832862406321</v>
      </c>
      <c r="I35" s="154"/>
      <c r="J35" s="194" t="str">
        <f t="shared" si="0"/>
        <v>€/(kWh/day)/year</v>
      </c>
      <c r="K35" s="157"/>
      <c r="L35" s="149"/>
      <c r="M35" s="149"/>
      <c r="N35" s="149"/>
      <c r="O35" s="149"/>
      <c r="P35" s="149"/>
      <c r="Q35" s="149"/>
    </row>
    <row r="36" spans="1:17" s="1" customFormat="1" ht="15" thickBot="1">
      <c r="A36" s="149"/>
      <c r="B36" s="153"/>
      <c r="C36" s="204"/>
      <c r="D36" s="197"/>
      <c r="E36" s="198" t="str">
        <f>+Input!E41</f>
        <v>Daily Flexible Rate - Daily Capacity (April to September)</v>
      </c>
      <c r="F36" s="195"/>
      <c r="G36" s="220">
        <f>'Art30(2)(a)'!H36</f>
        <v>1.0622899717443794</v>
      </c>
      <c r="H36" s="221">
        <f>'Art30(2)(a)'!I36</f>
        <v>1.0622899717443794</v>
      </c>
      <c r="I36" s="196"/>
      <c r="J36" s="201" t="str">
        <f t="shared" si="0"/>
        <v>€/(kWh/day)/year</v>
      </c>
      <c r="K36" s="157"/>
      <c r="L36" s="149"/>
      <c r="M36" s="149"/>
      <c r="N36" s="149"/>
      <c r="O36" s="149"/>
      <c r="P36" s="149"/>
      <c r="Q36" s="149"/>
    </row>
    <row r="37" spans="1:17" s="1" customFormat="1" ht="15" thickBot="1">
      <c r="A37" s="149"/>
      <c r="B37" s="172"/>
      <c r="C37" s="173"/>
      <c r="D37" s="173"/>
      <c r="E37" s="173"/>
      <c r="F37" s="173"/>
      <c r="G37" s="173"/>
      <c r="H37" s="173"/>
      <c r="I37" s="173"/>
      <c r="J37" s="173"/>
      <c r="K37" s="175"/>
      <c r="L37" s="149"/>
      <c r="M37" s="149"/>
      <c r="N37" s="149"/>
      <c r="O37" s="149"/>
      <c r="P37" s="149"/>
      <c r="Q37" s="149"/>
    </row>
    <row r="38" spans="1:17" s="1" customFormat="1" ht="14.4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C12"/>
  <sheetViews>
    <sheetView showGridLines="0" topLeftCell="A1048576" zoomScale="120" zoomScaleNormal="120" workbookViewId="0">
      <selection sqref="A1:A1048576"/>
    </sheetView>
  </sheetViews>
  <sheetFormatPr defaultColWidth="0" defaultRowHeight="14.4" zeroHeight="1"/>
  <cols>
    <col min="1" max="1" width="4.6640625" customWidth="1"/>
    <col min="2" max="2" width="39.33203125" bestFit="1" customWidth="1"/>
    <col min="3" max="3" width="8.88671875" customWidth="1"/>
    <col min="4" max="6" width="8.88671875" hidden="1" customWidth="1"/>
    <col min="7" max="16384" width="8.88671875" hidden="1"/>
  </cols>
  <sheetData>
    <row r="1" spans="2:2"/>
    <row r="2" spans="2:2">
      <c r="B2" s="85" t="s">
        <v>544</v>
      </c>
    </row>
    <row r="3" spans="2:2">
      <c r="B3" s="90" t="s">
        <v>567</v>
      </c>
    </row>
    <row r="4" spans="2:2">
      <c r="B4" s="91" t="s">
        <v>569</v>
      </c>
    </row>
    <row r="5" spans="2:2" s="1" customFormat="1"/>
    <row r="6" spans="2:2"/>
    <row r="7" spans="2:2">
      <c r="B7" s="85" t="s">
        <v>545</v>
      </c>
    </row>
    <row r="8" spans="2:2">
      <c r="B8" s="90" t="s">
        <v>281</v>
      </c>
    </row>
    <row r="9" spans="2:2">
      <c r="B9" s="91" t="s">
        <v>283</v>
      </c>
    </row>
    <row r="10" spans="2:2"/>
    <row r="11" spans="2:2"/>
    <row r="12" spans="2:2"/>
  </sheetData>
  <dataValidations count="2">
    <dataValidation type="list" allowBlank="1" showInputMessage="1" showErrorMessage="1" sqref="B3" xr:uid="{00000000-0002-0000-0200-000000000000}">
      <formula1>List_RPM</formula1>
    </dataValidation>
    <dataValidation type="list" allowBlank="1" showInputMessage="1" showErrorMessage="1" sqref="B8" xr:uid="{00000000-0002-0000-0200-000001000000}">
      <formula1>Discount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H471"/>
  <sheetViews>
    <sheetView showGridLines="0" zoomScaleNormal="100" workbookViewId="0">
      <selection sqref="A1:A1048576"/>
    </sheetView>
  </sheetViews>
  <sheetFormatPr defaultRowHeight="14.4" zeroHeight="1"/>
  <cols>
    <col min="2" max="2" width="20.33203125" customWidth="1"/>
    <col min="3" max="3" width="67.33203125" style="1" bestFit="1" customWidth="1"/>
    <col min="4" max="4" width="13.44140625" style="1" customWidth="1"/>
    <col min="5" max="5" width="13.44140625" customWidth="1"/>
    <col min="7" max="7" width="10.88671875" bestFit="1" customWidth="1"/>
    <col min="8" max="8" width="11" bestFit="1" customWidth="1"/>
  </cols>
  <sheetData>
    <row r="1" spans="2:5"/>
    <row r="2" spans="2:5" s="33" customFormat="1" ht="28.95" customHeight="1">
      <c r="B2" s="32" t="s">
        <v>574</v>
      </c>
      <c r="C2" s="32"/>
      <c r="D2" s="32"/>
      <c r="E2" s="32"/>
    </row>
    <row r="3" spans="2:5"/>
    <row r="4" spans="2:5">
      <c r="B4" s="26" t="s">
        <v>35</v>
      </c>
      <c r="C4" s="27"/>
      <c r="D4" s="6"/>
      <c r="E4" s="6"/>
    </row>
    <row r="5" spans="2:5">
      <c r="B5" s="28"/>
      <c r="C5" s="29"/>
      <c r="D5" s="7" t="s">
        <v>29</v>
      </c>
      <c r="E5" s="7" t="s">
        <v>34</v>
      </c>
    </row>
    <row r="6" spans="2:5" s="1" customFormat="1">
      <c r="B6" s="30"/>
      <c r="C6" s="31"/>
      <c r="D6" s="8"/>
      <c r="E6" s="8"/>
    </row>
    <row r="7" spans="2:5">
      <c r="B7" s="16" t="s">
        <v>551</v>
      </c>
      <c r="C7" s="17"/>
      <c r="D7" s="38">
        <f>IF('RPM &amp; Discounts'!$B$3='A0.Support'!$B$8,'A5.Counter-factual'!$B$2*D9,D9)</f>
        <v>70657477.91176337</v>
      </c>
      <c r="E7" s="38">
        <f>IF('RPM &amp; Discounts'!$B$3='A0.Support'!$B$8,'A5.Counter-factual'!$B$2*E9,E9)</f>
        <v>70657477.91176337</v>
      </c>
    </row>
    <row r="8" spans="2:5">
      <c r="B8" s="16" t="s">
        <v>552</v>
      </c>
      <c r="C8" s="17"/>
      <c r="D8" s="38">
        <f t="shared" ref="D8:E8" si="0">D9-D7</f>
        <v>0</v>
      </c>
      <c r="E8" s="38">
        <f t="shared" si="0"/>
        <v>0</v>
      </c>
    </row>
    <row r="9" spans="2:5" s="1" customFormat="1">
      <c r="B9" s="126" t="s">
        <v>30</v>
      </c>
      <c r="C9" s="127"/>
      <c r="D9" s="134">
        <v>70657477.91176337</v>
      </c>
      <c r="E9" s="320">
        <f>Input!H4</f>
        <v>70657477.91176337</v>
      </c>
    </row>
    <row r="10" spans="2:5" s="1" customFormat="1"/>
    <row r="11" spans="2:5"/>
    <row r="12" spans="2:5"/>
    <row r="13" spans="2:5" ht="28.95" customHeight="1">
      <c r="B13" s="32" t="s">
        <v>32</v>
      </c>
      <c r="C13" s="5"/>
      <c r="D13" s="5"/>
      <c r="E13" s="5"/>
    </row>
    <row r="14" spans="2:5" s="1" customFormat="1" ht="28.95" customHeight="1">
      <c r="B14"/>
      <c r="C14"/>
      <c r="D14"/>
      <c r="E14"/>
    </row>
    <row r="15" spans="2:5" s="1" customFormat="1" ht="28.95" customHeight="1">
      <c r="B15" s="35" t="s">
        <v>575</v>
      </c>
      <c r="C15" s="5"/>
      <c r="D15" s="5"/>
      <c r="E15" s="5"/>
    </row>
    <row r="16" spans="2:5">
      <c r="B16" s="1"/>
      <c r="E16" s="1"/>
    </row>
    <row r="17" spans="2:5">
      <c r="B17" s="9" t="s">
        <v>2</v>
      </c>
      <c r="C17" s="9" t="s">
        <v>6</v>
      </c>
      <c r="D17" s="6"/>
      <c r="E17" s="6"/>
    </row>
    <row r="18" spans="2:5">
      <c r="B18" s="25"/>
      <c r="C18" s="25"/>
      <c r="D18" s="23" t="str">
        <f t="shared" ref="D18:E18" si="1">D$5</f>
        <v>2025-26</v>
      </c>
      <c r="E18" s="23" t="str">
        <f t="shared" si="1"/>
        <v>2026-27</v>
      </c>
    </row>
    <row r="19" spans="2:5">
      <c r="B19" s="24"/>
      <c r="C19" s="24"/>
      <c r="D19" s="8"/>
      <c r="E19" s="8"/>
    </row>
    <row r="20" spans="2:5">
      <c r="B20" s="10" t="s">
        <v>8</v>
      </c>
      <c r="C20" s="3" t="s">
        <v>9</v>
      </c>
      <c r="D20" s="64">
        <v>8676558</v>
      </c>
      <c r="E20" s="320">
        <f>Input!H10</f>
        <v>8676558</v>
      </c>
    </row>
    <row r="21" spans="2:5">
      <c r="B21" s="11"/>
      <c r="C21" s="3" t="s">
        <v>10</v>
      </c>
      <c r="D21" s="64">
        <v>1596384</v>
      </c>
      <c r="E21" s="320">
        <f>Input!H11</f>
        <v>1596384</v>
      </c>
    </row>
    <row r="22" spans="2:5">
      <c r="B22" s="11"/>
      <c r="C22" s="3" t="s">
        <v>11</v>
      </c>
      <c r="D22" s="64">
        <v>2512022</v>
      </c>
      <c r="E22" s="320">
        <f>Input!H12</f>
        <v>2512022</v>
      </c>
    </row>
    <row r="23" spans="2:5">
      <c r="B23" s="11"/>
      <c r="C23" s="3" t="s">
        <v>12</v>
      </c>
      <c r="D23" s="64">
        <v>2568168.3524590163</v>
      </c>
      <c r="E23" s="320">
        <f>Input!H13</f>
        <v>2568168.3524590163</v>
      </c>
    </row>
    <row r="24" spans="2:5">
      <c r="B24" s="12"/>
      <c r="C24" s="3" t="s">
        <v>13</v>
      </c>
      <c r="D24" s="64">
        <v>390410.33879781421</v>
      </c>
      <c r="E24" s="320">
        <f>Input!H14</f>
        <v>390410.33879781421</v>
      </c>
    </row>
    <row r="25" spans="2:5">
      <c r="B25" s="10" t="s">
        <v>14</v>
      </c>
      <c r="C25" s="3" t="s">
        <v>9</v>
      </c>
      <c r="D25" s="119">
        <v>182000000</v>
      </c>
      <c r="E25" s="320">
        <f>Input!H15</f>
        <v>182000000</v>
      </c>
    </row>
    <row r="26" spans="2:5">
      <c r="B26" s="13"/>
      <c r="C26" s="3" t="s">
        <v>10</v>
      </c>
      <c r="D26" s="64">
        <v>0</v>
      </c>
      <c r="E26" s="320">
        <f>Input!H16</f>
        <v>0</v>
      </c>
    </row>
    <row r="27" spans="2:5">
      <c r="B27" s="13"/>
      <c r="C27" s="3" t="s">
        <v>11</v>
      </c>
      <c r="D27" s="64">
        <v>0</v>
      </c>
      <c r="E27" s="320">
        <f>Input!H17</f>
        <v>0</v>
      </c>
    </row>
    <row r="28" spans="2:5">
      <c r="B28" s="13"/>
      <c r="C28" s="3" t="s">
        <v>12</v>
      </c>
      <c r="D28" s="64">
        <v>16422.295081967215</v>
      </c>
      <c r="E28" s="320">
        <f>Input!H18</f>
        <v>16422.295081967215</v>
      </c>
    </row>
    <row r="29" spans="2:5">
      <c r="B29" s="14"/>
      <c r="C29" s="3" t="s">
        <v>13</v>
      </c>
      <c r="D29" s="64">
        <v>180266.40163934426</v>
      </c>
      <c r="E29" s="320">
        <f>Input!H19</f>
        <v>180266.40163934426</v>
      </c>
    </row>
    <row r="30" spans="2:5">
      <c r="B30" s="10" t="s">
        <v>15</v>
      </c>
      <c r="C30" s="3" t="s">
        <v>12</v>
      </c>
      <c r="D30" s="64">
        <v>4951057.1361363269</v>
      </c>
      <c r="E30" s="320">
        <f>Input!H20</f>
        <v>4951057.1361363269</v>
      </c>
    </row>
    <row r="31" spans="2:5">
      <c r="B31" s="14"/>
      <c r="C31" s="3" t="s">
        <v>13</v>
      </c>
      <c r="D31" s="64">
        <v>1918358.1253384296</v>
      </c>
      <c r="E31" s="320">
        <f>Input!H21</f>
        <v>1918358.1253384296</v>
      </c>
    </row>
    <row r="32" spans="2:5">
      <c r="B32" s="15" t="s">
        <v>26</v>
      </c>
      <c r="C32" s="3" t="s">
        <v>27</v>
      </c>
      <c r="D32" s="4">
        <v>1</v>
      </c>
      <c r="E32" s="320">
        <f>Input!H22</f>
        <v>1</v>
      </c>
    </row>
    <row r="33" spans="1:6" s="1" customFormat="1">
      <c r="A33"/>
      <c r="B33"/>
      <c r="C33"/>
      <c r="D33" s="63">
        <v>0</v>
      </c>
      <c r="E33" s="63">
        <v>0</v>
      </c>
      <c r="F33"/>
    </row>
    <row r="34" spans="1:6" s="1" customFormat="1"/>
    <row r="35" spans="1:6" s="1" customFormat="1" ht="28.95" customHeight="1">
      <c r="B35" s="35" t="s">
        <v>576</v>
      </c>
      <c r="C35" s="5"/>
      <c r="D35" s="5"/>
      <c r="E35" s="5"/>
    </row>
    <row r="36" spans="1:6" s="1" customFormat="1"/>
    <row r="37" spans="1:6" s="1" customFormat="1">
      <c r="B37" s="9" t="s">
        <v>2</v>
      </c>
      <c r="C37" s="9" t="s">
        <v>6</v>
      </c>
      <c r="D37" s="6"/>
      <c r="E37" s="6"/>
    </row>
    <row r="38" spans="1:6" s="1" customFormat="1">
      <c r="B38" s="25"/>
      <c r="C38" s="25"/>
      <c r="D38" s="23" t="str">
        <f t="shared" ref="D38:E38" si="2">D$5</f>
        <v>2025-26</v>
      </c>
      <c r="E38" s="23" t="str">
        <f t="shared" si="2"/>
        <v>2026-27</v>
      </c>
    </row>
    <row r="39" spans="1:6" s="1" customFormat="1">
      <c r="B39" s="24"/>
      <c r="C39" s="24"/>
      <c r="D39" s="8"/>
      <c r="E39" s="8"/>
    </row>
    <row r="40" spans="1:6" s="1" customFormat="1">
      <c r="B40" s="10" t="s">
        <v>8</v>
      </c>
      <c r="C40" s="3" t="s">
        <v>12</v>
      </c>
      <c r="D40" s="4">
        <v>0</v>
      </c>
      <c r="E40" s="65">
        <f t="shared" ref="E40" si="3">D40</f>
        <v>0</v>
      </c>
    </row>
    <row r="41" spans="1:6" s="1" customFormat="1">
      <c r="B41" s="12"/>
      <c r="C41" s="3" t="s">
        <v>13</v>
      </c>
      <c r="D41" s="4">
        <v>0</v>
      </c>
      <c r="E41" s="65">
        <f t="shared" ref="E41" si="4">D41</f>
        <v>0</v>
      </c>
    </row>
    <row r="42" spans="1:6" s="1" customFormat="1">
      <c r="B42" s="15" t="s">
        <v>14</v>
      </c>
      <c r="C42" s="3" t="s">
        <v>13</v>
      </c>
      <c r="D42" s="4">
        <v>0</v>
      </c>
      <c r="E42" s="65">
        <f t="shared" ref="E42" si="5">D42</f>
        <v>0</v>
      </c>
    </row>
    <row r="43" spans="1:6" s="1" customFormat="1">
      <c r="B43" s="15" t="s">
        <v>15</v>
      </c>
      <c r="C43" s="3" t="s">
        <v>13</v>
      </c>
      <c r="D43" s="4">
        <v>0</v>
      </c>
      <c r="E43" s="65">
        <f t="shared" ref="E43" si="6">D43</f>
        <v>0</v>
      </c>
    </row>
    <row r="44" spans="1:6" s="1" customFormat="1"/>
    <row r="45" spans="1:6" s="1" customFormat="1"/>
    <row r="46" spans="1:6" s="1" customFormat="1" ht="28.95" customHeight="1">
      <c r="B46" s="35" t="s">
        <v>577</v>
      </c>
      <c r="C46" s="5"/>
      <c r="D46" s="5"/>
      <c r="E46" s="5"/>
    </row>
    <row r="47" spans="1:6" s="1" customFormat="1"/>
    <row r="48" spans="1:6" s="1" customFormat="1">
      <c r="B48" s="26" t="s">
        <v>2</v>
      </c>
      <c r="C48" s="27"/>
      <c r="D48" s="6"/>
      <c r="E48" s="6"/>
    </row>
    <row r="49" spans="1:6" s="1" customFormat="1">
      <c r="B49" s="28"/>
      <c r="C49" s="29"/>
      <c r="D49" s="23" t="str">
        <f t="shared" ref="D49:E49" si="7">D$5</f>
        <v>2025-26</v>
      </c>
      <c r="E49" s="23" t="str">
        <f t="shared" si="7"/>
        <v>2026-27</v>
      </c>
    </row>
    <row r="50" spans="1:6" s="1" customFormat="1">
      <c r="B50" s="30"/>
      <c r="C50" s="31"/>
      <c r="D50" s="8"/>
      <c r="E50" s="8"/>
    </row>
    <row r="51" spans="1:6" s="1" customFormat="1">
      <c r="B51" s="16" t="str">
        <f>B20</f>
        <v>VIP</v>
      </c>
      <c r="C51" s="17"/>
      <c r="D51" s="64">
        <v>1291639.2129830557</v>
      </c>
      <c r="E51" s="65">
        <f t="shared" ref="E51:E52" si="8">D51</f>
        <v>1291639.2129830557</v>
      </c>
    </row>
    <row r="52" spans="1:6" s="1" customFormat="1">
      <c r="B52" s="16" t="str">
        <f>B25</f>
        <v>LNG terminal</v>
      </c>
      <c r="C52" s="17"/>
      <c r="D52" s="64">
        <v>44923508.409191839</v>
      </c>
      <c r="E52" s="65">
        <f t="shared" si="8"/>
        <v>44923508.409191839</v>
      </c>
    </row>
    <row r="53" spans="1:6" s="1" customFormat="1">
      <c r="B53" s="16" t="s">
        <v>15</v>
      </c>
      <c r="C53" s="17"/>
      <c r="D53" s="64">
        <v>2404252.5719999997</v>
      </c>
      <c r="E53" s="65">
        <f t="shared" ref="E53:E54" si="9">D53</f>
        <v>2404252.5719999997</v>
      </c>
    </row>
    <row r="54" spans="1:6" s="1" customFormat="1">
      <c r="B54" s="16" t="str">
        <f>B32</f>
        <v>Gas producers</v>
      </c>
      <c r="C54" s="17"/>
      <c r="D54" s="92">
        <v>1E-3</v>
      </c>
      <c r="E54" s="93">
        <f t="shared" si="9"/>
        <v>1E-3</v>
      </c>
    </row>
    <row r="55" spans="1:6" s="1" customFormat="1">
      <c r="A55"/>
      <c r="B55" s="21" t="s">
        <v>31</v>
      </c>
      <c r="C55" s="22"/>
      <c r="D55" s="20">
        <f t="shared" ref="D55:E55" si="10">SUM(D51:D54)</f>
        <v>48619400.195174895</v>
      </c>
      <c r="E55" s="20">
        <f t="shared" si="10"/>
        <v>48619400.195174895</v>
      </c>
      <c r="F55"/>
    </row>
    <row r="56" spans="1:6" s="1" customFormat="1">
      <c r="D56" s="63">
        <v>0</v>
      </c>
      <c r="E56" s="63">
        <v>0</v>
      </c>
    </row>
    <row r="57" spans="1:6" s="1" customFormat="1"/>
    <row r="58" spans="1:6" s="1" customFormat="1" ht="28.95" customHeight="1">
      <c r="A58"/>
      <c r="B58" s="32" t="s">
        <v>33</v>
      </c>
      <c r="C58" s="5"/>
      <c r="D58" s="5"/>
      <c r="E58" s="5"/>
      <c r="F58"/>
    </row>
    <row r="59" spans="1:6" s="1" customFormat="1" ht="14.4" customHeight="1"/>
    <row r="60" spans="1:6" s="1" customFormat="1" ht="28.95" customHeight="1">
      <c r="B60" s="35" t="s">
        <v>578</v>
      </c>
      <c r="C60" s="5"/>
      <c r="D60" s="5"/>
      <c r="E60" s="5"/>
    </row>
    <row r="61" spans="1:6" s="1" customFormat="1">
      <c r="A61"/>
      <c r="F61"/>
    </row>
    <row r="62" spans="1:6" s="1" customFormat="1">
      <c r="A62"/>
      <c r="B62" s="9" t="s">
        <v>1</v>
      </c>
      <c r="C62" s="9" t="s">
        <v>6</v>
      </c>
      <c r="D62" s="6"/>
      <c r="E62" s="6"/>
      <c r="F62"/>
    </row>
    <row r="63" spans="1:6" s="1" customFormat="1">
      <c r="A63"/>
      <c r="B63" s="25"/>
      <c r="C63" s="25"/>
      <c r="D63" s="23" t="str">
        <f t="shared" ref="D63:E63" si="11">D$5</f>
        <v>2025-26</v>
      </c>
      <c r="E63" s="23" t="str">
        <f t="shared" si="11"/>
        <v>2026-27</v>
      </c>
      <c r="F63"/>
    </row>
    <row r="64" spans="1:6" s="1" customFormat="1">
      <c r="A64"/>
      <c r="B64" s="24"/>
      <c r="C64" s="24"/>
      <c r="D64" s="8"/>
      <c r="E64" s="8"/>
      <c r="F64"/>
    </row>
    <row r="65" spans="2:5">
      <c r="B65" s="10" t="s">
        <v>8</v>
      </c>
      <c r="C65" s="3" t="s">
        <v>9</v>
      </c>
      <c r="D65" s="64">
        <v>0</v>
      </c>
      <c r="E65" s="320">
        <f>Input!H23</f>
        <v>0</v>
      </c>
    </row>
    <row r="66" spans="2:5">
      <c r="B66" s="13"/>
      <c r="C66" s="3" t="s">
        <v>10</v>
      </c>
      <c r="D66" s="64">
        <v>0</v>
      </c>
      <c r="E66" s="320">
        <f>Input!H24</f>
        <v>0</v>
      </c>
    </row>
    <row r="67" spans="2:5">
      <c r="B67" s="13"/>
      <c r="C67" s="3" t="s">
        <v>11</v>
      </c>
      <c r="D67" s="64">
        <v>13013032</v>
      </c>
      <c r="E67" s="320">
        <f>Input!H25</f>
        <v>13013032</v>
      </c>
    </row>
    <row r="68" spans="2:5">
      <c r="B68" s="13"/>
      <c r="C68" s="3" t="s">
        <v>12</v>
      </c>
      <c r="D68" s="64">
        <v>31102189</v>
      </c>
      <c r="E68" s="320">
        <f>Input!H26</f>
        <v>31102189</v>
      </c>
    </row>
    <row r="69" spans="2:5">
      <c r="B69" s="14"/>
      <c r="C69" s="3" t="s">
        <v>13</v>
      </c>
      <c r="D69" s="64">
        <v>111340</v>
      </c>
      <c r="E69" s="320">
        <f>Input!H27</f>
        <v>111340</v>
      </c>
    </row>
    <row r="70" spans="2:5">
      <c r="B70" s="10" t="s">
        <v>14</v>
      </c>
      <c r="C70" s="3" t="s">
        <v>9</v>
      </c>
      <c r="D70" s="64">
        <v>0</v>
      </c>
      <c r="E70" s="320">
        <f>Input!H28</f>
        <v>0</v>
      </c>
    </row>
    <row r="71" spans="2:5">
      <c r="B71" s="13"/>
      <c r="C71" s="3" t="s">
        <v>10</v>
      </c>
      <c r="D71" s="64">
        <v>0</v>
      </c>
      <c r="E71" s="320">
        <f>Input!H29</f>
        <v>0</v>
      </c>
    </row>
    <row r="72" spans="2:5">
      <c r="B72" s="13"/>
      <c r="C72" s="3" t="s">
        <v>11</v>
      </c>
      <c r="D72" s="64">
        <v>0</v>
      </c>
      <c r="E72" s="320">
        <f>Input!H30</f>
        <v>0</v>
      </c>
    </row>
    <row r="73" spans="2:5">
      <c r="B73" s="13"/>
      <c r="C73" s="3" t="s">
        <v>12</v>
      </c>
      <c r="D73" s="64">
        <v>0</v>
      </c>
      <c r="E73" s="320">
        <f>Input!H31</f>
        <v>0</v>
      </c>
    </row>
    <row r="74" spans="2:5">
      <c r="B74" s="14"/>
      <c r="C74" s="3" t="s">
        <v>13</v>
      </c>
      <c r="D74" s="64">
        <v>0</v>
      </c>
      <c r="E74" s="320">
        <f>Input!H32</f>
        <v>0</v>
      </c>
    </row>
    <row r="75" spans="2:5">
      <c r="B75" s="10" t="s">
        <v>15</v>
      </c>
      <c r="C75" s="3" t="s">
        <v>12</v>
      </c>
      <c r="D75" s="64">
        <v>6593617.2301879274</v>
      </c>
      <c r="E75" s="320">
        <f>Input!H33</f>
        <v>6593617.2301879274</v>
      </c>
    </row>
    <row r="76" spans="2:5">
      <c r="B76" s="14"/>
      <c r="C76" s="3" t="s">
        <v>13</v>
      </c>
      <c r="D76" s="64">
        <v>683624.83242554544</v>
      </c>
      <c r="E76" s="320">
        <f>Input!H34</f>
        <v>683624.83242554544</v>
      </c>
    </row>
    <row r="77" spans="2:5">
      <c r="B77" s="15" t="s">
        <v>17</v>
      </c>
      <c r="C77" s="3" t="s">
        <v>18</v>
      </c>
      <c r="D77" s="64">
        <v>157646327.37832683</v>
      </c>
      <c r="E77" s="320">
        <f>Input!H35</f>
        <v>157646327.37832683</v>
      </c>
    </row>
    <row r="78" spans="2:5">
      <c r="B78" s="10" t="s">
        <v>19</v>
      </c>
      <c r="C78" s="3" t="s">
        <v>20</v>
      </c>
      <c r="D78" s="64">
        <v>110137542.48308744</v>
      </c>
      <c r="E78" s="320">
        <f>Input!H36</f>
        <v>110137542.48308744</v>
      </c>
    </row>
    <row r="79" spans="2:5">
      <c r="B79" s="13"/>
      <c r="C79" s="3" t="s">
        <v>21</v>
      </c>
      <c r="D79" s="64">
        <v>0</v>
      </c>
      <c r="E79" s="320">
        <f>Input!H37</f>
        <v>0</v>
      </c>
    </row>
    <row r="80" spans="2:5">
      <c r="B80" s="13"/>
      <c r="C80" s="3" t="s">
        <v>22</v>
      </c>
      <c r="D80" s="64">
        <v>732895.5</v>
      </c>
      <c r="E80" s="320">
        <f>Input!H38</f>
        <v>732895.5</v>
      </c>
    </row>
    <row r="81" spans="2:7">
      <c r="B81" s="13"/>
      <c r="C81" s="3" t="s">
        <v>23</v>
      </c>
      <c r="D81" s="64">
        <v>732895.5</v>
      </c>
      <c r="E81" s="320">
        <f>Input!H39</f>
        <v>732895.5</v>
      </c>
    </row>
    <row r="82" spans="2:7">
      <c r="B82" s="13"/>
      <c r="C82" s="3" t="s">
        <v>24</v>
      </c>
      <c r="D82" s="4">
        <f>0</f>
        <v>0</v>
      </c>
      <c r="E82" s="320">
        <f>Input!H40</f>
        <v>0</v>
      </c>
    </row>
    <row r="83" spans="2:7">
      <c r="B83" s="14"/>
      <c r="C83" s="3" t="s">
        <v>25</v>
      </c>
      <c r="D83" s="4">
        <f>0</f>
        <v>0</v>
      </c>
      <c r="E83" s="320">
        <f>Input!H41</f>
        <v>0</v>
      </c>
    </row>
    <row r="84" spans="2:7">
      <c r="D84" s="63">
        <v>0</v>
      </c>
      <c r="E84" s="63">
        <v>0</v>
      </c>
    </row>
    <row r="85" spans="2:7" s="1" customFormat="1"/>
    <row r="86" spans="2:7" s="1" customFormat="1" ht="28.95" customHeight="1">
      <c r="B86" s="35" t="s">
        <v>579</v>
      </c>
      <c r="C86" s="5"/>
      <c r="D86" s="5"/>
      <c r="E86" s="5"/>
    </row>
    <row r="87" spans="2:7" s="1" customFormat="1"/>
    <row r="88" spans="2:7" s="1" customFormat="1">
      <c r="B88" s="9" t="s">
        <v>1</v>
      </c>
      <c r="C88" s="9" t="s">
        <v>6</v>
      </c>
      <c r="D88" s="6"/>
      <c r="E88" s="6"/>
    </row>
    <row r="89" spans="2:7" s="1" customFormat="1">
      <c r="B89" s="25"/>
      <c r="C89" s="25"/>
      <c r="D89" s="23" t="str">
        <f t="shared" ref="D89:E89" si="12">D$5</f>
        <v>2025-26</v>
      </c>
      <c r="E89" s="23" t="str">
        <f t="shared" si="12"/>
        <v>2026-27</v>
      </c>
    </row>
    <row r="90" spans="2:7" s="1" customFormat="1">
      <c r="B90" s="24"/>
      <c r="C90" s="24"/>
      <c r="D90" s="8"/>
      <c r="E90" s="8"/>
    </row>
    <row r="91" spans="2:7" s="1" customFormat="1">
      <c r="B91" s="10" t="s">
        <v>8</v>
      </c>
      <c r="C91" s="3" t="s">
        <v>12</v>
      </c>
      <c r="D91" s="4">
        <v>0</v>
      </c>
      <c r="E91" s="65">
        <f t="shared" ref="E91" si="13">D91</f>
        <v>0</v>
      </c>
      <c r="G91"/>
    </row>
    <row r="92" spans="2:7" s="1" customFormat="1">
      <c r="B92" s="12"/>
      <c r="C92" s="3" t="s">
        <v>13</v>
      </c>
      <c r="D92" s="4">
        <v>0</v>
      </c>
      <c r="E92" s="65">
        <f t="shared" ref="E92" si="14">D92</f>
        <v>0</v>
      </c>
    </row>
    <row r="93" spans="2:7" s="1" customFormat="1">
      <c r="B93" s="10" t="s">
        <v>14</v>
      </c>
      <c r="C93" s="3" t="s">
        <v>12</v>
      </c>
      <c r="D93" s="4">
        <v>1</v>
      </c>
      <c r="E93" s="65">
        <f t="shared" ref="E93" si="15">D93</f>
        <v>1</v>
      </c>
    </row>
    <row r="94" spans="2:7" s="1" customFormat="1">
      <c r="B94" s="12"/>
      <c r="C94" s="3" t="s">
        <v>13</v>
      </c>
      <c r="D94" s="4">
        <v>0</v>
      </c>
      <c r="E94" s="65">
        <f t="shared" ref="E94" si="16">D94</f>
        <v>0</v>
      </c>
    </row>
    <row r="95" spans="2:7" s="1" customFormat="1">
      <c r="B95" s="15" t="s">
        <v>15</v>
      </c>
      <c r="C95" s="3" t="s">
        <v>13</v>
      </c>
      <c r="D95" s="4">
        <v>0</v>
      </c>
      <c r="E95" s="65">
        <f t="shared" ref="E95" si="17">D95</f>
        <v>0</v>
      </c>
    </row>
    <row r="96" spans="2:7"/>
    <row r="97" spans="1:5" s="1" customFormat="1"/>
    <row r="98" spans="1:5" s="1" customFormat="1" ht="28.95" customHeight="1">
      <c r="B98" s="35" t="s">
        <v>580</v>
      </c>
      <c r="C98" s="5"/>
      <c r="D98" s="5"/>
      <c r="E98" s="5"/>
    </row>
    <row r="99" spans="1:5" s="1" customFormat="1"/>
    <row r="100" spans="1:5" s="1" customFormat="1">
      <c r="B100" s="26" t="s">
        <v>1</v>
      </c>
      <c r="C100" s="27"/>
      <c r="D100" s="6"/>
      <c r="E100" s="6"/>
    </row>
    <row r="101" spans="1:5" s="1" customFormat="1">
      <c r="B101" s="28"/>
      <c r="C101" s="29"/>
      <c r="D101" s="23" t="str">
        <f t="shared" ref="D101:E101" si="18">D$5</f>
        <v>2025-26</v>
      </c>
      <c r="E101" s="23" t="str">
        <f t="shared" si="18"/>
        <v>2026-27</v>
      </c>
    </row>
    <row r="102" spans="1:5" s="1" customFormat="1">
      <c r="B102" s="30"/>
      <c r="C102" s="31"/>
      <c r="D102" s="8"/>
      <c r="E102" s="8"/>
    </row>
    <row r="103" spans="1:5" s="1" customFormat="1">
      <c r="B103" s="16" t="str">
        <f>B65</f>
        <v>VIP</v>
      </c>
      <c r="C103" s="17"/>
      <c r="D103" s="64">
        <v>6458468.352</v>
      </c>
      <c r="E103" s="65">
        <f t="shared" ref="E103:E104" si="19">D103</f>
        <v>6458468.352</v>
      </c>
    </row>
    <row r="104" spans="1:5" s="1" customFormat="1">
      <c r="B104" s="16" t="str">
        <f>B70</f>
        <v>LNG terminal</v>
      </c>
      <c r="C104" s="17"/>
      <c r="D104" s="92">
        <v>1E-3</v>
      </c>
      <c r="E104" s="93">
        <f t="shared" si="19"/>
        <v>1E-3</v>
      </c>
    </row>
    <row r="105" spans="1:5" s="1" customFormat="1">
      <c r="B105" s="16" t="s">
        <v>15</v>
      </c>
      <c r="C105" s="17"/>
      <c r="D105" s="64">
        <v>2404252.5719999997</v>
      </c>
      <c r="E105" s="65">
        <f t="shared" ref="E105" si="20">D105</f>
        <v>2404252.5719999997</v>
      </c>
    </row>
    <row r="106" spans="1:5" s="1" customFormat="1">
      <c r="B106" s="16" t="s">
        <v>284</v>
      </c>
      <c r="C106" s="17"/>
      <c r="D106" s="64">
        <v>39718829.046174884</v>
      </c>
      <c r="E106" s="65">
        <f t="shared" ref="E106" si="21">D106</f>
        <v>39718829.046174884</v>
      </c>
    </row>
    <row r="107" spans="1:5" s="1" customFormat="1">
      <c r="B107" s="21" t="s">
        <v>31</v>
      </c>
      <c r="C107" s="22"/>
      <c r="D107" s="20">
        <f>SUM(D103:D106)</f>
        <v>48581549.971174881</v>
      </c>
      <c r="E107" s="20">
        <f>SUM(E103:E106)</f>
        <v>48581549.971174881</v>
      </c>
    </row>
    <row r="108" spans="1:5" s="1" customFormat="1">
      <c r="D108" s="63">
        <v>0</v>
      </c>
      <c r="E108" s="63">
        <v>0</v>
      </c>
    </row>
    <row r="109" spans="1:5"/>
    <row r="110" spans="1:5" ht="28.95" customHeight="1">
      <c r="A110" s="1"/>
      <c r="B110" s="32" t="s">
        <v>41</v>
      </c>
      <c r="C110" s="5"/>
      <c r="D110" s="5"/>
      <c r="E110" s="5"/>
    </row>
    <row r="111" spans="1:5">
      <c r="A111" s="1"/>
      <c r="B111" s="1"/>
      <c r="E111" s="1"/>
    </row>
    <row r="112" spans="1:5">
      <c r="B112" s="26" t="s">
        <v>37</v>
      </c>
      <c r="C112" s="27"/>
      <c r="D112" s="6"/>
      <c r="E112" s="6"/>
    </row>
    <row r="113" spans="2:7">
      <c r="B113" s="28"/>
      <c r="C113" s="29"/>
      <c r="D113" s="23" t="str">
        <f t="shared" ref="D113:E113" si="22">D$5</f>
        <v>2025-26</v>
      </c>
      <c r="E113" s="23" t="str">
        <f t="shared" si="22"/>
        <v>2026-27</v>
      </c>
    </row>
    <row r="114" spans="2:7">
      <c r="B114" s="30"/>
      <c r="C114" s="31"/>
      <c r="D114" s="8"/>
      <c r="E114" s="8"/>
    </row>
    <row r="115" spans="2:7">
      <c r="B115" s="10" t="s">
        <v>8</v>
      </c>
      <c r="C115" s="3" t="s">
        <v>9</v>
      </c>
      <c r="D115" s="39">
        <v>1</v>
      </c>
      <c r="E115" s="66">
        <f t="shared" ref="E115" si="23">D115</f>
        <v>1</v>
      </c>
      <c r="G115" s="59"/>
    </row>
    <row r="116" spans="2:7">
      <c r="B116" s="11"/>
      <c r="C116" s="3" t="s">
        <v>10</v>
      </c>
      <c r="D116" s="132">
        <v>1.18</v>
      </c>
      <c r="E116" s="66">
        <f t="shared" ref="E116" si="24">D116</f>
        <v>1.18</v>
      </c>
    </row>
    <row r="117" spans="2:7">
      <c r="B117" s="11"/>
      <c r="C117" s="3" t="s">
        <v>11</v>
      </c>
      <c r="D117" s="132">
        <v>1.35</v>
      </c>
      <c r="E117" s="66">
        <f t="shared" ref="E117" si="25">D117</f>
        <v>1.35</v>
      </c>
    </row>
    <row r="118" spans="2:7">
      <c r="B118" s="11"/>
      <c r="C118" s="3" t="s">
        <v>12</v>
      </c>
      <c r="D118" s="132">
        <v>1.94</v>
      </c>
      <c r="E118" s="66">
        <f t="shared" ref="E118" si="26">D118</f>
        <v>1.94</v>
      </c>
    </row>
    <row r="119" spans="2:7">
      <c r="B119" s="12"/>
      <c r="C119" s="3" t="s">
        <v>13</v>
      </c>
      <c r="D119" s="132">
        <v>2.13</v>
      </c>
      <c r="E119" s="66">
        <f t="shared" ref="E119" si="27">D119</f>
        <v>2.13</v>
      </c>
    </row>
    <row r="120" spans="2:7">
      <c r="B120" s="10" t="s">
        <v>14</v>
      </c>
      <c r="C120" s="3" t="s">
        <v>9</v>
      </c>
      <c r="D120" s="39">
        <v>1</v>
      </c>
      <c r="E120" s="66">
        <f t="shared" ref="E120" si="28">D120</f>
        <v>1</v>
      </c>
    </row>
    <row r="121" spans="2:7">
      <c r="B121" s="13"/>
      <c r="C121" s="3" t="s">
        <v>10</v>
      </c>
      <c r="D121" s="132">
        <v>1.18</v>
      </c>
      <c r="E121" s="66">
        <f t="shared" ref="E121" si="29">D121</f>
        <v>1.18</v>
      </c>
    </row>
    <row r="122" spans="2:7">
      <c r="B122" s="13"/>
      <c r="C122" s="3" t="s">
        <v>11</v>
      </c>
      <c r="D122" s="132">
        <v>1.35</v>
      </c>
      <c r="E122" s="66">
        <f t="shared" ref="E122" si="30">D122</f>
        <v>1.35</v>
      </c>
    </row>
    <row r="123" spans="2:7">
      <c r="B123" s="13"/>
      <c r="C123" s="3" t="s">
        <v>12</v>
      </c>
      <c r="D123" s="132">
        <v>1.94</v>
      </c>
      <c r="E123" s="66">
        <f t="shared" ref="E123" si="31">D123</f>
        <v>1.94</v>
      </c>
    </row>
    <row r="124" spans="2:7">
      <c r="B124" s="14"/>
      <c r="C124" s="3" t="s">
        <v>13</v>
      </c>
      <c r="D124" s="132">
        <v>2.13</v>
      </c>
      <c r="E124" s="66">
        <f t="shared" ref="E124" si="32">D124</f>
        <v>2.13</v>
      </c>
    </row>
    <row r="125" spans="2:7">
      <c r="B125" s="10" t="s">
        <v>15</v>
      </c>
      <c r="C125" s="3" t="s">
        <v>12</v>
      </c>
      <c r="D125" s="132">
        <v>1</v>
      </c>
      <c r="E125" s="66">
        <f t="shared" ref="E125" si="33">D125</f>
        <v>1</v>
      </c>
    </row>
    <row r="126" spans="2:7">
      <c r="B126" s="14"/>
      <c r="C126" s="3" t="s">
        <v>13</v>
      </c>
      <c r="D126" s="132">
        <v>1.1000000000000001</v>
      </c>
      <c r="E126" s="66">
        <f t="shared" ref="E126" si="34">D126</f>
        <v>1.1000000000000001</v>
      </c>
    </row>
    <row r="127" spans="2:7" s="1" customFormat="1">
      <c r="B127" s="15" t="s">
        <v>26</v>
      </c>
      <c r="C127" s="3" t="s">
        <v>27</v>
      </c>
      <c r="D127" s="39">
        <v>1</v>
      </c>
      <c r="E127" s="66">
        <f t="shared" ref="E127" si="35">D127</f>
        <v>1</v>
      </c>
    </row>
    <row r="128" spans="2:7"/>
    <row r="129" spans="2:5"/>
    <row r="130" spans="2:5">
      <c r="B130" s="26" t="s">
        <v>38</v>
      </c>
      <c r="C130" s="27"/>
      <c r="D130" s="6"/>
      <c r="E130" s="6"/>
    </row>
    <row r="131" spans="2:5">
      <c r="B131" s="28"/>
      <c r="C131" s="29"/>
      <c r="D131" s="23" t="str">
        <f t="shared" ref="D131:E131" si="36">D$5</f>
        <v>2025-26</v>
      </c>
      <c r="E131" s="23" t="str">
        <f t="shared" si="36"/>
        <v>2026-27</v>
      </c>
    </row>
    <row r="132" spans="2:5">
      <c r="B132" s="30"/>
      <c r="C132" s="31"/>
      <c r="D132" s="8"/>
      <c r="E132" s="8"/>
    </row>
    <row r="133" spans="2:5">
      <c r="B133" s="10" t="s">
        <v>8</v>
      </c>
      <c r="C133" s="3" t="s">
        <v>9</v>
      </c>
      <c r="D133" s="39">
        <v>1</v>
      </c>
      <c r="E133" s="66">
        <f t="shared" ref="E133" si="37">D133</f>
        <v>1</v>
      </c>
    </row>
    <row r="134" spans="2:5">
      <c r="B134" s="13"/>
      <c r="C134" s="3" t="s">
        <v>10</v>
      </c>
      <c r="D134" s="132">
        <v>1.18</v>
      </c>
      <c r="E134" s="66">
        <f t="shared" ref="E134" si="38">D134</f>
        <v>1.18</v>
      </c>
    </row>
    <row r="135" spans="2:5">
      <c r="B135" s="13"/>
      <c r="C135" s="3" t="s">
        <v>11</v>
      </c>
      <c r="D135" s="132">
        <v>1.35</v>
      </c>
      <c r="E135" s="66">
        <f t="shared" ref="E135" si="39">D135</f>
        <v>1.35</v>
      </c>
    </row>
    <row r="136" spans="2:5">
      <c r="B136" s="13"/>
      <c r="C136" s="3" t="s">
        <v>12</v>
      </c>
      <c r="D136" s="132">
        <v>1.94</v>
      </c>
      <c r="E136" s="66">
        <f t="shared" ref="E136" si="40">D136</f>
        <v>1.94</v>
      </c>
    </row>
    <row r="137" spans="2:5">
      <c r="B137" s="14"/>
      <c r="C137" s="3" t="s">
        <v>13</v>
      </c>
      <c r="D137" s="132">
        <v>2.13</v>
      </c>
      <c r="E137" s="66">
        <f t="shared" ref="E137" si="41">D137</f>
        <v>2.13</v>
      </c>
    </row>
    <row r="138" spans="2:5">
      <c r="B138" s="10" t="s">
        <v>14</v>
      </c>
      <c r="C138" s="3" t="s">
        <v>9</v>
      </c>
      <c r="D138" s="39">
        <v>1</v>
      </c>
      <c r="E138" s="66">
        <f t="shared" ref="E138" si="42">D138</f>
        <v>1</v>
      </c>
    </row>
    <row r="139" spans="2:5">
      <c r="B139" s="13"/>
      <c r="C139" s="3" t="s">
        <v>10</v>
      </c>
      <c r="D139" s="132">
        <v>1.18</v>
      </c>
      <c r="E139" s="66">
        <f t="shared" ref="E139" si="43">D139</f>
        <v>1.18</v>
      </c>
    </row>
    <row r="140" spans="2:5">
      <c r="B140" s="13"/>
      <c r="C140" s="3" t="s">
        <v>11</v>
      </c>
      <c r="D140" s="132">
        <v>1.35</v>
      </c>
      <c r="E140" s="66">
        <f t="shared" ref="E140" si="44">D140</f>
        <v>1.35</v>
      </c>
    </row>
    <row r="141" spans="2:5">
      <c r="B141" s="13"/>
      <c r="C141" s="3" t="s">
        <v>12</v>
      </c>
      <c r="D141" s="132">
        <v>1.94</v>
      </c>
      <c r="E141" s="66">
        <f t="shared" ref="E141" si="45">D141</f>
        <v>1.94</v>
      </c>
    </row>
    <row r="142" spans="2:5">
      <c r="B142" s="14"/>
      <c r="C142" s="3" t="s">
        <v>13</v>
      </c>
      <c r="D142" s="132">
        <v>2.13</v>
      </c>
      <c r="E142" s="66">
        <f t="shared" ref="E142" si="46">D142</f>
        <v>2.13</v>
      </c>
    </row>
    <row r="143" spans="2:5">
      <c r="B143" s="10" t="s">
        <v>15</v>
      </c>
      <c r="C143" s="3" t="s">
        <v>12</v>
      </c>
      <c r="D143" s="132">
        <v>1</v>
      </c>
      <c r="E143" s="66">
        <f t="shared" ref="E143" si="47">D143</f>
        <v>1</v>
      </c>
    </row>
    <row r="144" spans="2:5">
      <c r="B144" s="14"/>
      <c r="C144" s="3" t="s">
        <v>13</v>
      </c>
      <c r="D144" s="132">
        <v>1.1000000000000001</v>
      </c>
      <c r="E144" s="66">
        <f t="shared" ref="E144" si="48">D144</f>
        <v>1.1000000000000001</v>
      </c>
    </row>
    <row r="145" spans="2:5">
      <c r="B145" s="10" t="s">
        <v>19</v>
      </c>
      <c r="C145" s="3" t="s">
        <v>21</v>
      </c>
      <c r="D145" s="39">
        <v>1.5</v>
      </c>
      <c r="E145" s="66">
        <f t="shared" ref="E145" si="49">D145</f>
        <v>1.5</v>
      </c>
    </row>
    <row r="146" spans="2:5">
      <c r="B146" s="13"/>
      <c r="C146" s="3" t="s">
        <v>22</v>
      </c>
      <c r="D146" s="39">
        <v>3</v>
      </c>
      <c r="E146" s="66">
        <f t="shared" ref="E146" si="50">D146</f>
        <v>3</v>
      </c>
    </row>
    <row r="147" spans="2:5">
      <c r="B147" s="13"/>
      <c r="C147" s="3" t="s">
        <v>23</v>
      </c>
      <c r="D147" s="39">
        <v>1.5</v>
      </c>
      <c r="E147" s="66">
        <f t="shared" ref="E147" si="51">D147</f>
        <v>1.5</v>
      </c>
    </row>
    <row r="148" spans="2:5">
      <c r="B148" s="13"/>
      <c r="C148" s="3" t="s">
        <v>24</v>
      </c>
      <c r="D148" s="39">
        <v>10</v>
      </c>
      <c r="E148" s="66">
        <f t="shared" ref="E148" si="52">D148</f>
        <v>10</v>
      </c>
    </row>
    <row r="149" spans="2:5">
      <c r="B149" s="14"/>
      <c r="C149" s="3" t="s">
        <v>25</v>
      </c>
      <c r="D149" s="39">
        <v>6</v>
      </c>
      <c r="E149" s="66">
        <f t="shared" ref="E149" si="53">D149</f>
        <v>6</v>
      </c>
    </row>
    <row r="150" spans="2:5"/>
    <row r="151" spans="2:5"/>
    <row r="152" spans="2:5">
      <c r="B152" s="26" t="s">
        <v>236</v>
      </c>
      <c r="C152" s="27"/>
      <c r="D152" s="6"/>
      <c r="E152" s="6"/>
    </row>
    <row r="153" spans="2:5">
      <c r="B153" s="28"/>
      <c r="C153" s="29"/>
      <c r="D153" s="23" t="str">
        <f t="shared" ref="D153:E153" si="54">D$5</f>
        <v>2025-26</v>
      </c>
      <c r="E153" s="23" t="str">
        <f t="shared" si="54"/>
        <v>2026-27</v>
      </c>
    </row>
    <row r="154" spans="2:5">
      <c r="B154" s="30"/>
      <c r="C154" s="31"/>
      <c r="D154" s="8"/>
      <c r="E154" s="8"/>
    </row>
    <row r="155" spans="2:5">
      <c r="B155" s="10" t="s">
        <v>15</v>
      </c>
      <c r="C155" s="3" t="s">
        <v>12</v>
      </c>
      <c r="D155" s="34">
        <v>1</v>
      </c>
      <c r="E155" s="67">
        <f t="shared" ref="E155" si="55">D155</f>
        <v>1</v>
      </c>
    </row>
    <row r="156" spans="2:5">
      <c r="B156" s="14"/>
      <c r="C156" s="3" t="s">
        <v>13</v>
      </c>
      <c r="D156" s="34">
        <v>1</v>
      </c>
      <c r="E156" s="67">
        <f t="shared" ref="E156" si="56">D156</f>
        <v>1</v>
      </c>
    </row>
    <row r="157" spans="2:5">
      <c r="B157" s="1"/>
      <c r="E157" s="1"/>
    </row>
    <row r="158" spans="2:5">
      <c r="B158" s="1"/>
      <c r="E158" s="1"/>
    </row>
    <row r="159" spans="2:5" s="1" customFormat="1">
      <c r="B159" s="26" t="s">
        <v>39</v>
      </c>
      <c r="C159" s="27"/>
      <c r="D159" s="6"/>
      <c r="E159" s="6"/>
    </row>
    <row r="160" spans="2:5" s="1" customFormat="1">
      <c r="B160" s="28"/>
      <c r="C160" s="29"/>
      <c r="D160" s="23" t="str">
        <f t="shared" ref="D160:E160" si="57">D$5</f>
        <v>2025-26</v>
      </c>
      <c r="E160" s="23" t="str">
        <f t="shared" si="57"/>
        <v>2026-27</v>
      </c>
    </row>
    <row r="161" spans="2:5" s="1" customFormat="1">
      <c r="B161" s="30"/>
      <c r="C161" s="31"/>
      <c r="D161" s="8"/>
      <c r="E161" s="8"/>
    </row>
    <row r="162" spans="2:5" s="1" customFormat="1">
      <c r="B162" s="10" t="s">
        <v>8</v>
      </c>
      <c r="C162" s="3" t="s">
        <v>12</v>
      </c>
      <c r="D162" s="40">
        <v>4.5999999999999999E-2</v>
      </c>
      <c r="E162" s="68">
        <f t="shared" ref="E162" si="58">D162</f>
        <v>4.5999999999999999E-2</v>
      </c>
    </row>
    <row r="163" spans="2:5" s="1" customFormat="1">
      <c r="B163" s="12"/>
      <c r="C163" s="3" t="s">
        <v>13</v>
      </c>
      <c r="D163" s="40">
        <v>4.5999999999999999E-2</v>
      </c>
      <c r="E163" s="68">
        <f t="shared" ref="E163" si="59">D163</f>
        <v>4.5999999999999999E-2</v>
      </c>
    </row>
    <row r="164" spans="2:5" s="1" customFormat="1">
      <c r="B164" s="15" t="s">
        <v>14</v>
      </c>
      <c r="C164" s="3" t="s">
        <v>13</v>
      </c>
      <c r="D164" s="40">
        <v>7.5999999999999998E-2</v>
      </c>
      <c r="E164" s="68">
        <f t="shared" ref="E164" si="60">D164</f>
        <v>7.5999999999999998E-2</v>
      </c>
    </row>
    <row r="165" spans="2:5" s="1" customFormat="1">
      <c r="B165" s="15" t="s">
        <v>15</v>
      </c>
      <c r="C165" s="3" t="s">
        <v>13</v>
      </c>
      <c r="D165" s="40">
        <v>0</v>
      </c>
      <c r="E165" s="68">
        <f t="shared" ref="E165" si="61">D165</f>
        <v>0</v>
      </c>
    </row>
    <row r="166" spans="2:5" s="1" customFormat="1"/>
    <row r="167" spans="2:5" s="1" customFormat="1"/>
    <row r="168" spans="2:5">
      <c r="B168" s="26" t="s">
        <v>237</v>
      </c>
      <c r="C168" s="27"/>
      <c r="D168" s="6"/>
      <c r="E168" s="6"/>
    </row>
    <row r="169" spans="2:5">
      <c r="B169" s="28"/>
      <c r="C169" s="29"/>
      <c r="D169" s="23" t="str">
        <f t="shared" ref="D169:E169" si="62">D$5</f>
        <v>2025-26</v>
      </c>
      <c r="E169" s="23" t="str">
        <f t="shared" si="62"/>
        <v>2026-27</v>
      </c>
    </row>
    <row r="170" spans="2:5">
      <c r="B170" s="30"/>
      <c r="C170" s="31"/>
      <c r="D170" s="8"/>
      <c r="E170" s="8"/>
    </row>
    <row r="171" spans="2:5">
      <c r="B171" s="10" t="s">
        <v>15</v>
      </c>
      <c r="C171" s="3" t="s">
        <v>12</v>
      </c>
      <c r="D171" s="34">
        <v>1</v>
      </c>
      <c r="E171" s="67">
        <f t="shared" ref="E171" si="63">D171</f>
        <v>1</v>
      </c>
    </row>
    <row r="172" spans="2:5">
      <c r="B172" s="14"/>
      <c r="C172" s="3" t="s">
        <v>13</v>
      </c>
      <c r="D172" s="34">
        <v>1</v>
      </c>
      <c r="E172" s="67">
        <f t="shared" ref="E172" si="64">D172</f>
        <v>1</v>
      </c>
    </row>
    <row r="173" spans="2:5"/>
    <row r="174" spans="2:5"/>
    <row r="175" spans="2:5">
      <c r="B175" s="26" t="s">
        <v>40</v>
      </c>
      <c r="C175" s="27"/>
      <c r="D175" s="6"/>
      <c r="E175" s="6"/>
    </row>
    <row r="176" spans="2:5">
      <c r="B176" s="28"/>
      <c r="C176" s="29"/>
      <c r="D176" s="23" t="str">
        <f t="shared" ref="D176:E176" si="65">D$5</f>
        <v>2025-26</v>
      </c>
      <c r="E176" s="23" t="str">
        <f t="shared" si="65"/>
        <v>2026-27</v>
      </c>
    </row>
    <row r="177" spans="2:7">
      <c r="B177" s="30"/>
      <c r="C177" s="31"/>
      <c r="D177" s="8"/>
      <c r="E177" s="8"/>
    </row>
    <row r="178" spans="2:7">
      <c r="B178" s="10" t="s">
        <v>8</v>
      </c>
      <c r="C178" s="3" t="s">
        <v>12</v>
      </c>
      <c r="D178" s="40">
        <v>4.5999999999999999E-2</v>
      </c>
      <c r="E178" s="68">
        <f t="shared" ref="E178" si="66">D178</f>
        <v>4.5999999999999999E-2</v>
      </c>
    </row>
    <row r="179" spans="2:7">
      <c r="B179" s="12"/>
      <c r="C179" s="3" t="s">
        <v>13</v>
      </c>
      <c r="D179" s="40">
        <v>4.5999999999999999E-2</v>
      </c>
      <c r="E179" s="68">
        <f t="shared" ref="E179" si="67">D179</f>
        <v>4.5999999999999999E-2</v>
      </c>
    </row>
    <row r="180" spans="2:7">
      <c r="B180" s="10" t="s">
        <v>14</v>
      </c>
      <c r="C180" s="3" t="s">
        <v>12</v>
      </c>
      <c r="D180" s="40">
        <v>0</v>
      </c>
      <c r="E180" s="68">
        <f t="shared" ref="E180" si="68">D180</f>
        <v>0</v>
      </c>
    </row>
    <row r="181" spans="2:7">
      <c r="B181" s="12"/>
      <c r="C181" s="3" t="s">
        <v>13</v>
      </c>
      <c r="D181" s="40">
        <v>0</v>
      </c>
      <c r="E181" s="68">
        <f t="shared" ref="E181" si="69">D181</f>
        <v>0</v>
      </c>
      <c r="G181" s="59"/>
    </row>
    <row r="182" spans="2:7">
      <c r="B182" s="15" t="s">
        <v>15</v>
      </c>
      <c r="C182" s="3" t="s">
        <v>13</v>
      </c>
      <c r="D182" s="40">
        <v>0</v>
      </c>
      <c r="E182" s="68">
        <f t="shared" ref="E182" si="70">D182</f>
        <v>0</v>
      </c>
    </row>
    <row r="183" spans="2:7"/>
    <row r="184" spans="2:7"/>
    <row r="185" spans="2:7" ht="28.95" customHeight="1">
      <c r="B185" s="32" t="s">
        <v>42</v>
      </c>
      <c r="C185" s="5"/>
      <c r="D185" s="5"/>
      <c r="E185" s="5"/>
    </row>
    <row r="186" spans="2:7">
      <c r="B186" s="1"/>
      <c r="E186" s="1"/>
    </row>
    <row r="187" spans="2:7">
      <c r="B187" s="26" t="s">
        <v>36</v>
      </c>
      <c r="C187" s="27"/>
      <c r="D187" s="6"/>
      <c r="E187" s="6"/>
    </row>
    <row r="188" spans="2:7">
      <c r="B188" s="28"/>
      <c r="C188" s="29"/>
      <c r="D188" s="23" t="str">
        <f t="shared" ref="D188:E188" si="71">D$5</f>
        <v>2025-26</v>
      </c>
      <c r="E188" s="23" t="str">
        <f t="shared" si="71"/>
        <v>2026-27</v>
      </c>
    </row>
    <row r="189" spans="2:7">
      <c r="B189" s="30"/>
      <c r="C189" s="31"/>
      <c r="D189" s="8"/>
      <c r="E189" s="8"/>
    </row>
    <row r="190" spans="2:7">
      <c r="B190" s="16" t="s">
        <v>7</v>
      </c>
      <c r="C190" s="17"/>
      <c r="D190" s="34">
        <f>IF(OR('RPM &amp; Discounts'!$B$3='A0.Support'!$B$3,'RPM &amp; Discounts'!$B$3='A0.Support'!$B$8),0.5,0.28)</f>
        <v>0.28000000000000003</v>
      </c>
      <c r="E190" s="67">
        <f t="shared" ref="E190" si="72">D190</f>
        <v>0.28000000000000003</v>
      </c>
    </row>
    <row r="191" spans="2:7">
      <c r="B191" s="18" t="s">
        <v>16</v>
      </c>
      <c r="C191" s="19"/>
      <c r="D191" s="34">
        <f>1-D190</f>
        <v>0.72</v>
      </c>
      <c r="E191" s="67">
        <f t="shared" ref="E191" si="73">D191</f>
        <v>0.72</v>
      </c>
    </row>
    <row r="192" spans="2:7"/>
    <row r="193" spans="2:5"/>
    <row r="194" spans="2:5">
      <c r="B194" s="26" t="s">
        <v>43</v>
      </c>
      <c r="C194" s="27"/>
      <c r="D194" s="6"/>
      <c r="E194" s="6"/>
    </row>
    <row r="195" spans="2:5">
      <c r="B195" s="28"/>
      <c r="C195" s="29"/>
      <c r="D195" s="23" t="str">
        <f t="shared" ref="D195:E195" si="74">D$5</f>
        <v>2025-26</v>
      </c>
      <c r="E195" s="23" t="str">
        <f t="shared" si="74"/>
        <v>2026-27</v>
      </c>
    </row>
    <row r="196" spans="2:5">
      <c r="B196" s="30"/>
      <c r="C196" s="31"/>
      <c r="D196" s="8"/>
      <c r="E196" s="8"/>
    </row>
    <row r="197" spans="2:5">
      <c r="B197" s="16" t="s">
        <v>47</v>
      </c>
      <c r="C197" s="17"/>
      <c r="D197" s="34">
        <f>IF('RPM &amp; Discounts'!$B$3='A0.Support'!$B$8,'A5.Counter-factual'!$B$4,1+(20+24)/28)</f>
        <v>2.5714285714285712</v>
      </c>
      <c r="E197" s="67">
        <f t="shared" ref="E197" si="75">D197</f>
        <v>2.5714285714285712</v>
      </c>
    </row>
    <row r="198" spans="2:5">
      <c r="B198" s="18" t="s">
        <v>48</v>
      </c>
      <c r="C198" s="19"/>
      <c r="D198" s="34">
        <v>1</v>
      </c>
      <c r="E198" s="67">
        <f t="shared" ref="E198" si="76">D198</f>
        <v>1</v>
      </c>
    </row>
    <row r="199" spans="2:5"/>
    <row r="200" spans="2:5"/>
    <row r="201" spans="2:5">
      <c r="B201" s="26" t="s">
        <v>46</v>
      </c>
      <c r="C201" s="27"/>
      <c r="D201" s="6"/>
      <c r="E201" s="6"/>
    </row>
    <row r="202" spans="2:5">
      <c r="B202" s="28"/>
      <c r="C202" s="29"/>
      <c r="D202" s="23" t="str">
        <f t="shared" ref="D202:E202" si="77">D$5</f>
        <v>2025-26</v>
      </c>
      <c r="E202" s="23" t="str">
        <f t="shared" si="77"/>
        <v>2026-27</v>
      </c>
    </row>
    <row r="203" spans="2:5">
      <c r="B203" s="30"/>
      <c r="C203" s="31"/>
      <c r="D203" s="8"/>
      <c r="E203" s="8"/>
    </row>
    <row r="204" spans="2:5">
      <c r="B204" s="16" t="s">
        <v>8</v>
      </c>
      <c r="C204" s="17"/>
      <c r="D204" s="34">
        <v>0.90419775503312938</v>
      </c>
      <c r="E204" s="67">
        <f t="shared" ref="E204" si="78">D204</f>
        <v>0.90419775503312938</v>
      </c>
    </row>
    <row r="205" spans="2:5">
      <c r="B205" s="16" t="s">
        <v>14</v>
      </c>
      <c r="C205" s="17"/>
      <c r="D205" s="34">
        <v>0.8940959594036697</v>
      </c>
      <c r="E205" s="67">
        <f t="shared" ref="E205" si="79">D205</f>
        <v>0.8940959594036697</v>
      </c>
    </row>
    <row r="206" spans="2:5">
      <c r="B206" s="16" t="s">
        <v>15</v>
      </c>
      <c r="C206" s="17"/>
      <c r="D206" s="34">
        <v>0.49262302658066282</v>
      </c>
      <c r="E206" s="67">
        <f t="shared" ref="E206" si="80">D206</f>
        <v>0.49262302658066282</v>
      </c>
    </row>
    <row r="207" spans="2:5" s="1" customFormat="1">
      <c r="B207" s="16" t="s">
        <v>26</v>
      </c>
      <c r="C207" s="17"/>
      <c r="D207" s="62">
        <f>D206</f>
        <v>0.49262302658066282</v>
      </c>
      <c r="E207" s="67">
        <f t="shared" ref="E207" si="81">D207</f>
        <v>0.49262302658066282</v>
      </c>
    </row>
    <row r="208" spans="2:5"/>
    <row r="209" spans="1:5"/>
    <row r="210" spans="1:5">
      <c r="B210" s="26" t="s">
        <v>49</v>
      </c>
      <c r="C210" s="27"/>
      <c r="D210" s="6"/>
      <c r="E210" s="6"/>
    </row>
    <row r="211" spans="1:5">
      <c r="B211" s="28"/>
      <c r="C211" s="29"/>
      <c r="D211" s="23" t="str">
        <f t="shared" ref="D211:E211" si="82">D$5</f>
        <v>2025-26</v>
      </c>
      <c r="E211" s="23" t="str">
        <f t="shared" si="82"/>
        <v>2026-27</v>
      </c>
    </row>
    <row r="212" spans="1:5">
      <c r="B212" s="30"/>
      <c r="C212" s="31"/>
      <c r="D212" s="8"/>
      <c r="E212" s="8"/>
    </row>
    <row r="213" spans="1:5">
      <c r="B213" s="16" t="s">
        <v>8</v>
      </c>
      <c r="C213" s="17"/>
      <c r="D213" s="34">
        <v>6.6988626720183478E-2</v>
      </c>
      <c r="E213" s="67">
        <f t="shared" ref="E213" si="83">D213</f>
        <v>6.6988626720183478E-2</v>
      </c>
    </row>
    <row r="214" spans="1:5">
      <c r="B214" s="16" t="s">
        <v>14</v>
      </c>
      <c r="C214" s="17"/>
      <c r="D214" s="34">
        <v>0</v>
      </c>
      <c r="E214" s="67">
        <f t="shared" ref="E214" si="84">D214</f>
        <v>0</v>
      </c>
    </row>
    <row r="215" spans="1:5">
      <c r="B215" s="16" t="s">
        <v>15</v>
      </c>
      <c r="C215" s="17"/>
      <c r="D215" s="34">
        <v>0.28108548364299851</v>
      </c>
      <c r="E215" s="67">
        <f t="shared" ref="E215" si="85">D215</f>
        <v>0.28108548364299851</v>
      </c>
    </row>
    <row r="216" spans="1:5">
      <c r="B216" s="16" t="s">
        <v>45</v>
      </c>
      <c r="C216" s="17"/>
      <c r="D216" s="34">
        <v>0.58863487865516284</v>
      </c>
      <c r="E216" s="67">
        <f t="shared" ref="E216" si="86">D216</f>
        <v>0.58863487865516284</v>
      </c>
    </row>
    <row r="217" spans="1:5"/>
    <row r="218" spans="1:5" s="1" customFormat="1"/>
    <row r="219" spans="1:5" s="1" customFormat="1">
      <c r="A219" s="94"/>
      <c r="B219" s="26" t="s">
        <v>288</v>
      </c>
      <c r="C219" s="27"/>
      <c r="D219" s="6"/>
      <c r="E219" s="6"/>
    </row>
    <row r="220" spans="1:5" s="1" customFormat="1">
      <c r="A220" s="94"/>
      <c r="B220" s="28"/>
      <c r="C220" s="29"/>
      <c r="D220" s="23" t="str">
        <f t="shared" ref="D220:E220" si="87">D$5</f>
        <v>2025-26</v>
      </c>
      <c r="E220" s="23" t="str">
        <f t="shared" si="87"/>
        <v>2026-27</v>
      </c>
    </row>
    <row r="221" spans="1:5" s="1" customFormat="1">
      <c r="A221" s="94"/>
      <c r="B221" s="30"/>
      <c r="C221" s="31"/>
      <c r="D221" s="8"/>
      <c r="E221" s="8"/>
    </row>
    <row r="222" spans="1:5" s="1" customFormat="1">
      <c r="A222" s="94"/>
      <c r="B222" s="16" t="s">
        <v>8</v>
      </c>
      <c r="C222" s="17"/>
      <c r="D222" s="95">
        <v>0.30096563478759114</v>
      </c>
      <c r="E222" s="68">
        <f t="shared" ref="E222:E224" si="88">D222</f>
        <v>0.30096563478759114</v>
      </c>
    </row>
    <row r="223" spans="1:5" s="1" customFormat="1">
      <c r="A223" s="94"/>
      <c r="B223" s="16" t="s">
        <v>14</v>
      </c>
      <c r="C223" s="17"/>
      <c r="D223" s="95">
        <v>0.98663788917465756</v>
      </c>
      <c r="E223" s="68">
        <f t="shared" si="88"/>
        <v>0.98663788917465756</v>
      </c>
    </row>
    <row r="224" spans="1:5" s="1" customFormat="1">
      <c r="A224" s="94"/>
      <c r="B224" s="16" t="s">
        <v>15</v>
      </c>
      <c r="C224" s="17"/>
      <c r="D224" s="95">
        <v>0.13127867462419943</v>
      </c>
      <c r="E224" s="68">
        <f t="shared" si="88"/>
        <v>0.13127867462419943</v>
      </c>
    </row>
    <row r="225" spans="1:5" s="1" customFormat="1">
      <c r="A225" s="94"/>
      <c r="B225" s="16" t="s">
        <v>26</v>
      </c>
      <c r="C225" s="17"/>
      <c r="D225" s="68">
        <f t="shared" ref="D225:E225" si="89">D224</f>
        <v>0.13127867462419943</v>
      </c>
      <c r="E225" s="68">
        <f t="shared" si="89"/>
        <v>0.13127867462419943</v>
      </c>
    </row>
    <row r="226" spans="1:5" s="1" customFormat="1">
      <c r="A226" s="94"/>
    </row>
    <row r="227" spans="1:5" s="1" customFormat="1">
      <c r="A227" s="94"/>
    </row>
    <row r="228" spans="1:5" s="1" customFormat="1">
      <c r="A228" s="94"/>
      <c r="B228" s="26" t="s">
        <v>289</v>
      </c>
      <c r="C228" s="27"/>
      <c r="D228" s="6"/>
      <c r="E228" s="6"/>
    </row>
    <row r="229" spans="1:5" s="1" customFormat="1">
      <c r="A229" s="94"/>
      <c r="B229" s="28"/>
      <c r="C229" s="29"/>
      <c r="D229" s="23" t="str">
        <f t="shared" ref="D229:E229" si="90">D$5</f>
        <v>2025-26</v>
      </c>
      <c r="E229" s="23" t="str">
        <f t="shared" si="90"/>
        <v>2026-27</v>
      </c>
    </row>
    <row r="230" spans="1:5" s="1" customFormat="1">
      <c r="A230" s="94"/>
      <c r="B230" s="30"/>
      <c r="C230" s="31"/>
      <c r="D230" s="8"/>
      <c r="E230" s="8"/>
    </row>
    <row r="231" spans="1:5" s="1" customFormat="1">
      <c r="A231" s="94"/>
      <c r="B231" s="16" t="s">
        <v>8</v>
      </c>
      <c r="C231" s="17"/>
      <c r="D231" s="95">
        <v>0.14452116455577699</v>
      </c>
      <c r="E231" s="68">
        <f t="shared" ref="E231:E234" si="91">D231</f>
        <v>0.14452116455577699</v>
      </c>
    </row>
    <row r="232" spans="1:5" s="1" customFormat="1">
      <c r="A232" s="94"/>
      <c r="B232" s="16" t="s">
        <v>14</v>
      </c>
      <c r="C232" s="17"/>
      <c r="D232" s="95">
        <v>0</v>
      </c>
      <c r="E232" s="68">
        <f t="shared" si="91"/>
        <v>0</v>
      </c>
    </row>
    <row r="233" spans="1:5" s="1" customFormat="1">
      <c r="A233" s="94"/>
      <c r="B233" s="16" t="s">
        <v>15</v>
      </c>
      <c r="C233" s="17"/>
      <c r="D233" s="95">
        <v>0.52817585734383188</v>
      </c>
      <c r="E233" s="68">
        <f t="shared" si="91"/>
        <v>0.52817585734383188</v>
      </c>
    </row>
    <row r="234" spans="1:5" s="1" customFormat="1">
      <c r="A234" s="94"/>
      <c r="B234" s="16" t="s">
        <v>45</v>
      </c>
      <c r="C234" s="17"/>
      <c r="D234" s="95">
        <v>0.46838876692920056</v>
      </c>
      <c r="E234" s="68">
        <f t="shared" si="91"/>
        <v>0.46838876692920056</v>
      </c>
    </row>
    <row r="235" spans="1:5" s="1" customFormat="1"/>
    <row r="236" spans="1:5" s="1" customFormat="1"/>
    <row r="237" spans="1:5" s="1" customFormat="1">
      <c r="B237" s="26" t="s">
        <v>581</v>
      </c>
      <c r="C237" s="27"/>
      <c r="D237" s="6"/>
      <c r="E237" s="6"/>
    </row>
    <row r="238" spans="1:5" s="1" customFormat="1">
      <c r="B238" s="28"/>
      <c r="C238" s="29"/>
      <c r="D238" s="23" t="str">
        <f t="shared" ref="D238:E238" si="92">D$5</f>
        <v>2025-26</v>
      </c>
      <c r="E238" s="23" t="str">
        <f t="shared" si="92"/>
        <v>2026-27</v>
      </c>
    </row>
    <row r="239" spans="1:5" s="1" customFormat="1">
      <c r="B239" s="30"/>
      <c r="C239" s="31"/>
      <c r="D239" s="8"/>
      <c r="E239" s="8"/>
    </row>
    <row r="240" spans="1:5" s="1" customFormat="1">
      <c r="B240" s="16" t="s">
        <v>8</v>
      </c>
      <c r="C240" s="17"/>
      <c r="D240" s="64">
        <v>144</v>
      </c>
      <c r="E240" s="65">
        <f t="shared" ref="E240" si="93">D240</f>
        <v>144</v>
      </c>
    </row>
    <row r="241" spans="2:5" s="1" customFormat="1">
      <c r="B241" s="16" t="s">
        <v>14</v>
      </c>
      <c r="C241" s="17"/>
      <c r="D241" s="64">
        <v>200</v>
      </c>
      <c r="E241" s="65">
        <f t="shared" ref="E241" si="94">D241</f>
        <v>200</v>
      </c>
    </row>
    <row r="242" spans="2:5" s="1" customFormat="1">
      <c r="B242" s="16" t="s">
        <v>15</v>
      </c>
      <c r="C242" s="17"/>
      <c r="D242" s="64">
        <v>85.68</v>
      </c>
      <c r="E242" s="65">
        <f t="shared" ref="E242" si="95">D242</f>
        <v>85.68</v>
      </c>
    </row>
    <row r="243" spans="2:5" s="1" customFormat="1">
      <c r="B243" s="16" t="s">
        <v>26</v>
      </c>
      <c r="C243" s="17"/>
      <c r="D243" s="4">
        <f>1/10^6</f>
        <v>9.9999999999999995E-7</v>
      </c>
      <c r="E243" s="65">
        <f t="shared" ref="E243" si="96">D243</f>
        <v>9.9999999999999995E-7</v>
      </c>
    </row>
    <row r="244" spans="2:5" s="1" customFormat="1"/>
    <row r="245" spans="2:5" s="1" customFormat="1"/>
    <row r="246" spans="2:5" s="1" customFormat="1">
      <c r="B246" s="26" t="s">
        <v>582</v>
      </c>
      <c r="C246" s="27"/>
      <c r="D246" s="6"/>
      <c r="E246" s="6"/>
    </row>
    <row r="247" spans="2:5" s="1" customFormat="1">
      <c r="B247" s="28"/>
      <c r="C247" s="29"/>
      <c r="D247" s="23" t="str">
        <f t="shared" ref="D247:E247" si="97">D$5</f>
        <v>2025-26</v>
      </c>
      <c r="E247" s="23" t="str">
        <f t="shared" si="97"/>
        <v>2026-27</v>
      </c>
    </row>
    <row r="248" spans="2:5" s="1" customFormat="1">
      <c r="B248" s="30"/>
      <c r="C248" s="31"/>
      <c r="D248" s="8"/>
      <c r="E248" s="8"/>
    </row>
    <row r="249" spans="2:5" s="1" customFormat="1">
      <c r="B249" s="16" t="s">
        <v>8</v>
      </c>
      <c r="C249" s="17"/>
      <c r="D249" s="64">
        <v>80</v>
      </c>
      <c r="E249" s="65">
        <f t="shared" ref="E249" si="98">D249</f>
        <v>80</v>
      </c>
    </row>
    <row r="250" spans="2:5" s="1" customFormat="1">
      <c r="B250" s="16" t="s">
        <v>14</v>
      </c>
      <c r="C250" s="17"/>
      <c r="D250" s="4">
        <v>5</v>
      </c>
      <c r="E250" s="65">
        <f t="shared" ref="E250" si="99">D250</f>
        <v>5</v>
      </c>
    </row>
    <row r="251" spans="2:5" s="1" customFormat="1">
      <c r="B251" s="16" t="s">
        <v>15</v>
      </c>
      <c r="C251" s="17"/>
      <c r="D251" s="64">
        <v>24</v>
      </c>
      <c r="E251" s="65">
        <f t="shared" ref="E251" si="100">D251</f>
        <v>24</v>
      </c>
    </row>
    <row r="252" spans="2:5" s="1" customFormat="1">
      <c r="B252" s="16" t="s">
        <v>45</v>
      </c>
      <c r="C252" s="17"/>
      <c r="D252" s="64">
        <v>653.89922000000001</v>
      </c>
      <c r="E252" s="65">
        <f t="shared" ref="E252" si="101">D252</f>
        <v>653.89922000000001</v>
      </c>
    </row>
    <row r="253" spans="2:5" s="1" customFormat="1"/>
    <row r="254" spans="2:5" s="1" customFormat="1"/>
    <row r="255" spans="2:5">
      <c r="B255" s="26" t="s">
        <v>583</v>
      </c>
      <c r="C255" s="27"/>
      <c r="D255" s="6"/>
      <c r="E255" s="6"/>
    </row>
    <row r="256" spans="2:5">
      <c r="B256" s="28"/>
      <c r="C256" s="29"/>
      <c r="D256" s="23" t="str">
        <f t="shared" ref="D256:E256" si="102">D$5</f>
        <v>2025-26</v>
      </c>
      <c r="E256" s="23" t="str">
        <f t="shared" si="102"/>
        <v>2026-27</v>
      </c>
    </row>
    <row r="257" spans="2:8">
      <c r="B257" s="30"/>
      <c r="C257" s="31"/>
      <c r="D257" s="8"/>
      <c r="E257" s="8"/>
    </row>
    <row r="258" spans="2:8">
      <c r="B258" s="16" t="s">
        <v>50</v>
      </c>
      <c r="C258" s="17"/>
      <c r="D258" s="4">
        <v>134</v>
      </c>
      <c r="E258" s="65">
        <f t="shared" ref="E258" si="103">D258</f>
        <v>134</v>
      </c>
    </row>
    <row r="259" spans="2:8">
      <c r="B259" s="16" t="s">
        <v>51</v>
      </c>
      <c r="C259" s="17"/>
      <c r="D259" s="4">
        <v>10</v>
      </c>
      <c r="E259" s="65">
        <f t="shared" ref="E259" si="104">D259</f>
        <v>10</v>
      </c>
    </row>
    <row r="260" spans="2:8">
      <c r="B260" s="16" t="s">
        <v>52</v>
      </c>
      <c r="C260" s="17"/>
      <c r="D260" s="4">
        <v>55</v>
      </c>
      <c r="E260" s="65">
        <f t="shared" ref="E260" si="105">D260</f>
        <v>55</v>
      </c>
    </row>
    <row r="261" spans="2:8">
      <c r="B261" s="16" t="s">
        <v>53</v>
      </c>
      <c r="C261" s="17"/>
      <c r="D261" s="4">
        <v>25</v>
      </c>
      <c r="E261" s="65">
        <f t="shared" ref="E261" si="106">D261</f>
        <v>25</v>
      </c>
    </row>
    <row r="262" spans="2:8"/>
    <row r="263" spans="2:8"/>
    <row r="264" spans="2:8">
      <c r="B264" s="26" t="s">
        <v>254</v>
      </c>
      <c r="C264" s="27"/>
      <c r="D264" s="6"/>
      <c r="E264" s="6"/>
    </row>
    <row r="265" spans="2:8">
      <c r="B265" s="28"/>
      <c r="C265" s="29"/>
      <c r="D265" s="23" t="str">
        <f t="shared" ref="D265:E265" si="107">D$5</f>
        <v>2025-26</v>
      </c>
      <c r="E265" s="23" t="str">
        <f t="shared" si="107"/>
        <v>2026-27</v>
      </c>
    </row>
    <row r="266" spans="2:8">
      <c r="B266" s="30"/>
      <c r="C266" s="31"/>
      <c r="D266" s="8"/>
      <c r="E266" s="8"/>
    </row>
    <row r="267" spans="2:8">
      <c r="B267" s="16" t="s">
        <v>54</v>
      </c>
      <c r="C267" s="17" t="s">
        <v>55</v>
      </c>
      <c r="D267" s="70">
        <v>2.4601808979450922E-3</v>
      </c>
      <c r="E267" s="69">
        <f t="shared" ref="E267" si="108">D267</f>
        <v>2.4601808979450922E-3</v>
      </c>
    </row>
    <row r="268" spans="2:8">
      <c r="B268" s="16" t="s">
        <v>56</v>
      </c>
      <c r="C268" s="17" t="s">
        <v>57</v>
      </c>
      <c r="D268" s="70">
        <v>8.6031500348787079E-3</v>
      </c>
      <c r="E268" s="69">
        <f t="shared" ref="E268" si="109">D268</f>
        <v>8.6031500348787079E-3</v>
      </c>
      <c r="G268" s="1"/>
      <c r="H268" s="1"/>
    </row>
    <row r="269" spans="2:8">
      <c r="B269" s="16" t="s">
        <v>58</v>
      </c>
      <c r="C269" s="17" t="s">
        <v>59</v>
      </c>
      <c r="D269" s="70">
        <v>2.9631921650186532E-3</v>
      </c>
      <c r="E269" s="69">
        <f t="shared" ref="E269" si="110">D269</f>
        <v>2.9631921650186532E-3</v>
      </c>
      <c r="G269" s="1"/>
      <c r="H269" s="1"/>
    </row>
    <row r="270" spans="2:8">
      <c r="B270" s="16" t="s">
        <v>60</v>
      </c>
      <c r="C270" s="17" t="s">
        <v>57</v>
      </c>
      <c r="D270" s="70">
        <v>4.9034880706046247E-3</v>
      </c>
      <c r="E270" s="69">
        <f t="shared" ref="E270" si="111">D270</f>
        <v>4.9034880706046247E-3</v>
      </c>
      <c r="G270" s="1"/>
      <c r="H270" s="1"/>
    </row>
    <row r="271" spans="2:8">
      <c r="B271" s="16" t="s">
        <v>61</v>
      </c>
      <c r="C271" s="17" t="s">
        <v>62</v>
      </c>
      <c r="D271" s="70">
        <v>1.2719654363333628E-3</v>
      </c>
      <c r="E271" s="69">
        <f t="shared" ref="E271" si="112">D271</f>
        <v>1.2719654363333628E-3</v>
      </c>
      <c r="G271" s="1"/>
      <c r="H271" s="1"/>
    </row>
    <row r="272" spans="2:8">
      <c r="B272" s="16" t="s">
        <v>63</v>
      </c>
      <c r="C272" s="17" t="s">
        <v>64</v>
      </c>
      <c r="D272" s="70">
        <v>2.7846987747568936E-3</v>
      </c>
      <c r="E272" s="69">
        <f t="shared" ref="E272" si="113">D272</f>
        <v>2.7846987747568936E-3</v>
      </c>
      <c r="G272" s="1"/>
      <c r="H272" s="1"/>
    </row>
    <row r="273" spans="2:8">
      <c r="B273" s="16" t="s">
        <v>65</v>
      </c>
      <c r="C273" s="17" t="s">
        <v>66</v>
      </c>
      <c r="D273" s="70">
        <v>6.4016614411236414E-3</v>
      </c>
      <c r="E273" s="69">
        <f t="shared" ref="E273" si="114">D273</f>
        <v>6.4016614411236414E-3</v>
      </c>
      <c r="G273" s="1"/>
      <c r="H273" s="1"/>
    </row>
    <row r="274" spans="2:8">
      <c r="B274" s="16" t="s">
        <v>67</v>
      </c>
      <c r="C274" s="17" t="s">
        <v>68</v>
      </c>
      <c r="D274" s="70">
        <v>7.5760263221205876E-3</v>
      </c>
      <c r="E274" s="69">
        <f t="shared" ref="E274" si="115">D274</f>
        <v>7.5760263221205876E-3</v>
      </c>
      <c r="G274" s="1"/>
      <c r="H274" s="1"/>
    </row>
    <row r="275" spans="2:8">
      <c r="B275" s="16" t="s">
        <v>69</v>
      </c>
      <c r="C275" s="17" t="s">
        <v>70</v>
      </c>
      <c r="D275" s="70">
        <v>5.4039216222358461E-3</v>
      </c>
      <c r="E275" s="69">
        <f t="shared" ref="E275" si="116">D275</f>
        <v>5.4039216222358461E-3</v>
      </c>
      <c r="G275" s="1"/>
      <c r="H275" s="1"/>
    </row>
    <row r="276" spans="2:8">
      <c r="B276" s="16" t="s">
        <v>71</v>
      </c>
      <c r="C276" s="17" t="s">
        <v>72</v>
      </c>
      <c r="D276" s="70">
        <v>3.9969718483747488E-2</v>
      </c>
      <c r="E276" s="69">
        <f t="shared" ref="E276" si="117">D276</f>
        <v>3.9969718483747488E-2</v>
      </c>
      <c r="G276" s="1"/>
      <c r="H276" s="1"/>
    </row>
    <row r="277" spans="2:8">
      <c r="B277" s="16" t="s">
        <v>73</v>
      </c>
      <c r="C277" s="17" t="s">
        <v>74</v>
      </c>
      <c r="D277" s="70">
        <v>0</v>
      </c>
      <c r="E277" s="69">
        <f t="shared" ref="E277" si="118">D277</f>
        <v>0</v>
      </c>
      <c r="G277" s="1"/>
      <c r="H277" s="1"/>
    </row>
    <row r="278" spans="2:8">
      <c r="B278" s="16" t="s">
        <v>75</v>
      </c>
      <c r="C278" s="17" t="s">
        <v>76</v>
      </c>
      <c r="D278" s="70">
        <v>2.126627612964799E-3</v>
      </c>
      <c r="E278" s="69">
        <f t="shared" ref="E278" si="119">D278</f>
        <v>2.126627612964799E-3</v>
      </c>
      <c r="G278" s="1"/>
      <c r="H278" s="1"/>
    </row>
    <row r="279" spans="2:8">
      <c r="B279" s="16" t="s">
        <v>77</v>
      </c>
      <c r="C279" s="17" t="s">
        <v>78</v>
      </c>
      <c r="D279" s="70">
        <v>8.712480226563948E-3</v>
      </c>
      <c r="E279" s="69">
        <f t="shared" ref="E279" si="120">D279</f>
        <v>8.712480226563948E-3</v>
      </c>
      <c r="G279" s="1"/>
      <c r="H279" s="1"/>
    </row>
    <row r="280" spans="2:8">
      <c r="B280" s="16" t="s">
        <v>79</v>
      </c>
      <c r="C280" s="17" t="s">
        <v>80</v>
      </c>
      <c r="D280" s="70">
        <v>5.3454291345044385E-3</v>
      </c>
      <c r="E280" s="69">
        <f t="shared" ref="E280" si="121">D280</f>
        <v>5.3454291345044385E-3</v>
      </c>
      <c r="G280" s="1"/>
      <c r="H280" s="1"/>
    </row>
    <row r="281" spans="2:8">
      <c r="B281" s="16" t="s">
        <v>81</v>
      </c>
      <c r="C281" s="17" t="s">
        <v>74</v>
      </c>
      <c r="D281" s="70">
        <v>0.1231492953012138</v>
      </c>
      <c r="E281" s="69">
        <f t="shared" ref="E281" si="122">D281</f>
        <v>0.1231492953012138</v>
      </c>
      <c r="G281" s="1"/>
      <c r="H281" s="1"/>
    </row>
    <row r="282" spans="2:8">
      <c r="B282" s="16" t="s">
        <v>82</v>
      </c>
      <c r="C282" s="17" t="s">
        <v>78</v>
      </c>
      <c r="D282" s="70">
        <v>2.0858234085987305E-3</v>
      </c>
      <c r="E282" s="69">
        <f t="shared" ref="E282" si="123">D282</f>
        <v>2.0858234085987305E-3</v>
      </c>
      <c r="G282" s="1"/>
      <c r="H282" s="1"/>
    </row>
    <row r="283" spans="2:8">
      <c r="B283" s="16" t="s">
        <v>83</v>
      </c>
      <c r="C283" s="17" t="s">
        <v>84</v>
      </c>
      <c r="D283" s="70">
        <v>1.5020389125963501E-3</v>
      </c>
      <c r="E283" s="69">
        <f t="shared" ref="E283" si="124">D283</f>
        <v>1.5020389125963501E-3</v>
      </c>
      <c r="G283" s="1"/>
      <c r="H283" s="1"/>
    </row>
    <row r="284" spans="2:8">
      <c r="B284" s="16" t="s">
        <v>85</v>
      </c>
      <c r="C284" s="17" t="s">
        <v>86</v>
      </c>
      <c r="D284" s="70">
        <v>1.4686585287042211E-4</v>
      </c>
      <c r="E284" s="69">
        <f t="shared" ref="E284" si="125">D284</f>
        <v>1.4686585287042211E-4</v>
      </c>
      <c r="G284" s="1"/>
      <c r="H284" s="1"/>
    </row>
    <row r="285" spans="2:8">
      <c r="B285" s="16" t="s">
        <v>87</v>
      </c>
      <c r="C285" s="17" t="s">
        <v>88</v>
      </c>
      <c r="D285" s="70">
        <v>0</v>
      </c>
      <c r="E285" s="69">
        <f t="shared" ref="E285" si="126">D285</f>
        <v>0</v>
      </c>
      <c r="G285" s="1"/>
      <c r="H285" s="1"/>
    </row>
    <row r="286" spans="2:8">
      <c r="B286" s="16" t="s">
        <v>89</v>
      </c>
      <c r="C286" s="17" t="s">
        <v>88</v>
      </c>
      <c r="D286" s="70">
        <v>4.8379687305773978E-3</v>
      </c>
      <c r="E286" s="69">
        <f t="shared" ref="E286" si="127">D286</f>
        <v>4.8379687305773978E-3</v>
      </c>
      <c r="G286" s="1"/>
      <c r="H286" s="1"/>
    </row>
    <row r="287" spans="2:8">
      <c r="B287" s="16" t="s">
        <v>90</v>
      </c>
      <c r="C287" s="17" t="s">
        <v>91</v>
      </c>
      <c r="D287" s="70">
        <v>2.7449813352213156E-3</v>
      </c>
      <c r="E287" s="69">
        <f t="shared" ref="E287" si="128">D287</f>
        <v>2.7449813352213156E-3</v>
      </c>
      <c r="G287" s="1"/>
      <c r="H287" s="1"/>
    </row>
    <row r="288" spans="2:8">
      <c r="B288" s="16" t="s">
        <v>92</v>
      </c>
      <c r="C288" s="17" t="s">
        <v>93</v>
      </c>
      <c r="D288" s="70">
        <v>4.981334045877122E-3</v>
      </c>
      <c r="E288" s="69">
        <f t="shared" ref="E288" si="129">D288</f>
        <v>4.981334045877122E-3</v>
      </c>
      <c r="G288" s="1"/>
      <c r="H288" s="1"/>
    </row>
    <row r="289" spans="2:8">
      <c r="B289" s="16" t="s">
        <v>94</v>
      </c>
      <c r="C289" s="17" t="s">
        <v>95</v>
      </c>
      <c r="D289" s="70">
        <v>5.0668079966865922E-3</v>
      </c>
      <c r="E289" s="69">
        <f t="shared" ref="E289" si="130">D289</f>
        <v>5.0668079966865922E-3</v>
      </c>
      <c r="G289" s="1"/>
      <c r="H289" s="1"/>
    </row>
    <row r="290" spans="2:8">
      <c r="B290" s="16" t="s">
        <v>96</v>
      </c>
      <c r="C290" s="17" t="s">
        <v>97</v>
      </c>
      <c r="D290" s="70">
        <v>1.3005031177782757E-2</v>
      </c>
      <c r="E290" s="69">
        <f t="shared" ref="E290" si="131">D290</f>
        <v>1.3005031177782757E-2</v>
      </c>
      <c r="G290" s="1"/>
      <c r="H290" s="1"/>
    </row>
    <row r="291" spans="2:8">
      <c r="B291" s="16" t="s">
        <v>98</v>
      </c>
      <c r="C291" s="17" t="s">
        <v>99</v>
      </c>
      <c r="D291" s="70">
        <v>0</v>
      </c>
      <c r="E291" s="69">
        <f t="shared" ref="E291" si="132">D291</f>
        <v>0</v>
      </c>
      <c r="G291" s="1"/>
      <c r="H291" s="1"/>
    </row>
    <row r="292" spans="2:8">
      <c r="B292" s="16" t="s">
        <v>100</v>
      </c>
      <c r="C292" s="17" t="s">
        <v>101</v>
      </c>
      <c r="D292" s="70">
        <v>2.8918314124732308E-2</v>
      </c>
      <c r="E292" s="69">
        <f t="shared" ref="E292" si="133">D292</f>
        <v>2.8918314124732308E-2</v>
      </c>
      <c r="G292" s="1"/>
      <c r="H292" s="1"/>
    </row>
    <row r="293" spans="2:8">
      <c r="B293" s="16" t="s">
        <v>102</v>
      </c>
      <c r="C293" s="17" t="s">
        <v>101</v>
      </c>
      <c r="D293" s="70">
        <v>0</v>
      </c>
      <c r="E293" s="69">
        <f t="shared" ref="E293" si="134">D293</f>
        <v>0</v>
      </c>
      <c r="G293" s="1"/>
      <c r="H293" s="1"/>
    </row>
    <row r="294" spans="2:8">
      <c r="B294" s="16" t="s">
        <v>103</v>
      </c>
      <c r="C294" s="17" t="s">
        <v>104</v>
      </c>
      <c r="D294" s="70">
        <v>0.10621961193774626</v>
      </c>
      <c r="E294" s="69">
        <f t="shared" ref="E294" si="135">D294</f>
        <v>0.10621961193774626</v>
      </c>
      <c r="G294" s="1"/>
      <c r="H294" s="1"/>
    </row>
    <row r="295" spans="2:8">
      <c r="B295" s="16" t="s">
        <v>105</v>
      </c>
      <c r="C295" s="17" t="s">
        <v>106</v>
      </c>
      <c r="D295" s="70">
        <v>3.809005560079624E-3</v>
      </c>
      <c r="E295" s="69">
        <f t="shared" ref="E295" si="136">D295</f>
        <v>3.809005560079624E-3</v>
      </c>
      <c r="G295" s="1"/>
      <c r="H295" s="1"/>
    </row>
    <row r="296" spans="2:8">
      <c r="B296" s="16" t="s">
        <v>107</v>
      </c>
      <c r="C296" s="17" t="s">
        <v>104</v>
      </c>
      <c r="D296" s="70">
        <v>0</v>
      </c>
      <c r="E296" s="69">
        <f t="shared" ref="E296" si="137">D296</f>
        <v>0</v>
      </c>
      <c r="G296" s="1"/>
      <c r="H296" s="1"/>
    </row>
    <row r="297" spans="2:8">
      <c r="B297" s="16" t="s">
        <v>108</v>
      </c>
      <c r="C297" s="17" t="s">
        <v>109</v>
      </c>
      <c r="D297" s="70">
        <v>1.4085049611417698E-4</v>
      </c>
      <c r="E297" s="69">
        <f t="shared" ref="E297" si="138">D297</f>
        <v>1.4085049611417698E-4</v>
      </c>
      <c r="G297" s="1"/>
      <c r="H297" s="1"/>
    </row>
    <row r="298" spans="2:8">
      <c r="B298" s="16" t="s">
        <v>110</v>
      </c>
      <c r="C298" s="17" t="s">
        <v>111</v>
      </c>
      <c r="D298" s="70">
        <v>4.9703065792147906E-3</v>
      </c>
      <c r="E298" s="69">
        <f t="shared" ref="E298" si="139">D298</f>
        <v>4.9703065792147906E-3</v>
      </c>
      <c r="G298" s="1"/>
      <c r="H298" s="1"/>
    </row>
    <row r="299" spans="2:8">
      <c r="B299" s="16" t="s">
        <v>112</v>
      </c>
      <c r="C299" s="17" t="s">
        <v>113</v>
      </c>
      <c r="D299" s="70">
        <v>1.4164886614097861E-3</v>
      </c>
      <c r="E299" s="69">
        <f t="shared" ref="E299" si="140">D299</f>
        <v>1.4164886614097861E-3</v>
      </c>
      <c r="G299" s="1"/>
      <c r="H299" s="1"/>
    </row>
    <row r="300" spans="2:8">
      <c r="B300" s="16" t="s">
        <v>114</v>
      </c>
      <c r="C300" s="17" t="s">
        <v>115</v>
      </c>
      <c r="D300" s="70">
        <v>0</v>
      </c>
      <c r="E300" s="69">
        <f t="shared" ref="E300" si="141">D300</f>
        <v>0</v>
      </c>
      <c r="G300" s="1"/>
      <c r="H300" s="1"/>
    </row>
    <row r="301" spans="2:8">
      <c r="B301" s="16" t="s">
        <v>116</v>
      </c>
      <c r="C301" s="17" t="s">
        <v>117</v>
      </c>
      <c r="D301" s="70">
        <v>3.3723735589048539E-3</v>
      </c>
      <c r="E301" s="69">
        <f t="shared" ref="E301" si="142">D301</f>
        <v>3.3723735589048539E-3</v>
      </c>
      <c r="G301" s="1"/>
      <c r="H301" s="1"/>
    </row>
    <row r="302" spans="2:8">
      <c r="B302" s="16" t="s">
        <v>118</v>
      </c>
      <c r="C302" s="17" t="s">
        <v>119</v>
      </c>
      <c r="D302" s="70">
        <v>0</v>
      </c>
      <c r="E302" s="69">
        <f t="shared" ref="E302" si="143">D302</f>
        <v>0</v>
      </c>
      <c r="G302" s="1"/>
      <c r="H302" s="1"/>
    </row>
    <row r="303" spans="2:8">
      <c r="B303" s="16" t="s">
        <v>120</v>
      </c>
      <c r="C303" s="17" t="s">
        <v>121</v>
      </c>
      <c r="D303" s="70">
        <v>1.5161874771162671E-3</v>
      </c>
      <c r="E303" s="69">
        <f t="shared" ref="E303" si="144">D303</f>
        <v>1.5161874771162671E-3</v>
      </c>
      <c r="G303" s="1"/>
      <c r="H303" s="1"/>
    </row>
    <row r="304" spans="2:8">
      <c r="B304" s="16" t="s">
        <v>122</v>
      </c>
      <c r="C304" s="17" t="s">
        <v>123</v>
      </c>
      <c r="D304" s="70">
        <v>4.3120673503758552E-3</v>
      </c>
      <c r="E304" s="69">
        <f t="shared" ref="E304" si="145">D304</f>
        <v>4.3120673503758552E-3</v>
      </c>
      <c r="G304" s="1"/>
      <c r="H304" s="1"/>
    </row>
    <row r="305" spans="2:8">
      <c r="B305" s="16" t="s">
        <v>124</v>
      </c>
      <c r="C305" s="17" t="s">
        <v>125</v>
      </c>
      <c r="D305" s="70">
        <v>8.9787396722065087E-3</v>
      </c>
      <c r="E305" s="69">
        <f t="shared" ref="E305" si="146">D305</f>
        <v>8.9787396722065087E-3</v>
      </c>
      <c r="G305" s="1"/>
      <c r="H305" s="1"/>
    </row>
    <row r="306" spans="2:8">
      <c r="B306" s="16" t="s">
        <v>126</v>
      </c>
      <c r="C306" s="17" t="s">
        <v>127</v>
      </c>
      <c r="D306" s="70">
        <v>2.3080977490193733E-3</v>
      </c>
      <c r="E306" s="69">
        <f t="shared" ref="E306" si="147">D306</f>
        <v>2.3080977490193733E-3</v>
      </c>
      <c r="G306" s="1"/>
      <c r="H306" s="1"/>
    </row>
    <row r="307" spans="2:8">
      <c r="B307" s="16" t="s">
        <v>128</v>
      </c>
      <c r="C307" s="17" t="s">
        <v>129</v>
      </c>
      <c r="D307" s="70">
        <v>8.5653617575801762E-3</v>
      </c>
      <c r="E307" s="69">
        <f t="shared" ref="E307" si="148">D307</f>
        <v>8.5653617575801762E-3</v>
      </c>
      <c r="G307" s="1"/>
      <c r="H307" s="1"/>
    </row>
    <row r="308" spans="2:8">
      <c r="B308" s="16" t="s">
        <v>130</v>
      </c>
      <c r="C308" s="17" t="s">
        <v>129</v>
      </c>
      <c r="D308" s="70">
        <v>6.3974267701949646E-3</v>
      </c>
      <c r="E308" s="69">
        <f t="shared" ref="E308" si="149">D308</f>
        <v>6.3974267701949646E-3</v>
      </c>
      <c r="G308" s="1"/>
      <c r="H308" s="1"/>
    </row>
    <row r="309" spans="2:8">
      <c r="B309" s="16" t="s">
        <v>131</v>
      </c>
      <c r="C309" s="17" t="s">
        <v>132</v>
      </c>
      <c r="D309" s="70">
        <v>2.034467068297898E-4</v>
      </c>
      <c r="E309" s="69">
        <f t="shared" ref="E309" si="150">D309</f>
        <v>2.034467068297898E-4</v>
      </c>
      <c r="G309" s="1"/>
      <c r="H309" s="1"/>
    </row>
    <row r="310" spans="2:8">
      <c r="B310" s="16" t="s">
        <v>133</v>
      </c>
      <c r="C310" s="17" t="s">
        <v>134</v>
      </c>
      <c r="D310" s="70">
        <v>8.5999907868325749E-3</v>
      </c>
      <c r="E310" s="69">
        <f t="shared" ref="E310" si="151">D310</f>
        <v>8.5999907868325749E-3</v>
      </c>
      <c r="G310" s="1"/>
      <c r="H310" s="1"/>
    </row>
    <row r="311" spans="2:8">
      <c r="B311" s="16" t="s">
        <v>135</v>
      </c>
      <c r="C311" s="17" t="s">
        <v>134</v>
      </c>
      <c r="D311" s="70">
        <v>6.6833088168707939E-3</v>
      </c>
      <c r="E311" s="69">
        <f t="shared" ref="E311" si="152">D311</f>
        <v>6.6833088168707939E-3</v>
      </c>
      <c r="G311" s="1"/>
      <c r="H311" s="1"/>
    </row>
    <row r="312" spans="2:8">
      <c r="B312" s="16" t="s">
        <v>136</v>
      </c>
      <c r="C312" s="17" t="s">
        <v>137</v>
      </c>
      <c r="D312" s="70">
        <v>1.1047141848759726E-2</v>
      </c>
      <c r="E312" s="69">
        <f t="shared" ref="E312" si="153">D312</f>
        <v>1.1047141848759726E-2</v>
      </c>
      <c r="G312" s="1"/>
      <c r="H312" s="1"/>
    </row>
    <row r="313" spans="2:8">
      <c r="B313" s="16" t="s">
        <v>138</v>
      </c>
      <c r="C313" s="17" t="s">
        <v>139</v>
      </c>
      <c r="D313" s="70">
        <v>2.4945593732564951E-3</v>
      </c>
      <c r="E313" s="69">
        <f t="shared" ref="E313" si="154">D313</f>
        <v>2.4945593732564951E-3</v>
      </c>
      <c r="G313" s="1"/>
      <c r="H313" s="1"/>
    </row>
    <row r="314" spans="2:8">
      <c r="B314" s="16" t="s">
        <v>140</v>
      </c>
      <c r="C314" s="17" t="s">
        <v>141</v>
      </c>
      <c r="D314" s="70">
        <v>5.3815449900239789E-3</v>
      </c>
      <c r="E314" s="69">
        <f t="shared" ref="E314" si="155">D314</f>
        <v>5.3815449900239789E-3</v>
      </c>
      <c r="G314" s="1"/>
      <c r="H314" s="1"/>
    </row>
    <row r="315" spans="2:8">
      <c r="B315" s="16" t="s">
        <v>142</v>
      </c>
      <c r="C315" s="17" t="s">
        <v>143</v>
      </c>
      <c r="D315" s="70">
        <v>4.7131351271357466E-3</v>
      </c>
      <c r="E315" s="69">
        <f t="shared" ref="E315" si="156">D315</f>
        <v>4.7131351271357466E-3</v>
      </c>
      <c r="G315" s="1"/>
      <c r="H315" s="1"/>
    </row>
    <row r="316" spans="2:8">
      <c r="B316" s="16" t="s">
        <v>144</v>
      </c>
      <c r="C316" s="17" t="s">
        <v>145</v>
      </c>
      <c r="D316" s="70">
        <v>0.12539399156121336</v>
      </c>
      <c r="E316" s="69">
        <f t="shared" ref="E316" si="157">D316</f>
        <v>0.12539399156121336</v>
      </c>
      <c r="G316" s="1"/>
      <c r="H316" s="1"/>
    </row>
    <row r="317" spans="2:8">
      <c r="B317" s="16" t="s">
        <v>146</v>
      </c>
      <c r="C317" s="17" t="s">
        <v>147</v>
      </c>
      <c r="D317" s="70">
        <v>1.5411293486277332E-2</v>
      </c>
      <c r="E317" s="69">
        <f t="shared" ref="E317" si="158">D317</f>
        <v>1.5411293486277332E-2</v>
      </c>
      <c r="G317" s="1"/>
      <c r="H317" s="1"/>
    </row>
    <row r="318" spans="2:8">
      <c r="B318" s="16" t="s">
        <v>148</v>
      </c>
      <c r="C318" s="17" t="s">
        <v>149</v>
      </c>
      <c r="D318" s="70">
        <v>1.3129754455003476E-2</v>
      </c>
      <c r="E318" s="69">
        <f t="shared" ref="E318" si="159">D318</f>
        <v>1.3129754455003476E-2</v>
      </c>
      <c r="G318" s="1"/>
      <c r="H318" s="1"/>
    </row>
    <row r="319" spans="2:8">
      <c r="B319" s="16" t="s">
        <v>150</v>
      </c>
      <c r="C319" s="17" t="s">
        <v>151</v>
      </c>
      <c r="D319" s="70">
        <v>3.6943769258569618E-2</v>
      </c>
      <c r="E319" s="69">
        <f t="shared" ref="E319" si="160">D319</f>
        <v>3.6943769258569618E-2</v>
      </c>
      <c r="G319" s="1"/>
      <c r="H319" s="1"/>
    </row>
    <row r="320" spans="2:8">
      <c r="B320" s="16" t="s">
        <v>152</v>
      </c>
      <c r="C320" s="17" t="s">
        <v>153</v>
      </c>
      <c r="D320" s="70">
        <v>2.5691099971075045E-2</v>
      </c>
      <c r="E320" s="69">
        <f t="shared" ref="E320" si="161">D320</f>
        <v>2.5691099971075045E-2</v>
      </c>
      <c r="G320" s="1"/>
      <c r="H320" s="1"/>
    </row>
    <row r="321" spans="2:8">
      <c r="B321" s="16" t="s">
        <v>154</v>
      </c>
      <c r="C321" s="17" t="s">
        <v>155</v>
      </c>
      <c r="D321" s="70">
        <v>2.3622578188525301E-2</v>
      </c>
      <c r="E321" s="69">
        <f t="shared" ref="E321" si="162">D321</f>
        <v>2.3622578188525301E-2</v>
      </c>
      <c r="G321" s="1"/>
      <c r="H321" s="1"/>
    </row>
    <row r="322" spans="2:8">
      <c r="B322" s="16" t="s">
        <v>156</v>
      </c>
      <c r="C322" s="17" t="s">
        <v>157</v>
      </c>
      <c r="D322" s="70">
        <v>2.9635674803870581E-3</v>
      </c>
      <c r="E322" s="69">
        <f t="shared" ref="E322" si="163">D322</f>
        <v>2.9635674803870581E-3</v>
      </c>
      <c r="G322" s="1"/>
      <c r="H322" s="1"/>
    </row>
    <row r="323" spans="2:8">
      <c r="B323" s="16" t="s">
        <v>158</v>
      </c>
      <c r="C323" s="17" t="s">
        <v>159</v>
      </c>
      <c r="D323" s="70">
        <v>1.2669250746660284E-2</v>
      </c>
      <c r="E323" s="69">
        <f t="shared" ref="E323" si="164">D323</f>
        <v>1.2669250746660284E-2</v>
      </c>
      <c r="G323" s="1"/>
      <c r="H323" s="1"/>
    </row>
    <row r="324" spans="2:8">
      <c r="B324" s="16" t="s">
        <v>160</v>
      </c>
      <c r="C324" s="17" t="s">
        <v>161</v>
      </c>
      <c r="D324" s="70">
        <v>1.7011907330647301E-2</v>
      </c>
      <c r="E324" s="69">
        <f t="shared" ref="E324" si="165">D324</f>
        <v>1.7011907330647301E-2</v>
      </c>
      <c r="G324" s="1"/>
      <c r="H324" s="1"/>
    </row>
    <row r="325" spans="2:8">
      <c r="B325" s="16" t="s">
        <v>162</v>
      </c>
      <c r="C325" s="17" t="s">
        <v>163</v>
      </c>
      <c r="D325" s="70">
        <v>1.7971728955378273E-4</v>
      </c>
      <c r="E325" s="69">
        <f t="shared" ref="E325" si="166">D325</f>
        <v>1.7971728955378273E-4</v>
      </c>
      <c r="G325" s="1"/>
      <c r="H325" s="1"/>
    </row>
    <row r="326" spans="2:8">
      <c r="B326" s="16" t="s">
        <v>164</v>
      </c>
      <c r="C326" s="17" t="s">
        <v>165</v>
      </c>
      <c r="D326" s="70">
        <v>6.0914199835176964E-4</v>
      </c>
      <c r="E326" s="69">
        <f t="shared" ref="E326" si="167">D326</f>
        <v>6.0914199835176964E-4</v>
      </c>
      <c r="G326" s="1"/>
      <c r="H326" s="1"/>
    </row>
    <row r="327" spans="2:8">
      <c r="B327" s="16" t="s">
        <v>166</v>
      </c>
      <c r="C327" s="17" t="s">
        <v>167</v>
      </c>
      <c r="D327" s="70">
        <v>5.4776453149729535E-4</v>
      </c>
      <c r="E327" s="69">
        <f t="shared" ref="E327" si="168">D327</f>
        <v>5.4776453149729535E-4</v>
      </c>
      <c r="G327" s="1"/>
      <c r="H327" s="1"/>
    </row>
    <row r="328" spans="2:8">
      <c r="B328" s="16" t="s">
        <v>168</v>
      </c>
      <c r="C328" s="17" t="s">
        <v>169</v>
      </c>
      <c r="D328" s="70">
        <v>1.9153456822764719E-4</v>
      </c>
      <c r="E328" s="69">
        <f t="shared" ref="E328" si="169">D328</f>
        <v>1.9153456822764719E-4</v>
      </c>
      <c r="G328" s="1"/>
      <c r="H328" s="1"/>
    </row>
    <row r="329" spans="2:8">
      <c r="B329" s="16" t="s">
        <v>170</v>
      </c>
      <c r="C329" s="17" t="s">
        <v>171</v>
      </c>
      <c r="D329" s="70">
        <v>6.769101373308938E-4</v>
      </c>
      <c r="E329" s="69">
        <f t="shared" ref="E329" si="170">D329</f>
        <v>6.769101373308938E-4</v>
      </c>
      <c r="G329" s="1"/>
      <c r="H329" s="1"/>
    </row>
    <row r="330" spans="2:8">
      <c r="B330" s="16" t="s">
        <v>172</v>
      </c>
      <c r="C330" s="17" t="s">
        <v>173</v>
      </c>
      <c r="D330" s="70">
        <v>9.7953249705184889E-2</v>
      </c>
      <c r="E330" s="69">
        <f t="shared" ref="E330" si="171">D330</f>
        <v>9.7953249705184889E-2</v>
      </c>
      <c r="G330" s="1"/>
      <c r="H330" s="1"/>
    </row>
    <row r="331" spans="2:8">
      <c r="B331" s="16" t="s">
        <v>174</v>
      </c>
      <c r="C331" s="17" t="s">
        <v>175</v>
      </c>
      <c r="D331" s="70">
        <v>1.5506288486844631E-3</v>
      </c>
      <c r="E331" s="69">
        <f t="shared" ref="E331" si="172">D331</f>
        <v>1.5506288486844631E-3</v>
      </c>
      <c r="G331" s="1"/>
      <c r="H331" s="1"/>
    </row>
    <row r="332" spans="2:8">
      <c r="B332" s="16" t="s">
        <v>176</v>
      </c>
      <c r="C332" s="17" t="s">
        <v>177</v>
      </c>
      <c r="D332" s="70">
        <v>8.3783876835131187E-3</v>
      </c>
      <c r="E332" s="69">
        <f t="shared" ref="E332" si="173">D332</f>
        <v>8.3783876835131187E-3</v>
      </c>
      <c r="G332" s="1"/>
      <c r="H332" s="1"/>
    </row>
    <row r="333" spans="2:8">
      <c r="B333" s="16" t="s">
        <v>178</v>
      </c>
      <c r="C333" s="17" t="s">
        <v>179</v>
      </c>
      <c r="D333" s="70">
        <v>1.6676705338870086E-3</v>
      </c>
      <c r="E333" s="69">
        <f t="shared" ref="E333" si="174">D333</f>
        <v>1.6676705338870086E-3</v>
      </c>
      <c r="G333" s="1"/>
      <c r="H333" s="1"/>
    </row>
    <row r="334" spans="2:8">
      <c r="B334" s="16" t="s">
        <v>180</v>
      </c>
      <c r="C334" s="17" t="s">
        <v>181</v>
      </c>
      <c r="D334" s="70">
        <v>4.777586261883667E-3</v>
      </c>
      <c r="E334" s="69">
        <f t="shared" ref="E334" si="175">D334</f>
        <v>4.777586261883667E-3</v>
      </c>
      <c r="G334" s="1"/>
      <c r="H334" s="1"/>
    </row>
    <row r="335" spans="2:8">
      <c r="B335" s="16" t="s">
        <v>182</v>
      </c>
      <c r="C335" s="17" t="s">
        <v>183</v>
      </c>
      <c r="D335" s="70">
        <v>1.4546543162490752E-3</v>
      </c>
      <c r="E335" s="69">
        <f t="shared" ref="E335" si="176">D335</f>
        <v>1.4546543162490752E-3</v>
      </c>
      <c r="G335" s="1"/>
      <c r="H335" s="1"/>
    </row>
    <row r="336" spans="2:8">
      <c r="B336" s="16" t="s">
        <v>184</v>
      </c>
      <c r="C336" s="17" t="s">
        <v>185</v>
      </c>
      <c r="D336" s="70">
        <v>5.5238761258882361E-3</v>
      </c>
      <c r="E336" s="69">
        <f t="shared" ref="E336" si="177">D336</f>
        <v>5.5238761258882361E-3</v>
      </c>
      <c r="G336" s="1"/>
      <c r="H336" s="1"/>
    </row>
    <row r="337" spans="2:8">
      <c r="B337" s="16" t="s">
        <v>186</v>
      </c>
      <c r="C337" s="17" t="s">
        <v>187</v>
      </c>
      <c r="D337" s="70">
        <v>8.5621602350007908E-4</v>
      </c>
      <c r="E337" s="69">
        <f t="shared" ref="E337" si="178">D337</f>
        <v>8.5621602350007908E-4</v>
      </c>
      <c r="G337" s="1"/>
      <c r="H337" s="1"/>
    </row>
    <row r="338" spans="2:8">
      <c r="B338" s="16" t="s">
        <v>188</v>
      </c>
      <c r="C338" s="17" t="s">
        <v>189</v>
      </c>
      <c r="D338" s="70">
        <v>2.383407252296608E-4</v>
      </c>
      <c r="E338" s="69">
        <f t="shared" ref="E338" si="179">D338</f>
        <v>2.383407252296608E-4</v>
      </c>
      <c r="G338" s="1"/>
      <c r="H338" s="1"/>
    </row>
    <row r="339" spans="2:8">
      <c r="B339" s="16" t="s">
        <v>190</v>
      </c>
      <c r="C339" s="17" t="s">
        <v>191</v>
      </c>
      <c r="D339" s="70">
        <v>1.3234970612842744E-3</v>
      </c>
      <c r="E339" s="69">
        <f t="shared" ref="E339" si="180">D339</f>
        <v>1.3234970612842744E-3</v>
      </c>
      <c r="G339" s="1"/>
      <c r="H339" s="1"/>
    </row>
    <row r="340" spans="2:8">
      <c r="B340" s="16" t="s">
        <v>192</v>
      </c>
      <c r="C340" s="17" t="s">
        <v>193</v>
      </c>
      <c r="D340" s="70">
        <v>1.3484885280408512E-3</v>
      </c>
      <c r="E340" s="69">
        <f t="shared" ref="E340" si="181">D340</f>
        <v>1.3484885280408512E-3</v>
      </c>
      <c r="G340" s="1"/>
      <c r="H340" s="1"/>
    </row>
    <row r="341" spans="2:8">
      <c r="B341" s="16" t="s">
        <v>194</v>
      </c>
      <c r="C341" s="17" t="s">
        <v>195</v>
      </c>
      <c r="D341" s="70">
        <v>9.3088212900290564E-4</v>
      </c>
      <c r="E341" s="69">
        <f t="shared" ref="E341" si="182">D341</f>
        <v>9.3088212900290564E-4</v>
      </c>
      <c r="G341" s="1"/>
      <c r="H341" s="1"/>
    </row>
    <row r="342" spans="2:8">
      <c r="B342" s="16" t="s">
        <v>196</v>
      </c>
      <c r="C342" s="17" t="s">
        <v>197</v>
      </c>
      <c r="D342" s="70">
        <v>5.5042060948908261E-4</v>
      </c>
      <c r="E342" s="69">
        <f t="shared" ref="E342" si="183">D342</f>
        <v>5.5042060948908261E-4</v>
      </c>
      <c r="G342" s="1"/>
      <c r="H342" s="1"/>
    </row>
    <row r="343" spans="2:8">
      <c r="B343" s="16" t="s">
        <v>198</v>
      </c>
      <c r="C343" s="17" t="s">
        <v>199</v>
      </c>
      <c r="D343" s="70">
        <v>6.6931412546540571E-4</v>
      </c>
      <c r="E343" s="69">
        <f t="shared" ref="E343" si="184">D343</f>
        <v>6.6931412546540571E-4</v>
      </c>
      <c r="G343" s="1"/>
      <c r="H343" s="1"/>
    </row>
    <row r="344" spans="2:8">
      <c r="B344" s="16" t="s">
        <v>200</v>
      </c>
      <c r="C344" s="17" t="s">
        <v>201</v>
      </c>
      <c r="D344" s="70">
        <v>2.2072884535003323E-3</v>
      </c>
      <c r="E344" s="69">
        <f t="shared" ref="E344" si="185">D344</f>
        <v>2.2072884535003323E-3</v>
      </c>
      <c r="G344" s="1"/>
      <c r="H344" s="1"/>
    </row>
    <row r="345" spans="2:8">
      <c r="B345" s="16" t="s">
        <v>202</v>
      </c>
      <c r="C345" s="17" t="s">
        <v>203</v>
      </c>
      <c r="D345" s="70">
        <v>2.7643853459850759E-3</v>
      </c>
      <c r="E345" s="69">
        <f t="shared" ref="E345" si="186">D345</f>
        <v>2.7643853459850759E-3</v>
      </c>
      <c r="G345" s="1"/>
      <c r="H345" s="1"/>
    </row>
    <row r="346" spans="2:8">
      <c r="B346" s="16" t="s">
        <v>204</v>
      </c>
      <c r="C346" s="17" t="s">
        <v>205</v>
      </c>
      <c r="D346" s="70">
        <v>1.9925277411596404E-2</v>
      </c>
      <c r="E346" s="69">
        <f t="shared" ref="E346" si="187">D346</f>
        <v>1.9925277411596404E-2</v>
      </c>
      <c r="G346" s="1"/>
      <c r="H346" s="1"/>
    </row>
    <row r="347" spans="2:8">
      <c r="B347" s="16" t="s">
        <v>206</v>
      </c>
      <c r="C347" s="17" t="s">
        <v>207</v>
      </c>
      <c r="D347" s="70">
        <v>4.2923293707993859E-2</v>
      </c>
      <c r="E347" s="69">
        <f t="shared" ref="E347" si="188">D347</f>
        <v>4.2923293707993859E-2</v>
      </c>
      <c r="G347" s="1"/>
      <c r="H347" s="1"/>
    </row>
    <row r="348" spans="2:8">
      <c r="B348" s="16" t="s">
        <v>208</v>
      </c>
      <c r="C348" s="17" t="s">
        <v>207</v>
      </c>
      <c r="D348" s="70">
        <v>1.8099892967171429E-2</v>
      </c>
      <c r="E348" s="69">
        <f t="shared" ref="E348" si="189">D348</f>
        <v>1.8099892967171429E-2</v>
      </c>
      <c r="G348" s="1"/>
      <c r="H348" s="1"/>
    </row>
    <row r="349" spans="2:8">
      <c r="B349" s="16" t="s">
        <v>209</v>
      </c>
      <c r="C349" s="17" t="s">
        <v>210</v>
      </c>
      <c r="D349" s="70">
        <v>4.4695523597825426E-4</v>
      </c>
      <c r="E349" s="69">
        <f t="shared" ref="E349" si="190">D349</f>
        <v>4.4695523597825426E-4</v>
      </c>
      <c r="G349" s="1"/>
      <c r="H349" s="1"/>
    </row>
    <row r="350" spans="2:8">
      <c r="B350" s="16" t="s">
        <v>211</v>
      </c>
      <c r="C350" s="17" t="s">
        <v>207</v>
      </c>
      <c r="D350" s="70">
        <v>3.5145689007196085E-2</v>
      </c>
      <c r="E350" s="69">
        <f t="shared" ref="E350" si="191">D350</f>
        <v>3.5145689007196085E-2</v>
      </c>
      <c r="G350" s="1"/>
      <c r="H350" s="1"/>
    </row>
    <row r="351" spans="2:8">
      <c r="B351" s="16" t="s">
        <v>212</v>
      </c>
      <c r="C351" s="17" t="s">
        <v>213</v>
      </c>
      <c r="D351" s="70">
        <v>1.3107786132917677E-4</v>
      </c>
      <c r="E351" s="69">
        <f t="shared" ref="E351" si="192">D351</f>
        <v>1.3107786132917677E-4</v>
      </c>
      <c r="G351" s="1"/>
      <c r="H351" s="1"/>
    </row>
    <row r="352" spans="2:8">
      <c r="D352" s="63">
        <f t="shared" ref="D352:E352" si="193">1-SUM(D267:D351)</f>
        <v>0</v>
      </c>
      <c r="E352" s="63">
        <f t="shared" si="193"/>
        <v>0</v>
      </c>
    </row>
    <row r="353" spans="2:5"/>
    <row r="354" spans="2:5" s="1" customFormat="1" ht="28.95" customHeight="1">
      <c r="B354" s="32" t="s">
        <v>255</v>
      </c>
      <c r="C354" s="5"/>
      <c r="D354" s="5"/>
      <c r="E354" s="5"/>
    </row>
    <row r="355" spans="2:5" s="1" customFormat="1" ht="14.4" customHeight="1">
      <c r="B355" s="37"/>
    </row>
    <row r="356" spans="2:5" s="1" customFormat="1" ht="28.95" customHeight="1">
      <c r="B356" s="35" t="s">
        <v>584</v>
      </c>
      <c r="C356" s="5"/>
      <c r="D356" s="5"/>
      <c r="E356" s="5"/>
    </row>
    <row r="357" spans="2:5" s="1" customFormat="1"/>
    <row r="358" spans="2:5" s="1" customFormat="1">
      <c r="B358" s="9" t="s">
        <v>2</v>
      </c>
      <c r="C358" s="9" t="s">
        <v>6</v>
      </c>
      <c r="D358" s="6"/>
      <c r="E358" s="6"/>
    </row>
    <row r="359" spans="2:5" s="1" customFormat="1">
      <c r="B359" s="25"/>
      <c r="C359" s="25"/>
      <c r="D359" s="23" t="str">
        <f>D5</f>
        <v>2025-26</v>
      </c>
      <c r="E359" s="23" t="str">
        <f>E5</f>
        <v>2026-27</v>
      </c>
    </row>
    <row r="360" spans="2:5" s="1" customFormat="1">
      <c r="B360" s="24"/>
      <c r="C360" s="24"/>
      <c r="D360" s="8"/>
      <c r="E360" s="8"/>
    </row>
    <row r="361" spans="2:5" s="1" customFormat="1">
      <c r="B361" s="10" t="s">
        <v>8</v>
      </c>
      <c r="C361" s="3" t="s">
        <v>9</v>
      </c>
      <c r="D361" s="65">
        <f t="shared" ref="D361:E373" si="194">D20</f>
        <v>8676558</v>
      </c>
      <c r="E361" s="65">
        <f t="shared" si="194"/>
        <v>8676558</v>
      </c>
    </row>
    <row r="362" spans="2:5" s="1" customFormat="1">
      <c r="B362" s="11"/>
      <c r="C362" s="3" t="s">
        <v>10</v>
      </c>
      <c r="D362" s="65">
        <f t="shared" si="194"/>
        <v>1596384</v>
      </c>
      <c r="E362" s="65">
        <f t="shared" si="194"/>
        <v>1596384</v>
      </c>
    </row>
    <row r="363" spans="2:5" s="1" customFormat="1">
      <c r="B363" s="11"/>
      <c r="C363" s="3" t="s">
        <v>11</v>
      </c>
      <c r="D363" s="65">
        <f t="shared" si="194"/>
        <v>2512022</v>
      </c>
      <c r="E363" s="65">
        <f t="shared" si="194"/>
        <v>2512022</v>
      </c>
    </row>
    <row r="364" spans="2:5" s="1" customFormat="1">
      <c r="B364" s="11"/>
      <c r="C364" s="3" t="s">
        <v>12</v>
      </c>
      <c r="D364" s="65">
        <f t="shared" si="194"/>
        <v>2568168.3524590163</v>
      </c>
      <c r="E364" s="65">
        <f t="shared" si="194"/>
        <v>2568168.3524590163</v>
      </c>
    </row>
    <row r="365" spans="2:5" s="1" customFormat="1">
      <c r="B365" s="12"/>
      <c r="C365" s="3" t="s">
        <v>13</v>
      </c>
      <c r="D365" s="65">
        <f t="shared" si="194"/>
        <v>390410.33879781421</v>
      </c>
      <c r="E365" s="65">
        <f t="shared" si="194"/>
        <v>390410.33879781421</v>
      </c>
    </row>
    <row r="366" spans="2:5" s="1" customFormat="1">
      <c r="B366" s="10" t="s">
        <v>14</v>
      </c>
      <c r="C366" s="3" t="s">
        <v>9</v>
      </c>
      <c r="D366" s="65">
        <f t="shared" si="194"/>
        <v>182000000</v>
      </c>
      <c r="E366" s="65">
        <f t="shared" si="194"/>
        <v>182000000</v>
      </c>
    </row>
    <row r="367" spans="2:5" s="1" customFormat="1">
      <c r="B367" s="13"/>
      <c r="C367" s="3" t="s">
        <v>10</v>
      </c>
      <c r="D367" s="65">
        <f t="shared" si="194"/>
        <v>0</v>
      </c>
      <c r="E367" s="65">
        <f t="shared" si="194"/>
        <v>0</v>
      </c>
    </row>
    <row r="368" spans="2:5" s="1" customFormat="1">
      <c r="B368" s="13"/>
      <c r="C368" s="3" t="s">
        <v>11</v>
      </c>
      <c r="D368" s="65">
        <f t="shared" si="194"/>
        <v>0</v>
      </c>
      <c r="E368" s="65">
        <f t="shared" si="194"/>
        <v>0</v>
      </c>
    </row>
    <row r="369" spans="2:5" s="1" customFormat="1">
      <c r="B369" s="13"/>
      <c r="C369" s="3" t="s">
        <v>12</v>
      </c>
      <c r="D369" s="65">
        <f t="shared" si="194"/>
        <v>16422.295081967215</v>
      </c>
      <c r="E369" s="65">
        <f t="shared" si="194"/>
        <v>16422.295081967215</v>
      </c>
    </row>
    <row r="370" spans="2:5" s="1" customFormat="1">
      <c r="B370" s="14"/>
      <c r="C370" s="3" t="s">
        <v>13</v>
      </c>
      <c r="D370" s="65">
        <f t="shared" si="194"/>
        <v>180266.40163934426</v>
      </c>
      <c r="E370" s="65">
        <f t="shared" si="194"/>
        <v>180266.40163934426</v>
      </c>
    </row>
    <row r="371" spans="2:5" s="1" customFormat="1">
      <c r="B371" s="10" t="s">
        <v>15</v>
      </c>
      <c r="C371" s="3" t="s">
        <v>12</v>
      </c>
      <c r="D371" s="65">
        <f t="shared" si="194"/>
        <v>4951057.1361363269</v>
      </c>
      <c r="E371" s="65">
        <f t="shared" si="194"/>
        <v>4951057.1361363269</v>
      </c>
    </row>
    <row r="372" spans="2:5" s="1" customFormat="1">
      <c r="B372" s="14"/>
      <c r="C372" s="3" t="s">
        <v>13</v>
      </c>
      <c r="D372" s="65">
        <f t="shared" si="194"/>
        <v>1918358.1253384296</v>
      </c>
      <c r="E372" s="65">
        <f t="shared" si="194"/>
        <v>1918358.1253384296</v>
      </c>
    </row>
    <row r="373" spans="2:5" s="1" customFormat="1">
      <c r="B373" s="15" t="s">
        <v>26</v>
      </c>
      <c r="C373" s="3" t="s">
        <v>27</v>
      </c>
      <c r="D373" s="65">
        <f t="shared" si="194"/>
        <v>1</v>
      </c>
      <c r="E373" s="65">
        <f t="shared" si="194"/>
        <v>1</v>
      </c>
    </row>
    <row r="374" spans="2:5" s="1" customFormat="1"/>
    <row r="375" spans="2:5" s="1" customFormat="1"/>
    <row r="376" spans="2:5" s="1" customFormat="1" ht="28.95" customHeight="1">
      <c r="B376" s="35" t="s">
        <v>585</v>
      </c>
      <c r="C376" s="5"/>
      <c r="D376" s="5"/>
      <c r="E376" s="5"/>
    </row>
    <row r="377" spans="2:5" s="1" customFormat="1"/>
    <row r="378" spans="2:5" s="1" customFormat="1">
      <c r="B378" s="9" t="s">
        <v>2</v>
      </c>
      <c r="C378" s="9" t="s">
        <v>6</v>
      </c>
      <c r="D378" s="6"/>
      <c r="E378" s="6"/>
    </row>
    <row r="379" spans="2:5" s="1" customFormat="1">
      <c r="B379" s="25"/>
      <c r="C379" s="25"/>
      <c r="D379" s="23" t="str">
        <f t="shared" ref="D379:E379" si="195">D359</f>
        <v>2025-26</v>
      </c>
      <c r="E379" s="23" t="str">
        <f t="shared" si="195"/>
        <v>2026-27</v>
      </c>
    </row>
    <row r="380" spans="2:5" s="1" customFormat="1">
      <c r="B380" s="24"/>
      <c r="C380" s="24"/>
      <c r="D380" s="8"/>
      <c r="E380" s="8"/>
    </row>
    <row r="381" spans="2:5" s="1" customFormat="1">
      <c r="B381" s="10" t="s">
        <v>8</v>
      </c>
      <c r="C381" s="3" t="s">
        <v>12</v>
      </c>
      <c r="D381" s="65">
        <f t="shared" ref="D381:E384" si="196">D40</f>
        <v>0</v>
      </c>
      <c r="E381" s="65">
        <f t="shared" si="196"/>
        <v>0</v>
      </c>
    </row>
    <row r="382" spans="2:5" s="1" customFormat="1">
      <c r="B382" s="12"/>
      <c r="C382" s="3" t="s">
        <v>13</v>
      </c>
      <c r="D382" s="65">
        <f t="shared" si="196"/>
        <v>0</v>
      </c>
      <c r="E382" s="65">
        <f t="shared" si="196"/>
        <v>0</v>
      </c>
    </row>
    <row r="383" spans="2:5" s="1" customFormat="1">
      <c r="B383" s="15" t="s">
        <v>14</v>
      </c>
      <c r="C383" s="3" t="s">
        <v>13</v>
      </c>
      <c r="D383" s="65">
        <f t="shared" si="196"/>
        <v>0</v>
      </c>
      <c r="E383" s="65">
        <f t="shared" si="196"/>
        <v>0</v>
      </c>
    </row>
    <row r="384" spans="2:5" s="1" customFormat="1">
      <c r="B384" s="15" t="s">
        <v>15</v>
      </c>
      <c r="C384" s="3" t="s">
        <v>13</v>
      </c>
      <c r="D384" s="65">
        <f t="shared" si="196"/>
        <v>0</v>
      </c>
      <c r="E384" s="65">
        <f t="shared" si="196"/>
        <v>0</v>
      </c>
    </row>
    <row r="385" spans="2:5"/>
    <row r="386" spans="2:5"/>
    <row r="387" spans="2:5" s="1" customFormat="1" ht="28.95" customHeight="1">
      <c r="B387" s="35" t="s">
        <v>586</v>
      </c>
      <c r="C387" s="5"/>
      <c r="D387" s="5"/>
      <c r="E387" s="5"/>
    </row>
    <row r="388" spans="2:5" s="1" customFormat="1"/>
    <row r="389" spans="2:5" s="1" customFormat="1">
      <c r="B389" s="9" t="s">
        <v>1</v>
      </c>
      <c r="C389" s="9" t="s">
        <v>6</v>
      </c>
      <c r="D389" s="6"/>
      <c r="E389" s="6"/>
    </row>
    <row r="390" spans="2:5" s="1" customFormat="1">
      <c r="B390" s="25"/>
      <c r="C390" s="25"/>
      <c r="D390" s="23" t="str">
        <f t="shared" ref="D390:E390" si="197">D359</f>
        <v>2025-26</v>
      </c>
      <c r="E390" s="23" t="str">
        <f t="shared" si="197"/>
        <v>2026-27</v>
      </c>
    </row>
    <row r="391" spans="2:5" s="1" customFormat="1">
      <c r="B391" s="24"/>
      <c r="C391" s="24"/>
      <c r="D391" s="8"/>
      <c r="E391" s="8"/>
    </row>
    <row r="392" spans="2:5" s="1" customFormat="1">
      <c r="B392" s="10" t="s">
        <v>8</v>
      </c>
      <c r="C392" s="3" t="s">
        <v>9</v>
      </c>
      <c r="D392" s="65">
        <f t="shared" ref="D392:E410" si="198">D65</f>
        <v>0</v>
      </c>
      <c r="E392" s="65">
        <f t="shared" si="198"/>
        <v>0</v>
      </c>
    </row>
    <row r="393" spans="2:5" s="1" customFormat="1">
      <c r="B393" s="13"/>
      <c r="C393" s="3" t="s">
        <v>10</v>
      </c>
      <c r="D393" s="65">
        <f t="shared" si="198"/>
        <v>0</v>
      </c>
      <c r="E393" s="65">
        <f t="shared" si="198"/>
        <v>0</v>
      </c>
    </row>
    <row r="394" spans="2:5" s="1" customFormat="1">
      <c r="B394" s="13"/>
      <c r="C394" s="3" t="s">
        <v>11</v>
      </c>
      <c r="D394" s="65">
        <f t="shared" si="198"/>
        <v>13013032</v>
      </c>
      <c r="E394" s="65">
        <f t="shared" si="198"/>
        <v>13013032</v>
      </c>
    </row>
    <row r="395" spans="2:5" s="1" customFormat="1">
      <c r="B395" s="13"/>
      <c r="C395" s="3" t="s">
        <v>12</v>
      </c>
      <c r="D395" s="65">
        <f t="shared" si="198"/>
        <v>31102189</v>
      </c>
      <c r="E395" s="65">
        <f t="shared" si="198"/>
        <v>31102189</v>
      </c>
    </row>
    <row r="396" spans="2:5" s="1" customFormat="1">
      <c r="B396" s="14"/>
      <c r="C396" s="3" t="s">
        <v>13</v>
      </c>
      <c r="D396" s="65">
        <f t="shared" si="198"/>
        <v>111340</v>
      </c>
      <c r="E396" s="65">
        <f t="shared" si="198"/>
        <v>111340</v>
      </c>
    </row>
    <row r="397" spans="2:5" s="1" customFormat="1">
      <c r="B397" s="10" t="s">
        <v>14</v>
      </c>
      <c r="C397" s="3" t="s">
        <v>9</v>
      </c>
      <c r="D397" s="65">
        <f t="shared" si="198"/>
        <v>0</v>
      </c>
      <c r="E397" s="65">
        <f t="shared" si="198"/>
        <v>0</v>
      </c>
    </row>
    <row r="398" spans="2:5" s="1" customFormat="1">
      <c r="B398" s="13"/>
      <c r="C398" s="3" t="s">
        <v>10</v>
      </c>
      <c r="D398" s="65">
        <f t="shared" si="198"/>
        <v>0</v>
      </c>
      <c r="E398" s="65">
        <f t="shared" si="198"/>
        <v>0</v>
      </c>
    </row>
    <row r="399" spans="2:5" s="1" customFormat="1">
      <c r="B399" s="13"/>
      <c r="C399" s="3" t="s">
        <v>11</v>
      </c>
      <c r="D399" s="65">
        <f t="shared" si="198"/>
        <v>0</v>
      </c>
      <c r="E399" s="65">
        <f t="shared" si="198"/>
        <v>0</v>
      </c>
    </row>
    <row r="400" spans="2:5" s="1" customFormat="1">
      <c r="B400" s="13"/>
      <c r="C400" s="3" t="s">
        <v>12</v>
      </c>
      <c r="D400" s="65">
        <f t="shared" si="198"/>
        <v>0</v>
      </c>
      <c r="E400" s="65">
        <f t="shared" si="198"/>
        <v>0</v>
      </c>
    </row>
    <row r="401" spans="2:5" s="1" customFormat="1">
      <c r="B401" s="14"/>
      <c r="C401" s="3" t="s">
        <v>13</v>
      </c>
      <c r="D401" s="65">
        <f t="shared" si="198"/>
        <v>0</v>
      </c>
      <c r="E401" s="65">
        <f t="shared" si="198"/>
        <v>0</v>
      </c>
    </row>
    <row r="402" spans="2:5" s="1" customFormat="1">
      <c r="B402" s="10" t="s">
        <v>15</v>
      </c>
      <c r="C402" s="3" t="s">
        <v>12</v>
      </c>
      <c r="D402" s="65">
        <f t="shared" si="198"/>
        <v>6593617.2301879274</v>
      </c>
      <c r="E402" s="65">
        <f t="shared" si="198"/>
        <v>6593617.2301879274</v>
      </c>
    </row>
    <row r="403" spans="2:5" s="1" customFormat="1">
      <c r="B403" s="14"/>
      <c r="C403" s="3" t="s">
        <v>13</v>
      </c>
      <c r="D403" s="65">
        <f t="shared" si="198"/>
        <v>683624.83242554544</v>
      </c>
      <c r="E403" s="65">
        <f t="shared" si="198"/>
        <v>683624.83242554544</v>
      </c>
    </row>
    <row r="404" spans="2:5" s="1" customFormat="1">
      <c r="B404" s="15" t="s">
        <v>17</v>
      </c>
      <c r="C404" s="3" t="s">
        <v>18</v>
      </c>
      <c r="D404" s="65">
        <f t="shared" si="198"/>
        <v>157646327.37832683</v>
      </c>
      <c r="E404" s="65">
        <f t="shared" si="198"/>
        <v>157646327.37832683</v>
      </c>
    </row>
    <row r="405" spans="2:5" s="1" customFormat="1">
      <c r="B405" s="10" t="s">
        <v>19</v>
      </c>
      <c r="C405" s="3" t="s">
        <v>20</v>
      </c>
      <c r="D405" s="65">
        <f t="shared" si="198"/>
        <v>110137542.48308744</v>
      </c>
      <c r="E405" s="65">
        <f t="shared" si="198"/>
        <v>110137542.48308744</v>
      </c>
    </row>
    <row r="406" spans="2:5" s="1" customFormat="1">
      <c r="B406" s="13"/>
      <c r="C406" s="3" t="s">
        <v>21</v>
      </c>
      <c r="D406" s="65">
        <f t="shared" si="198"/>
        <v>0</v>
      </c>
      <c r="E406" s="65">
        <f t="shared" si="198"/>
        <v>0</v>
      </c>
    </row>
    <row r="407" spans="2:5" s="1" customFormat="1">
      <c r="B407" s="13"/>
      <c r="C407" s="3" t="s">
        <v>22</v>
      </c>
      <c r="D407" s="65">
        <f t="shared" si="198"/>
        <v>732895.5</v>
      </c>
      <c r="E407" s="65">
        <f t="shared" si="198"/>
        <v>732895.5</v>
      </c>
    </row>
    <row r="408" spans="2:5" s="1" customFormat="1">
      <c r="B408" s="13"/>
      <c r="C408" s="3" t="s">
        <v>23</v>
      </c>
      <c r="D408" s="65">
        <f t="shared" si="198"/>
        <v>732895.5</v>
      </c>
      <c r="E408" s="65">
        <f t="shared" si="198"/>
        <v>732895.5</v>
      </c>
    </row>
    <row r="409" spans="2:5" s="1" customFormat="1">
      <c r="B409" s="13"/>
      <c r="C409" s="3" t="s">
        <v>24</v>
      </c>
      <c r="D409" s="65">
        <f t="shared" si="198"/>
        <v>0</v>
      </c>
      <c r="E409" s="65">
        <f t="shared" si="198"/>
        <v>0</v>
      </c>
    </row>
    <row r="410" spans="2:5" s="1" customFormat="1">
      <c r="B410" s="14"/>
      <c r="C410" s="3" t="s">
        <v>25</v>
      </c>
      <c r="D410" s="65">
        <f t="shared" si="198"/>
        <v>0</v>
      </c>
      <c r="E410" s="65">
        <f t="shared" si="198"/>
        <v>0</v>
      </c>
    </row>
    <row r="411" spans="2:5" s="1" customFormat="1"/>
    <row r="412" spans="2:5" s="1" customFormat="1"/>
    <row r="413" spans="2:5" s="1" customFormat="1" ht="28.95" customHeight="1">
      <c r="B413" s="35" t="s">
        <v>587</v>
      </c>
      <c r="C413" s="5"/>
      <c r="D413" s="5"/>
      <c r="E413" s="5"/>
    </row>
    <row r="414" spans="2:5" s="1" customFormat="1"/>
    <row r="415" spans="2:5" s="1" customFormat="1">
      <c r="B415" s="9" t="s">
        <v>1</v>
      </c>
      <c r="C415" s="9" t="s">
        <v>6</v>
      </c>
      <c r="D415" s="6"/>
      <c r="E415" s="6"/>
    </row>
    <row r="416" spans="2:5" s="1" customFormat="1">
      <c r="B416" s="25"/>
      <c r="C416" s="25"/>
      <c r="D416" s="23" t="str">
        <f t="shared" ref="D416:E416" si="199">D359</f>
        <v>2025-26</v>
      </c>
      <c r="E416" s="23" t="str">
        <f t="shared" si="199"/>
        <v>2026-27</v>
      </c>
    </row>
    <row r="417" spans="2:5" s="1" customFormat="1">
      <c r="B417" s="24"/>
      <c r="C417" s="24"/>
      <c r="D417" s="8"/>
      <c r="E417" s="8"/>
    </row>
    <row r="418" spans="2:5" s="1" customFormat="1">
      <c r="B418" s="10" t="s">
        <v>8</v>
      </c>
      <c r="C418" s="3" t="s">
        <v>12</v>
      </c>
      <c r="D418" s="65">
        <f t="shared" ref="D418:E418" si="200">D91</f>
        <v>0</v>
      </c>
      <c r="E418" s="65">
        <f t="shared" si="200"/>
        <v>0</v>
      </c>
    </row>
    <row r="419" spans="2:5" s="1" customFormat="1">
      <c r="B419" s="12"/>
      <c r="C419" s="3" t="s">
        <v>13</v>
      </c>
      <c r="D419" s="65">
        <f t="shared" ref="D419:E422" si="201">D92</f>
        <v>0</v>
      </c>
      <c r="E419" s="65">
        <f t="shared" si="201"/>
        <v>0</v>
      </c>
    </row>
    <row r="420" spans="2:5" s="1" customFormat="1">
      <c r="B420" s="10" t="s">
        <v>14</v>
      </c>
      <c r="C420" s="3" t="s">
        <v>12</v>
      </c>
      <c r="D420" s="65">
        <f t="shared" si="201"/>
        <v>1</v>
      </c>
      <c r="E420" s="65">
        <f t="shared" si="201"/>
        <v>1</v>
      </c>
    </row>
    <row r="421" spans="2:5" s="1" customFormat="1">
      <c r="B421" s="12"/>
      <c r="C421" s="3" t="s">
        <v>13</v>
      </c>
      <c r="D421" s="65">
        <f t="shared" si="201"/>
        <v>0</v>
      </c>
      <c r="E421" s="65">
        <f t="shared" si="201"/>
        <v>0</v>
      </c>
    </row>
    <row r="422" spans="2:5" s="1" customFormat="1">
      <c r="B422" s="15" t="s">
        <v>15</v>
      </c>
      <c r="C422" s="3" t="s">
        <v>13</v>
      </c>
      <c r="D422" s="65">
        <f t="shared" si="201"/>
        <v>0</v>
      </c>
      <c r="E422" s="65">
        <f t="shared" si="201"/>
        <v>0</v>
      </c>
    </row>
    <row r="423" spans="2:5"/>
    <row r="424" spans="2:5"/>
    <row r="425" spans="2:5"/>
    <row r="426" spans="2:5"/>
    <row r="427" spans="2:5"/>
    <row r="428" spans="2:5"/>
    <row r="429" spans="2:5"/>
    <row r="430" spans="2:5">
      <c r="C430"/>
      <c r="D430"/>
    </row>
    <row r="431" spans="2:5">
      <c r="C431"/>
      <c r="D431"/>
    </row>
    <row r="432" spans="2:5">
      <c r="C432"/>
      <c r="D432"/>
    </row>
    <row r="433" spans="3:4">
      <c r="C433"/>
      <c r="D433"/>
    </row>
    <row r="434" spans="3:4">
      <c r="C434"/>
      <c r="D434"/>
    </row>
    <row r="435" spans="3:4">
      <c r="C435"/>
      <c r="D435"/>
    </row>
    <row r="436" spans="3:4">
      <c r="C436"/>
      <c r="D436"/>
    </row>
    <row r="437" spans="3:4">
      <c r="C437"/>
      <c r="D437"/>
    </row>
    <row r="438" spans="3:4">
      <c r="C438"/>
      <c r="D438"/>
    </row>
    <row r="439" spans="3:4">
      <c r="C439"/>
      <c r="D439"/>
    </row>
    <row r="440" spans="3:4">
      <c r="C440"/>
      <c r="D440"/>
    </row>
    <row r="441" spans="3:4">
      <c r="C441"/>
      <c r="D441"/>
    </row>
    <row r="442" spans="3:4">
      <c r="C442"/>
      <c r="D442"/>
    </row>
    <row r="443" spans="3:4">
      <c r="C443"/>
      <c r="D443"/>
    </row>
    <row r="444" spans="3:4">
      <c r="C444"/>
      <c r="D444"/>
    </row>
    <row r="445" spans="3:4">
      <c r="C445"/>
      <c r="D445"/>
    </row>
    <row r="446" spans="3:4">
      <c r="C446"/>
      <c r="D446"/>
    </row>
    <row r="447" spans="3:4">
      <c r="C447"/>
      <c r="D447"/>
    </row>
    <row r="448" spans="3:4">
      <c r="C448"/>
      <c r="D448"/>
    </row>
    <row r="449" spans="3:4">
      <c r="C449"/>
      <c r="D449"/>
    </row>
    <row r="450" spans="3:4">
      <c r="C450"/>
      <c r="D450"/>
    </row>
    <row r="451" spans="3:4">
      <c r="C451"/>
      <c r="D451"/>
    </row>
    <row r="452" spans="3:4">
      <c r="C452"/>
      <c r="D452"/>
    </row>
    <row r="453" spans="3:4">
      <c r="C453"/>
      <c r="D453"/>
    </row>
    <row r="454" spans="3:4">
      <c r="C454"/>
      <c r="D454"/>
    </row>
    <row r="455" spans="3:4">
      <c r="C455"/>
      <c r="D455"/>
    </row>
    <row r="456" spans="3:4">
      <c r="C456"/>
      <c r="D456"/>
    </row>
    <row r="457" spans="3:4">
      <c r="C457"/>
      <c r="D457"/>
    </row>
    <row r="458" spans="3:4">
      <c r="C458"/>
      <c r="D458"/>
    </row>
    <row r="459" spans="3:4">
      <c r="C459"/>
      <c r="D459"/>
    </row>
    <row r="460" spans="3:4">
      <c r="C460"/>
      <c r="D460"/>
    </row>
    <row r="461" spans="3:4">
      <c r="C461"/>
      <c r="D461"/>
    </row>
    <row r="462" spans="3:4">
      <c r="C462"/>
      <c r="D462"/>
    </row>
    <row r="463" spans="3:4">
      <c r="C463"/>
      <c r="D463"/>
    </row>
    <row r="464" spans="3:4">
      <c r="C464"/>
      <c r="D464"/>
    </row>
    <row r="465" spans="3:4">
      <c r="C465"/>
      <c r="D465"/>
    </row>
    <row r="466" spans="3:4">
      <c r="C466"/>
      <c r="D466"/>
    </row>
    <row r="467" spans="3:4"/>
    <row r="468" spans="3:4"/>
    <row r="469" spans="3:4"/>
    <row r="470" spans="3:4"/>
    <row r="471" spans="3:4"/>
  </sheetData>
  <conditionalFormatting sqref="D33:E33 D56:E56 D84:E84 D108:E108 D352:E352">
    <cfRule type="cellIs" dxfId="17" priority="28" operator="equal">
      <formula>0</formula>
    </cfRule>
    <cfRule type="cellIs" dxfId="16" priority="29" operator="lessThan">
      <formula>0</formula>
    </cfRule>
    <cfRule type="cellIs" dxfId="15" priority="30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B2:E107"/>
  <sheetViews>
    <sheetView showGridLines="0" workbookViewId="0">
      <selection sqref="A1:A1048576"/>
    </sheetView>
  </sheetViews>
  <sheetFormatPr defaultRowHeight="14.4" customHeight="1"/>
  <cols>
    <col min="2" max="2" width="30.88671875" customWidth="1"/>
    <col min="3" max="3" width="27.5546875" customWidth="1"/>
    <col min="4" max="5" width="11.6640625" customWidth="1"/>
    <col min="7" max="7" width="11" bestFit="1" customWidth="1"/>
  </cols>
  <sheetData>
    <row r="2" spans="2:5" ht="28.95" customHeight="1">
      <c r="B2" s="32" t="s">
        <v>588</v>
      </c>
      <c r="C2" s="5"/>
      <c r="D2" s="5"/>
      <c r="E2" s="5"/>
    </row>
    <row r="3" spans="2:5" ht="14.4" customHeight="1">
      <c r="B3" s="37" t="s">
        <v>269</v>
      </c>
      <c r="C3" s="1"/>
      <c r="D3" s="1"/>
      <c r="E3" s="1"/>
    </row>
    <row r="4" spans="2:5" ht="14.4" customHeight="1">
      <c r="B4" s="9" t="s">
        <v>2</v>
      </c>
      <c r="C4" s="9" t="s">
        <v>214</v>
      </c>
      <c r="D4" s="6"/>
      <c r="E4" s="6"/>
    </row>
    <row r="5" spans="2:5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5" ht="14.4" customHeight="1">
      <c r="B6" s="24"/>
      <c r="C6" s="24"/>
      <c r="D6" s="8"/>
      <c r="E6" s="8"/>
    </row>
    <row r="7" spans="2:5" ht="14.4" customHeight="1">
      <c r="B7" s="36" t="s">
        <v>0</v>
      </c>
      <c r="C7" s="3" t="s">
        <v>216</v>
      </c>
      <c r="D7" s="38">
        <f>(SUMPRODUCT('Input data'!D$361:D$365,'Input data'!D115:D119)+'Input data'!D$381*'Input data'!D118+'Input data'!D$382*'Input data'!D119)*'Input data'!D258/SUM('Input data'!D258:D259)</f>
        <v>18392748.289478596</v>
      </c>
      <c r="E7" s="38">
        <f>(SUMPRODUCT('Input data'!E$361:E$365,'Input data'!E115:E119)+'Input data'!E$381*'Input data'!E118+'Input data'!E$382*'Input data'!E119)*'Input data'!E258/SUM('Input data'!E258:E259)</f>
        <v>18392748.289478596</v>
      </c>
    </row>
    <row r="8" spans="2:5" ht="14.4" customHeight="1">
      <c r="B8" s="36" t="s">
        <v>215</v>
      </c>
      <c r="C8" s="3" t="s">
        <v>216</v>
      </c>
      <c r="D8" s="38">
        <f>(SUMPRODUCT('Input data'!D$361:D$365,'Input data'!D115:D119)+'Input data'!D$381*'Input data'!D118+'Input data'!D$382*'Input data'!D119)*'Input data'!D259/SUM('Input data'!D258:D259)</f>
        <v>1372593.1559312386</v>
      </c>
      <c r="E8" s="38">
        <f>(SUMPRODUCT('Input data'!E$361:E$365,'Input data'!E115:E119)+'Input data'!E$381*'Input data'!E118+'Input data'!E$382*'Input data'!E119)*'Input data'!E259/SUM('Input data'!E258:E259)</f>
        <v>1372593.1559312386</v>
      </c>
    </row>
    <row r="9" spans="2:5" ht="14.4" customHeight="1">
      <c r="B9" s="36" t="s">
        <v>217</v>
      </c>
      <c r="C9" s="3" t="s">
        <v>14</v>
      </c>
      <c r="D9" s="38">
        <f>SUMPRODUCT('Input data'!D$366:D$370,'Input data'!D120:D124)+'Input data'!D$383*'Input data'!D124</f>
        <v>182415826.68795082</v>
      </c>
      <c r="E9" s="38">
        <f>SUMPRODUCT('Input data'!E$366:E$370,'Input data'!E120:E124)+'Input data'!E$383*'Input data'!E124</f>
        <v>182415826.68795082</v>
      </c>
    </row>
    <row r="10" spans="2:5" ht="14.4" customHeight="1">
      <c r="B10" s="36" t="s">
        <v>218</v>
      </c>
      <c r="C10" s="3" t="s">
        <v>15</v>
      </c>
      <c r="D10" s="38">
        <f>SUMPRODUCT('Input data'!D$371:D$372,'Input data'!D125:D126)+'Input data'!D$384*'Input data'!D126</f>
        <v>7061251.0740085999</v>
      </c>
      <c r="E10" s="38">
        <f>SUMPRODUCT('Input data'!E$371:E$372,'Input data'!E125:E126)+'Input data'!E$384*'Input data'!E126</f>
        <v>7061251.0740085999</v>
      </c>
    </row>
    <row r="11" spans="2:5" ht="14.4" customHeight="1">
      <c r="B11" s="36" t="s">
        <v>26</v>
      </c>
      <c r="C11" s="3" t="s">
        <v>219</v>
      </c>
      <c r="D11" s="38">
        <f>'Input data'!D$373</f>
        <v>1</v>
      </c>
      <c r="E11" s="38">
        <f>'Input data'!E$373</f>
        <v>1</v>
      </c>
    </row>
    <row r="14" spans="2:5" ht="28.95" customHeight="1">
      <c r="B14" s="32" t="s">
        <v>589</v>
      </c>
      <c r="C14" s="5"/>
      <c r="D14" s="5"/>
      <c r="E14" s="5"/>
    </row>
    <row r="15" spans="2:5" ht="14.4" customHeight="1">
      <c r="B15" s="37" t="s">
        <v>269</v>
      </c>
      <c r="C15" s="1"/>
      <c r="D15" s="1"/>
      <c r="E15" s="1"/>
    </row>
    <row r="16" spans="2:5" ht="14.4" customHeight="1">
      <c r="B16" s="9" t="s">
        <v>1</v>
      </c>
      <c r="C16" s="9" t="s">
        <v>214</v>
      </c>
      <c r="D16" s="6"/>
      <c r="E16" s="6"/>
    </row>
    <row r="17" spans="2:5" ht="14.4" customHeight="1">
      <c r="B17" s="25"/>
      <c r="C17" s="25"/>
      <c r="D17" s="23" t="str">
        <f>'Input data'!D$5</f>
        <v>2025-26</v>
      </c>
      <c r="E17" s="23" t="str">
        <f>'Input data'!E$5</f>
        <v>2026-27</v>
      </c>
    </row>
    <row r="18" spans="2:5" ht="14.4" customHeight="1">
      <c r="B18" s="24"/>
      <c r="C18" s="24"/>
      <c r="D18" s="8"/>
      <c r="E18" s="8"/>
    </row>
    <row r="19" spans="2:5" ht="14.4" customHeight="1">
      <c r="B19" s="36" t="s">
        <v>0</v>
      </c>
      <c r="C19" s="3" t="s">
        <v>216</v>
      </c>
      <c r="D19" s="38">
        <f>(SUMPRODUCT('Input data'!D$392:D$396,'Input data'!D133:D137)+'Input data'!D$418*'Input data'!D136+'Input data'!D$419*'Input data'!D137)*'Input data'!D260/SUM('Input data'!D260:D261)</f>
        <v>53723308.416250005</v>
      </c>
      <c r="E19" s="38">
        <f>(SUMPRODUCT('Input data'!E$392:E$396,'Input data'!E133:E137)+'Input data'!E$418*'Input data'!E136+'Input data'!E$419*'Input data'!E137)*'Input data'!E260/SUM('Input data'!E260:E261)</f>
        <v>53723308.416250005</v>
      </c>
    </row>
    <row r="20" spans="2:5" ht="14.4" customHeight="1">
      <c r="B20" s="36" t="s">
        <v>215</v>
      </c>
      <c r="C20" s="3" t="s">
        <v>216</v>
      </c>
      <c r="D20" s="38">
        <f>(SUMPRODUCT('Input data'!D$392:D$396,'Input data'!D133:D137)+'Input data'!D$418*'Input data'!D136+'Input data'!D$419*'Input data'!D137)*'Input data'!D261/SUM('Input data'!D260:D261)</f>
        <v>24419685.643750001</v>
      </c>
      <c r="E20" s="38">
        <f>(SUMPRODUCT('Input data'!E$392:E$396,'Input data'!E133:E137)+'Input data'!E$418*'Input data'!E136+'Input data'!E$419*'Input data'!E137)*'Input data'!E261/SUM('Input data'!E260:E261)</f>
        <v>24419685.643750001</v>
      </c>
    </row>
    <row r="21" spans="2:5" ht="14.4" customHeight="1">
      <c r="B21" s="36" t="s">
        <v>217</v>
      </c>
      <c r="C21" s="3" t="s">
        <v>14</v>
      </c>
      <c r="D21" s="38">
        <f>SUMPRODUCT('Input data'!D$397:D$401,'Input data'!D138:D142)+'Input data'!D$420*'Input data'!D141+'Input data'!D$421*'Input data'!D142</f>
        <v>1.94</v>
      </c>
      <c r="E21" s="38">
        <f>SUMPRODUCT('Input data'!E$397:E$401,'Input data'!E138:E142)+'Input data'!E$420*'Input data'!E141+'Input data'!E$421*'Input data'!E142</f>
        <v>1.94</v>
      </c>
    </row>
    <row r="22" spans="2:5" ht="14.4" customHeight="1">
      <c r="B22" s="36" t="s">
        <v>218</v>
      </c>
      <c r="C22" s="3" t="s">
        <v>15</v>
      </c>
      <c r="D22" s="38">
        <f>SUMPRODUCT('Input data'!D$402:D$403,'Input data'!D143:D144)+'Input data'!D$422*'Input data'!D144</f>
        <v>7345604.5458560269</v>
      </c>
      <c r="E22" s="38">
        <f>SUMPRODUCT('Input data'!E$402:E$403,'Input data'!E143:E144)+'Input data'!E$422*'Input data'!E144</f>
        <v>7345604.5458560269</v>
      </c>
    </row>
    <row r="23" spans="2:5" ht="14.4" customHeight="1">
      <c r="B23" s="36" t="s">
        <v>54</v>
      </c>
      <c r="C23" s="3" t="s">
        <v>220</v>
      </c>
      <c r="D23" s="38">
        <f>(SUM('Input data'!D$404:D$405)+SUMPRODUCT('Input data'!D$406:D$410,'Input data'!D$145:D$149))*'Input data'!D267</f>
        <v>666910.5112026704</v>
      </c>
      <c r="E23" s="38">
        <f>(SUM('Input data'!E$404:E$405)+SUMPRODUCT('Input data'!E$406:E$410,'Input data'!E$145:E$149))*'Input data'!E267</f>
        <v>666910.5112026704</v>
      </c>
    </row>
    <row r="24" spans="2:5" ht="14.4" customHeight="1">
      <c r="B24" s="36" t="s">
        <v>56</v>
      </c>
      <c r="C24" s="3" t="s">
        <v>220</v>
      </c>
      <c r="D24" s="38">
        <f>(SUM('Input data'!D$404:D$405)+SUMPRODUCT('Input data'!D$406:D$410,'Input data'!D$145:D$149))*'Input data'!D268</f>
        <v>2332158.2540969248</v>
      </c>
      <c r="E24" s="38">
        <f>(SUM('Input data'!E$404:E$405)+SUMPRODUCT('Input data'!E$406:E$410,'Input data'!E$145:E$149))*'Input data'!E268</f>
        <v>2332158.2540969248</v>
      </c>
    </row>
    <row r="25" spans="2:5" ht="14.4" customHeight="1">
      <c r="B25" s="36" t="s">
        <v>58</v>
      </c>
      <c r="C25" s="3" t="s">
        <v>220</v>
      </c>
      <c r="D25" s="38">
        <f>(SUM('Input data'!D$404:D$405)+SUMPRODUCT('Input data'!D$406:D$410,'Input data'!D$145:D$149))*'Input data'!D269</f>
        <v>803267.76100691583</v>
      </c>
      <c r="E25" s="38">
        <f>(SUM('Input data'!E$404:E$405)+SUMPRODUCT('Input data'!E$406:E$410,'Input data'!E$145:E$149))*'Input data'!E269</f>
        <v>803267.76100691583</v>
      </c>
    </row>
    <row r="26" spans="2:5" ht="14.4" customHeight="1">
      <c r="B26" s="36" t="s">
        <v>60</v>
      </c>
      <c r="C26" s="3" t="s">
        <v>220</v>
      </c>
      <c r="D26" s="38">
        <f>(SUM('Input data'!D$404:D$405)+SUMPRODUCT('Input data'!D$406:D$410,'Input data'!D$145:D$149))*'Input data'!D270</f>
        <v>1329246.8609014102</v>
      </c>
      <c r="E26" s="38">
        <f>(SUM('Input data'!E$404:E$405)+SUMPRODUCT('Input data'!E$406:E$410,'Input data'!E$145:E$149))*'Input data'!E270</f>
        <v>1329246.8609014102</v>
      </c>
    </row>
    <row r="27" spans="2:5" ht="14.4" customHeight="1">
      <c r="B27" s="36" t="s">
        <v>61</v>
      </c>
      <c r="C27" s="3" t="s">
        <v>220</v>
      </c>
      <c r="D27" s="38">
        <f>(SUM('Input data'!D$404:D$405)+SUMPRODUCT('Input data'!D$406:D$410,'Input data'!D$145:D$149))*'Input data'!D271</f>
        <v>344806.80672130937</v>
      </c>
      <c r="E27" s="38">
        <f>(SUM('Input data'!E$404:E$405)+SUMPRODUCT('Input data'!E$406:E$410,'Input data'!E$145:E$149))*'Input data'!E271</f>
        <v>344806.80672130937</v>
      </c>
    </row>
    <row r="28" spans="2:5" ht="14.4" customHeight="1">
      <c r="B28" s="36" t="s">
        <v>63</v>
      </c>
      <c r="C28" s="3" t="s">
        <v>220</v>
      </c>
      <c r="D28" s="38">
        <f>(SUM('Input data'!D$404:D$405)+SUMPRODUCT('Input data'!D$406:D$410,'Input data'!D$145:D$149))*'Input data'!D272</f>
        <v>754881.43370667647</v>
      </c>
      <c r="E28" s="38">
        <f>(SUM('Input data'!E$404:E$405)+SUMPRODUCT('Input data'!E$406:E$410,'Input data'!E$145:E$149))*'Input data'!E272</f>
        <v>754881.43370667647</v>
      </c>
    </row>
    <row r="29" spans="2:5" ht="14.4" customHeight="1">
      <c r="B29" s="36" t="s">
        <v>65</v>
      </c>
      <c r="C29" s="3" t="s">
        <v>220</v>
      </c>
      <c r="D29" s="38">
        <f>(SUM('Input data'!D$404:D$405)+SUMPRODUCT('Input data'!D$406:D$410,'Input data'!D$145:D$149))*'Input data'!D273</f>
        <v>1735374.5441289404</v>
      </c>
      <c r="E29" s="38">
        <f>(SUM('Input data'!E$404:E$405)+SUMPRODUCT('Input data'!E$406:E$410,'Input data'!E$145:E$149))*'Input data'!E273</f>
        <v>1735374.5441289404</v>
      </c>
    </row>
    <row r="30" spans="2:5" ht="14.4" customHeight="1">
      <c r="B30" s="36" t="s">
        <v>67</v>
      </c>
      <c r="C30" s="3" t="s">
        <v>220</v>
      </c>
      <c r="D30" s="38">
        <f>(SUM('Input data'!D$404:D$405)+SUMPRODUCT('Input data'!D$406:D$410,'Input data'!D$145:D$149))*'Input data'!D274</f>
        <v>2053723.6069065251</v>
      </c>
      <c r="E30" s="38">
        <f>(SUM('Input data'!E$404:E$405)+SUMPRODUCT('Input data'!E$406:E$410,'Input data'!E$145:E$149))*'Input data'!E274</f>
        <v>2053723.6069065251</v>
      </c>
    </row>
    <row r="31" spans="2:5" ht="14.4" customHeight="1">
      <c r="B31" s="36" t="s">
        <v>69</v>
      </c>
      <c r="C31" s="3" t="s">
        <v>220</v>
      </c>
      <c r="D31" s="38">
        <f>(SUM('Input data'!D$404:D$405)+SUMPRODUCT('Input data'!D$406:D$410,'Input data'!D$145:D$149))*'Input data'!D275</f>
        <v>1464905.3387068885</v>
      </c>
      <c r="E31" s="38">
        <f>(SUM('Input data'!E$404:E$405)+SUMPRODUCT('Input data'!E$406:E$410,'Input data'!E$145:E$149))*'Input data'!E275</f>
        <v>1464905.3387068885</v>
      </c>
    </row>
    <row r="32" spans="2:5" ht="14.4" customHeight="1">
      <c r="B32" s="36" t="s">
        <v>71</v>
      </c>
      <c r="C32" s="3" t="s">
        <v>220</v>
      </c>
      <c r="D32" s="38">
        <f>(SUM('Input data'!D$404:D$405)+SUMPRODUCT('Input data'!D$406:D$410,'Input data'!D$145:D$149))*'Input data'!D276</f>
        <v>10835067.213507725</v>
      </c>
      <c r="E32" s="38">
        <f>(SUM('Input data'!E$404:E$405)+SUMPRODUCT('Input data'!E$406:E$410,'Input data'!E$145:E$149))*'Input data'!E276</f>
        <v>10835067.213507725</v>
      </c>
    </row>
    <row r="33" spans="2:5" ht="14.4" customHeight="1">
      <c r="B33" s="36" t="s">
        <v>73</v>
      </c>
      <c r="C33" s="3" t="s">
        <v>220</v>
      </c>
      <c r="D33" s="38">
        <f>(SUM('Input data'!D$404:D$405)+SUMPRODUCT('Input data'!D$406:D$410,'Input data'!D$145:D$149))*'Input data'!D277</f>
        <v>0</v>
      </c>
      <c r="E33" s="38">
        <f>(SUM('Input data'!E$404:E$405)+SUMPRODUCT('Input data'!E$406:E$410,'Input data'!E$145:E$149))*'Input data'!E277</f>
        <v>0</v>
      </c>
    </row>
    <row r="34" spans="2:5" ht="14.4" customHeight="1">
      <c r="B34" s="36" t="s">
        <v>75</v>
      </c>
      <c r="C34" s="3" t="s">
        <v>220</v>
      </c>
      <c r="D34" s="38">
        <f>(SUM('Input data'!D$404:D$405)+SUMPRODUCT('Input data'!D$406:D$410,'Input data'!D$145:D$149))*'Input data'!D278</f>
        <v>576490.25308858522</v>
      </c>
      <c r="E34" s="38">
        <f>(SUM('Input data'!E$404:E$405)+SUMPRODUCT('Input data'!E$406:E$410,'Input data'!E$145:E$149))*'Input data'!E278</f>
        <v>576490.25308858522</v>
      </c>
    </row>
    <row r="35" spans="2:5" ht="14.4" customHeight="1">
      <c r="B35" s="36" t="s">
        <v>77</v>
      </c>
      <c r="C35" s="3" t="s">
        <v>220</v>
      </c>
      <c r="D35" s="38">
        <f>(SUM('Input data'!D$404:D$405)+SUMPRODUCT('Input data'!D$406:D$410,'Input data'!D$145:D$149))*'Input data'!D279</f>
        <v>2361795.6901438399</v>
      </c>
      <c r="E35" s="38">
        <f>(SUM('Input data'!E$404:E$405)+SUMPRODUCT('Input data'!E$406:E$410,'Input data'!E$145:E$149))*'Input data'!E279</f>
        <v>2361795.6901438399</v>
      </c>
    </row>
    <row r="36" spans="2:5" ht="14.4" customHeight="1">
      <c r="B36" s="36" t="s">
        <v>79</v>
      </c>
      <c r="C36" s="3" t="s">
        <v>220</v>
      </c>
      <c r="D36" s="38">
        <f>(SUM('Input data'!D$404:D$405)+SUMPRODUCT('Input data'!D$406:D$410,'Input data'!D$145:D$149))*'Input data'!D280</f>
        <v>1449049.0840196612</v>
      </c>
      <c r="E36" s="38">
        <f>(SUM('Input data'!E$404:E$405)+SUMPRODUCT('Input data'!E$406:E$410,'Input data'!E$145:E$149))*'Input data'!E280</f>
        <v>1449049.0840196612</v>
      </c>
    </row>
    <row r="37" spans="2:5" ht="14.4" customHeight="1">
      <c r="B37" s="36" t="s">
        <v>81</v>
      </c>
      <c r="C37" s="3" t="s">
        <v>220</v>
      </c>
      <c r="D37" s="38">
        <f>(SUM('Input data'!D$404:D$405)+SUMPRODUCT('Input data'!D$406:D$410,'Input data'!D$145:D$149))*'Input data'!D281</f>
        <v>33383544.906060047</v>
      </c>
      <c r="E37" s="38">
        <f>(SUM('Input data'!E$404:E$405)+SUMPRODUCT('Input data'!E$406:E$410,'Input data'!E$145:E$149))*'Input data'!E281</f>
        <v>33383544.906060047</v>
      </c>
    </row>
    <row r="38" spans="2:5" ht="14.4" customHeight="1">
      <c r="B38" s="36" t="s">
        <v>82</v>
      </c>
      <c r="C38" s="3" t="s">
        <v>220</v>
      </c>
      <c r="D38" s="38">
        <f>(SUM('Input data'!D$404:D$405)+SUMPRODUCT('Input data'!D$406:D$410,'Input data'!D$145:D$149))*'Input data'!D282</f>
        <v>565428.97185689898</v>
      </c>
      <c r="E38" s="38">
        <f>(SUM('Input data'!E$404:E$405)+SUMPRODUCT('Input data'!E$406:E$410,'Input data'!E$145:E$149))*'Input data'!E282</f>
        <v>565428.97185689898</v>
      </c>
    </row>
    <row r="39" spans="2:5" ht="14.4" customHeight="1">
      <c r="B39" s="36" t="s">
        <v>83</v>
      </c>
      <c r="C39" s="3" t="s">
        <v>220</v>
      </c>
      <c r="D39" s="38">
        <f>(SUM('Input data'!D$404:D$405)+SUMPRODUCT('Input data'!D$406:D$410,'Input data'!D$145:D$149))*'Input data'!D283</f>
        <v>407175.56171688158</v>
      </c>
      <c r="E39" s="38">
        <f>(SUM('Input data'!E$404:E$405)+SUMPRODUCT('Input data'!E$406:E$410,'Input data'!E$145:E$149))*'Input data'!E283</f>
        <v>407175.56171688158</v>
      </c>
    </row>
    <row r="40" spans="2:5" ht="14.4" customHeight="1">
      <c r="B40" s="36" t="s">
        <v>85</v>
      </c>
      <c r="C40" s="3" t="s">
        <v>220</v>
      </c>
      <c r="D40" s="38">
        <f>(SUM('Input data'!D$404:D$405)+SUMPRODUCT('Input data'!D$406:D$410,'Input data'!D$145:D$149))*'Input data'!D284</f>
        <v>39812.6743841645</v>
      </c>
      <c r="E40" s="38">
        <f>(SUM('Input data'!E$404:E$405)+SUMPRODUCT('Input data'!E$406:E$410,'Input data'!E$145:E$149))*'Input data'!E284</f>
        <v>39812.6743841645</v>
      </c>
    </row>
    <row r="41" spans="2:5" ht="14.4" customHeight="1">
      <c r="B41" s="36" t="s">
        <v>87</v>
      </c>
      <c r="C41" s="3" t="s">
        <v>220</v>
      </c>
      <c r="D41" s="38">
        <f>(SUM('Input data'!D$404:D$405)+SUMPRODUCT('Input data'!D$406:D$410,'Input data'!D$145:D$149))*'Input data'!D285</f>
        <v>0</v>
      </c>
      <c r="E41" s="38">
        <f>(SUM('Input data'!E$404:E$405)+SUMPRODUCT('Input data'!E$406:E$410,'Input data'!E$145:E$149))*'Input data'!E285</f>
        <v>0</v>
      </c>
    </row>
    <row r="42" spans="2:5" ht="14.4" customHeight="1">
      <c r="B42" s="36" t="s">
        <v>89</v>
      </c>
      <c r="C42" s="3" t="s">
        <v>220</v>
      </c>
      <c r="D42" s="38">
        <f>(SUM('Input data'!D$404:D$405)+SUMPRODUCT('Input data'!D$406:D$410,'Input data'!D$145:D$149))*'Input data'!D286</f>
        <v>1311485.7537455433</v>
      </c>
      <c r="E42" s="38">
        <f>(SUM('Input data'!E$404:E$405)+SUMPRODUCT('Input data'!E$406:E$410,'Input data'!E$145:E$149))*'Input data'!E286</f>
        <v>1311485.7537455433</v>
      </c>
    </row>
    <row r="43" spans="2:5" ht="14.4" customHeight="1">
      <c r="B43" s="36" t="s">
        <v>90</v>
      </c>
      <c r="C43" s="3" t="s">
        <v>220</v>
      </c>
      <c r="D43" s="38">
        <f>(SUM('Input data'!D$404:D$405)+SUMPRODUCT('Input data'!D$406:D$410,'Input data'!D$145:D$149))*'Input data'!D287</f>
        <v>744114.75474967051</v>
      </c>
      <c r="E43" s="38">
        <f>(SUM('Input data'!E$404:E$405)+SUMPRODUCT('Input data'!E$406:E$410,'Input data'!E$145:E$149))*'Input data'!E287</f>
        <v>744114.75474967051</v>
      </c>
    </row>
    <row r="44" spans="2:5" ht="14.4" customHeight="1">
      <c r="B44" s="36" t="s">
        <v>92</v>
      </c>
      <c r="C44" s="3" t="s">
        <v>220</v>
      </c>
      <c r="D44" s="38">
        <f>(SUM('Input data'!D$404:D$405)+SUMPRODUCT('Input data'!D$406:D$410,'Input data'!D$145:D$149))*'Input data'!D288</f>
        <v>1350349.4957553819</v>
      </c>
      <c r="E44" s="38">
        <f>(SUM('Input data'!E$404:E$405)+SUMPRODUCT('Input data'!E$406:E$410,'Input data'!E$145:E$149))*'Input data'!E288</f>
        <v>1350349.4957553819</v>
      </c>
    </row>
    <row r="45" spans="2:5" ht="14.4" customHeight="1">
      <c r="B45" s="36" t="s">
        <v>94</v>
      </c>
      <c r="C45" s="3" t="s">
        <v>220</v>
      </c>
      <c r="D45" s="38">
        <f>(SUM('Input data'!D$404:D$405)+SUMPRODUCT('Input data'!D$406:D$410,'Input data'!D$145:D$149))*'Input data'!D289</f>
        <v>1373519.9367081057</v>
      </c>
      <c r="E45" s="38">
        <f>(SUM('Input data'!E$404:E$405)+SUMPRODUCT('Input data'!E$406:E$410,'Input data'!E$145:E$149))*'Input data'!E289</f>
        <v>1373519.9367081057</v>
      </c>
    </row>
    <row r="46" spans="2:5" ht="14.4" customHeight="1">
      <c r="B46" s="36" t="s">
        <v>96</v>
      </c>
      <c r="C46" s="3" t="s">
        <v>220</v>
      </c>
      <c r="D46" s="38">
        <f>(SUM('Input data'!D$404:D$405)+SUMPRODUCT('Input data'!D$406:D$410,'Input data'!D$145:D$149))*'Input data'!D290</f>
        <v>3525428.5561790178</v>
      </c>
      <c r="E46" s="38">
        <f>(SUM('Input data'!E$404:E$405)+SUMPRODUCT('Input data'!E$406:E$410,'Input data'!E$145:E$149))*'Input data'!E290</f>
        <v>3525428.5561790178</v>
      </c>
    </row>
    <row r="47" spans="2:5" ht="14.4" customHeight="1">
      <c r="B47" s="36" t="s">
        <v>98</v>
      </c>
      <c r="C47" s="3" t="s">
        <v>220</v>
      </c>
      <c r="D47" s="38">
        <f>(SUM('Input data'!D$404:D$405)+SUMPRODUCT('Input data'!D$406:D$410,'Input data'!D$145:D$149))*'Input data'!D291</f>
        <v>0</v>
      </c>
      <c r="E47" s="38">
        <f>(SUM('Input data'!E$404:E$405)+SUMPRODUCT('Input data'!E$406:E$410,'Input data'!E$145:E$149))*'Input data'!E291</f>
        <v>0</v>
      </c>
    </row>
    <row r="48" spans="2:5" ht="14.4" customHeight="1">
      <c r="B48" s="36" t="s">
        <v>100</v>
      </c>
      <c r="C48" s="3" t="s">
        <v>220</v>
      </c>
      <c r="D48" s="38">
        <f>(SUM('Input data'!D$404:D$405)+SUMPRODUCT('Input data'!D$406:D$410,'Input data'!D$145:D$149))*'Input data'!D292</f>
        <v>7839231.5264920266</v>
      </c>
      <c r="E48" s="38">
        <f>(SUM('Input data'!E$404:E$405)+SUMPRODUCT('Input data'!E$406:E$410,'Input data'!E$145:E$149))*'Input data'!E292</f>
        <v>7839231.5264920266</v>
      </c>
    </row>
    <row r="49" spans="2:5" ht="14.4" customHeight="1">
      <c r="B49" s="36" t="s">
        <v>102</v>
      </c>
      <c r="C49" s="3" t="s">
        <v>220</v>
      </c>
      <c r="D49" s="38">
        <f>(SUM('Input data'!D$404:D$405)+SUMPRODUCT('Input data'!D$406:D$410,'Input data'!D$145:D$149))*'Input data'!D293</f>
        <v>0</v>
      </c>
      <c r="E49" s="38">
        <f>(SUM('Input data'!E$404:E$405)+SUMPRODUCT('Input data'!E$406:E$410,'Input data'!E$145:E$149))*'Input data'!E293</f>
        <v>0</v>
      </c>
    </row>
    <row r="50" spans="2:5" ht="14.4" customHeight="1">
      <c r="B50" s="36" t="s">
        <v>103</v>
      </c>
      <c r="C50" s="3" t="s">
        <v>220</v>
      </c>
      <c r="D50" s="38">
        <f>(SUM('Input data'!D$404:D$405)+SUMPRODUCT('Input data'!D$406:D$410,'Input data'!D$145:D$149))*'Input data'!D294</f>
        <v>28794214.18007151</v>
      </c>
      <c r="E50" s="38">
        <f>(SUM('Input data'!E$404:E$405)+SUMPRODUCT('Input data'!E$406:E$410,'Input data'!E$145:E$149))*'Input data'!E294</f>
        <v>28794214.18007151</v>
      </c>
    </row>
    <row r="51" spans="2:5" ht="14.4" customHeight="1">
      <c r="B51" s="36" t="s">
        <v>105</v>
      </c>
      <c r="C51" s="3" t="s">
        <v>220</v>
      </c>
      <c r="D51" s="38">
        <f>(SUM('Input data'!D$404:D$405)+SUMPRODUCT('Input data'!D$406:D$410,'Input data'!D$145:D$149))*'Input data'!D295</f>
        <v>1032552.4628568233</v>
      </c>
      <c r="E51" s="38">
        <f>(SUM('Input data'!E$404:E$405)+SUMPRODUCT('Input data'!E$406:E$410,'Input data'!E$145:E$149))*'Input data'!E295</f>
        <v>1032552.4628568233</v>
      </c>
    </row>
    <row r="52" spans="2:5" ht="14.4" customHeight="1">
      <c r="B52" s="36" t="s">
        <v>107</v>
      </c>
      <c r="C52" s="3" t="s">
        <v>220</v>
      </c>
      <c r="D52" s="38">
        <f>(SUM('Input data'!D$404:D$405)+SUMPRODUCT('Input data'!D$406:D$410,'Input data'!D$145:D$149))*'Input data'!D296</f>
        <v>0</v>
      </c>
      <c r="E52" s="38">
        <f>(SUM('Input data'!E$404:E$405)+SUMPRODUCT('Input data'!E$406:E$410,'Input data'!E$145:E$149))*'Input data'!E296</f>
        <v>0</v>
      </c>
    </row>
    <row r="53" spans="2:5" ht="14.4" customHeight="1">
      <c r="B53" s="36" t="s">
        <v>108</v>
      </c>
      <c r="C53" s="3" t="s">
        <v>220</v>
      </c>
      <c r="D53" s="38">
        <f>(SUM('Input data'!D$404:D$405)+SUMPRODUCT('Input data'!D$406:D$410,'Input data'!D$145:D$149))*'Input data'!D297</f>
        <v>38182.020047841215</v>
      </c>
      <c r="E53" s="38">
        <f>(SUM('Input data'!E$404:E$405)+SUMPRODUCT('Input data'!E$406:E$410,'Input data'!E$145:E$149))*'Input data'!E297</f>
        <v>38182.020047841215</v>
      </c>
    </row>
    <row r="54" spans="2:5" ht="14.4" customHeight="1">
      <c r="B54" s="36" t="s">
        <v>110</v>
      </c>
      <c r="C54" s="3" t="s">
        <v>220</v>
      </c>
      <c r="D54" s="38">
        <f>(SUM('Input data'!D$404:D$405)+SUMPRODUCT('Input data'!D$406:D$410,'Input data'!D$145:D$149))*'Input data'!D298</f>
        <v>1347360.1491446556</v>
      </c>
      <c r="E54" s="38">
        <f>(SUM('Input data'!E$404:E$405)+SUMPRODUCT('Input data'!E$406:E$410,'Input data'!E$145:E$149))*'Input data'!E298</f>
        <v>1347360.1491446556</v>
      </c>
    </row>
    <row r="55" spans="2:5" ht="14.4" customHeight="1">
      <c r="B55" s="36" t="s">
        <v>112</v>
      </c>
      <c r="C55" s="3" t="s">
        <v>220</v>
      </c>
      <c r="D55" s="38">
        <f>(SUM('Input data'!D$404:D$405)+SUMPRODUCT('Input data'!D$406:D$410,'Input data'!D$145:D$149))*'Input data'!D299</f>
        <v>383984.4371129942</v>
      </c>
      <c r="E55" s="38">
        <f>(SUM('Input data'!E$404:E$405)+SUMPRODUCT('Input data'!E$406:E$410,'Input data'!E$145:E$149))*'Input data'!E299</f>
        <v>383984.4371129942</v>
      </c>
    </row>
    <row r="56" spans="2:5" ht="14.4" customHeight="1">
      <c r="B56" s="36" t="s">
        <v>114</v>
      </c>
      <c r="C56" s="3" t="s">
        <v>220</v>
      </c>
      <c r="D56" s="38">
        <f>(SUM('Input data'!D$404:D$405)+SUMPRODUCT('Input data'!D$406:D$410,'Input data'!D$145:D$149))*'Input data'!D300</f>
        <v>0</v>
      </c>
      <c r="E56" s="38">
        <f>(SUM('Input data'!E$404:E$405)+SUMPRODUCT('Input data'!E$406:E$410,'Input data'!E$145:E$149))*'Input data'!E300</f>
        <v>0</v>
      </c>
    </row>
    <row r="57" spans="2:5" ht="14.4" customHeight="1">
      <c r="B57" s="36" t="s">
        <v>116</v>
      </c>
      <c r="C57" s="3" t="s">
        <v>220</v>
      </c>
      <c r="D57" s="38">
        <f>(SUM('Input data'!D$404:D$405)+SUMPRODUCT('Input data'!D$406:D$410,'Input data'!D$145:D$149))*'Input data'!D301</f>
        <v>914189.43054723344</v>
      </c>
      <c r="E57" s="38">
        <f>(SUM('Input data'!E$404:E$405)+SUMPRODUCT('Input data'!E$406:E$410,'Input data'!E$145:E$149))*'Input data'!E301</f>
        <v>914189.43054723344</v>
      </c>
    </row>
    <row r="58" spans="2:5" ht="14.4" customHeight="1">
      <c r="B58" s="36" t="s">
        <v>118</v>
      </c>
      <c r="C58" s="3" t="s">
        <v>220</v>
      </c>
      <c r="D58" s="38">
        <f>(SUM('Input data'!D$404:D$405)+SUMPRODUCT('Input data'!D$406:D$410,'Input data'!D$145:D$149))*'Input data'!D302</f>
        <v>0</v>
      </c>
      <c r="E58" s="38">
        <f>(SUM('Input data'!E$404:E$405)+SUMPRODUCT('Input data'!E$406:E$410,'Input data'!E$145:E$149))*'Input data'!E302</f>
        <v>0</v>
      </c>
    </row>
    <row r="59" spans="2:5" ht="14.4" customHeight="1">
      <c r="B59" s="36" t="s">
        <v>120</v>
      </c>
      <c r="C59" s="3" t="s">
        <v>220</v>
      </c>
      <c r="D59" s="38">
        <f>(SUM('Input data'!D$404:D$405)+SUMPRODUCT('Input data'!D$406:D$410,'Input data'!D$145:D$149))*'Input data'!D303</f>
        <v>411010.98146371538</v>
      </c>
      <c r="E59" s="38">
        <f>(SUM('Input data'!E$404:E$405)+SUMPRODUCT('Input data'!E$406:E$410,'Input data'!E$145:E$149))*'Input data'!E303</f>
        <v>411010.98146371538</v>
      </c>
    </row>
    <row r="60" spans="2:5" ht="14.4" customHeight="1">
      <c r="B60" s="36" t="s">
        <v>122</v>
      </c>
      <c r="C60" s="3" t="s">
        <v>220</v>
      </c>
      <c r="D60" s="38">
        <f>(SUM('Input data'!D$404:D$405)+SUMPRODUCT('Input data'!D$406:D$410,'Input data'!D$145:D$149))*'Input data'!D304</f>
        <v>1168923.4085922446</v>
      </c>
      <c r="E60" s="38">
        <f>(SUM('Input data'!E$404:E$405)+SUMPRODUCT('Input data'!E$406:E$410,'Input data'!E$145:E$149))*'Input data'!E304</f>
        <v>1168923.4085922446</v>
      </c>
    </row>
    <row r="61" spans="2:5" ht="14.4" customHeight="1">
      <c r="B61" s="36" t="s">
        <v>124</v>
      </c>
      <c r="C61" s="3" t="s">
        <v>220</v>
      </c>
      <c r="D61" s="38">
        <f>(SUM('Input data'!D$404:D$405)+SUMPRODUCT('Input data'!D$406:D$410,'Input data'!D$145:D$149))*'Input data'!D305</f>
        <v>2433973.8064581072</v>
      </c>
      <c r="E61" s="38">
        <f>(SUM('Input data'!E$404:E$405)+SUMPRODUCT('Input data'!E$406:E$410,'Input data'!E$145:E$149))*'Input data'!E305</f>
        <v>2433973.8064581072</v>
      </c>
    </row>
    <row r="62" spans="2:5" ht="14.4" customHeight="1">
      <c r="B62" s="36" t="s">
        <v>126</v>
      </c>
      <c r="C62" s="3" t="s">
        <v>220</v>
      </c>
      <c r="D62" s="38">
        <f>(SUM('Input data'!D$404:D$405)+SUMPRODUCT('Input data'!D$406:D$410,'Input data'!D$145:D$149))*'Input data'!D306</f>
        <v>625683.52229300095</v>
      </c>
      <c r="E62" s="38">
        <f>(SUM('Input data'!E$404:E$405)+SUMPRODUCT('Input data'!E$406:E$410,'Input data'!E$145:E$149))*'Input data'!E306</f>
        <v>625683.52229300095</v>
      </c>
    </row>
    <row r="63" spans="2:5" ht="14.4" customHeight="1">
      <c r="B63" s="36" t="s">
        <v>128</v>
      </c>
      <c r="C63" s="3" t="s">
        <v>220</v>
      </c>
      <c r="D63" s="38">
        <f>(SUM('Input data'!D$404:D$405)+SUMPRODUCT('Input data'!D$406:D$410,'Input data'!D$145:D$149))*'Input data'!D307</f>
        <v>2321914.5361037962</v>
      </c>
      <c r="E63" s="38">
        <f>(SUM('Input data'!E$404:E$405)+SUMPRODUCT('Input data'!E$406:E$410,'Input data'!E$145:E$149))*'Input data'!E307</f>
        <v>2321914.5361037962</v>
      </c>
    </row>
    <row r="64" spans="2:5" ht="14.4" customHeight="1">
      <c r="B64" s="36" t="s">
        <v>130</v>
      </c>
      <c r="C64" s="3" t="s">
        <v>220</v>
      </c>
      <c r="D64" s="38">
        <f>(SUM('Input data'!D$404:D$405)+SUMPRODUCT('Input data'!D$406:D$410,'Input data'!D$145:D$149))*'Input data'!D308</f>
        <v>1734226.6014893656</v>
      </c>
      <c r="E64" s="38">
        <f>(SUM('Input data'!E$404:E$405)+SUMPRODUCT('Input data'!E$406:E$410,'Input data'!E$145:E$149))*'Input data'!E308</f>
        <v>1734226.6014893656</v>
      </c>
    </row>
    <row r="65" spans="2:5" ht="14.4" customHeight="1">
      <c r="B65" s="36" t="s">
        <v>131</v>
      </c>
      <c r="C65" s="3" t="s">
        <v>220</v>
      </c>
      <c r="D65" s="38">
        <f>(SUM('Input data'!D$404:D$405)+SUMPRODUCT('Input data'!D$406:D$410,'Input data'!D$145:D$149))*'Input data'!D309</f>
        <v>55150.719757105908</v>
      </c>
      <c r="E65" s="38">
        <f>(SUM('Input data'!E$404:E$405)+SUMPRODUCT('Input data'!E$406:E$410,'Input data'!E$145:E$149))*'Input data'!E309</f>
        <v>55150.719757105908</v>
      </c>
    </row>
    <row r="66" spans="2:5" ht="14.4" customHeight="1">
      <c r="B66" s="36" t="s">
        <v>133</v>
      </c>
      <c r="C66" s="3" t="s">
        <v>220</v>
      </c>
      <c r="D66" s="38">
        <f>(SUM('Input data'!D$404:D$405)+SUMPRODUCT('Input data'!D$406:D$410,'Input data'!D$145:D$149))*'Input data'!D310</f>
        <v>2331301.8391352356</v>
      </c>
      <c r="E66" s="38">
        <f>(SUM('Input data'!E$404:E$405)+SUMPRODUCT('Input data'!E$406:E$410,'Input data'!E$145:E$149))*'Input data'!E310</f>
        <v>2331301.8391352356</v>
      </c>
    </row>
    <row r="67" spans="2:5" ht="14.4" customHeight="1">
      <c r="B67" s="36" t="s">
        <v>135</v>
      </c>
      <c r="C67" s="3" t="s">
        <v>220</v>
      </c>
      <c r="D67" s="38">
        <f>(SUM('Input data'!D$404:D$405)+SUMPRODUCT('Input data'!D$406:D$410,'Input data'!D$145:D$149))*'Input data'!D311</f>
        <v>1811724.0497670483</v>
      </c>
      <c r="E67" s="38">
        <f>(SUM('Input data'!E$404:E$405)+SUMPRODUCT('Input data'!E$406:E$410,'Input data'!E$145:E$149))*'Input data'!E311</f>
        <v>1811724.0497670483</v>
      </c>
    </row>
    <row r="68" spans="2:5" ht="14.4" customHeight="1">
      <c r="B68" s="36" t="s">
        <v>136</v>
      </c>
      <c r="C68" s="3" t="s">
        <v>220</v>
      </c>
      <c r="D68" s="38">
        <f>(SUM('Input data'!D$404:D$405)+SUMPRODUCT('Input data'!D$406:D$410,'Input data'!D$145:D$149))*'Input data'!D312</f>
        <v>2994680.1976385373</v>
      </c>
      <c r="E68" s="38">
        <f>(SUM('Input data'!E$404:E$405)+SUMPRODUCT('Input data'!E$406:E$410,'Input data'!E$145:E$149))*'Input data'!E312</f>
        <v>2994680.1976385373</v>
      </c>
    </row>
    <row r="69" spans="2:5" ht="14.4" customHeight="1">
      <c r="B69" s="36" t="s">
        <v>138</v>
      </c>
      <c r="C69" s="3" t="s">
        <v>220</v>
      </c>
      <c r="D69" s="38">
        <f>(SUM('Input data'!D$404:D$405)+SUMPRODUCT('Input data'!D$406:D$410,'Input data'!D$145:D$149))*'Input data'!D313</f>
        <v>676229.89359582961</v>
      </c>
      <c r="E69" s="38">
        <f>(SUM('Input data'!E$404:E$405)+SUMPRODUCT('Input data'!E$406:E$410,'Input data'!E$145:E$149))*'Input data'!E313</f>
        <v>676229.89359582961</v>
      </c>
    </row>
    <row r="70" spans="2:5" ht="14.4" customHeight="1">
      <c r="B70" s="36" t="s">
        <v>140</v>
      </c>
      <c r="C70" s="3" t="s">
        <v>220</v>
      </c>
      <c r="D70" s="38">
        <f>(SUM('Input data'!D$404:D$405)+SUMPRODUCT('Input data'!D$406:D$410,'Input data'!D$145:D$149))*'Input data'!D314</f>
        <v>1458839.4387399897</v>
      </c>
      <c r="E70" s="38">
        <f>(SUM('Input data'!E$404:E$405)+SUMPRODUCT('Input data'!E$406:E$410,'Input data'!E$145:E$149))*'Input data'!E314</f>
        <v>1458839.4387399897</v>
      </c>
    </row>
    <row r="71" spans="2:5" ht="14.4" customHeight="1">
      <c r="B71" s="36" t="s">
        <v>142</v>
      </c>
      <c r="C71" s="3" t="s">
        <v>220</v>
      </c>
      <c r="D71" s="38">
        <f>(SUM('Input data'!D$404:D$405)+SUMPRODUCT('Input data'!D$406:D$410,'Input data'!D$145:D$149))*'Input data'!D315</f>
        <v>1277645.6233892427</v>
      </c>
      <c r="E71" s="38">
        <f>(SUM('Input data'!E$404:E$405)+SUMPRODUCT('Input data'!E$406:E$410,'Input data'!E$145:E$149))*'Input data'!E315</f>
        <v>1277645.6233892427</v>
      </c>
    </row>
    <row r="72" spans="2:5" ht="14.4" customHeight="1">
      <c r="B72" s="36" t="s">
        <v>144</v>
      </c>
      <c r="C72" s="3" t="s">
        <v>220</v>
      </c>
      <c r="D72" s="38">
        <f>(SUM('Input data'!D$404:D$405)+SUMPRODUCT('Input data'!D$406:D$410,'Input data'!D$145:D$149))*'Input data'!D316</f>
        <v>33992041.432271369</v>
      </c>
      <c r="E72" s="38">
        <f>(SUM('Input data'!E$404:E$405)+SUMPRODUCT('Input data'!E$406:E$410,'Input data'!E$145:E$149))*'Input data'!E316</f>
        <v>33992041.432271369</v>
      </c>
    </row>
    <row r="73" spans="2:5" ht="14.4" customHeight="1">
      <c r="B73" s="36" t="s">
        <v>146</v>
      </c>
      <c r="C73" s="3" t="s">
        <v>220</v>
      </c>
      <c r="D73" s="38">
        <f>(SUM('Input data'!D$404:D$405)+SUMPRODUCT('Input data'!D$406:D$410,'Input data'!D$145:D$149))*'Input data'!D317</f>
        <v>4177722.7137290742</v>
      </c>
      <c r="E73" s="38">
        <f>(SUM('Input data'!E$404:E$405)+SUMPRODUCT('Input data'!E$406:E$410,'Input data'!E$145:E$149))*'Input data'!E317</f>
        <v>4177722.7137290742</v>
      </c>
    </row>
    <row r="74" spans="2:5" ht="14.4" customHeight="1">
      <c r="B74" s="36" t="s">
        <v>148</v>
      </c>
      <c r="C74" s="3" t="s">
        <v>220</v>
      </c>
      <c r="D74" s="38">
        <f>(SUM('Input data'!D$404:D$405)+SUMPRODUCT('Input data'!D$406:D$410,'Input data'!D$145:D$149))*'Input data'!D318</f>
        <v>3559238.7790937712</v>
      </c>
      <c r="E74" s="38">
        <f>(SUM('Input data'!E$404:E$405)+SUMPRODUCT('Input data'!E$406:E$410,'Input data'!E$145:E$149))*'Input data'!E318</f>
        <v>3559238.7790937712</v>
      </c>
    </row>
    <row r="75" spans="2:5" ht="14.4" customHeight="1">
      <c r="B75" s="36" t="s">
        <v>150</v>
      </c>
      <c r="C75" s="3" t="s">
        <v>220</v>
      </c>
      <c r="D75" s="38">
        <f>(SUM('Input data'!D$404:D$405)+SUMPRODUCT('Input data'!D$406:D$410,'Input data'!D$145:D$149))*'Input data'!D319</f>
        <v>10014787.149418822</v>
      </c>
      <c r="E75" s="38">
        <f>(SUM('Input data'!E$404:E$405)+SUMPRODUCT('Input data'!E$406:E$410,'Input data'!E$145:E$149))*'Input data'!E319</f>
        <v>10014787.149418822</v>
      </c>
    </row>
    <row r="76" spans="2:5" ht="14.4" customHeight="1">
      <c r="B76" s="36" t="s">
        <v>152</v>
      </c>
      <c r="C76" s="3" t="s">
        <v>220</v>
      </c>
      <c r="D76" s="38">
        <f>(SUM('Input data'!D$404:D$405)+SUMPRODUCT('Input data'!D$406:D$410,'Input data'!D$145:D$149))*'Input data'!D320</f>
        <v>6964392.1832657726</v>
      </c>
      <c r="E76" s="38">
        <f>(SUM('Input data'!E$404:E$405)+SUMPRODUCT('Input data'!E$406:E$410,'Input data'!E$145:E$149))*'Input data'!E320</f>
        <v>6964392.1832657726</v>
      </c>
    </row>
    <row r="77" spans="2:5" ht="14.4" customHeight="1">
      <c r="B77" s="36" t="s">
        <v>154</v>
      </c>
      <c r="C77" s="3" t="s">
        <v>220</v>
      </c>
      <c r="D77" s="38">
        <f>(SUM('Input data'!D$404:D$405)+SUMPRODUCT('Input data'!D$406:D$410,'Input data'!D$145:D$149))*'Input data'!D321</f>
        <v>6403653.3690645993</v>
      </c>
      <c r="E77" s="38">
        <f>(SUM('Input data'!E$404:E$405)+SUMPRODUCT('Input data'!E$406:E$410,'Input data'!E$145:E$149))*'Input data'!E321</f>
        <v>6403653.3690645993</v>
      </c>
    </row>
    <row r="78" spans="2:5" ht="14.4" customHeight="1">
      <c r="B78" s="36" t="s">
        <v>156</v>
      </c>
      <c r="C78" s="3" t="s">
        <v>220</v>
      </c>
      <c r="D78" s="38">
        <f>(SUM('Input data'!D$404:D$405)+SUMPRODUCT('Input data'!D$406:D$410,'Input data'!D$145:D$149))*'Input data'!D322</f>
        <v>803369.50220993639</v>
      </c>
      <c r="E78" s="38">
        <f>(SUM('Input data'!E$404:E$405)+SUMPRODUCT('Input data'!E$406:E$410,'Input data'!E$145:E$149))*'Input data'!E322</f>
        <v>803369.50220993639</v>
      </c>
    </row>
    <row r="79" spans="2:5" ht="14.4" customHeight="1">
      <c r="B79" s="36" t="s">
        <v>158</v>
      </c>
      <c r="C79" s="3" t="s">
        <v>220</v>
      </c>
      <c r="D79" s="38">
        <f>(SUM('Input data'!D$404:D$405)+SUMPRODUCT('Input data'!D$406:D$410,'Input data'!D$145:D$149))*'Input data'!D323</f>
        <v>3434404.559057998</v>
      </c>
      <c r="E79" s="38">
        <f>(SUM('Input data'!E$404:E$405)+SUMPRODUCT('Input data'!E$406:E$410,'Input data'!E$145:E$149))*'Input data'!E323</f>
        <v>3434404.559057998</v>
      </c>
    </row>
    <row r="80" spans="2:5" ht="14.4" customHeight="1">
      <c r="B80" s="36" t="s">
        <v>160</v>
      </c>
      <c r="C80" s="3" t="s">
        <v>220</v>
      </c>
      <c r="D80" s="38">
        <f>(SUM('Input data'!D$404:D$405)+SUMPRODUCT('Input data'!D$406:D$410,'Input data'!D$145:D$149))*'Input data'!D324</f>
        <v>4611620.1552052135</v>
      </c>
      <c r="E80" s="38">
        <f>(SUM('Input data'!E$404:E$405)+SUMPRODUCT('Input data'!E$406:E$410,'Input data'!E$145:E$149))*'Input data'!E324</f>
        <v>4611620.1552052135</v>
      </c>
    </row>
    <row r="81" spans="2:5" ht="14.4" customHeight="1">
      <c r="B81" s="36" t="s">
        <v>162</v>
      </c>
      <c r="C81" s="3" t="s">
        <v>220</v>
      </c>
      <c r="D81" s="38">
        <f>(SUM('Input data'!D$404:D$405)+SUMPRODUCT('Input data'!D$406:D$410,'Input data'!D$145:D$149))*'Input data'!D325</f>
        <v>48718.104245253999</v>
      </c>
      <c r="E81" s="38">
        <f>(SUM('Input data'!E$404:E$405)+SUMPRODUCT('Input data'!E$406:E$410,'Input data'!E$145:E$149))*'Input data'!E325</f>
        <v>48718.104245253999</v>
      </c>
    </row>
    <row r="82" spans="2:5" ht="14.4" customHeight="1">
      <c r="B82" s="36" t="s">
        <v>164</v>
      </c>
      <c r="C82" s="3" t="s">
        <v>220</v>
      </c>
      <c r="D82" s="38">
        <f>(SUM('Input data'!D$404:D$405)+SUMPRODUCT('Input data'!D$406:D$410,'Input data'!D$145:D$149))*'Input data'!D326</f>
        <v>165127.37004629069</v>
      </c>
      <c r="E82" s="38">
        <f>(SUM('Input data'!E$404:E$405)+SUMPRODUCT('Input data'!E$406:E$410,'Input data'!E$145:E$149))*'Input data'!E326</f>
        <v>165127.37004629069</v>
      </c>
    </row>
    <row r="83" spans="2:5" ht="14.4" customHeight="1">
      <c r="B83" s="36" t="s">
        <v>166</v>
      </c>
      <c r="C83" s="3" t="s">
        <v>220</v>
      </c>
      <c r="D83" s="38">
        <f>(SUM('Input data'!D$404:D$405)+SUMPRODUCT('Input data'!D$406:D$410,'Input data'!D$145:D$149))*'Input data'!D327</f>
        <v>148489.04973804319</v>
      </c>
      <c r="E83" s="38">
        <f>(SUM('Input data'!E$404:E$405)+SUMPRODUCT('Input data'!E$406:E$410,'Input data'!E$145:E$149))*'Input data'!E327</f>
        <v>148489.04973804319</v>
      </c>
    </row>
    <row r="84" spans="2:5" ht="14.4" customHeight="1">
      <c r="B84" s="36" t="s">
        <v>168</v>
      </c>
      <c r="C84" s="3" t="s">
        <v>220</v>
      </c>
      <c r="D84" s="38">
        <f>(SUM('Input data'!D$404:D$405)+SUMPRODUCT('Input data'!D$406:D$410,'Input data'!D$145:D$149))*'Input data'!D328</f>
        <v>51921.554596402631</v>
      </c>
      <c r="E84" s="38">
        <f>(SUM('Input data'!E$404:E$405)+SUMPRODUCT('Input data'!E$406:E$410,'Input data'!E$145:E$149))*'Input data'!E328</f>
        <v>51921.554596402631</v>
      </c>
    </row>
    <row r="85" spans="2:5" ht="14.4" customHeight="1">
      <c r="B85" s="36" t="s">
        <v>170</v>
      </c>
      <c r="C85" s="3" t="s">
        <v>220</v>
      </c>
      <c r="D85" s="38">
        <f>(SUM('Input data'!D$404:D$405)+SUMPRODUCT('Input data'!D$406:D$410,'Input data'!D$145:D$149))*'Input data'!D329</f>
        <v>183498.085893882</v>
      </c>
      <c r="E85" s="38">
        <f>(SUM('Input data'!E$404:E$405)+SUMPRODUCT('Input data'!E$406:E$410,'Input data'!E$145:E$149))*'Input data'!E329</f>
        <v>183498.085893882</v>
      </c>
    </row>
    <row r="86" spans="2:5" ht="14.4" customHeight="1">
      <c r="B86" s="36" t="s">
        <v>172</v>
      </c>
      <c r="C86" s="3" t="s">
        <v>220</v>
      </c>
      <c r="D86" s="38">
        <f>(SUM('Input data'!D$404:D$405)+SUMPRODUCT('Input data'!D$406:D$410,'Input data'!D$145:D$149))*'Input data'!D330</f>
        <v>26553353.003192723</v>
      </c>
      <c r="E86" s="38">
        <f>(SUM('Input data'!E$404:E$405)+SUMPRODUCT('Input data'!E$406:E$410,'Input data'!E$145:E$149))*'Input data'!E330</f>
        <v>26553353.003192723</v>
      </c>
    </row>
    <row r="87" spans="2:5" ht="14.4" customHeight="1">
      <c r="B87" s="36" t="s">
        <v>174</v>
      </c>
      <c r="C87" s="3" t="s">
        <v>220</v>
      </c>
      <c r="D87" s="38">
        <f>(SUM('Input data'!D$404:D$405)+SUMPRODUCT('Input data'!D$406:D$410,'Input data'!D$145:D$149))*'Input data'!D331</f>
        <v>420347.41389364447</v>
      </c>
      <c r="E87" s="38">
        <f>(SUM('Input data'!E$404:E$405)+SUMPRODUCT('Input data'!E$406:E$410,'Input data'!E$145:E$149))*'Input data'!E331</f>
        <v>420347.41389364447</v>
      </c>
    </row>
    <row r="88" spans="2:5" ht="14.4" customHeight="1">
      <c r="B88" s="36" t="s">
        <v>176</v>
      </c>
      <c r="C88" s="3" t="s">
        <v>220</v>
      </c>
      <c r="D88" s="38">
        <f>(SUM('Input data'!D$404:D$405)+SUMPRODUCT('Input data'!D$406:D$410,'Input data'!D$145:D$149))*'Input data'!D332</f>
        <v>2271229.2489276128</v>
      </c>
      <c r="E88" s="38">
        <f>(SUM('Input data'!E$404:E$405)+SUMPRODUCT('Input data'!E$406:E$410,'Input data'!E$145:E$149))*'Input data'!E332</f>
        <v>2271229.2489276128</v>
      </c>
    </row>
    <row r="89" spans="2:5" ht="14.4" customHeight="1">
      <c r="B89" s="36" t="s">
        <v>178</v>
      </c>
      <c r="C89" s="3" t="s">
        <v>220</v>
      </c>
      <c r="D89" s="38">
        <f>(SUM('Input data'!D$404:D$405)+SUMPRODUCT('Input data'!D$406:D$410,'Input data'!D$145:D$149))*'Input data'!D333</f>
        <v>452075.29625207168</v>
      </c>
      <c r="E89" s="38">
        <f>(SUM('Input data'!E$404:E$405)+SUMPRODUCT('Input data'!E$406:E$410,'Input data'!E$145:E$149))*'Input data'!E333</f>
        <v>452075.29625207168</v>
      </c>
    </row>
    <row r="90" spans="2:5" ht="14.4" customHeight="1">
      <c r="B90" s="36" t="s">
        <v>180</v>
      </c>
      <c r="C90" s="3" t="s">
        <v>220</v>
      </c>
      <c r="D90" s="38">
        <f>(SUM('Input data'!D$404:D$405)+SUMPRODUCT('Input data'!D$406:D$410,'Input data'!D$145:D$149))*'Input data'!D334</f>
        <v>1295117.15942882</v>
      </c>
      <c r="E90" s="38">
        <f>(SUM('Input data'!E$404:E$405)+SUMPRODUCT('Input data'!E$406:E$410,'Input data'!E$145:E$149))*'Input data'!E334</f>
        <v>1295117.15942882</v>
      </c>
    </row>
    <row r="91" spans="2:5" ht="14.4" customHeight="1">
      <c r="B91" s="36" t="s">
        <v>182</v>
      </c>
      <c r="C91" s="3" t="s">
        <v>220</v>
      </c>
      <c r="D91" s="38">
        <f>(SUM('Input data'!D$404:D$405)+SUMPRODUCT('Input data'!D$406:D$410,'Input data'!D$145:D$149))*'Input data'!D335</f>
        <v>394330.45532674226</v>
      </c>
      <c r="E91" s="38">
        <f>(SUM('Input data'!E$404:E$405)+SUMPRODUCT('Input data'!E$406:E$410,'Input data'!E$145:E$149))*'Input data'!E335</f>
        <v>394330.45532674226</v>
      </c>
    </row>
    <row r="92" spans="2:5" ht="14.4" customHeight="1">
      <c r="B92" s="36" t="s">
        <v>184</v>
      </c>
      <c r="C92" s="3" t="s">
        <v>220</v>
      </c>
      <c r="D92" s="38">
        <f>(SUM('Input data'!D$404:D$405)+SUMPRODUCT('Input data'!D$406:D$410,'Input data'!D$145:D$149))*'Input data'!D336</f>
        <v>1497422.8334239228</v>
      </c>
      <c r="E92" s="38">
        <f>(SUM('Input data'!E$404:E$405)+SUMPRODUCT('Input data'!E$406:E$410,'Input data'!E$145:E$149))*'Input data'!E336</f>
        <v>1497422.8334239228</v>
      </c>
    </row>
    <row r="93" spans="2:5" ht="14.4" customHeight="1">
      <c r="B93" s="36" t="s">
        <v>186</v>
      </c>
      <c r="C93" s="3" t="s">
        <v>220</v>
      </c>
      <c r="D93" s="38">
        <f>(SUM('Input data'!D$404:D$405)+SUMPRODUCT('Input data'!D$406:D$410,'Input data'!D$145:D$149))*'Input data'!D337</f>
        <v>232104.66612813275</v>
      </c>
      <c r="E93" s="38">
        <f>(SUM('Input data'!E$404:E$405)+SUMPRODUCT('Input data'!E$406:E$410,'Input data'!E$145:E$149))*'Input data'!E337</f>
        <v>232104.66612813275</v>
      </c>
    </row>
    <row r="94" spans="2:5" ht="14.4" customHeight="1">
      <c r="B94" s="36" t="s">
        <v>188</v>
      </c>
      <c r="C94" s="3" t="s">
        <v>220</v>
      </c>
      <c r="D94" s="38">
        <f>(SUM('Input data'!D$404:D$405)+SUMPRODUCT('Input data'!D$406:D$410,'Input data'!D$145:D$149))*'Input data'!D338</f>
        <v>64609.85655001858</v>
      </c>
      <c r="E94" s="38">
        <f>(SUM('Input data'!E$404:E$405)+SUMPRODUCT('Input data'!E$406:E$410,'Input data'!E$145:E$149))*'Input data'!E338</f>
        <v>64609.85655001858</v>
      </c>
    </row>
    <row r="95" spans="2:5" ht="14.4" customHeight="1">
      <c r="B95" s="36" t="s">
        <v>190</v>
      </c>
      <c r="C95" s="3" t="s">
        <v>220</v>
      </c>
      <c r="D95" s="38">
        <f>(SUM('Input data'!D$404:D$405)+SUMPRODUCT('Input data'!D$406:D$410,'Input data'!D$145:D$149))*'Input data'!D339</f>
        <v>358776.09750306542</v>
      </c>
      <c r="E95" s="38">
        <f>(SUM('Input data'!E$404:E$405)+SUMPRODUCT('Input data'!E$406:E$410,'Input data'!E$145:E$149))*'Input data'!E339</f>
        <v>358776.09750306542</v>
      </c>
    </row>
    <row r="96" spans="2:5" ht="14.4" customHeight="1">
      <c r="B96" s="36" t="s">
        <v>192</v>
      </c>
      <c r="C96" s="3" t="s">
        <v>220</v>
      </c>
      <c r="D96" s="38">
        <f>(SUM('Input data'!D$404:D$405)+SUMPRODUCT('Input data'!D$406:D$410,'Input data'!D$145:D$149))*'Input data'!D340</f>
        <v>365550.83178551379</v>
      </c>
      <c r="E96" s="38">
        <f>(SUM('Input data'!E$404:E$405)+SUMPRODUCT('Input data'!E$406:E$410,'Input data'!E$145:E$149))*'Input data'!E340</f>
        <v>365550.83178551379</v>
      </c>
    </row>
    <row r="97" spans="2:5" ht="14.4" customHeight="1">
      <c r="B97" s="36" t="s">
        <v>194</v>
      </c>
      <c r="C97" s="3" t="s">
        <v>220</v>
      </c>
      <c r="D97" s="38">
        <f>(SUM('Input data'!D$404:D$405)+SUMPRODUCT('Input data'!D$406:D$410,'Input data'!D$145:D$149))*'Input data'!D341</f>
        <v>252345.29584442524</v>
      </c>
      <c r="E97" s="38">
        <f>(SUM('Input data'!E$404:E$405)+SUMPRODUCT('Input data'!E$406:E$410,'Input data'!E$145:E$149))*'Input data'!E341</f>
        <v>252345.29584442524</v>
      </c>
    </row>
    <row r="98" spans="2:5" ht="14.4" customHeight="1">
      <c r="B98" s="36" t="s">
        <v>196</v>
      </c>
      <c r="C98" s="3" t="s">
        <v>220</v>
      </c>
      <c r="D98" s="38">
        <f>(SUM('Input data'!D$404:D$405)+SUMPRODUCT('Input data'!D$406:D$410,'Input data'!D$145:D$149))*'Input data'!D342</f>
        <v>149209.06440557295</v>
      </c>
      <c r="E98" s="38">
        <f>(SUM('Input data'!E$404:E$405)+SUMPRODUCT('Input data'!E$406:E$410,'Input data'!E$145:E$149))*'Input data'!E342</f>
        <v>149209.06440557295</v>
      </c>
    </row>
    <row r="99" spans="2:5" ht="14.4" customHeight="1">
      <c r="B99" s="36" t="s">
        <v>198</v>
      </c>
      <c r="C99" s="3" t="s">
        <v>220</v>
      </c>
      <c r="D99" s="38">
        <f>(SUM('Input data'!D$404:D$405)+SUMPRODUCT('Input data'!D$406:D$410,'Input data'!D$145:D$149))*'Input data'!D343</f>
        <v>181438.94456791464</v>
      </c>
      <c r="E99" s="38">
        <f>(SUM('Input data'!E$404:E$405)+SUMPRODUCT('Input data'!E$406:E$410,'Input data'!E$145:E$149))*'Input data'!E343</f>
        <v>181438.94456791464</v>
      </c>
    </row>
    <row r="100" spans="2:5" ht="14.4" customHeight="1">
      <c r="B100" s="36" t="s">
        <v>200</v>
      </c>
      <c r="C100" s="3" t="s">
        <v>220</v>
      </c>
      <c r="D100" s="38">
        <f>(SUM('Input data'!D$404:D$405)+SUMPRODUCT('Input data'!D$406:D$410,'Input data'!D$145:D$149))*'Input data'!D344</f>
        <v>598355.94696521095</v>
      </c>
      <c r="E100" s="38">
        <f>(SUM('Input data'!E$404:E$405)+SUMPRODUCT('Input data'!E$406:E$410,'Input data'!E$145:E$149))*'Input data'!E344</f>
        <v>598355.94696521095</v>
      </c>
    </row>
    <row r="101" spans="2:5" ht="14.4" customHeight="1">
      <c r="B101" s="36" t="s">
        <v>202</v>
      </c>
      <c r="C101" s="3" t="s">
        <v>220</v>
      </c>
      <c r="D101" s="38">
        <f>(SUM('Input data'!D$404:D$405)+SUMPRODUCT('Input data'!D$406:D$410,'Input data'!D$145:D$149))*'Input data'!D345</f>
        <v>749374.83084759105</v>
      </c>
      <c r="E101" s="38">
        <f>(SUM('Input data'!E$404:E$405)+SUMPRODUCT('Input data'!E$406:E$410,'Input data'!E$145:E$149))*'Input data'!E345</f>
        <v>749374.83084759105</v>
      </c>
    </row>
    <row r="102" spans="2:5" ht="14.4" customHeight="1">
      <c r="B102" s="36" t="s">
        <v>204</v>
      </c>
      <c r="C102" s="3" t="s">
        <v>220</v>
      </c>
      <c r="D102" s="38">
        <f>(SUM('Input data'!D$404:D$405)+SUMPRODUCT('Input data'!D$406:D$410,'Input data'!D$145:D$149))*'Input data'!D346</f>
        <v>5401382.0510199564</v>
      </c>
      <c r="E102" s="38">
        <f>(SUM('Input data'!E$404:E$405)+SUMPRODUCT('Input data'!E$406:E$410,'Input data'!E$145:E$149))*'Input data'!E346</f>
        <v>5401382.0510199564</v>
      </c>
    </row>
    <row r="103" spans="2:5" ht="14.4" customHeight="1">
      <c r="B103" s="36" t="s">
        <v>206</v>
      </c>
      <c r="C103" s="3" t="s">
        <v>220</v>
      </c>
      <c r="D103" s="38">
        <f>(SUM('Input data'!D$404:D$405)+SUMPRODUCT('Input data'!D$406:D$410,'Input data'!D$145:D$149))*'Input data'!D347</f>
        <v>11635727.995941641</v>
      </c>
      <c r="E103" s="38">
        <f>(SUM('Input data'!E$404:E$405)+SUMPRODUCT('Input data'!E$406:E$410,'Input data'!E$145:E$149))*'Input data'!E347</f>
        <v>11635727.995941641</v>
      </c>
    </row>
    <row r="104" spans="2:5" ht="14.4" customHeight="1">
      <c r="B104" s="36" t="s">
        <v>208</v>
      </c>
      <c r="C104" s="3" t="s">
        <v>220</v>
      </c>
      <c r="D104" s="38">
        <f>(SUM('Input data'!D$404:D$405)+SUMPRODUCT('Input data'!D$406:D$410,'Input data'!D$145:D$149))*'Input data'!D348</f>
        <v>4906553.3683041083</v>
      </c>
      <c r="E104" s="38">
        <f>(SUM('Input data'!E$404:E$405)+SUMPRODUCT('Input data'!E$406:E$410,'Input data'!E$145:E$149))*'Input data'!E348</f>
        <v>4906553.3683041083</v>
      </c>
    </row>
    <row r="105" spans="2:5" ht="14.4" customHeight="1">
      <c r="B105" s="36" t="s">
        <v>209</v>
      </c>
      <c r="C105" s="3" t="s">
        <v>220</v>
      </c>
      <c r="D105" s="38">
        <f>(SUM('Input data'!D$404:D$405)+SUMPRODUCT('Input data'!D$406:D$410,'Input data'!D$145:D$149))*'Input data'!D349</f>
        <v>121161.4744102531</v>
      </c>
      <c r="E105" s="38">
        <f>(SUM('Input data'!E$404:E$405)+SUMPRODUCT('Input data'!E$406:E$410,'Input data'!E$145:E$149))*'Input data'!E349</f>
        <v>121161.4744102531</v>
      </c>
    </row>
    <row r="106" spans="2:5" ht="14.4" customHeight="1">
      <c r="B106" s="36" t="s">
        <v>211</v>
      </c>
      <c r="C106" s="3" t="s">
        <v>220</v>
      </c>
      <c r="D106" s="38">
        <f>(SUM('Input data'!D$404:D$405)+SUMPRODUCT('Input data'!D$406:D$410,'Input data'!D$145:D$149))*'Input data'!D350</f>
        <v>9527360.139222715</v>
      </c>
      <c r="E106" s="38">
        <f>(SUM('Input data'!E$404:E$405)+SUMPRODUCT('Input data'!E$406:E$410,'Input data'!E$145:E$149))*'Input data'!E350</f>
        <v>9527360.139222715</v>
      </c>
    </row>
    <row r="107" spans="2:5" ht="14.4" customHeight="1">
      <c r="B107" s="36" t="s">
        <v>212</v>
      </c>
      <c r="C107" s="3" t="s">
        <v>220</v>
      </c>
      <c r="D107" s="38">
        <f>(SUM('Input data'!D$404:D$405)+SUMPRODUCT('Input data'!D$406:D$410,'Input data'!D$145:D$149))*'Input data'!D351</f>
        <v>35532.835646114778</v>
      </c>
      <c r="E107" s="38">
        <f>(SUM('Input data'!E$404:E$405)+SUMPRODUCT('Input data'!E$406:E$410,'Input data'!E$145:E$149))*'Input data'!E351</f>
        <v>35532.835646114778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B3:CM32"/>
  <sheetViews>
    <sheetView showGridLines="0" zoomScale="90" zoomScaleNormal="90" workbookViewId="0">
      <selection sqref="A1:A1048576"/>
    </sheetView>
  </sheetViews>
  <sheetFormatPr defaultColWidth="8.88671875" defaultRowHeight="14.4"/>
  <cols>
    <col min="1" max="1" width="8.88671875" style="1"/>
    <col min="2" max="2" width="31" style="1" customWidth="1"/>
    <col min="3" max="91" width="16.6640625" style="1" customWidth="1"/>
    <col min="92" max="16384" width="8.88671875" style="1"/>
  </cols>
  <sheetData>
    <row r="3" spans="2:91">
      <c r="B3" s="2" t="s">
        <v>3</v>
      </c>
      <c r="C3" s="41" t="s">
        <v>1</v>
      </c>
      <c r="D3" s="42"/>
      <c r="E3" s="42"/>
      <c r="F3" s="42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4"/>
    </row>
    <row r="4" spans="2:91">
      <c r="B4" s="46" t="s">
        <v>2</v>
      </c>
      <c r="C4" s="45" t="str">
        <f t="array" ref="C4:CM4">TRANSPOSE('Input capacity'!B19:B107)</f>
        <v>CTS Campo Maior</v>
      </c>
      <c r="D4" s="14" t="str">
        <v>CTS Valença do Minho</v>
      </c>
      <c r="E4" s="14" t="str">
        <v>LNG Terminal Sines</v>
      </c>
      <c r="F4" s="14" t="str">
        <v>Underground storage Carriço</v>
      </c>
      <c r="G4" s="14" t="str">
        <v>GRMS 01059</v>
      </c>
      <c r="H4" s="14" t="str">
        <v>GRMS 01109</v>
      </c>
      <c r="I4" s="14" t="str">
        <v>GRMS 01119</v>
      </c>
      <c r="J4" s="14" t="str">
        <v>GRMS 01129</v>
      </c>
      <c r="K4" s="14" t="str">
        <v>GRMS 01139</v>
      </c>
      <c r="L4" s="14" t="str">
        <v>GRMS 01149</v>
      </c>
      <c r="M4" s="14" t="str">
        <v>GRMS 01159</v>
      </c>
      <c r="N4" s="14" t="str">
        <v>GRMS 01179</v>
      </c>
      <c r="O4" s="14" t="str">
        <v>GRMS 01189</v>
      </c>
      <c r="P4" s="14" t="str">
        <v>GRMS 01209</v>
      </c>
      <c r="Q4" s="14" t="str">
        <v>GRMS 01219</v>
      </c>
      <c r="R4" s="14" t="str">
        <v>GRMS 01229</v>
      </c>
      <c r="S4" s="14" t="str">
        <v>GRMS 01239</v>
      </c>
      <c r="T4" s="14" t="str">
        <v>GRMS 01259</v>
      </c>
      <c r="U4" s="14" t="str">
        <v>GRMS 01269</v>
      </c>
      <c r="V4" s="14" t="str">
        <v>GRMS 01279</v>
      </c>
      <c r="W4" s="14" t="str">
        <v>GRMS 01309</v>
      </c>
      <c r="X4" s="14" t="str">
        <v>GRMS 01319</v>
      </c>
      <c r="Y4" s="14" t="str">
        <v>GRMS 01359</v>
      </c>
      <c r="Z4" s="14" t="str">
        <v>GRMS 01369</v>
      </c>
      <c r="AA4" s="14" t="str">
        <v>GRMS 01409</v>
      </c>
      <c r="AB4" s="14" t="str">
        <v>GRMS 02069</v>
      </c>
      <c r="AC4" s="14" t="str">
        <v>GRMS 02089</v>
      </c>
      <c r="AD4" s="14" t="str">
        <v>GRMS 02159</v>
      </c>
      <c r="AE4" s="14" t="str">
        <v>GRMS 02509</v>
      </c>
      <c r="AF4" s="14" t="str">
        <v>GRMS 02519</v>
      </c>
      <c r="AG4" s="14" t="str">
        <v>GRMS 02539</v>
      </c>
      <c r="AH4" s="14" t="str">
        <v>GRMS 02549</v>
      </c>
      <c r="AI4" s="14" t="str">
        <v>GRMS 02559</v>
      </c>
      <c r="AJ4" s="14" t="str">
        <v>GRMS 02569</v>
      </c>
      <c r="AK4" s="14" t="str">
        <v>GRMS 02709</v>
      </c>
      <c r="AL4" s="14" t="str">
        <v>GRMS 02719</v>
      </c>
      <c r="AM4" s="14" t="str">
        <v>GRMS 02739</v>
      </c>
      <c r="AN4" s="14" t="str">
        <v>GRMS 03009</v>
      </c>
      <c r="AO4" s="14" t="str">
        <v>GRMS 03059</v>
      </c>
      <c r="AP4" s="14" t="str">
        <v>GRMS 03069</v>
      </c>
      <c r="AQ4" s="14" t="str">
        <v>GRMS 03109</v>
      </c>
      <c r="AR4" s="14" t="str">
        <v>GRMS 03169</v>
      </c>
      <c r="AS4" s="14" t="str">
        <v>GRMS 03219</v>
      </c>
      <c r="AT4" s="14" t="str">
        <v>GRMS 03229</v>
      </c>
      <c r="AU4" s="14" t="str">
        <v>GRMS 03259</v>
      </c>
      <c r="AV4" s="14" t="str">
        <v>GRMS 03269</v>
      </c>
      <c r="AW4" s="14" t="str">
        <v>GRMS 03309</v>
      </c>
      <c r="AX4" s="14" t="str">
        <v>GRMS 03359</v>
      </c>
      <c r="AY4" s="14" t="str">
        <v>GRMS 03369</v>
      </c>
      <c r="AZ4" s="14" t="str">
        <v>GRMS 03459</v>
      </c>
      <c r="BA4" s="14" t="str">
        <v>GRMS 03559</v>
      </c>
      <c r="BB4" s="14" t="str">
        <v>GRMS 03609</v>
      </c>
      <c r="BC4" s="14" t="str">
        <v>GRMS 03619</v>
      </c>
      <c r="BD4" s="14" t="str">
        <v>GRMS 03659</v>
      </c>
      <c r="BE4" s="14" t="str">
        <v>GRMS 04059</v>
      </c>
      <c r="BF4" s="14" t="str">
        <v>GRMS 04109</v>
      </c>
      <c r="BG4" s="14" t="str">
        <v>GRMS 04149</v>
      </c>
      <c r="BH4" s="14" t="str">
        <v>GRMS 04159</v>
      </c>
      <c r="BI4" s="14" t="str">
        <v>GRMS 04209</v>
      </c>
      <c r="BJ4" s="14" t="str">
        <v>GRMS 05009</v>
      </c>
      <c r="BK4" s="14" t="str">
        <v>GRMS 05119</v>
      </c>
      <c r="BL4" s="14" t="str">
        <v>GRMS 05179</v>
      </c>
      <c r="BM4" s="14" t="str">
        <v>GRMS 05309</v>
      </c>
      <c r="BN4" s="14" t="str">
        <v>GRMS 05609</v>
      </c>
      <c r="BO4" s="14" t="str">
        <v>GRMS 07009</v>
      </c>
      <c r="BP4" s="14" t="str">
        <v>GRMS 08009</v>
      </c>
      <c r="BQ4" s="14" t="str">
        <v>GRMS 08109</v>
      </c>
      <c r="BR4" s="14" t="str">
        <v>GRMS 08119</v>
      </c>
      <c r="BS4" s="14" t="str">
        <v>GRMS 08209</v>
      </c>
      <c r="BT4" s="14" t="str">
        <v>GRMS 08309</v>
      </c>
      <c r="BU4" s="14" t="str">
        <v>GRMS 08409</v>
      </c>
      <c r="BV4" s="14" t="str">
        <v>GRMS 08559</v>
      </c>
      <c r="BW4" s="14" t="str">
        <v>GRMS 10079</v>
      </c>
      <c r="BX4" s="14" t="str">
        <v>GRMS 10159</v>
      </c>
      <c r="BY4" s="14" t="str">
        <v>GRMS 10209</v>
      </c>
      <c r="BZ4" s="14" t="str">
        <v>GRMS 10309</v>
      </c>
      <c r="CA4" s="14" t="str">
        <v>GRMS 10359</v>
      </c>
      <c r="CB4" s="14" t="str">
        <v>GRMS 10459</v>
      </c>
      <c r="CC4" s="14" t="str">
        <v>GRMS 11109</v>
      </c>
      <c r="CD4" s="14" t="str">
        <v>GRMS 11159</v>
      </c>
      <c r="CE4" s="14" t="str">
        <v>GRMS 11209</v>
      </c>
      <c r="CF4" s="14" t="str">
        <v>GRMS 11279</v>
      </c>
      <c r="CG4" s="14" t="str">
        <v>GRMS 11309</v>
      </c>
      <c r="CH4" s="14" t="str">
        <v>GRMS 12209</v>
      </c>
      <c r="CI4" s="14" t="str">
        <v>GRMS 12609</v>
      </c>
      <c r="CJ4" s="14" t="str">
        <v>GRMS 12619</v>
      </c>
      <c r="CK4" s="14" t="str">
        <v>GRMS 12619B</v>
      </c>
      <c r="CL4" s="14" t="str">
        <v>GRMS 12629</v>
      </c>
      <c r="CM4" s="14" t="str">
        <v>GRMS 12809</v>
      </c>
    </row>
    <row r="5" spans="2:91">
      <c r="B5" s="14" t="str">
        <f>'Input capacity'!B7</f>
        <v>CTS Campo Maior</v>
      </c>
      <c r="C5" s="52">
        <f>IF(OR('RPM &amp; Discounts'!$B$3='A0.Support'!$B$3,'RPM &amp; Discounts'!$B$3='A0.Support'!$B$4),C23,C14*C23)</f>
        <v>0</v>
      </c>
      <c r="D5" s="52">
        <f>IF(OR('RPM &amp; Discounts'!$B$3='A0.Support'!$B$3,'RPM &amp; Discounts'!$B$3='A0.Support'!$B$4),D23,D14*D23)</f>
        <v>508.95100000000002</v>
      </c>
      <c r="E5" s="52">
        <f>IF(OR('RPM &amp; Discounts'!$B$3='A0.Support'!$B$3,'RPM &amp; Discounts'!$B$3='A0.Support'!$B$4),E23,E14*E23)</f>
        <v>481.59199999999998</v>
      </c>
      <c r="F5" s="52">
        <f>IF(OR('RPM &amp; Discounts'!$B$3='A0.Support'!$B$3,'RPM &amp; Discounts'!$B$3='A0.Support'!$B$4),F23,F14*F23)</f>
        <v>239.52199999999999</v>
      </c>
      <c r="G5" s="52">
        <f>IF(OR('RPM &amp; Discounts'!$B$3='A0.Support'!$B$3,'RPM &amp; Discounts'!$B$3='A0.Support'!$B$4),G23,G14*G23)</f>
        <v>1013.8654285714285</v>
      </c>
      <c r="H5" s="52">
        <f>IF(OR('RPM &amp; Discounts'!$B$3='A0.Support'!$B$3,'RPM &amp; Discounts'!$B$3='A0.Support'!$B$4),H23,H14*H23)</f>
        <v>1047.2965714285713</v>
      </c>
      <c r="I5" s="52">
        <f>IF(OR('RPM &amp; Discounts'!$B$3='A0.Support'!$B$3,'RPM &amp; Discounts'!$B$3='A0.Support'!$B$4),I23,I14*I23)</f>
        <v>1025.9254285714285</v>
      </c>
      <c r="J5" s="52">
        <f>IF(OR('RPM &amp; Discounts'!$B$3='A0.Support'!$B$3,'RPM &amp; Discounts'!$B$3='A0.Support'!$B$4),J23,J14*J23)</f>
        <v>1047.2939999999999</v>
      </c>
      <c r="K5" s="52">
        <f>IF(OR('RPM &amp; Discounts'!$B$3='A0.Support'!$B$3,'RPM &amp; Discounts'!$B$3='A0.Support'!$B$4),K23,K14*K23)</f>
        <v>972.90257142857138</v>
      </c>
      <c r="L5" s="52">
        <f>IF(OR('RPM &amp; Discounts'!$B$3='A0.Support'!$B$3,'RPM &amp; Discounts'!$B$3='A0.Support'!$B$4),L23,L14*L23)</f>
        <v>941.04257142857136</v>
      </c>
      <c r="M5" s="52">
        <f>IF(OR('RPM &amp; Discounts'!$B$3='A0.Support'!$B$3,'RPM &amp; Discounts'!$B$3='A0.Support'!$B$4),M23,M14*M23)</f>
        <v>1063.3911428571428</v>
      </c>
      <c r="N5" s="52">
        <f>IF(OR('RPM &amp; Discounts'!$B$3='A0.Support'!$B$3,'RPM &amp; Discounts'!$B$3='A0.Support'!$B$4),N23,N14*N23)</f>
        <v>898.0997142857143</v>
      </c>
      <c r="O5" s="52">
        <f>IF(OR('RPM &amp; Discounts'!$B$3='A0.Support'!$B$3,'RPM &amp; Discounts'!$B$3='A0.Support'!$B$4),O23,O14*O23)</f>
        <v>866.05971428571422</v>
      </c>
      <c r="P5" s="52">
        <f>IF(OR('RPM &amp; Discounts'!$B$3='A0.Support'!$B$3,'RPM &amp; Discounts'!$B$3='A0.Support'!$B$4),P23,P14*P23)</f>
        <v>941.30228571428563</v>
      </c>
      <c r="Q5" s="52">
        <f>IF(OR('RPM &amp; Discounts'!$B$3='A0.Support'!$B$3,'RPM &amp; Discounts'!$B$3='A0.Support'!$B$4),Q23,Q14*Q23)</f>
        <v>856.72542857142844</v>
      </c>
      <c r="R5" s="52">
        <f>IF(OR('RPM &amp; Discounts'!$B$3='A0.Support'!$B$3,'RPM &amp; Discounts'!$B$3='A0.Support'!$B$4),R23,R14*R23)</f>
        <v>910.16228571428564</v>
      </c>
      <c r="S5" s="52">
        <f>IF(OR('RPM &amp; Discounts'!$B$3='A0.Support'!$B$3,'RPM &amp; Discounts'!$B$3='A0.Support'!$B$4),S23,S14*S23)</f>
        <v>927.57342857142851</v>
      </c>
      <c r="T5" s="52">
        <f>IF(OR('RPM &amp; Discounts'!$B$3='A0.Support'!$B$3,'RPM &amp; Discounts'!$B$3='A0.Support'!$B$4),T23,T14*T23)</f>
        <v>850.11685714285704</v>
      </c>
      <c r="U5" s="52">
        <f>IF(OR('RPM &amp; Discounts'!$B$3='A0.Support'!$B$3,'RPM &amp; Discounts'!$B$3='A0.Support'!$B$4),U23,U14*U23)</f>
        <v>856.72799999999995</v>
      </c>
      <c r="V5" s="52">
        <f>IF(OR('RPM &amp; Discounts'!$B$3='A0.Support'!$B$3,'RPM &amp; Discounts'!$B$3='A0.Support'!$B$4),V23,V14*V23)</f>
        <v>927.57085714285699</v>
      </c>
      <c r="W5" s="52">
        <f>IF(OR('RPM &amp; Discounts'!$B$3='A0.Support'!$B$3,'RPM &amp; Discounts'!$B$3='A0.Support'!$B$4),W23,W14*W23)</f>
        <v>844.43399999999997</v>
      </c>
      <c r="X5" s="52">
        <f>IF(OR('RPM &amp; Discounts'!$B$3='A0.Support'!$B$3,'RPM &amp; Discounts'!$B$3='A0.Support'!$B$4),X23,X14*X23)</f>
        <v>815.04257142857136</v>
      </c>
      <c r="Y5" s="52">
        <f>IF(OR('RPM &amp; Discounts'!$B$3='A0.Support'!$B$3,'RPM &amp; Discounts'!$B$3='A0.Support'!$B$4),Y23,Y14*Y23)</f>
        <v>876.06514285714275</v>
      </c>
      <c r="Z5" s="52">
        <f>IF(OR('RPM &amp; Discounts'!$B$3='A0.Support'!$B$3,'RPM &amp; Discounts'!$B$3='A0.Support'!$B$4),Z23,Z14*Z23)</f>
        <v>876.06257142857123</v>
      </c>
      <c r="AA5" s="52">
        <f>IF(OR('RPM &amp; Discounts'!$B$3='A0.Support'!$B$3,'RPM &amp; Discounts'!$B$3='A0.Support'!$B$4),AA23,AA14*AA23)</f>
        <v>751.7854285714285</v>
      </c>
      <c r="AB5" s="52">
        <f>IF(OR('RPM &amp; Discounts'!$B$3='A0.Support'!$B$3,'RPM &amp; Discounts'!$B$3='A0.Support'!$B$4),AB23,AB14*AB23)</f>
        <v>664.51114285714277</v>
      </c>
      <c r="AC5" s="52">
        <f>IF(OR('RPM &amp; Discounts'!$B$3='A0.Support'!$B$3,'RPM &amp; Discounts'!$B$3='A0.Support'!$B$4),AC23,AC14*AC23)</f>
        <v>631.9054285714285</v>
      </c>
      <c r="AD5" s="52">
        <f>IF(OR('RPM &amp; Discounts'!$B$3='A0.Support'!$B$3,'RPM &amp; Discounts'!$B$3='A0.Support'!$B$4),AD23,AD14*AD23)</f>
        <v>615.01114285714277</v>
      </c>
      <c r="AE5" s="52">
        <f>IF(OR('RPM &amp; Discounts'!$B$3='A0.Support'!$B$3,'RPM &amp; Discounts'!$B$3='A0.Support'!$B$4),AE23,AE14*AE23)</f>
        <v>615.91114285714275</v>
      </c>
      <c r="AF5" s="52">
        <f>IF(OR('RPM &amp; Discounts'!$B$3='A0.Support'!$B$3,'RPM &amp; Discounts'!$B$3='A0.Support'!$B$4),AF23,AF14*AF23)</f>
        <v>641.39400000000001</v>
      </c>
      <c r="AG5" s="52">
        <f>IF(OR('RPM &amp; Discounts'!$B$3='A0.Support'!$B$3,'RPM &amp; Discounts'!$B$3='A0.Support'!$B$4),AG23,AG14*AG23)</f>
        <v>641.6768571428571</v>
      </c>
      <c r="AH5" s="52">
        <f>IF(OR('RPM &amp; Discounts'!$B$3='A0.Support'!$B$3,'RPM &amp; Discounts'!$B$3='A0.Support'!$B$4),AH23,AH14*AH23)</f>
        <v>675.2854285714285</v>
      </c>
      <c r="AI5" s="52">
        <f>IF(OR('RPM &amp; Discounts'!$B$3='A0.Support'!$B$3,'RPM &amp; Discounts'!$B$3='A0.Support'!$B$4),AI23,AI14*AI23)</f>
        <v>590.65971428571424</v>
      </c>
      <c r="AJ5" s="52">
        <f>IF(OR('RPM &amp; Discounts'!$B$3='A0.Support'!$B$3,'RPM &amp; Discounts'!$B$3='A0.Support'!$B$4),AJ23,AJ14*AJ23)</f>
        <v>675.28800000000001</v>
      </c>
      <c r="AK5" s="52">
        <f>IF(OR('RPM &amp; Discounts'!$B$3='A0.Support'!$B$3,'RPM &amp; Discounts'!$B$3='A0.Support'!$B$4),AK23,AK14*AK23)</f>
        <v>650.49685714285704</v>
      </c>
      <c r="AL5" s="52">
        <f>IF(OR('RPM &amp; Discounts'!$B$3='A0.Support'!$B$3,'RPM &amp; Discounts'!$B$3='A0.Support'!$B$4),AL23,AL14*AL23)</f>
        <v>676.00542857142852</v>
      </c>
      <c r="AM5" s="52">
        <f>IF(OR('RPM &amp; Discounts'!$B$3='A0.Support'!$B$3,'RPM &amp; Discounts'!$B$3='A0.Support'!$B$4),AM23,AM14*AM23)</f>
        <v>665.48828571428567</v>
      </c>
      <c r="AN5" s="52">
        <f>IF(OR('RPM &amp; Discounts'!$B$3='A0.Support'!$B$3,'RPM &amp; Discounts'!$B$3='A0.Support'!$B$4),AN23,AN14*AN23)</f>
        <v>680.01685714285713</v>
      </c>
      <c r="AO5" s="52">
        <f>IF(OR('RPM &amp; Discounts'!$B$3='A0.Support'!$B$3,'RPM &amp; Discounts'!$B$3='A0.Support'!$B$4),AO23,AO14*AO23)</f>
        <v>715.14257142857139</v>
      </c>
      <c r="AP5" s="52">
        <f>IF(OR('RPM &amp; Discounts'!$B$3='A0.Support'!$B$3,'RPM &amp; Discounts'!$B$3='A0.Support'!$B$4),AP23,AP14*AP23)</f>
        <v>733.39971428571425</v>
      </c>
      <c r="AQ5" s="52">
        <f>IF(OR('RPM &amp; Discounts'!$B$3='A0.Support'!$B$3,'RPM &amp; Discounts'!$B$3='A0.Support'!$B$4),AQ23,AQ14*AQ23)</f>
        <v>745.84542857142844</v>
      </c>
      <c r="AR5" s="52">
        <f>IF(OR('RPM &amp; Discounts'!$B$3='A0.Support'!$B$3,'RPM &amp; Discounts'!$B$3='A0.Support'!$B$4),AR23,AR14*AR23)</f>
        <v>758.6768571428571</v>
      </c>
      <c r="AS5" s="52">
        <f>IF(OR('RPM &amp; Discounts'!$B$3='A0.Support'!$B$3,'RPM &amp; Discounts'!$B$3='A0.Support'!$B$4),AS23,AS14*AS23)</f>
        <v>800.66828571428562</v>
      </c>
      <c r="AT5" s="52">
        <f>IF(OR('RPM &amp; Discounts'!$B$3='A0.Support'!$B$3,'RPM &amp; Discounts'!$B$3='A0.Support'!$B$4),AT23,AT14*AT23)</f>
        <v>818.87400000000002</v>
      </c>
      <c r="AU5" s="52">
        <f>IF(OR('RPM &amp; Discounts'!$B$3='A0.Support'!$B$3,'RPM &amp; Discounts'!$B$3='A0.Support'!$B$4),AU23,AU14*AU23)</f>
        <v>851.84228571428559</v>
      </c>
      <c r="AV5" s="52">
        <f>IF(OR('RPM &amp; Discounts'!$B$3='A0.Support'!$B$3,'RPM &amp; Discounts'!$B$3='A0.Support'!$B$4),AV23,AV14*AV23)</f>
        <v>851.83971428571419</v>
      </c>
      <c r="AW5" s="52">
        <f>IF(OR('RPM &amp; Discounts'!$B$3='A0.Support'!$B$3,'RPM &amp; Discounts'!$B$3='A0.Support'!$B$4),AW23,AW14*AW23)</f>
        <v>863.46257142857132</v>
      </c>
      <c r="AX5" s="52">
        <f>IF(OR('RPM &amp; Discounts'!$B$3='A0.Support'!$B$3,'RPM &amp; Discounts'!$B$3='A0.Support'!$B$4),AX23,AX14*AX23)</f>
        <v>885.99085714285707</v>
      </c>
      <c r="AY5" s="52">
        <f>IF(OR('RPM &amp; Discounts'!$B$3='A0.Support'!$B$3,'RPM &amp; Discounts'!$B$3='A0.Support'!$B$4),AY23,AY14*AY23)</f>
        <v>885.98828571428555</v>
      </c>
      <c r="AZ5" s="52">
        <f>IF(OR('RPM &amp; Discounts'!$B$3='A0.Support'!$B$3,'RPM &amp; Discounts'!$B$3='A0.Support'!$B$4),AZ23,AZ14*AZ23)</f>
        <v>919.8282857142857</v>
      </c>
      <c r="BA5" s="52">
        <f>IF(OR('RPM &amp; Discounts'!$B$3='A0.Support'!$B$3,'RPM &amp; Discounts'!$B$3='A0.Support'!$B$4),BA23,BA14*BA23)</f>
        <v>964.98257142857142</v>
      </c>
      <c r="BB5" s="52">
        <f>IF(OR('RPM &amp; Discounts'!$B$3='A0.Support'!$B$3,'RPM &amp; Discounts'!$B$3='A0.Support'!$B$4),BB23,BB14*BB23)</f>
        <v>1001.9854285714284</v>
      </c>
      <c r="BC5" s="52">
        <f>IF(OR('RPM &amp; Discounts'!$B$3='A0.Support'!$B$3,'RPM &amp; Discounts'!$B$3='A0.Support'!$B$4),BC23,BC14*BC23)</f>
        <v>994.93971428571422</v>
      </c>
      <c r="BD5" s="52">
        <f>IF(OR('RPM &amp; Discounts'!$B$3='A0.Support'!$B$3,'RPM &amp; Discounts'!$B$3='A0.Support'!$B$4),BD23,BD14*BD23)</f>
        <v>1006.9997142857142</v>
      </c>
      <c r="BE5" s="52">
        <f>IF(OR('RPM &amp; Discounts'!$B$3='A0.Support'!$B$3,'RPM &amp; Discounts'!$B$3='A0.Support'!$B$4),BE23,BE14*BE23)</f>
        <v>1023.3539999999999</v>
      </c>
      <c r="BF5" s="52">
        <f>IF(OR('RPM &amp; Discounts'!$B$3='A0.Support'!$B$3,'RPM &amp; Discounts'!$B$3='A0.Support'!$B$4),BF23,BF14*BF23)</f>
        <v>1047.7568571428571</v>
      </c>
      <c r="BG5" s="52">
        <f>IF(OR('RPM &amp; Discounts'!$B$3='A0.Support'!$B$3,'RPM &amp; Discounts'!$B$3='A0.Support'!$B$4),BG23,BG14*BG23)</f>
        <v>1128.2682857142856</v>
      </c>
      <c r="BH5" s="52">
        <f>IF(OR('RPM &amp; Discounts'!$B$3='A0.Support'!$B$3,'RPM &amp; Discounts'!$B$3='A0.Support'!$B$4),BH23,BH14*BH23)</f>
        <v>1074.2425714285714</v>
      </c>
      <c r="BI5" s="52">
        <f>IF(OR('RPM &amp; Discounts'!$B$3='A0.Support'!$B$3,'RPM &amp; Discounts'!$B$3='A0.Support'!$B$4),BI23,BI14*BI23)</f>
        <v>1097.616857142857</v>
      </c>
      <c r="BJ5" s="52">
        <f>IF(OR('RPM &amp; Discounts'!$B$3='A0.Support'!$B$3,'RPM &amp; Discounts'!$B$3='A0.Support'!$B$4),BJ23,BJ14*BJ23)</f>
        <v>1133.9511428571427</v>
      </c>
      <c r="BK5" s="52">
        <f>IF(OR('RPM &amp; Discounts'!$B$3='A0.Support'!$B$3,'RPM &amp; Discounts'!$B$3='A0.Support'!$B$4),BK23,BK14*BK23)</f>
        <v>1154.2139999999999</v>
      </c>
      <c r="BL5" s="52">
        <f>IF(OR('RPM &amp; Discounts'!$B$3='A0.Support'!$B$3,'RPM &amp; Discounts'!$B$3='A0.Support'!$B$4),BL23,BL14*BL23)</f>
        <v>1225.1082857142856</v>
      </c>
      <c r="BM5" s="52">
        <f>IF(OR('RPM &amp; Discounts'!$B$3='A0.Support'!$B$3,'RPM &amp; Discounts'!$B$3='A0.Support'!$B$4),BM23,BM14*BM23)</f>
        <v>1219.7082857142857</v>
      </c>
      <c r="BN5" s="52">
        <f>IF(OR('RPM &amp; Discounts'!$B$3='A0.Support'!$B$3,'RPM &amp; Discounts'!$B$3='A0.Support'!$B$4),BN23,BN14*BN23)</f>
        <v>1296.4397142857142</v>
      </c>
      <c r="BO5" s="52">
        <f>IF(OR('RPM &amp; Discounts'!$B$3='A0.Support'!$B$3,'RPM &amp; Discounts'!$B$3='A0.Support'!$B$4),BO23,BO14*BO23)</f>
        <v>0.61971428571428566</v>
      </c>
      <c r="BP5" s="52">
        <f>IF(OR('RPM &amp; Discounts'!$B$3='A0.Support'!$B$3,'RPM &amp; Discounts'!$B$3='A0.Support'!$B$4),BP23,BP14*BP23)</f>
        <v>266.45399999999995</v>
      </c>
      <c r="BQ5" s="52">
        <f>IF(OR('RPM &amp; Discounts'!$B$3='A0.Support'!$B$3,'RPM &amp; Discounts'!$B$3='A0.Support'!$B$4),BQ23,BQ14*BQ23)</f>
        <v>324.54257142857142</v>
      </c>
      <c r="BR5" s="52">
        <f>IF(OR('RPM &amp; Discounts'!$B$3='A0.Support'!$B$3,'RPM &amp; Discounts'!$B$3='A0.Support'!$B$4),BR23,BR14*BR23)</f>
        <v>337.55399999999992</v>
      </c>
      <c r="BS5" s="52">
        <f>IF(OR('RPM &amp; Discounts'!$B$3='A0.Support'!$B$3,'RPM &amp; Discounts'!$B$3='A0.Support'!$B$4),BS23,BS14*BS23)</f>
        <v>375.68828571428566</v>
      </c>
      <c r="BT5" s="52">
        <f>IF(OR('RPM &amp; Discounts'!$B$3='A0.Support'!$B$3,'RPM &amp; Discounts'!$B$3='A0.Support'!$B$4),BT23,BT14*BT23)</f>
        <v>422.43685714285709</v>
      </c>
      <c r="BU5" s="52">
        <f>IF(OR('RPM &amp; Discounts'!$B$3='A0.Support'!$B$3,'RPM &amp; Discounts'!$B$3='A0.Support'!$B$4),BU23,BU14*BU23)</f>
        <v>471.39685714285707</v>
      </c>
      <c r="BV5" s="52">
        <f>IF(OR('RPM &amp; Discounts'!$B$3='A0.Support'!$B$3,'RPM &amp; Discounts'!$B$3='A0.Support'!$B$4),BV23,BV14*BV23)</f>
        <v>556.84542857142844</v>
      </c>
      <c r="BW5" s="52">
        <f>IF(OR('RPM &amp; Discounts'!$B$3='A0.Support'!$B$3,'RPM &amp; Discounts'!$B$3='A0.Support'!$B$4),BW23,BW14*BW23)</f>
        <v>183.96257142857141</v>
      </c>
      <c r="BX5" s="52">
        <f>IF(OR('RPM &amp; Discounts'!$B$3='A0.Support'!$B$3,'RPM &amp; Discounts'!$B$3='A0.Support'!$B$4),BX23,BX14*BX23)</f>
        <v>286.45971428571426</v>
      </c>
      <c r="BY5" s="52">
        <f>IF(OR('RPM &amp; Discounts'!$B$3='A0.Support'!$B$3,'RPM &amp; Discounts'!$B$3='A0.Support'!$B$4),BY23,BY14*BY23)</f>
        <v>350.41114285714281</v>
      </c>
      <c r="BZ5" s="52">
        <f>IF(OR('RPM &amp; Discounts'!$B$3='A0.Support'!$B$3,'RPM &amp; Discounts'!$B$3='A0.Support'!$B$4),BZ23,BZ14*BZ23)</f>
        <v>471.52542857142856</v>
      </c>
      <c r="CA5" s="52">
        <f>IF(OR('RPM &amp; Discounts'!$B$3='A0.Support'!$B$3,'RPM &amp; Discounts'!$B$3='A0.Support'!$B$4),CA23,CA14*CA23)</f>
        <v>499.24542857142853</v>
      </c>
      <c r="CB5" s="52">
        <f>IF(OR('RPM &amp; Discounts'!$B$3='A0.Support'!$B$3,'RPM &amp; Discounts'!$B$3='A0.Support'!$B$4),CB23,CB14*CB23)</f>
        <v>600.89400000000001</v>
      </c>
      <c r="CC5" s="52">
        <f>IF(OR('RPM &amp; Discounts'!$B$3='A0.Support'!$B$3,'RPM &amp; Discounts'!$B$3='A0.Support'!$B$4),CC23,CC14*CC23)</f>
        <v>817.1768571428571</v>
      </c>
      <c r="CD5" s="52">
        <f>IF(OR('RPM &amp; Discounts'!$B$3='A0.Support'!$B$3,'RPM &amp; Discounts'!$B$3='A0.Support'!$B$4),CD23,CD14*CD23)</f>
        <v>841.70828571428569</v>
      </c>
      <c r="CE5" s="52">
        <f>IF(OR('RPM &amp; Discounts'!$B$3='A0.Support'!$B$3,'RPM &amp; Discounts'!$B$3='A0.Support'!$B$4),CE23,CE14*CE23)</f>
        <v>859.81114285714273</v>
      </c>
      <c r="CF5" s="52">
        <f>IF(OR('RPM &amp; Discounts'!$B$3='A0.Support'!$B$3,'RPM &amp; Discounts'!$B$3='A0.Support'!$B$4),CF23,CF14*CF23)</f>
        <v>844.69114285714272</v>
      </c>
      <c r="CG5" s="52">
        <f>IF(OR('RPM &amp; Discounts'!$B$3='A0.Support'!$B$3,'RPM &amp; Discounts'!$B$3='A0.Support'!$B$4),CG23,CG14*CG23)</f>
        <v>797.17114285714285</v>
      </c>
      <c r="CH5" s="52">
        <f>IF(OR('RPM &amp; Discounts'!$B$3='A0.Support'!$B$3,'RPM &amp; Discounts'!$B$3='A0.Support'!$B$4),CH23,CH14*CH23)</f>
        <v>1027.5968571428571</v>
      </c>
      <c r="CI5" s="52">
        <f>IF(OR('RPM &amp; Discounts'!$B$3='A0.Support'!$B$3,'RPM &amp; Discounts'!$B$3='A0.Support'!$B$4),CI23,CI14*CI23)</f>
        <v>1220.1454285714283</v>
      </c>
      <c r="CJ5" s="52">
        <f>IF(OR('RPM &amp; Discounts'!$B$3='A0.Support'!$B$3,'RPM &amp; Discounts'!$B$3='A0.Support'!$B$4),CJ23,CJ14*CJ23)</f>
        <v>1220.1479999999999</v>
      </c>
      <c r="CK5" s="52">
        <f>IF(OR('RPM &amp; Discounts'!$B$3='A0.Support'!$B$3,'RPM &amp; Discounts'!$B$3='A0.Support'!$B$4),CK23,CK14*CK23)</f>
        <v>1223.5422857142855</v>
      </c>
      <c r="CL5" s="52">
        <f>IF(OR('RPM &amp; Discounts'!$B$3='A0.Support'!$B$3,'RPM &amp; Discounts'!$B$3='A0.Support'!$B$4),CL23,CL14*CL23)</f>
        <v>1220.1479999999999</v>
      </c>
      <c r="CM5" s="52">
        <f>IF(OR('RPM &amp; Discounts'!$B$3='A0.Support'!$B$3,'RPM &amp; Discounts'!$B$3='A0.Support'!$B$4),CM23,CM14*CM23)</f>
        <v>1238.376857142857</v>
      </c>
    </row>
    <row r="6" spans="2:91">
      <c r="B6" s="14" t="str">
        <f>'Input capacity'!B8</f>
        <v>CTS Valença do Minho</v>
      </c>
      <c r="C6" s="52">
        <f>IF(OR('RPM &amp; Discounts'!$B$3='A0.Support'!$B$3,'RPM &amp; Discounts'!$B$3='A0.Support'!$B$4),C24,C15*C24)</f>
        <v>508.95100000000002</v>
      </c>
      <c r="D6" s="52">
        <f>IF(OR('RPM &amp; Discounts'!$B$3='A0.Support'!$B$3,'RPM &amp; Discounts'!$B$3='A0.Support'!$B$4),D24,D15*D24)</f>
        <v>0</v>
      </c>
      <c r="E6" s="52">
        <f>IF(OR('RPM &amp; Discounts'!$B$3='A0.Support'!$B$3,'RPM &amp; Discounts'!$B$3='A0.Support'!$B$4),E24,E15*E24)</f>
        <v>549.62099999999998</v>
      </c>
      <c r="F6" s="52">
        <f>IF(OR('RPM &amp; Discounts'!$B$3='A0.Support'!$B$3,'RPM &amp; Discounts'!$B$3='A0.Support'!$B$4),F24,F15*F24)</f>
        <v>307.55099999999999</v>
      </c>
      <c r="G6" s="52">
        <f>IF(OR('RPM &amp; Discounts'!$B$3='A0.Support'!$B$3,'RPM &amp; Discounts'!$B$3='A0.Support'!$B$4),G24,G15*G24)</f>
        <v>1188.7971428571427</v>
      </c>
      <c r="H6" s="52">
        <f>IF(OR('RPM &amp; Discounts'!$B$3='A0.Support'!$B$3,'RPM &amp; Discounts'!$B$3='A0.Support'!$B$4),H24,H15*H24)</f>
        <v>1222.2282857142854</v>
      </c>
      <c r="I6" s="52">
        <f>IF(OR('RPM &amp; Discounts'!$B$3='A0.Support'!$B$3,'RPM &amp; Discounts'!$B$3='A0.Support'!$B$4),I24,I15*I24)</f>
        <v>1200.8571428571427</v>
      </c>
      <c r="J6" s="52">
        <f>IF(OR('RPM &amp; Discounts'!$B$3='A0.Support'!$B$3,'RPM &amp; Discounts'!$B$3='A0.Support'!$B$4),J24,J15*J24)</f>
        <v>1222.2257142857143</v>
      </c>
      <c r="K6" s="52">
        <f>IF(OR('RPM &amp; Discounts'!$B$3='A0.Support'!$B$3,'RPM &amp; Discounts'!$B$3='A0.Support'!$B$4),K24,K15*K24)</f>
        <v>1147.8342857142857</v>
      </c>
      <c r="L6" s="52">
        <f>IF(OR('RPM &amp; Discounts'!$B$3='A0.Support'!$B$3,'RPM &amp; Discounts'!$B$3='A0.Support'!$B$4),L24,L15*L24)</f>
        <v>1115.9742857142855</v>
      </c>
      <c r="M6" s="52">
        <f>IF(OR('RPM &amp; Discounts'!$B$3='A0.Support'!$B$3,'RPM &amp; Discounts'!$B$3='A0.Support'!$B$4),M24,M15*M24)</f>
        <v>1238.3228571428569</v>
      </c>
      <c r="N6" s="52">
        <f>IF(OR('RPM &amp; Discounts'!$B$3='A0.Support'!$B$3,'RPM &amp; Discounts'!$B$3='A0.Support'!$B$4),N24,N15*N24)</f>
        <v>1073.0314285714285</v>
      </c>
      <c r="O6" s="52">
        <f>IF(OR('RPM &amp; Discounts'!$B$3='A0.Support'!$B$3,'RPM &amp; Discounts'!$B$3='A0.Support'!$B$4),O24,O15*O24)</f>
        <v>1040.9914285714285</v>
      </c>
      <c r="P6" s="52">
        <f>IF(OR('RPM &amp; Discounts'!$B$3='A0.Support'!$B$3,'RPM &amp; Discounts'!$B$3='A0.Support'!$B$4),P24,P15*P24)</f>
        <v>1116.2339999999999</v>
      </c>
      <c r="Q6" s="52">
        <f>IF(OR('RPM &amp; Discounts'!$B$3='A0.Support'!$B$3,'RPM &amp; Discounts'!$B$3='A0.Support'!$B$4),Q24,Q15*Q24)</f>
        <v>1031.6571428571426</v>
      </c>
      <c r="R6" s="52">
        <f>IF(OR('RPM &amp; Discounts'!$B$3='A0.Support'!$B$3,'RPM &amp; Discounts'!$B$3='A0.Support'!$B$4),R24,R15*R24)</f>
        <v>1085.0939999999998</v>
      </c>
      <c r="S6" s="52">
        <f>IF(OR('RPM &amp; Discounts'!$B$3='A0.Support'!$B$3,'RPM &amp; Discounts'!$B$3='A0.Support'!$B$4),S24,S15*S24)</f>
        <v>1102.5051428571428</v>
      </c>
      <c r="T6" s="52">
        <f>IF(OR('RPM &amp; Discounts'!$B$3='A0.Support'!$B$3,'RPM &amp; Discounts'!$B$3='A0.Support'!$B$4),T24,T15*T24)</f>
        <v>1025.0485714285712</v>
      </c>
      <c r="U6" s="52">
        <f>IF(OR('RPM &amp; Discounts'!$B$3='A0.Support'!$B$3,'RPM &amp; Discounts'!$B$3='A0.Support'!$B$4),U24,U15*U24)</f>
        <v>1031.6597142857142</v>
      </c>
      <c r="V6" s="52">
        <f>IF(OR('RPM &amp; Discounts'!$B$3='A0.Support'!$B$3,'RPM &amp; Discounts'!$B$3='A0.Support'!$B$4),V24,V15*V24)</f>
        <v>1102.5025714285712</v>
      </c>
      <c r="W6" s="52">
        <f>IF(OR('RPM &amp; Discounts'!$B$3='A0.Support'!$B$3,'RPM &amp; Discounts'!$B$3='A0.Support'!$B$4),W24,W15*W24)</f>
        <v>1019.3657142857143</v>
      </c>
      <c r="X6" s="52">
        <f>IF(OR('RPM &amp; Discounts'!$B$3='A0.Support'!$B$3,'RPM &amp; Discounts'!$B$3='A0.Support'!$B$4),X24,X15*X24)</f>
        <v>989.97428571428566</v>
      </c>
      <c r="Y6" s="52">
        <f>IF(OR('RPM &amp; Discounts'!$B$3='A0.Support'!$B$3,'RPM &amp; Discounts'!$B$3='A0.Support'!$B$4),Y24,Y15*Y24)</f>
        <v>1050.9968571428572</v>
      </c>
      <c r="Z6" s="52">
        <f>IF(OR('RPM &amp; Discounts'!$B$3='A0.Support'!$B$3,'RPM &amp; Discounts'!$B$3='A0.Support'!$B$4),Z24,Z15*Z24)</f>
        <v>1050.9942857142858</v>
      </c>
      <c r="AA6" s="52">
        <f>IF(OR('RPM &amp; Discounts'!$B$3='A0.Support'!$B$3,'RPM &amp; Discounts'!$B$3='A0.Support'!$B$4),AA24,AA15*AA24)</f>
        <v>926.71714285714268</v>
      </c>
      <c r="AB6" s="52">
        <f>IF(OR('RPM &amp; Discounts'!$B$3='A0.Support'!$B$3,'RPM &amp; Discounts'!$B$3='A0.Support'!$B$4),AB24,AB15*AB24)</f>
        <v>839.44285714285706</v>
      </c>
      <c r="AC6" s="52">
        <f>IF(OR('RPM &amp; Discounts'!$B$3='A0.Support'!$B$3,'RPM &amp; Discounts'!$B$3='A0.Support'!$B$4),AC24,AC15*AC24)</f>
        <v>806.83714285714268</v>
      </c>
      <c r="AD6" s="52">
        <f>IF(OR('RPM &amp; Discounts'!$B$3='A0.Support'!$B$3,'RPM &amp; Discounts'!$B$3='A0.Support'!$B$4),AD24,AD15*AD24)</f>
        <v>789.94285714285706</v>
      </c>
      <c r="AE6" s="52">
        <f>IF(OR('RPM &amp; Discounts'!$B$3='A0.Support'!$B$3,'RPM &amp; Discounts'!$B$3='A0.Support'!$B$4),AE24,AE15*AE24)</f>
        <v>790.84285714285704</v>
      </c>
      <c r="AF6" s="52">
        <f>IF(OR('RPM &amp; Discounts'!$B$3='A0.Support'!$B$3,'RPM &amp; Discounts'!$B$3='A0.Support'!$B$4),AF24,AF15*AF24)</f>
        <v>816.32571428571418</v>
      </c>
      <c r="AG6" s="52">
        <f>IF(OR('RPM &amp; Discounts'!$B$3='A0.Support'!$B$3,'RPM &amp; Discounts'!$B$3='A0.Support'!$B$4),AG24,AG15*AG24)</f>
        <v>816.60857142857128</v>
      </c>
      <c r="AH6" s="52">
        <f>IF(OR('RPM &amp; Discounts'!$B$3='A0.Support'!$B$3,'RPM &amp; Discounts'!$B$3='A0.Support'!$B$4),AH24,AH15*AH24)</f>
        <v>850.21714285714279</v>
      </c>
      <c r="AI6" s="52">
        <f>IF(OR('RPM &amp; Discounts'!$B$3='A0.Support'!$B$3,'RPM &amp; Discounts'!$B$3='A0.Support'!$B$4),AI24,AI15*AI24)</f>
        <v>718.07142857142856</v>
      </c>
      <c r="AJ6" s="52">
        <f>IF(OR('RPM &amp; Discounts'!$B$3='A0.Support'!$B$3,'RPM &amp; Discounts'!$B$3='A0.Support'!$B$4),AJ24,AJ15*AJ24)</f>
        <v>850.2197142857143</v>
      </c>
      <c r="AK6" s="52">
        <f>IF(OR('RPM &amp; Discounts'!$B$3='A0.Support'!$B$3,'RPM &amp; Discounts'!$B$3='A0.Support'!$B$4),AK24,AK15*AK24)</f>
        <v>681.73714285714277</v>
      </c>
      <c r="AL6" s="52">
        <f>IF(OR('RPM &amp; Discounts'!$B$3='A0.Support'!$B$3,'RPM &amp; Discounts'!$B$3='A0.Support'!$B$4),AL24,AL15*AL24)</f>
        <v>707.24571428571426</v>
      </c>
      <c r="AM6" s="52">
        <f>IF(OR('RPM &amp; Discounts'!$B$3='A0.Support'!$B$3,'RPM &amp; Discounts'!$B$3='A0.Support'!$B$4),AM24,AM15*AM24)</f>
        <v>643.24285714285713</v>
      </c>
      <c r="AN6" s="52">
        <f>IF(OR('RPM &amp; Discounts'!$B$3='A0.Support'!$B$3,'RPM &amp; Discounts'!$B$3='A0.Support'!$B$4),AN24,AN15*AN24)</f>
        <v>628.71428571428567</v>
      </c>
      <c r="AO6" s="52">
        <f>IF(OR('RPM &amp; Discounts'!$B$3='A0.Support'!$B$3,'RPM &amp; Discounts'!$B$3='A0.Support'!$B$4),AO24,AO15*AO24)</f>
        <v>593.58857142857141</v>
      </c>
      <c r="AP6" s="52">
        <f>IF(OR('RPM &amp; Discounts'!$B$3='A0.Support'!$B$3,'RPM &amp; Discounts'!$B$3='A0.Support'!$B$4),AP24,AP15*AP24)</f>
        <v>575.33142857142855</v>
      </c>
      <c r="AQ6" s="52">
        <f>IF(OR('RPM &amp; Discounts'!$B$3='A0.Support'!$B$3,'RPM &amp; Discounts'!$B$3='A0.Support'!$B$4),AQ24,AQ15*AQ24)</f>
        <v>562.88571428571424</v>
      </c>
      <c r="AR6" s="52">
        <f>IF(OR('RPM &amp; Discounts'!$B$3='A0.Support'!$B$3,'RPM &amp; Discounts'!$B$3='A0.Support'!$B$4),AR24,AR15*AR24)</f>
        <v>550.0542857142857</v>
      </c>
      <c r="AS6" s="52">
        <f>IF(OR('RPM &amp; Discounts'!$B$3='A0.Support'!$B$3,'RPM &amp; Discounts'!$B$3='A0.Support'!$B$4),AS24,AS15*AS24)</f>
        <v>508.06285714285713</v>
      </c>
      <c r="AT6" s="52">
        <f>IF(OR('RPM &amp; Discounts'!$B$3='A0.Support'!$B$3,'RPM &amp; Discounts'!$B$3='A0.Support'!$B$4),AT24,AT15*AT24)</f>
        <v>489.85714285714283</v>
      </c>
      <c r="AU6" s="52">
        <f>IF(OR('RPM &amp; Discounts'!$B$3='A0.Support'!$B$3,'RPM &amp; Discounts'!$B$3='A0.Support'!$B$4),AU24,AU15*AU24)</f>
        <v>493.61399999999998</v>
      </c>
      <c r="AV6" s="52">
        <f>IF(OR('RPM &amp; Discounts'!$B$3='A0.Support'!$B$3,'RPM &amp; Discounts'!$B$3='A0.Support'!$B$4),AV24,AV15*AV24)</f>
        <v>493.61142857142852</v>
      </c>
      <c r="AW6" s="52">
        <f>IF(OR('RPM &amp; Discounts'!$B$3='A0.Support'!$B$3,'RPM &amp; Discounts'!$B$3='A0.Support'!$B$4),AW24,AW15*AW24)</f>
        <v>445.26857142857136</v>
      </c>
      <c r="AX6" s="52">
        <f>IF(OR('RPM &amp; Discounts'!$B$3='A0.Support'!$B$3,'RPM &amp; Discounts'!$B$3='A0.Support'!$B$4),AX24,AX15*AX24)</f>
        <v>422.74542857142853</v>
      </c>
      <c r="AY6" s="52">
        <f>IF(OR('RPM &amp; Discounts'!$B$3='A0.Support'!$B$3,'RPM &amp; Discounts'!$B$3='A0.Support'!$B$4),AY24,AY15*AY24)</f>
        <v>422.74285714285713</v>
      </c>
      <c r="AZ6" s="52">
        <f>IF(OR('RPM &amp; Discounts'!$B$3='A0.Support'!$B$3,'RPM &amp; Discounts'!$B$3='A0.Support'!$B$4),AZ24,AZ15*AZ24)</f>
        <v>388.9028571428571</v>
      </c>
      <c r="BA6" s="52">
        <f>IF(OR('RPM &amp; Discounts'!$B$3='A0.Support'!$B$3,'RPM &amp; Discounts'!$B$3='A0.Support'!$B$4),BA24,BA15*BA24)</f>
        <v>343.74857142857144</v>
      </c>
      <c r="BB6" s="52">
        <f>IF(OR('RPM &amp; Discounts'!$B$3='A0.Support'!$B$3,'RPM &amp; Discounts'!$B$3='A0.Support'!$B$4),BB24,BB15*BB24)</f>
        <v>350.15142857142848</v>
      </c>
      <c r="BC6" s="52">
        <f>IF(OR('RPM &amp; Discounts'!$B$3='A0.Support'!$B$3,'RPM &amp; Discounts'!$B$3='A0.Support'!$B$4),BC24,BC15*BC24)</f>
        <v>343.10571428571427</v>
      </c>
      <c r="BD6" s="52">
        <f>IF(OR('RPM &amp; Discounts'!$B$3='A0.Support'!$B$3,'RPM &amp; Discounts'!$B$3='A0.Support'!$B$4),BD24,BD15*BD24)</f>
        <v>337.78285714285715</v>
      </c>
      <c r="BE6" s="52">
        <f>IF(OR('RPM &amp; Discounts'!$B$3='A0.Support'!$B$3,'RPM &amp; Discounts'!$B$3='A0.Support'!$B$4),BE24,BE15*BE24)</f>
        <v>285.37714285714281</v>
      </c>
      <c r="BF6" s="52">
        <f>IF(OR('RPM &amp; Discounts'!$B$3='A0.Support'!$B$3,'RPM &amp; Discounts'!$B$3='A0.Support'!$B$4),BF24,BF15*BF24)</f>
        <v>260.97428571428566</v>
      </c>
      <c r="BG6" s="52">
        <f>IF(OR('RPM &amp; Discounts'!$B$3='A0.Support'!$B$3,'RPM &amp; Discounts'!$B$3='A0.Support'!$B$4),BG24,BG15*BG24)</f>
        <v>302.5542857142857</v>
      </c>
      <c r="BH6" s="52">
        <f>IF(OR('RPM &amp; Discounts'!$B$3='A0.Support'!$B$3,'RPM &amp; Discounts'!$B$3='A0.Support'!$B$4),BH24,BH15*BH24)</f>
        <v>234.48857142857139</v>
      </c>
      <c r="BI6" s="52">
        <f>IF(OR('RPM &amp; Discounts'!$B$3='A0.Support'!$B$3,'RPM &amp; Discounts'!$B$3='A0.Support'!$B$4),BI24,BI15*BI24)</f>
        <v>211.11428571428567</v>
      </c>
      <c r="BJ6" s="52">
        <f>IF(OR('RPM &amp; Discounts'!$B$3='A0.Support'!$B$3,'RPM &amp; Discounts'!$B$3='A0.Support'!$B$4),BJ24,BJ15*BJ24)</f>
        <v>208.20857142857142</v>
      </c>
      <c r="BK6" s="52">
        <f>IF(OR('RPM &amp; Discounts'!$B$3='A0.Support'!$B$3,'RPM &amp; Discounts'!$B$3='A0.Support'!$B$4),BK24,BK15*BK24)</f>
        <v>154.51714285714286</v>
      </c>
      <c r="BL6" s="52">
        <f>IF(OR('RPM &amp; Discounts'!$B$3='A0.Support'!$B$3,'RPM &amp; Discounts'!$B$3='A0.Support'!$B$4),BL24,BL15*BL24)</f>
        <v>184.32</v>
      </c>
      <c r="BM6" s="52">
        <f>IF(OR('RPM &amp; Discounts'!$B$3='A0.Support'!$B$3,'RPM &amp; Discounts'!$B$3='A0.Support'!$B$4),BM24,BM15*BM24)</f>
        <v>89.022857142857134</v>
      </c>
      <c r="BN6" s="52">
        <f>IF(OR('RPM &amp; Discounts'!$B$3='A0.Support'!$B$3,'RPM &amp; Discounts'!$B$3='A0.Support'!$B$4),BN24,BN15*BN24)</f>
        <v>12.29142857142857</v>
      </c>
      <c r="BO6" s="52">
        <f>IF(OR('RPM &amp; Discounts'!$B$3='A0.Support'!$B$3,'RPM &amp; Discounts'!$B$3='A0.Support'!$B$4),BO24,BO15*BO24)</f>
        <v>1308.1114285714284</v>
      </c>
      <c r="BP6" s="52">
        <f>IF(OR('RPM &amp; Discounts'!$B$3='A0.Support'!$B$3,'RPM &amp; Discounts'!$B$3='A0.Support'!$B$4),BP24,BP15*BP24)</f>
        <v>1042.2771428571427</v>
      </c>
      <c r="BQ6" s="52">
        <f>IF(OR('RPM &amp; Discounts'!$B$3='A0.Support'!$B$3,'RPM &amp; Discounts'!$B$3='A0.Support'!$B$4),BQ24,BQ15*BQ24)</f>
        <v>984.18857142857132</v>
      </c>
      <c r="BR6" s="52">
        <f>IF(OR('RPM &amp; Discounts'!$B$3='A0.Support'!$B$3,'RPM &amp; Discounts'!$B$3='A0.Support'!$B$4),BR24,BR15*BR24)</f>
        <v>997.19999999999993</v>
      </c>
      <c r="BS6" s="52">
        <f>IF(OR('RPM &amp; Discounts'!$B$3='A0.Support'!$B$3,'RPM &amp; Discounts'!$B$3='A0.Support'!$B$4),BS24,BS15*BS24)</f>
        <v>933.04285714285709</v>
      </c>
      <c r="BT6" s="52">
        <f>IF(OR('RPM &amp; Discounts'!$B$3='A0.Support'!$B$3,'RPM &amp; Discounts'!$B$3='A0.Support'!$B$4),BT24,BT15*BT24)</f>
        <v>886.29428571428571</v>
      </c>
      <c r="BU6" s="52">
        <f>IF(OR('RPM &amp; Discounts'!$B$3='A0.Support'!$B$3,'RPM &amp; Discounts'!$B$3='A0.Support'!$B$4),BU24,BU15*BU24)</f>
        <v>837.33428571428567</v>
      </c>
      <c r="BV6" s="52">
        <f>IF(OR('RPM &amp; Discounts'!$B$3='A0.Support'!$B$3,'RPM &amp; Discounts'!$B$3='A0.Support'!$B$4),BV24,BV15*BV24)</f>
        <v>751.88571428571413</v>
      </c>
      <c r="BW6" s="52">
        <f>IF(OR('RPM &amp; Discounts'!$B$3='A0.Support'!$B$3,'RPM &amp; Discounts'!$B$3='A0.Support'!$B$4),BW24,BW15*BW24)</f>
        <v>1237.6028571428571</v>
      </c>
      <c r="BX6" s="52">
        <f>IF(OR('RPM &amp; Discounts'!$B$3='A0.Support'!$B$3,'RPM &amp; Discounts'!$B$3='A0.Support'!$B$4),BX24,BX15*BX24)</f>
        <v>1235.4942857142858</v>
      </c>
      <c r="BY6" s="52">
        <f>IF(OR('RPM &amp; Discounts'!$B$3='A0.Support'!$B$3,'RPM &amp; Discounts'!$B$3='A0.Support'!$B$4),BY24,BY15*BY24)</f>
        <v>1171.542857142857</v>
      </c>
      <c r="BZ6" s="52">
        <f>IF(OR('RPM &amp; Discounts'!$B$3='A0.Support'!$B$3,'RPM &amp; Discounts'!$B$3='A0.Support'!$B$4),BZ24,BZ15*BZ24)</f>
        <v>1050.4285714285713</v>
      </c>
      <c r="CA6" s="52">
        <f>IF(OR('RPM &amp; Discounts'!$B$3='A0.Support'!$B$3,'RPM &amp; Discounts'!$B$3='A0.Support'!$B$4),CA24,CA15*CA24)</f>
        <v>1022.7085714285714</v>
      </c>
      <c r="CB6" s="52">
        <f>IF(OR('RPM &amp; Discounts'!$B$3='A0.Support'!$B$3,'RPM &amp; Discounts'!$B$3='A0.Support'!$B$4),CB24,CB15*CB24)</f>
        <v>921.06</v>
      </c>
      <c r="CC6" s="52">
        <f>IF(OR('RPM &amp; Discounts'!$B$3='A0.Support'!$B$3,'RPM &amp; Discounts'!$B$3='A0.Support'!$B$4),CC24,CC15*CC24)</f>
        <v>608.5542857142857</v>
      </c>
      <c r="CD6" s="52">
        <f>IF(OR('RPM &amp; Discounts'!$B$3='A0.Support'!$B$3,'RPM &amp; Discounts'!$B$3='A0.Support'!$B$4),CD24,CD15*CD24)</f>
        <v>633.08571428571418</v>
      </c>
      <c r="CE6" s="52">
        <f>IF(OR('RPM &amp; Discounts'!$B$3='A0.Support'!$B$3,'RPM &amp; Discounts'!$B$3='A0.Support'!$B$4),CE24,CE15*CE24)</f>
        <v>662.14285714285711</v>
      </c>
      <c r="CF6" s="52">
        <f>IF(OR('RPM &amp; Discounts'!$B$3='A0.Support'!$B$3,'RPM &amp; Discounts'!$B$3='A0.Support'!$B$4),CF24,CF15*CF24)</f>
        <v>719.28</v>
      </c>
      <c r="CG6" s="52">
        <f>IF(OR('RPM &amp; Discounts'!$B$3='A0.Support'!$B$3,'RPM &amp; Discounts'!$B$3='A0.Support'!$B$4),CG24,CG15*CG24)</f>
        <v>724.7828571428571</v>
      </c>
      <c r="CH6" s="52">
        <f>IF(OR('RPM &amp; Discounts'!$B$3='A0.Support'!$B$3,'RPM &amp; Discounts'!$B$3='A0.Support'!$B$4),CH24,CH15*CH24)</f>
        <v>1202.5285714285712</v>
      </c>
      <c r="CI6" s="52">
        <f>IF(OR('RPM &amp; Discounts'!$B$3='A0.Support'!$B$3,'RPM &amp; Discounts'!$B$3='A0.Support'!$B$4),CI24,CI15*CI24)</f>
        <v>1395.0771428571427</v>
      </c>
      <c r="CJ6" s="52">
        <f>IF(OR('RPM &amp; Discounts'!$B$3='A0.Support'!$B$3,'RPM &amp; Discounts'!$B$3='A0.Support'!$B$4),CJ24,CJ15*CJ24)</f>
        <v>1395.0797142857141</v>
      </c>
      <c r="CK6" s="52">
        <f>IF(OR('RPM &amp; Discounts'!$B$3='A0.Support'!$B$3,'RPM &amp; Discounts'!$B$3='A0.Support'!$B$4),CK24,CK15*CK24)</f>
        <v>1398.4739999999999</v>
      </c>
      <c r="CL6" s="52">
        <f>IF(OR('RPM &amp; Discounts'!$B$3='A0.Support'!$B$3,'RPM &amp; Discounts'!$B$3='A0.Support'!$B$4),CL24,CL15*CL24)</f>
        <v>1395.0797142857141</v>
      </c>
      <c r="CM6" s="52">
        <f>IF(OR('RPM &amp; Discounts'!$B$3='A0.Support'!$B$3,'RPM &amp; Discounts'!$B$3='A0.Support'!$B$4),CM24,CM15*CM24)</f>
        <v>1413.3085714285712</v>
      </c>
    </row>
    <row r="7" spans="2:91">
      <c r="B7" s="14" t="str">
        <f>'Input capacity'!B9</f>
        <v>LNG Terminal Sines</v>
      </c>
      <c r="C7" s="52">
        <f>IF(OR('RPM &amp; Discounts'!$B$3='A0.Support'!$B$3,'RPM &amp; Discounts'!$B$3='A0.Support'!$B$4),C25,C16*C25)</f>
        <v>481.59199999999998</v>
      </c>
      <c r="D7" s="52">
        <f>IF(OR('RPM &amp; Discounts'!$B$3='A0.Support'!$B$3,'RPM &amp; Discounts'!$B$3='A0.Support'!$B$4),D25,D16*D25)</f>
        <v>549.62099999999998</v>
      </c>
      <c r="E7" s="52">
        <f>IF(OR('RPM &amp; Discounts'!$B$3='A0.Support'!$B$3,'RPM &amp; Discounts'!$B$3='A0.Support'!$B$4),E25,E16*E25)</f>
        <v>0</v>
      </c>
      <c r="F7" s="52">
        <f>IF(OR('RPM &amp; Discounts'!$B$3='A0.Support'!$B$3,'RPM &amp; Discounts'!$B$3='A0.Support'!$B$4),F25,F16*F25)</f>
        <v>280.19200000000001</v>
      </c>
      <c r="G7" s="52">
        <f>IF(OR('RPM &amp; Discounts'!$B$3='A0.Support'!$B$3,'RPM &amp; Discounts'!$B$3='A0.Support'!$B$4),G25,G16*G25)</f>
        <v>224.51400000000001</v>
      </c>
      <c r="H7" s="52">
        <f>IF(OR('RPM &amp; Discounts'!$B$3='A0.Support'!$B$3,'RPM &amp; Discounts'!$B$3='A0.Support'!$B$4),H25,H16*H25)</f>
        <v>291.8365714285714</v>
      </c>
      <c r="I7" s="52">
        <f>IF(OR('RPM &amp; Discounts'!$B$3='A0.Support'!$B$3,'RPM &amp; Discounts'!$B$3='A0.Support'!$B$4),I25,I16*I25)</f>
        <v>270.46542857142856</v>
      </c>
      <c r="J7" s="52">
        <f>IF(OR('RPM &amp; Discounts'!$B$3='A0.Support'!$B$3,'RPM &amp; Discounts'!$B$3='A0.Support'!$B$4),J25,J16*J25)</f>
        <v>291.83399999999995</v>
      </c>
      <c r="K7" s="52">
        <f>IF(OR('RPM &amp; Discounts'!$B$3='A0.Support'!$B$3,'RPM &amp; Discounts'!$B$3='A0.Support'!$B$4),K25,K16*K25)</f>
        <v>265.47685714285711</v>
      </c>
      <c r="L7" s="52">
        <f>IF(OR('RPM &amp; Discounts'!$B$3='A0.Support'!$B$3,'RPM &amp; Discounts'!$B$3='A0.Support'!$B$4),L25,L16*L25)</f>
        <v>297.33685714285713</v>
      </c>
      <c r="M7" s="52">
        <f>IF(OR('RPM &amp; Discounts'!$B$3='A0.Support'!$B$3,'RPM &amp; Discounts'!$B$3='A0.Support'!$B$4),M25,M16*M25)</f>
        <v>307.93114285714285</v>
      </c>
      <c r="N7" s="52">
        <f>IF(OR('RPM &amp; Discounts'!$B$3='A0.Support'!$B$3,'RPM &amp; Discounts'!$B$3='A0.Support'!$B$4),N25,N16*N25)</f>
        <v>340.27971428571425</v>
      </c>
      <c r="O7" s="52">
        <f>IF(OR('RPM &amp; Discounts'!$B$3='A0.Support'!$B$3,'RPM &amp; Discounts'!$B$3='A0.Support'!$B$4),O25,O16*O25)</f>
        <v>372.31971428571421</v>
      </c>
      <c r="P7" s="52">
        <f>IF(OR('RPM &amp; Discounts'!$B$3='A0.Support'!$B$3,'RPM &amp; Discounts'!$B$3='A0.Support'!$B$4),P25,P16*P25)</f>
        <v>466.9508571428571</v>
      </c>
      <c r="Q7" s="52">
        <f>IF(OR('RPM &amp; Discounts'!$B$3='A0.Support'!$B$3,'RPM &amp; Discounts'!$B$3='A0.Support'!$B$4),Q25,Q16*Q25)</f>
        <v>382.37399999999997</v>
      </c>
      <c r="R7" s="52">
        <f>IF(OR('RPM &amp; Discounts'!$B$3='A0.Support'!$B$3,'RPM &amp; Discounts'!$B$3='A0.Support'!$B$4),R25,R16*R25)</f>
        <v>435.81085714285712</v>
      </c>
      <c r="S7" s="52">
        <f>IF(OR('RPM &amp; Discounts'!$B$3='A0.Support'!$B$3,'RPM &amp; Discounts'!$B$3='A0.Support'!$B$4),S25,S16*S25)</f>
        <v>453.22199999999992</v>
      </c>
      <c r="T7" s="52">
        <f>IF(OR('RPM &amp; Discounts'!$B$3='A0.Support'!$B$3,'RPM &amp; Discounts'!$B$3='A0.Support'!$B$4),T25,T16*T25)</f>
        <v>388.26257142857145</v>
      </c>
      <c r="U7" s="52">
        <f>IF(OR('RPM &amp; Discounts'!$B$3='A0.Support'!$B$3,'RPM &amp; Discounts'!$B$3='A0.Support'!$B$4),U25,U16*U25)</f>
        <v>382.37657142857137</v>
      </c>
      <c r="V7" s="52">
        <f>IF(OR('RPM &amp; Discounts'!$B$3='A0.Support'!$B$3,'RPM &amp; Discounts'!$B$3='A0.Support'!$B$4),V25,V16*V25)</f>
        <v>453.21942857142852</v>
      </c>
      <c r="W7" s="52">
        <f>IF(OR('RPM &amp; Discounts'!$B$3='A0.Support'!$B$3,'RPM &amp; Discounts'!$B$3='A0.Support'!$B$4),W25,W16*W25)</f>
        <v>452.72828571428568</v>
      </c>
      <c r="X7" s="52">
        <f>IF(OR('RPM &amp; Discounts'!$B$3='A0.Support'!$B$3,'RPM &amp; Discounts'!$B$3='A0.Support'!$B$4),X25,X16*X25)</f>
        <v>423.33685714285713</v>
      </c>
      <c r="Y7" s="52">
        <f>IF(OR('RPM &amp; Discounts'!$B$3='A0.Support'!$B$3,'RPM &amp; Discounts'!$B$3='A0.Support'!$B$4),Y25,Y16*Y25)</f>
        <v>484.35942857142851</v>
      </c>
      <c r="Z7" s="52">
        <f>IF(OR('RPM &amp; Discounts'!$B$3='A0.Support'!$B$3,'RPM &amp; Discounts'!$B$3='A0.Support'!$B$4),Z25,Z16*Z25)</f>
        <v>484.35685714285705</v>
      </c>
      <c r="AA7" s="52">
        <f>IF(OR('RPM &amp; Discounts'!$B$3='A0.Support'!$B$3,'RPM &amp; Discounts'!$B$3='A0.Support'!$B$4),AA25,AA16*AA25)</f>
        <v>486.59399999999994</v>
      </c>
      <c r="AB7" s="52">
        <f>IF(OR('RPM &amp; Discounts'!$B$3='A0.Support'!$B$3,'RPM &amp; Discounts'!$B$3='A0.Support'!$B$4),AB25,AB16*AB25)</f>
        <v>573.86828571428566</v>
      </c>
      <c r="AC7" s="52">
        <f>IF(OR('RPM &amp; Discounts'!$B$3='A0.Support'!$B$3,'RPM &amp; Discounts'!$B$3='A0.Support'!$B$4),AC25,AC16*AC25)</f>
        <v>606.47399999999993</v>
      </c>
      <c r="AD7" s="52">
        <f>IF(OR('RPM &amp; Discounts'!$B$3='A0.Support'!$B$3,'RPM &amp; Discounts'!$B$3='A0.Support'!$B$4),AD25,AD16*AD25)</f>
        <v>623.36828571428566</v>
      </c>
      <c r="AE7" s="52">
        <f>IF(OR('RPM &amp; Discounts'!$B$3='A0.Support'!$B$3,'RPM &amp; Discounts'!$B$3='A0.Support'!$B$4),AE25,AE16*AE25)</f>
        <v>720.49114285714268</v>
      </c>
      <c r="AF7" s="52">
        <f>IF(OR('RPM &amp; Discounts'!$B$3='A0.Support'!$B$3,'RPM &amp; Discounts'!$B$3='A0.Support'!$B$4),AF25,AF16*AF25)</f>
        <v>745.97399999999993</v>
      </c>
      <c r="AG7" s="52">
        <f>IF(OR('RPM &amp; Discounts'!$B$3='A0.Support'!$B$3,'RPM &amp; Discounts'!$B$3='A0.Support'!$B$4),AG25,AG16*AG25)</f>
        <v>746.25685714285714</v>
      </c>
      <c r="AH7" s="52">
        <f>IF(OR('RPM &amp; Discounts'!$B$3='A0.Support'!$B$3,'RPM &amp; Discounts'!$B$3='A0.Support'!$B$4),AH25,AH16*AH25)</f>
        <v>779.86542857142854</v>
      </c>
      <c r="AI7" s="52">
        <f>IF(OR('RPM &amp; Discounts'!$B$3='A0.Support'!$B$3,'RPM &amp; Discounts'!$B$3='A0.Support'!$B$4),AI25,AI16*AI25)</f>
        <v>695.23971428571417</v>
      </c>
      <c r="AJ7" s="52">
        <f>IF(OR('RPM &amp; Discounts'!$B$3='A0.Support'!$B$3,'RPM &amp; Discounts'!$B$3='A0.Support'!$B$4),AJ25,AJ16*AJ25)</f>
        <v>779.86799999999982</v>
      </c>
      <c r="AK7" s="52">
        <f>IF(OR('RPM &amp; Discounts'!$B$3='A0.Support'!$B$3,'RPM &amp; Discounts'!$B$3='A0.Support'!$B$4),AK25,AK16*AK25)</f>
        <v>755.07685714285708</v>
      </c>
      <c r="AL7" s="52">
        <f>IF(OR('RPM &amp; Discounts'!$B$3='A0.Support'!$B$3,'RPM &amp; Discounts'!$B$3='A0.Support'!$B$4),AL25,AL16*AL25)</f>
        <v>780.58542857142845</v>
      </c>
      <c r="AM7" s="52">
        <f>IF(OR('RPM &amp; Discounts'!$B$3='A0.Support'!$B$3,'RPM &amp; Discounts'!$B$3='A0.Support'!$B$4),AM25,AM16*AM25)</f>
        <v>770.06828571428559</v>
      </c>
      <c r="AN7" s="52">
        <f>IF(OR('RPM &amp; Discounts'!$B$3='A0.Support'!$B$3,'RPM &amp; Discounts'!$B$3='A0.Support'!$B$4),AN25,AN16*AN25)</f>
        <v>784.59685714285706</v>
      </c>
      <c r="AO7" s="52">
        <f>IF(OR('RPM &amp; Discounts'!$B$3='A0.Support'!$B$3,'RPM &amp; Discounts'!$B$3='A0.Support'!$B$4),AO25,AO16*AO25)</f>
        <v>819.72257142857131</v>
      </c>
      <c r="AP7" s="52">
        <f>IF(OR('RPM &amp; Discounts'!$B$3='A0.Support'!$B$3,'RPM &amp; Discounts'!$B$3='A0.Support'!$B$4),AP25,AP16*AP25)</f>
        <v>837.97971428571418</v>
      </c>
      <c r="AQ7" s="52">
        <f>IF(OR('RPM &amp; Discounts'!$B$3='A0.Support'!$B$3,'RPM &amp; Discounts'!$B$3='A0.Support'!$B$4),AQ25,AQ16*AQ25)</f>
        <v>850.42542857142848</v>
      </c>
      <c r="AR7" s="52">
        <f>IF(OR('RPM &amp; Discounts'!$B$3='A0.Support'!$B$3,'RPM &amp; Discounts'!$B$3='A0.Support'!$B$4),AR25,AR16*AR25)</f>
        <v>863.25685714285714</v>
      </c>
      <c r="AS7" s="52">
        <f>IF(OR('RPM &amp; Discounts'!$B$3='A0.Support'!$B$3,'RPM &amp; Discounts'!$B$3='A0.Support'!$B$4),AS25,AS16*AS25)</f>
        <v>905.24828571428566</v>
      </c>
      <c r="AT7" s="52">
        <f>IF(OR('RPM &amp; Discounts'!$B$3='A0.Support'!$B$3,'RPM &amp; Discounts'!$B$3='A0.Support'!$B$4),AT25,AT16*AT25)</f>
        <v>923.45399999999984</v>
      </c>
      <c r="AU7" s="52">
        <f>IF(OR('RPM &amp; Discounts'!$B$3='A0.Support'!$B$3,'RPM &amp; Discounts'!$B$3='A0.Support'!$B$4),AU25,AU16*AU25)</f>
        <v>956.42228571428564</v>
      </c>
      <c r="AV7" s="52">
        <f>IF(OR('RPM &amp; Discounts'!$B$3='A0.Support'!$B$3,'RPM &amp; Discounts'!$B$3='A0.Support'!$B$4),AV25,AV16*AV25)</f>
        <v>956.41971428571412</v>
      </c>
      <c r="AW7" s="52">
        <f>IF(OR('RPM &amp; Discounts'!$B$3='A0.Support'!$B$3,'RPM &amp; Discounts'!$B$3='A0.Support'!$B$4),AW25,AW16*AW25)</f>
        <v>968.04257142857136</v>
      </c>
      <c r="AX7" s="52">
        <f>IF(OR('RPM &amp; Discounts'!$B$3='A0.Support'!$B$3,'RPM &amp; Discounts'!$B$3='A0.Support'!$B$4),AX25,AX16*AX25)</f>
        <v>990.57085714285699</v>
      </c>
      <c r="AY7" s="52">
        <f>IF(OR('RPM &amp; Discounts'!$B$3='A0.Support'!$B$3,'RPM &amp; Discounts'!$B$3='A0.Support'!$B$4),AY25,AY16*AY25)</f>
        <v>990.56828571428559</v>
      </c>
      <c r="AZ7" s="52">
        <f>IF(OR('RPM &amp; Discounts'!$B$3='A0.Support'!$B$3,'RPM &amp; Discounts'!$B$3='A0.Support'!$B$4),AZ25,AZ16*AZ25)</f>
        <v>1024.4082857142855</v>
      </c>
      <c r="BA7" s="52">
        <f>IF(OR('RPM &amp; Discounts'!$B$3='A0.Support'!$B$3,'RPM &amp; Discounts'!$B$3='A0.Support'!$B$4),BA25,BA16*BA25)</f>
        <v>1069.5625714285713</v>
      </c>
      <c r="BB7" s="52">
        <f>IF(OR('RPM &amp; Discounts'!$B$3='A0.Support'!$B$3,'RPM &amp; Discounts'!$B$3='A0.Support'!$B$4),BB25,BB16*BB25)</f>
        <v>1106.5654285714286</v>
      </c>
      <c r="BC7" s="52">
        <f>IF(OR('RPM &amp; Discounts'!$B$3='A0.Support'!$B$3,'RPM &amp; Discounts'!$B$3='A0.Support'!$B$4),BC25,BC16*BC25)</f>
        <v>1099.5197142857141</v>
      </c>
      <c r="BD7" s="52">
        <f>IF(OR('RPM &amp; Discounts'!$B$3='A0.Support'!$B$3,'RPM &amp; Discounts'!$B$3='A0.Support'!$B$4),BD25,BD16*BD25)</f>
        <v>1111.5797142857141</v>
      </c>
      <c r="BE7" s="52">
        <f>IF(OR('RPM &amp; Discounts'!$B$3='A0.Support'!$B$3,'RPM &amp; Discounts'!$B$3='A0.Support'!$B$4),BE25,BE16*BE25)</f>
        <v>1127.934</v>
      </c>
      <c r="BF7" s="52">
        <f>IF(OR('RPM &amp; Discounts'!$B$3='A0.Support'!$B$3,'RPM &amp; Discounts'!$B$3='A0.Support'!$B$4),BF25,BF16*BF25)</f>
        <v>1152.3368571428568</v>
      </c>
      <c r="BG7" s="52">
        <f>IF(OR('RPM &amp; Discounts'!$B$3='A0.Support'!$B$3,'RPM &amp; Discounts'!$B$3='A0.Support'!$B$4),BG25,BG16*BG25)</f>
        <v>1232.8482857142856</v>
      </c>
      <c r="BH7" s="52">
        <f>IF(OR('RPM &amp; Discounts'!$B$3='A0.Support'!$B$3,'RPM &amp; Discounts'!$B$3='A0.Support'!$B$4),BH25,BH16*BH25)</f>
        <v>1178.8225714285713</v>
      </c>
      <c r="BI7" s="52">
        <f>IF(OR('RPM &amp; Discounts'!$B$3='A0.Support'!$B$3,'RPM &amp; Discounts'!$B$3='A0.Support'!$B$4),BI25,BI16*BI25)</f>
        <v>1202.196857142857</v>
      </c>
      <c r="BJ7" s="52">
        <f>IF(OR('RPM &amp; Discounts'!$B$3='A0.Support'!$B$3,'RPM &amp; Discounts'!$B$3='A0.Support'!$B$4),BJ25,BJ16*BJ25)</f>
        <v>1238.5311428571429</v>
      </c>
      <c r="BK7" s="52">
        <f>IF(OR('RPM &amp; Discounts'!$B$3='A0.Support'!$B$3,'RPM &amp; Discounts'!$B$3='A0.Support'!$B$4),BK25,BK16*BK25)</f>
        <v>1258.7939999999999</v>
      </c>
      <c r="BL7" s="52">
        <f>IF(OR('RPM &amp; Discounts'!$B$3='A0.Support'!$B$3,'RPM &amp; Discounts'!$B$3='A0.Support'!$B$4),BL25,BL16*BL25)</f>
        <v>1329.6882857142855</v>
      </c>
      <c r="BM7" s="52">
        <f>IF(OR('RPM &amp; Discounts'!$B$3='A0.Support'!$B$3,'RPM &amp; Discounts'!$B$3='A0.Support'!$B$4),BM25,BM16*BM25)</f>
        <v>1324.2882857142856</v>
      </c>
      <c r="BN7" s="52">
        <f>IF(OR('RPM &amp; Discounts'!$B$3='A0.Support'!$B$3,'RPM &amp; Discounts'!$B$3='A0.Support'!$B$4),BN25,BN16*BN25)</f>
        <v>1401.0197142857141</v>
      </c>
      <c r="BO7" s="52">
        <f>IF(OR('RPM &amp; Discounts'!$B$3='A0.Support'!$B$3,'RPM &amp; Discounts'!$B$3='A0.Support'!$B$4),BO25,BO16*BO25)</f>
        <v>1237.7597142857142</v>
      </c>
      <c r="BP7" s="52">
        <f>IF(OR('RPM &amp; Discounts'!$B$3='A0.Support'!$B$3,'RPM &amp; Discounts'!$B$3='A0.Support'!$B$4),BP25,BP16*BP25)</f>
        <v>971.92542857142848</v>
      </c>
      <c r="BQ7" s="52">
        <f>IF(OR('RPM &amp; Discounts'!$B$3='A0.Support'!$B$3,'RPM &amp; Discounts'!$B$3='A0.Support'!$B$4),BQ25,BQ16*BQ25)</f>
        <v>913.83685714285696</v>
      </c>
      <c r="BR7" s="52">
        <f>IF(OR('RPM &amp; Discounts'!$B$3='A0.Support'!$B$3,'RPM &amp; Discounts'!$B$3='A0.Support'!$B$4),BR25,BR16*BR25)</f>
        <v>926.84828571428557</v>
      </c>
      <c r="BS7" s="52">
        <f>IF(OR('RPM &amp; Discounts'!$B$3='A0.Support'!$B$3,'RPM &amp; Discounts'!$B$3='A0.Support'!$B$4),BS25,BS16*BS25)</f>
        <v>862.69114285714272</v>
      </c>
      <c r="BT7" s="52">
        <f>IF(OR('RPM &amp; Discounts'!$B$3='A0.Support'!$B$3,'RPM &amp; Discounts'!$B$3='A0.Support'!$B$4),BT25,BT16*BT25)</f>
        <v>815.94257142857134</v>
      </c>
      <c r="BU7" s="52">
        <f>IF(OR('RPM &amp; Discounts'!$B$3='A0.Support'!$B$3,'RPM &amp; Discounts'!$B$3='A0.Support'!$B$4),BU25,BU16*BU25)</f>
        <v>766.98257142857142</v>
      </c>
      <c r="BV7" s="52">
        <f>IF(OR('RPM &amp; Discounts'!$B$3='A0.Support'!$B$3,'RPM &amp; Discounts'!$B$3='A0.Support'!$B$4),BV25,BV16*BV25)</f>
        <v>681.53399999999988</v>
      </c>
      <c r="BW7" s="52">
        <f>IF(OR('RPM &amp; Discounts'!$B$3='A0.Support'!$B$3,'RPM &amp; Discounts'!$B$3='A0.Support'!$B$4),BW25,BW16*BW25)</f>
        <v>1167.2511428571427</v>
      </c>
      <c r="BX7" s="52">
        <f>IF(OR('RPM &amp; Discounts'!$B$3='A0.Support'!$B$3,'RPM &amp; Discounts'!$B$3='A0.Support'!$B$4),BX25,BX16*BX25)</f>
        <v>1269.7482857142857</v>
      </c>
      <c r="BY7" s="52">
        <f>IF(OR('RPM &amp; Discounts'!$B$3='A0.Support'!$B$3,'RPM &amp; Discounts'!$B$3='A0.Support'!$B$4),BY25,BY16*BY25)</f>
        <v>1333.699714285714</v>
      </c>
      <c r="BZ7" s="52">
        <f>IF(OR('RPM &amp; Discounts'!$B$3='A0.Support'!$B$3,'RPM &amp; Discounts'!$B$3='A0.Support'!$B$4),BZ25,BZ16*BZ25)</f>
        <v>1363.6311428571428</v>
      </c>
      <c r="CA7" s="52">
        <f>IF(OR('RPM &amp; Discounts'!$B$3='A0.Support'!$B$3,'RPM &amp; Discounts'!$B$3='A0.Support'!$B$4),CA25,CA16*CA25)</f>
        <v>1335.9111428571425</v>
      </c>
      <c r="CB7" s="52">
        <f>IF(OR('RPM &amp; Discounts'!$B$3='A0.Support'!$B$3,'RPM &amp; Discounts'!$B$3='A0.Support'!$B$4),CB25,CB16*CB25)</f>
        <v>1234.2625714285712</v>
      </c>
      <c r="CC7" s="52">
        <f>IF(OR('RPM &amp; Discounts'!$B$3='A0.Support'!$B$3,'RPM &amp; Discounts'!$B$3='A0.Support'!$B$4),CC25,CC16*CC25)</f>
        <v>921.75685714285703</v>
      </c>
      <c r="CD7" s="52">
        <f>IF(OR('RPM &amp; Discounts'!$B$3='A0.Support'!$B$3,'RPM &amp; Discounts'!$B$3='A0.Support'!$B$4),CD25,CD16*CD25)</f>
        <v>946.28828571428551</v>
      </c>
      <c r="CE7" s="52">
        <f>IF(OR('RPM &amp; Discounts'!$B$3='A0.Support'!$B$3,'RPM &amp; Discounts'!$B$3='A0.Support'!$B$4),CE25,CE16*CE25)</f>
        <v>975.34542857142844</v>
      </c>
      <c r="CF7" s="52">
        <f>IF(OR('RPM &amp; Discounts'!$B$3='A0.Support'!$B$3,'RPM &amp; Discounts'!$B$3='A0.Support'!$B$4),CF25,CF16*CF25)</f>
        <v>1032.4825714285714</v>
      </c>
      <c r="CG7" s="52">
        <f>IF(OR('RPM &amp; Discounts'!$B$3='A0.Support'!$B$3,'RPM &amp; Discounts'!$B$3='A0.Support'!$B$4),CG25,CG16*CG25)</f>
        <v>1037.9854285714284</v>
      </c>
      <c r="CH7" s="52">
        <f>IF(OR('RPM &amp; Discounts'!$B$3='A0.Support'!$B$3,'RPM &amp; Discounts'!$B$3='A0.Support'!$B$4),CH25,CH16*CH25)</f>
        <v>210.78257142857143</v>
      </c>
      <c r="CI7" s="52">
        <f>IF(OR('RPM &amp; Discounts'!$B$3='A0.Support'!$B$3,'RPM &amp; Discounts'!$B$3='A0.Support'!$B$4),CI25,CI16*CI25)</f>
        <v>18.233999999999998</v>
      </c>
      <c r="CJ7" s="52">
        <f>IF(OR('RPM &amp; Discounts'!$B$3='A0.Support'!$B$3,'RPM &amp; Discounts'!$B$3='A0.Support'!$B$4),CJ25,CJ16*CJ25)</f>
        <v>18.236571428571427</v>
      </c>
      <c r="CK7" s="52">
        <f>IF(OR('RPM &amp; Discounts'!$B$3='A0.Support'!$B$3,'RPM &amp; Discounts'!$B$3='A0.Support'!$B$4),CK25,CK16*CK25)</f>
        <v>21.630857142857142</v>
      </c>
      <c r="CL7" s="52">
        <f>IF(OR('RPM &amp; Discounts'!$B$3='A0.Support'!$B$3,'RPM &amp; Discounts'!$B$3='A0.Support'!$B$4),CL25,CL16*CL25)</f>
        <v>18.236571428571427</v>
      </c>
      <c r="CM7" s="52">
        <f>IF(OR('RPM &amp; Discounts'!$B$3='A0.Support'!$B$3,'RPM &amp; Discounts'!$B$3='A0.Support'!$B$4),CM25,CM16*CM25)</f>
        <v>2.5714285714282885E-3</v>
      </c>
    </row>
    <row r="8" spans="2:91">
      <c r="B8" s="14" t="str">
        <f>'Input capacity'!B10</f>
        <v>Underground storage Carriço</v>
      </c>
      <c r="C8" s="52">
        <f>IF(OR('RPM &amp; Discounts'!$B$3='A0.Support'!$B$3,'RPM &amp; Discounts'!$B$3='A0.Support'!$B$4),C26,C17*C26)</f>
        <v>239.52199999999999</v>
      </c>
      <c r="D8" s="52">
        <f>IF(OR('RPM &amp; Discounts'!$B$3='A0.Support'!$B$3,'RPM &amp; Discounts'!$B$3='A0.Support'!$B$4),D26,D17*D26)</f>
        <v>307.55099999999999</v>
      </c>
      <c r="E8" s="52">
        <f>IF(OR('RPM &amp; Discounts'!$B$3='A0.Support'!$B$3,'RPM &amp; Discounts'!$B$3='A0.Support'!$B$4),E26,E17*E26)</f>
        <v>280.19200000000001</v>
      </c>
      <c r="F8" s="52">
        <f>IF(OR('RPM &amp; Discounts'!$B$3='A0.Support'!$B$3,'RPM &amp; Discounts'!$B$3='A0.Support'!$B$4),F26,F17*F26)</f>
        <v>0</v>
      </c>
      <c r="G8" s="52">
        <f>IF(OR('RPM &amp; Discounts'!$B$3='A0.Support'!$B$3,'RPM &amp; Discounts'!$B$3='A0.Support'!$B$4),G26,G17*G26)</f>
        <v>495.97971428571424</v>
      </c>
      <c r="H8" s="52">
        <f>IF(OR('RPM &amp; Discounts'!$B$3='A0.Support'!$B$3,'RPM &amp; Discounts'!$B$3='A0.Support'!$B$4),H26,H17*H26)</f>
        <v>529.41085714285714</v>
      </c>
      <c r="I8" s="52">
        <f>IF(OR('RPM &amp; Discounts'!$B$3='A0.Support'!$B$3,'RPM &amp; Discounts'!$B$3='A0.Support'!$B$4),I26,I17*I26)</f>
        <v>508.03971428571424</v>
      </c>
      <c r="J8" s="52">
        <f>IF(OR('RPM &amp; Discounts'!$B$3='A0.Support'!$B$3,'RPM &amp; Discounts'!$B$3='A0.Support'!$B$4),J26,J17*J26)</f>
        <v>529.40828571428563</v>
      </c>
      <c r="K8" s="52">
        <f>IF(OR('RPM &amp; Discounts'!$B$3='A0.Support'!$B$3,'RPM &amp; Discounts'!$B$3='A0.Support'!$B$4),K26,K17*K26)</f>
        <v>455.01685714285708</v>
      </c>
      <c r="L8" s="52">
        <f>IF(OR('RPM &amp; Discounts'!$B$3='A0.Support'!$B$3,'RPM &amp; Discounts'!$B$3='A0.Support'!$B$4),L26,L17*L26)</f>
        <v>423.15685714285712</v>
      </c>
      <c r="M8" s="52">
        <f>IF(OR('RPM &amp; Discounts'!$B$3='A0.Support'!$B$3,'RPM &amp; Discounts'!$B$3='A0.Support'!$B$4),M26,M17*M26)</f>
        <v>545.50542857142852</v>
      </c>
      <c r="N8" s="52">
        <f>IF(OR('RPM &amp; Discounts'!$B$3='A0.Support'!$B$3,'RPM &amp; Discounts'!$B$3='A0.Support'!$B$4),N26,N17*N26)</f>
        <v>380.21399999999994</v>
      </c>
      <c r="O8" s="52">
        <f>IF(OR('RPM &amp; Discounts'!$B$3='A0.Support'!$B$3,'RPM &amp; Discounts'!$B$3='A0.Support'!$B$4),O26,O17*O26)</f>
        <v>348.17399999999998</v>
      </c>
      <c r="P8" s="52">
        <f>IF(OR('RPM &amp; Discounts'!$B$3='A0.Support'!$B$3,'RPM &amp; Discounts'!$B$3='A0.Support'!$B$4),P26,P17*P26)</f>
        <v>423.41657142857139</v>
      </c>
      <c r="Q8" s="52">
        <f>IF(OR('RPM &amp; Discounts'!$B$3='A0.Support'!$B$3,'RPM &amp; Discounts'!$B$3='A0.Support'!$B$4),Q26,Q17*Q26)</f>
        <v>338.83971428571419</v>
      </c>
      <c r="R8" s="52">
        <f>IF(OR('RPM &amp; Discounts'!$B$3='A0.Support'!$B$3,'RPM &amp; Discounts'!$B$3='A0.Support'!$B$4),R26,R17*R26)</f>
        <v>392.27657142857134</v>
      </c>
      <c r="S8" s="52">
        <f>IF(OR('RPM &amp; Discounts'!$B$3='A0.Support'!$B$3,'RPM &amp; Discounts'!$B$3='A0.Support'!$B$4),S26,S17*S26)</f>
        <v>409.68771428571426</v>
      </c>
      <c r="T8" s="52">
        <f>IF(OR('RPM &amp; Discounts'!$B$3='A0.Support'!$B$3,'RPM &amp; Discounts'!$B$3='A0.Support'!$B$4),T26,T17*T26)</f>
        <v>332.2311428571428</v>
      </c>
      <c r="U8" s="52">
        <f>IF(OR('RPM &amp; Discounts'!$B$3='A0.Support'!$B$3,'RPM &amp; Discounts'!$B$3='A0.Support'!$B$4),U26,U17*U26)</f>
        <v>338.84228571428565</v>
      </c>
      <c r="V8" s="52">
        <f>IF(OR('RPM &amp; Discounts'!$B$3='A0.Support'!$B$3,'RPM &amp; Discounts'!$B$3='A0.Support'!$B$4),V26,V17*V26)</f>
        <v>409.68514285714281</v>
      </c>
      <c r="W8" s="52">
        <f>IF(OR('RPM &amp; Discounts'!$B$3='A0.Support'!$B$3,'RPM &amp; Discounts'!$B$3='A0.Support'!$B$4),W26,W17*W26)</f>
        <v>326.54828571428567</v>
      </c>
      <c r="X8" s="52">
        <f>IF(OR('RPM &amp; Discounts'!$B$3='A0.Support'!$B$3,'RPM &amp; Discounts'!$B$3='A0.Support'!$B$4),X26,X17*X26)</f>
        <v>297.15685714285712</v>
      </c>
      <c r="Y8" s="52">
        <f>IF(OR('RPM &amp; Discounts'!$B$3='A0.Support'!$B$3,'RPM &amp; Discounts'!$B$3='A0.Support'!$B$4),Y26,Y17*Y26)</f>
        <v>358.17942857142856</v>
      </c>
      <c r="Z8" s="52">
        <f>IF(OR('RPM &amp; Discounts'!$B$3='A0.Support'!$B$3,'RPM &amp; Discounts'!$B$3='A0.Support'!$B$4),Z26,Z17*Z26)</f>
        <v>358.1768571428571</v>
      </c>
      <c r="AA8" s="52">
        <f>IF(OR('RPM &amp; Discounts'!$B$3='A0.Support'!$B$3,'RPM &amp; Discounts'!$B$3='A0.Support'!$B$4),AA26,AA17*AA26)</f>
        <v>233.89971428571425</v>
      </c>
      <c r="AB8" s="52">
        <f>IF(OR('RPM &amp; Discounts'!$B$3='A0.Support'!$B$3,'RPM &amp; Discounts'!$B$3='A0.Support'!$B$4),AB26,AB17*AB26)</f>
        <v>146.62542857142856</v>
      </c>
      <c r="AC8" s="52">
        <f>IF(OR('RPM &amp; Discounts'!$B$3='A0.Support'!$B$3,'RPM &amp; Discounts'!$B$3='A0.Support'!$B$4),AC26,AC17*AC26)</f>
        <v>114.01971428571427</v>
      </c>
      <c r="AD8" s="52">
        <f>IF(OR('RPM &amp; Discounts'!$B$3='A0.Support'!$B$3,'RPM &amp; Discounts'!$B$3='A0.Support'!$B$4),AD26,AD17*AD26)</f>
        <v>97.125428571428557</v>
      </c>
      <c r="AE8" s="52">
        <f>IF(OR('RPM &amp; Discounts'!$B$3='A0.Support'!$B$3,'RPM &amp; Discounts'!$B$3='A0.Support'!$B$4),AE26,AE17*AE26)</f>
        <v>2.5714285714282885E-3</v>
      </c>
      <c r="AF8" s="52">
        <f>IF(OR('RPM &amp; Discounts'!$B$3='A0.Support'!$B$3,'RPM &amp; Discounts'!$B$3='A0.Support'!$B$4),AF26,AF17*AF26)</f>
        <v>25.485428571428567</v>
      </c>
      <c r="AG8" s="52">
        <f>IF(OR('RPM &amp; Discounts'!$B$3='A0.Support'!$B$3,'RPM &amp; Discounts'!$B$3='A0.Support'!$B$4),AG26,AG17*AG26)</f>
        <v>25.768285714285714</v>
      </c>
      <c r="AH8" s="52">
        <f>IF(OR('RPM &amp; Discounts'!$B$3='A0.Support'!$B$3,'RPM &amp; Discounts'!$B$3='A0.Support'!$B$4),AH26,AH17*AH26)</f>
        <v>59.376857142857141</v>
      </c>
      <c r="AI8" s="52">
        <f>IF(OR('RPM &amp; Discounts'!$B$3='A0.Support'!$B$3,'RPM &amp; Discounts'!$B$3='A0.Support'!$B$4),AI26,AI17*AI26)</f>
        <v>72.773999999999987</v>
      </c>
      <c r="AJ8" s="52">
        <f>IF(OR('RPM &amp; Discounts'!$B$3='A0.Support'!$B$3,'RPM &amp; Discounts'!$B$3='A0.Support'!$B$4),AJ26,AJ17*AJ26)</f>
        <v>59.379428571428562</v>
      </c>
      <c r="AK8" s="52">
        <f>IF(OR('RPM &amp; Discounts'!$B$3='A0.Support'!$B$3,'RPM &amp; Discounts'!$B$3='A0.Support'!$B$4),AK26,AK17*AK26)</f>
        <v>132.61114285714285</v>
      </c>
      <c r="AL8" s="52">
        <f>IF(OR('RPM &amp; Discounts'!$B$3='A0.Support'!$B$3,'RPM &amp; Discounts'!$B$3='A0.Support'!$B$4),AL26,AL17*AL26)</f>
        <v>158.11971428571428</v>
      </c>
      <c r="AM8" s="52">
        <f>IF(OR('RPM &amp; Discounts'!$B$3='A0.Support'!$B$3,'RPM &amp; Discounts'!$B$3='A0.Support'!$B$4),AM26,AM17*AM26)</f>
        <v>147.60257142857142</v>
      </c>
      <c r="AN8" s="52">
        <f>IF(OR('RPM &amp; Discounts'!$B$3='A0.Support'!$B$3,'RPM &amp; Discounts'!$B$3='A0.Support'!$B$4),AN26,AN17*AN26)</f>
        <v>162.13114285714283</v>
      </c>
      <c r="AO8" s="52">
        <f>IF(OR('RPM &amp; Discounts'!$B$3='A0.Support'!$B$3,'RPM &amp; Discounts'!$B$3='A0.Support'!$B$4),AO26,AO17*AO26)</f>
        <v>197.25685714285711</v>
      </c>
      <c r="AP8" s="52">
        <f>IF(OR('RPM &amp; Discounts'!$B$3='A0.Support'!$B$3,'RPM &amp; Discounts'!$B$3='A0.Support'!$B$4),AP26,AP17*AP26)</f>
        <v>215.51400000000001</v>
      </c>
      <c r="AQ8" s="52">
        <f>IF(OR('RPM &amp; Discounts'!$B$3='A0.Support'!$B$3,'RPM &amp; Discounts'!$B$3='A0.Support'!$B$4),AQ26,AQ17*AQ26)</f>
        <v>227.95971428571426</v>
      </c>
      <c r="AR8" s="52">
        <f>IF(OR('RPM &amp; Discounts'!$B$3='A0.Support'!$B$3,'RPM &amp; Discounts'!$B$3='A0.Support'!$B$4),AR26,AR17*AR26)</f>
        <v>240.79114285714286</v>
      </c>
      <c r="AS8" s="52">
        <f>IF(OR('RPM &amp; Discounts'!$B$3='A0.Support'!$B$3,'RPM &amp; Discounts'!$B$3='A0.Support'!$B$4),AS26,AS17*AS26)</f>
        <v>282.78257142857143</v>
      </c>
      <c r="AT8" s="52">
        <f>IF(OR('RPM &amp; Discounts'!$B$3='A0.Support'!$B$3,'RPM &amp; Discounts'!$B$3='A0.Support'!$B$4),AT26,AT17*AT26)</f>
        <v>300.98828571428567</v>
      </c>
      <c r="AU8" s="52">
        <f>IF(OR('RPM &amp; Discounts'!$B$3='A0.Support'!$B$3,'RPM &amp; Discounts'!$B$3='A0.Support'!$B$4),AU26,AU17*AU26)</f>
        <v>333.95657142857141</v>
      </c>
      <c r="AV8" s="52">
        <f>IF(OR('RPM &amp; Discounts'!$B$3='A0.Support'!$B$3,'RPM &amp; Discounts'!$B$3='A0.Support'!$B$4),AV26,AV17*AV26)</f>
        <v>333.95400000000001</v>
      </c>
      <c r="AW8" s="52">
        <f>IF(OR('RPM &amp; Discounts'!$B$3='A0.Support'!$B$3,'RPM &amp; Discounts'!$B$3='A0.Support'!$B$4),AW26,AW17*AW26)</f>
        <v>345.57685714285708</v>
      </c>
      <c r="AX8" s="52">
        <f>IF(OR('RPM &amp; Discounts'!$B$3='A0.Support'!$B$3,'RPM &amp; Discounts'!$B$3='A0.Support'!$B$4),AX26,AX17*AX26)</f>
        <v>368.10514285714277</v>
      </c>
      <c r="AY8" s="52">
        <f>IF(OR('RPM &amp; Discounts'!$B$3='A0.Support'!$B$3,'RPM &amp; Discounts'!$B$3='A0.Support'!$B$4),AY26,AY17*AY26)</f>
        <v>368.10257142857142</v>
      </c>
      <c r="AZ8" s="52">
        <f>IF(OR('RPM &amp; Discounts'!$B$3='A0.Support'!$B$3,'RPM &amp; Discounts'!$B$3='A0.Support'!$B$4),AZ26,AZ17*AZ26)</f>
        <v>401.9425714285714</v>
      </c>
      <c r="BA8" s="52">
        <f>IF(OR('RPM &amp; Discounts'!$B$3='A0.Support'!$B$3,'RPM &amp; Discounts'!$B$3='A0.Support'!$B$4),BA26,BA17*BA26)</f>
        <v>447.09685714285712</v>
      </c>
      <c r="BB8" s="52">
        <f>IF(OR('RPM &amp; Discounts'!$B$3='A0.Support'!$B$3,'RPM &amp; Discounts'!$B$3='A0.Support'!$B$4),BB26,BB17*BB26)</f>
        <v>484.09971428571424</v>
      </c>
      <c r="BC8" s="52">
        <f>IF(OR('RPM &amp; Discounts'!$B$3='A0.Support'!$B$3,'RPM &amp; Discounts'!$B$3='A0.Support'!$B$4),BC26,BC17*BC26)</f>
        <v>477.05399999999992</v>
      </c>
      <c r="BD8" s="52">
        <f>IF(OR('RPM &amp; Discounts'!$B$3='A0.Support'!$B$3,'RPM &amp; Discounts'!$B$3='A0.Support'!$B$4),BD26,BD17*BD26)</f>
        <v>489.11399999999998</v>
      </c>
      <c r="BE8" s="52">
        <f>IF(OR('RPM &amp; Discounts'!$B$3='A0.Support'!$B$3,'RPM &amp; Discounts'!$B$3='A0.Support'!$B$4),BE26,BE17*BE26)</f>
        <v>505.46828571428568</v>
      </c>
      <c r="BF8" s="52">
        <f>IF(OR('RPM &amp; Discounts'!$B$3='A0.Support'!$B$3,'RPM &amp; Discounts'!$B$3='A0.Support'!$B$4),BF26,BF17*BF26)</f>
        <v>529.87114285714279</v>
      </c>
      <c r="BG8" s="52">
        <f>IF(OR('RPM &amp; Discounts'!$B$3='A0.Support'!$B$3,'RPM &amp; Discounts'!$B$3='A0.Support'!$B$4),BG26,BG17*BG26)</f>
        <v>610.3825714285714</v>
      </c>
      <c r="BH8" s="52">
        <f>IF(OR('RPM &amp; Discounts'!$B$3='A0.Support'!$B$3,'RPM &amp; Discounts'!$B$3='A0.Support'!$B$4),BH26,BH17*BH26)</f>
        <v>556.35685714285705</v>
      </c>
      <c r="BI8" s="52">
        <f>IF(OR('RPM &amp; Discounts'!$B$3='A0.Support'!$B$3,'RPM &amp; Discounts'!$B$3='A0.Support'!$B$4),BI26,BI17*BI26)</f>
        <v>579.7311428571428</v>
      </c>
      <c r="BJ8" s="52">
        <f>IF(OR('RPM &amp; Discounts'!$B$3='A0.Support'!$B$3,'RPM &amp; Discounts'!$B$3='A0.Support'!$B$4),BJ26,BJ17*BJ26)</f>
        <v>616.06542857142847</v>
      </c>
      <c r="BK8" s="52">
        <f>IF(OR('RPM &amp; Discounts'!$B$3='A0.Support'!$B$3,'RPM &amp; Discounts'!$B$3='A0.Support'!$B$4),BK26,BK17*BK26)</f>
        <v>636.3282857142857</v>
      </c>
      <c r="BL8" s="52">
        <f>IF(OR('RPM &amp; Discounts'!$B$3='A0.Support'!$B$3,'RPM &amp; Discounts'!$B$3='A0.Support'!$B$4),BL26,BL17*BL26)</f>
        <v>707.22257142857143</v>
      </c>
      <c r="BM8" s="52">
        <f>IF(OR('RPM &amp; Discounts'!$B$3='A0.Support'!$B$3,'RPM &amp; Discounts'!$B$3='A0.Support'!$B$4),BM26,BM17*BM26)</f>
        <v>701.82257142857134</v>
      </c>
      <c r="BN8" s="52">
        <f>IF(OR('RPM &amp; Discounts'!$B$3='A0.Support'!$B$3,'RPM &amp; Discounts'!$B$3='A0.Support'!$B$4),BN26,BN17*BN26)</f>
        <v>778.55399999999997</v>
      </c>
      <c r="BO8" s="52">
        <f>IF(OR('RPM &amp; Discounts'!$B$3='A0.Support'!$B$3,'RPM &amp; Discounts'!$B$3='A0.Support'!$B$4),BO26,BO17*BO26)</f>
        <v>615.29399999999998</v>
      </c>
      <c r="BP8" s="52">
        <f>IF(OR('RPM &amp; Discounts'!$B$3='A0.Support'!$B$3,'RPM &amp; Discounts'!$B$3='A0.Support'!$B$4),BP26,BP17*BP26)</f>
        <v>349.45971428571426</v>
      </c>
      <c r="BQ8" s="52">
        <f>IF(OR('RPM &amp; Discounts'!$B$3='A0.Support'!$B$3,'RPM &amp; Discounts'!$B$3='A0.Support'!$B$4),BQ26,BQ17*BQ26)</f>
        <v>291.37114285714284</v>
      </c>
      <c r="BR8" s="52">
        <f>IF(OR('RPM &amp; Discounts'!$B$3='A0.Support'!$B$3,'RPM &amp; Discounts'!$B$3='A0.Support'!$B$4),BR26,BR17*BR26)</f>
        <v>304.3825714285714</v>
      </c>
      <c r="BS8" s="52">
        <f>IF(OR('RPM &amp; Discounts'!$B$3='A0.Support'!$B$3,'RPM &amp; Discounts'!$B$3='A0.Support'!$B$4),BS26,BS17*BS26)</f>
        <v>240.22542857142855</v>
      </c>
      <c r="BT8" s="52">
        <f>IF(OR('RPM &amp; Discounts'!$B$3='A0.Support'!$B$3,'RPM &amp; Discounts'!$B$3='A0.Support'!$B$4),BT26,BT17*BT26)</f>
        <v>193.47685714285711</v>
      </c>
      <c r="BU8" s="52">
        <f>IF(OR('RPM &amp; Discounts'!$B$3='A0.Support'!$B$3,'RPM &amp; Discounts'!$B$3='A0.Support'!$B$4),BU26,BU17*BU26)</f>
        <v>144.51685714285713</v>
      </c>
      <c r="BV8" s="52">
        <f>IF(OR('RPM &amp; Discounts'!$B$3='A0.Support'!$B$3,'RPM &amp; Discounts'!$B$3='A0.Support'!$B$4),BV26,BV17*BV26)</f>
        <v>59.068285714285707</v>
      </c>
      <c r="BW8" s="52">
        <f>IF(OR('RPM &amp; Discounts'!$B$3='A0.Support'!$B$3,'RPM &amp; Discounts'!$B$3='A0.Support'!$B$4),BW26,BW17*BW26)</f>
        <v>544.7854285714285</v>
      </c>
      <c r="BX8" s="52">
        <f>IF(OR('RPM &amp; Discounts'!$B$3='A0.Support'!$B$3,'RPM &amp; Discounts'!$B$3='A0.Support'!$B$4),BX26,BX17*BX26)</f>
        <v>647.28257142857137</v>
      </c>
      <c r="BY8" s="52">
        <f>IF(OR('RPM &amp; Discounts'!$B$3='A0.Support'!$B$3,'RPM &amp; Discounts'!$B$3='A0.Support'!$B$4),BY26,BY17*BY26)</f>
        <v>711.23399999999992</v>
      </c>
      <c r="BZ8" s="52">
        <f>IF(OR('RPM &amp; Discounts'!$B$3='A0.Support'!$B$3,'RPM &amp; Discounts'!$B$3='A0.Support'!$B$4),BZ26,BZ17*BZ26)</f>
        <v>741.16542857142849</v>
      </c>
      <c r="CA8" s="52">
        <f>IF(OR('RPM &amp; Discounts'!$B$3='A0.Support'!$B$3,'RPM &amp; Discounts'!$B$3='A0.Support'!$B$4),CA26,CA17*CA26)</f>
        <v>713.44542857142858</v>
      </c>
      <c r="CB8" s="52">
        <f>IF(OR('RPM &amp; Discounts'!$B$3='A0.Support'!$B$3,'RPM &amp; Discounts'!$B$3='A0.Support'!$B$4),CB26,CB17*CB26)</f>
        <v>611.79685714285711</v>
      </c>
      <c r="CC8" s="52">
        <f>IF(OR('RPM &amp; Discounts'!$B$3='A0.Support'!$B$3,'RPM &amp; Discounts'!$B$3='A0.Support'!$B$4),CC26,CC17*CC26)</f>
        <v>299.29114285714286</v>
      </c>
      <c r="CD8" s="52">
        <f>IF(OR('RPM &amp; Discounts'!$B$3='A0.Support'!$B$3,'RPM &amp; Discounts'!$B$3='A0.Support'!$B$4),CD26,CD17*CD26)</f>
        <v>323.82257142857139</v>
      </c>
      <c r="CE8" s="52">
        <f>IF(OR('RPM &amp; Discounts'!$B$3='A0.Support'!$B$3,'RPM &amp; Discounts'!$B$3='A0.Support'!$B$4),CE26,CE17*CE26)</f>
        <v>352.87971428571421</v>
      </c>
      <c r="CF8" s="52">
        <f>IF(OR('RPM &amp; Discounts'!$B$3='A0.Support'!$B$3,'RPM &amp; Discounts'!$B$3='A0.Support'!$B$4),CF26,CF17*CF26)</f>
        <v>410.01685714285708</v>
      </c>
      <c r="CG8" s="52">
        <f>IF(OR('RPM &amp; Discounts'!$B$3='A0.Support'!$B$3,'RPM &amp; Discounts'!$B$3='A0.Support'!$B$4),CG26,CG17*CG26)</f>
        <v>415.51971428571426</v>
      </c>
      <c r="CH8" s="52">
        <f>IF(OR('RPM &amp; Discounts'!$B$3='A0.Support'!$B$3,'RPM &amp; Discounts'!$B$3='A0.Support'!$B$4),CH26,CH17*CH26)</f>
        <v>509.71114285714282</v>
      </c>
      <c r="CI8" s="52">
        <f>IF(OR('RPM &amp; Discounts'!$B$3='A0.Support'!$B$3,'RPM &amp; Discounts'!$B$3='A0.Support'!$B$4),CI26,CI17*CI26)</f>
        <v>702.25971428571427</v>
      </c>
      <c r="CJ8" s="52">
        <f>IF(OR('RPM &amp; Discounts'!$B$3='A0.Support'!$B$3,'RPM &amp; Discounts'!$B$3='A0.Support'!$B$4),CJ26,CJ17*CJ26)</f>
        <v>702.26228571428555</v>
      </c>
      <c r="CK8" s="52">
        <f>IF(OR('RPM &amp; Discounts'!$B$3='A0.Support'!$B$3,'RPM &amp; Discounts'!$B$3='A0.Support'!$B$4),CK26,CK17*CK26)</f>
        <v>705.6565714285714</v>
      </c>
      <c r="CL8" s="52">
        <f>IF(OR('RPM &amp; Discounts'!$B$3='A0.Support'!$B$3,'RPM &amp; Discounts'!$B$3='A0.Support'!$B$4),CL26,CL17*CL26)</f>
        <v>702.26228571428555</v>
      </c>
      <c r="CM8" s="52">
        <f>IF(OR('RPM &amp; Discounts'!$B$3='A0.Support'!$B$3,'RPM &amp; Discounts'!$B$3='A0.Support'!$B$4),CM26,CM17*CM26)</f>
        <v>720.49114285714268</v>
      </c>
    </row>
    <row r="9" spans="2:91">
      <c r="B9" s="14" t="str">
        <f>'Input capacity'!B11</f>
        <v>Gas producers</v>
      </c>
      <c r="C9" s="52">
        <f>IF(OR('RPM &amp; Discounts'!$B$3='A0.Support'!$B$3,'RPM &amp; Discounts'!$B$3='A0.Support'!$B$4),C27,C18*C27)</f>
        <v>239.523</v>
      </c>
      <c r="D9" s="52">
        <f>IF(OR('RPM &amp; Discounts'!$B$3='A0.Support'!$B$3,'RPM &amp; Discounts'!$B$3='A0.Support'!$B$4),D27,D18*D27)</f>
        <v>307.55200000000002</v>
      </c>
      <c r="E9" s="52">
        <f>IF(OR('RPM &amp; Discounts'!$B$3='A0.Support'!$B$3,'RPM &amp; Discounts'!$B$3='A0.Support'!$B$4),E27,E18*E27)</f>
        <v>280.19299999999998</v>
      </c>
      <c r="F9" s="52">
        <f>IF(OR('RPM &amp; Discounts'!$B$3='A0.Support'!$B$3,'RPM &amp; Discounts'!$B$3='A0.Support'!$B$4),F27,F18*F27)</f>
        <v>9.9999999999989008E-4</v>
      </c>
      <c r="G9" s="52">
        <f>IF(OR('RPM &amp; Discounts'!$B$3='A0.Support'!$B$3,'RPM &amp; Discounts'!$B$3='A0.Support'!$B$4),G27,G18*G27)</f>
        <v>495.98228571428569</v>
      </c>
      <c r="H9" s="52">
        <f>IF(OR('RPM &amp; Discounts'!$B$3='A0.Support'!$B$3,'RPM &amp; Discounts'!$B$3='A0.Support'!$B$4),H27,H18*H27)</f>
        <v>529.41342857142854</v>
      </c>
      <c r="I9" s="52">
        <f>IF(OR('RPM &amp; Discounts'!$B$3='A0.Support'!$B$3,'RPM &amp; Discounts'!$B$3='A0.Support'!$B$4),I27,I18*I27)</f>
        <v>508.0422857142857</v>
      </c>
      <c r="J9" s="52">
        <f>IF(OR('RPM &amp; Discounts'!$B$3='A0.Support'!$B$3,'RPM &amp; Discounts'!$B$3='A0.Support'!$B$4),J27,J18*J27)</f>
        <v>529.41085714285714</v>
      </c>
      <c r="K9" s="52">
        <f>IF(OR('RPM &amp; Discounts'!$B$3='A0.Support'!$B$3,'RPM &amp; Discounts'!$B$3='A0.Support'!$B$4),K27,K18*K27)</f>
        <v>455.01942857142853</v>
      </c>
      <c r="L9" s="52">
        <f>IF(OR('RPM &amp; Discounts'!$B$3='A0.Support'!$B$3,'RPM &amp; Discounts'!$B$3='A0.Support'!$B$4),L27,L18*L27)</f>
        <v>423.15942857142858</v>
      </c>
      <c r="M9" s="52">
        <f>IF(OR('RPM &amp; Discounts'!$B$3='A0.Support'!$B$3,'RPM &amp; Discounts'!$B$3='A0.Support'!$B$4),M27,M18*M27)</f>
        <v>545.50799999999992</v>
      </c>
      <c r="N9" s="52">
        <f>IF(OR('RPM &amp; Discounts'!$B$3='A0.Support'!$B$3,'RPM &amp; Discounts'!$B$3='A0.Support'!$B$4),N27,N18*N27)</f>
        <v>380.2165714285714</v>
      </c>
      <c r="O9" s="52">
        <f>IF(OR('RPM &amp; Discounts'!$B$3='A0.Support'!$B$3,'RPM &amp; Discounts'!$B$3='A0.Support'!$B$4),O27,O18*O27)</f>
        <v>348.17657142857138</v>
      </c>
      <c r="P9" s="52">
        <f>IF(OR('RPM &amp; Discounts'!$B$3='A0.Support'!$B$3,'RPM &amp; Discounts'!$B$3='A0.Support'!$B$4),P27,P18*P27)</f>
        <v>423.41914285714284</v>
      </c>
      <c r="Q9" s="52">
        <f>IF(OR('RPM &amp; Discounts'!$B$3='A0.Support'!$B$3,'RPM &amp; Discounts'!$B$3='A0.Support'!$B$4),Q27,Q18*Q27)</f>
        <v>338.84228571428565</v>
      </c>
      <c r="R9" s="52">
        <f>IF(OR('RPM &amp; Discounts'!$B$3='A0.Support'!$B$3,'RPM &amp; Discounts'!$B$3='A0.Support'!$B$4),R27,R18*R27)</f>
        <v>392.2791428571428</v>
      </c>
      <c r="S9" s="52">
        <f>IF(OR('RPM &amp; Discounts'!$B$3='A0.Support'!$B$3,'RPM &amp; Discounts'!$B$3='A0.Support'!$B$4),S27,S18*S27)</f>
        <v>409.69028571428572</v>
      </c>
      <c r="T9" s="52">
        <f>IF(OR('RPM &amp; Discounts'!$B$3='A0.Support'!$B$3,'RPM &amp; Discounts'!$B$3='A0.Support'!$B$4),T27,T18*T27)</f>
        <v>332.23371428571426</v>
      </c>
      <c r="U9" s="52">
        <f>IF(OR('RPM &amp; Discounts'!$B$3='A0.Support'!$B$3,'RPM &amp; Discounts'!$B$3='A0.Support'!$B$4),U27,U18*U27)</f>
        <v>338.84485714285711</v>
      </c>
      <c r="V9" s="52">
        <f>IF(OR('RPM &amp; Discounts'!$B$3='A0.Support'!$B$3,'RPM &amp; Discounts'!$B$3='A0.Support'!$B$4),V27,V18*V27)</f>
        <v>409.68771428571426</v>
      </c>
      <c r="W9" s="52">
        <f>IF(OR('RPM &amp; Discounts'!$B$3='A0.Support'!$B$3,'RPM &amp; Discounts'!$B$3='A0.Support'!$B$4),W27,W18*W27)</f>
        <v>326.55085714285713</v>
      </c>
      <c r="X9" s="52">
        <f>IF(OR('RPM &amp; Discounts'!$B$3='A0.Support'!$B$3,'RPM &amp; Discounts'!$B$3='A0.Support'!$B$4),X27,X18*X27)</f>
        <v>297.15942857142852</v>
      </c>
      <c r="Y9" s="52">
        <f>IF(OR('RPM &amp; Discounts'!$B$3='A0.Support'!$B$3,'RPM &amp; Discounts'!$B$3='A0.Support'!$B$4),Y27,Y18*Y27)</f>
        <v>358.18199999999996</v>
      </c>
      <c r="Z9" s="52">
        <f>IF(OR('RPM &amp; Discounts'!$B$3='A0.Support'!$B$3,'RPM &amp; Discounts'!$B$3='A0.Support'!$B$4),Z27,Z18*Z27)</f>
        <v>358.17942857142856</v>
      </c>
      <c r="AA9" s="52">
        <f>IF(OR('RPM &amp; Discounts'!$B$3='A0.Support'!$B$3,'RPM &amp; Discounts'!$B$3='A0.Support'!$B$4),AA27,AA18*AA27)</f>
        <v>233.90228571428571</v>
      </c>
      <c r="AB9" s="52">
        <f>IF(OR('RPM &amp; Discounts'!$B$3='A0.Support'!$B$3,'RPM &amp; Discounts'!$B$3='A0.Support'!$B$4),AB27,AB18*AB27)</f>
        <v>146.62799999999999</v>
      </c>
      <c r="AC9" s="52">
        <f>IF(OR('RPM &amp; Discounts'!$B$3='A0.Support'!$B$3,'RPM &amp; Discounts'!$B$3='A0.Support'!$B$4),AC27,AC18*AC27)</f>
        <v>114.0222857142857</v>
      </c>
      <c r="AD9" s="52">
        <f>IF(OR('RPM &amp; Discounts'!$B$3='A0.Support'!$B$3,'RPM &amp; Discounts'!$B$3='A0.Support'!$B$4),AD27,AD18*AD27)</f>
        <v>97.127999999999986</v>
      </c>
      <c r="AE9" s="52">
        <f>IF(OR('RPM &amp; Discounts'!$B$3='A0.Support'!$B$3,'RPM &amp; Discounts'!$B$3='A0.Support'!$B$4),AE27,AE18*AE27)</f>
        <v>5.1428571428565771E-3</v>
      </c>
      <c r="AF9" s="52">
        <f>IF(OR('RPM &amp; Discounts'!$B$3='A0.Support'!$B$3,'RPM &amp; Discounts'!$B$3='A0.Support'!$B$4),AF27,AF18*AF27)</f>
        <v>25.488</v>
      </c>
      <c r="AG9" s="52">
        <f>IF(OR('RPM &amp; Discounts'!$B$3='A0.Support'!$B$3,'RPM &amp; Discounts'!$B$3='A0.Support'!$B$4),AG27,AG18*AG27)</f>
        <v>25.770857142857142</v>
      </c>
      <c r="AH9" s="52">
        <f>IF(OR('RPM &amp; Discounts'!$B$3='A0.Support'!$B$3,'RPM &amp; Discounts'!$B$3='A0.Support'!$B$4),AH27,AH18*AH27)</f>
        <v>59.379428571428562</v>
      </c>
      <c r="AI9" s="52">
        <f>IF(OR('RPM &amp; Discounts'!$B$3='A0.Support'!$B$3,'RPM &amp; Discounts'!$B$3='A0.Support'!$B$4),AI27,AI18*AI27)</f>
        <v>72.776571428571415</v>
      </c>
      <c r="AJ9" s="52">
        <f>IF(OR('RPM &amp; Discounts'!$B$3='A0.Support'!$B$3,'RPM &amp; Discounts'!$B$3='A0.Support'!$B$4),AJ27,AJ18*AJ27)</f>
        <v>59.381999999999991</v>
      </c>
      <c r="AK9" s="52">
        <f>IF(OR('RPM &amp; Discounts'!$B$3='A0.Support'!$B$3,'RPM &amp; Discounts'!$B$3='A0.Support'!$B$4),AK27,AK18*AK27)</f>
        <v>132.61371428571428</v>
      </c>
      <c r="AL9" s="52">
        <f>IF(OR('RPM &amp; Discounts'!$B$3='A0.Support'!$B$3,'RPM &amp; Discounts'!$B$3='A0.Support'!$B$4),AL27,AL18*AL27)</f>
        <v>158.12228571428568</v>
      </c>
      <c r="AM9" s="52">
        <f>IF(OR('RPM &amp; Discounts'!$B$3='A0.Support'!$B$3,'RPM &amp; Discounts'!$B$3='A0.Support'!$B$4),AM27,AM18*AM27)</f>
        <v>147.60514285714285</v>
      </c>
      <c r="AN9" s="52">
        <f>IF(OR('RPM &amp; Discounts'!$B$3='A0.Support'!$B$3,'RPM &amp; Discounts'!$B$3='A0.Support'!$B$4),AN27,AN18*AN27)</f>
        <v>162.13371428571426</v>
      </c>
      <c r="AO9" s="52">
        <f>IF(OR('RPM &amp; Discounts'!$B$3='A0.Support'!$B$3,'RPM &amp; Discounts'!$B$3='A0.Support'!$B$4),AO27,AO18*AO27)</f>
        <v>197.25942857142857</v>
      </c>
      <c r="AP9" s="52">
        <f>IF(OR('RPM &amp; Discounts'!$B$3='A0.Support'!$B$3,'RPM &amp; Discounts'!$B$3='A0.Support'!$B$4),AP27,AP18*AP27)</f>
        <v>215.51657142857141</v>
      </c>
      <c r="AQ9" s="52">
        <f>IF(OR('RPM &amp; Discounts'!$B$3='A0.Support'!$B$3,'RPM &amp; Discounts'!$B$3='A0.Support'!$B$4),AQ27,AQ18*AQ27)</f>
        <v>227.96228571428568</v>
      </c>
      <c r="AR9" s="52">
        <f>IF(OR('RPM &amp; Discounts'!$B$3='A0.Support'!$B$3,'RPM &amp; Discounts'!$B$3='A0.Support'!$B$4),AR27,AR18*AR27)</f>
        <v>240.79371428571426</v>
      </c>
      <c r="AS9" s="52">
        <f>IF(OR('RPM &amp; Discounts'!$B$3='A0.Support'!$B$3,'RPM &amp; Discounts'!$B$3='A0.Support'!$B$4),AS27,AS18*AS27)</f>
        <v>282.78514285714283</v>
      </c>
      <c r="AT9" s="52">
        <f>IF(OR('RPM &amp; Discounts'!$B$3='A0.Support'!$B$3,'RPM &amp; Discounts'!$B$3='A0.Support'!$B$4),AT27,AT18*AT27)</f>
        <v>300.99085714285712</v>
      </c>
      <c r="AU9" s="52">
        <f>IF(OR('RPM &amp; Discounts'!$B$3='A0.Support'!$B$3,'RPM &amp; Discounts'!$B$3='A0.Support'!$B$4),AU27,AU18*AU27)</f>
        <v>333.95914285714281</v>
      </c>
      <c r="AV9" s="52">
        <f>IF(OR('RPM &amp; Discounts'!$B$3='A0.Support'!$B$3,'RPM &amp; Discounts'!$B$3='A0.Support'!$B$4),AV27,AV18*AV27)</f>
        <v>333.95657142857141</v>
      </c>
      <c r="AW9" s="52">
        <f>IF(OR('RPM &amp; Discounts'!$B$3='A0.Support'!$B$3,'RPM &amp; Discounts'!$B$3='A0.Support'!$B$4),AW27,AW18*AW27)</f>
        <v>345.57942857142854</v>
      </c>
      <c r="AX9" s="52">
        <f>IF(OR('RPM &amp; Discounts'!$B$3='A0.Support'!$B$3,'RPM &amp; Discounts'!$B$3='A0.Support'!$B$4),AX27,AX18*AX27)</f>
        <v>368.10771428571422</v>
      </c>
      <c r="AY9" s="52">
        <f>IF(OR('RPM &amp; Discounts'!$B$3='A0.Support'!$B$3,'RPM &amp; Discounts'!$B$3='A0.Support'!$B$4),AY27,AY18*AY27)</f>
        <v>368.10514285714277</v>
      </c>
      <c r="AZ9" s="52">
        <f>IF(OR('RPM &amp; Discounts'!$B$3='A0.Support'!$B$3,'RPM &amp; Discounts'!$B$3='A0.Support'!$B$4),AZ27,AZ18*AZ27)</f>
        <v>401.94514285714286</v>
      </c>
      <c r="BA9" s="52">
        <f>IF(OR('RPM &amp; Discounts'!$B$3='A0.Support'!$B$3,'RPM &amp; Discounts'!$B$3='A0.Support'!$B$4),BA27,BA18*BA27)</f>
        <v>447.09942857142858</v>
      </c>
      <c r="BB9" s="52">
        <f>IF(OR('RPM &amp; Discounts'!$B$3='A0.Support'!$B$3,'RPM &amp; Discounts'!$B$3='A0.Support'!$B$4),BB27,BB18*BB27)</f>
        <v>484.10228571428564</v>
      </c>
      <c r="BC9" s="52">
        <f>IF(OR('RPM &amp; Discounts'!$B$3='A0.Support'!$B$3,'RPM &amp; Discounts'!$B$3='A0.Support'!$B$4),BC27,BC18*BC27)</f>
        <v>477.05657142857137</v>
      </c>
      <c r="BD9" s="52">
        <f>IF(OR('RPM &amp; Discounts'!$B$3='A0.Support'!$B$3,'RPM &amp; Discounts'!$B$3='A0.Support'!$B$4),BD27,BD18*BD27)</f>
        <v>489.11657142857138</v>
      </c>
      <c r="BE9" s="52">
        <f>IF(OR('RPM &amp; Discounts'!$B$3='A0.Support'!$B$3,'RPM &amp; Discounts'!$B$3='A0.Support'!$B$4),BE27,BE18*BE27)</f>
        <v>505.47085714285708</v>
      </c>
      <c r="BF9" s="52">
        <f>IF(OR('RPM &amp; Discounts'!$B$3='A0.Support'!$B$3,'RPM &amp; Discounts'!$B$3='A0.Support'!$B$4),BF27,BF18*BF27)</f>
        <v>529.8737142857143</v>
      </c>
      <c r="BG9" s="52">
        <f>IF(OR('RPM &amp; Discounts'!$B$3='A0.Support'!$B$3,'RPM &amp; Discounts'!$B$3='A0.Support'!$B$4),BG27,BG18*BG27)</f>
        <v>610.3851428571428</v>
      </c>
      <c r="BH9" s="52">
        <f>IF(OR('RPM &amp; Discounts'!$B$3='A0.Support'!$B$3,'RPM &amp; Discounts'!$B$3='A0.Support'!$B$4),BH27,BH18*BH27)</f>
        <v>556.35942857142845</v>
      </c>
      <c r="BI9" s="52">
        <f>IF(OR('RPM &amp; Discounts'!$B$3='A0.Support'!$B$3,'RPM &amp; Discounts'!$B$3='A0.Support'!$B$4),BI27,BI18*BI27)</f>
        <v>579.7337142857142</v>
      </c>
      <c r="BJ9" s="52">
        <f>IF(OR('RPM &amp; Discounts'!$B$3='A0.Support'!$B$3,'RPM &amp; Discounts'!$B$3='A0.Support'!$B$4),BJ27,BJ18*BJ27)</f>
        <v>616.06799999999987</v>
      </c>
      <c r="BK9" s="52">
        <f>IF(OR('RPM &amp; Discounts'!$B$3='A0.Support'!$B$3,'RPM &amp; Discounts'!$B$3='A0.Support'!$B$4),BK27,BK18*BK27)</f>
        <v>636.3308571428571</v>
      </c>
      <c r="BL9" s="52">
        <f>IF(OR('RPM &amp; Discounts'!$B$3='A0.Support'!$B$3,'RPM &amp; Discounts'!$B$3='A0.Support'!$B$4),BL27,BL18*BL27)</f>
        <v>707.22514285714271</v>
      </c>
      <c r="BM9" s="52">
        <f>IF(OR('RPM &amp; Discounts'!$B$3='A0.Support'!$B$3,'RPM &amp; Discounts'!$B$3='A0.Support'!$B$4),BM27,BM18*BM27)</f>
        <v>701.82514285714285</v>
      </c>
      <c r="BN9" s="52">
        <f>IF(OR('RPM &amp; Discounts'!$B$3='A0.Support'!$B$3,'RPM &amp; Discounts'!$B$3='A0.Support'!$B$4),BN27,BN18*BN27)</f>
        <v>778.55657142857137</v>
      </c>
      <c r="BO9" s="52">
        <f>IF(OR('RPM &amp; Discounts'!$B$3='A0.Support'!$B$3,'RPM &amp; Discounts'!$B$3='A0.Support'!$B$4),BO27,BO18*BO27)</f>
        <v>615.29657142857138</v>
      </c>
      <c r="BP9" s="52">
        <f>IF(OR('RPM &amp; Discounts'!$B$3='A0.Support'!$B$3,'RPM &amp; Discounts'!$B$3='A0.Support'!$B$4),BP27,BP18*BP27)</f>
        <v>349.46228571428566</v>
      </c>
      <c r="BQ9" s="52">
        <f>IF(OR('RPM &amp; Discounts'!$B$3='A0.Support'!$B$3,'RPM &amp; Discounts'!$B$3='A0.Support'!$B$4),BQ27,BQ18*BQ27)</f>
        <v>291.37371428571424</v>
      </c>
      <c r="BR9" s="52">
        <f>IF(OR('RPM &amp; Discounts'!$B$3='A0.Support'!$B$3,'RPM &amp; Discounts'!$B$3='A0.Support'!$B$4),BR27,BR18*BR27)</f>
        <v>304.38514285714285</v>
      </c>
      <c r="BS9" s="52">
        <f>IF(OR('RPM &amp; Discounts'!$B$3='A0.Support'!$B$3,'RPM &amp; Discounts'!$B$3='A0.Support'!$B$4),BS27,BS18*BS27)</f>
        <v>240.22799999999998</v>
      </c>
      <c r="BT9" s="52">
        <f>IF(OR('RPM &amp; Discounts'!$B$3='A0.Support'!$B$3,'RPM &amp; Discounts'!$B$3='A0.Support'!$B$4),BT27,BT18*BT27)</f>
        <v>193.47942857142857</v>
      </c>
      <c r="BU9" s="52">
        <f>IF(OR('RPM &amp; Discounts'!$B$3='A0.Support'!$B$3,'RPM &amp; Discounts'!$B$3='A0.Support'!$B$4),BU27,BU18*BU27)</f>
        <v>144.51942857142856</v>
      </c>
      <c r="BV9" s="52">
        <f>IF(OR('RPM &amp; Discounts'!$B$3='A0.Support'!$B$3,'RPM &amp; Discounts'!$B$3='A0.Support'!$B$4),BV27,BV18*BV27)</f>
        <v>59.070857142857143</v>
      </c>
      <c r="BW9" s="52">
        <f>IF(OR('RPM &amp; Discounts'!$B$3='A0.Support'!$B$3,'RPM &amp; Discounts'!$B$3='A0.Support'!$B$4),BW27,BW18*BW27)</f>
        <v>544.7879999999999</v>
      </c>
      <c r="BX9" s="52">
        <f>IF(OR('RPM &amp; Discounts'!$B$3='A0.Support'!$B$3,'RPM &amp; Discounts'!$B$3='A0.Support'!$B$4),BX27,BX18*BX27)</f>
        <v>647.28514285714277</v>
      </c>
      <c r="BY9" s="52">
        <f>IF(OR('RPM &amp; Discounts'!$B$3='A0.Support'!$B$3,'RPM &amp; Discounts'!$B$3='A0.Support'!$B$4),BY27,BY18*BY27)</f>
        <v>711.23657142857132</v>
      </c>
      <c r="BZ9" s="52">
        <f>IF(OR('RPM &amp; Discounts'!$B$3='A0.Support'!$B$3,'RPM &amp; Discounts'!$B$3='A0.Support'!$B$4),BZ27,BZ18*BZ27)</f>
        <v>741.16800000000001</v>
      </c>
      <c r="CA9" s="52">
        <f>IF(OR('RPM &amp; Discounts'!$B$3='A0.Support'!$B$3,'RPM &amp; Discounts'!$B$3='A0.Support'!$B$4),CA27,CA18*CA27)</f>
        <v>713.44799999999998</v>
      </c>
      <c r="CB9" s="52">
        <f>IF(OR('RPM &amp; Discounts'!$B$3='A0.Support'!$B$3,'RPM &amp; Discounts'!$B$3='A0.Support'!$B$4),CB27,CB18*CB27)</f>
        <v>611.79942857142851</v>
      </c>
      <c r="CC9" s="52">
        <f>IF(OR('RPM &amp; Discounts'!$B$3='A0.Support'!$B$3,'RPM &amp; Discounts'!$B$3='A0.Support'!$B$4),CC27,CC18*CC27)</f>
        <v>299.29371428571426</v>
      </c>
      <c r="CD9" s="52">
        <f>IF(OR('RPM &amp; Discounts'!$B$3='A0.Support'!$B$3,'RPM &amp; Discounts'!$B$3='A0.Support'!$B$4),CD27,CD18*CD27)</f>
        <v>323.82514285714285</v>
      </c>
      <c r="CE9" s="52">
        <f>IF(OR('RPM &amp; Discounts'!$B$3='A0.Support'!$B$3,'RPM &amp; Discounts'!$B$3='A0.Support'!$B$4),CE27,CE18*CE27)</f>
        <v>352.88228571428567</v>
      </c>
      <c r="CF9" s="52">
        <f>IF(OR('RPM &amp; Discounts'!$B$3='A0.Support'!$B$3,'RPM &amp; Discounts'!$B$3='A0.Support'!$B$4),CF27,CF18*CF27)</f>
        <v>410.01942857142853</v>
      </c>
      <c r="CG9" s="52">
        <f>IF(OR('RPM &amp; Discounts'!$B$3='A0.Support'!$B$3,'RPM &amp; Discounts'!$B$3='A0.Support'!$B$4),CG27,CG18*CG27)</f>
        <v>415.52228571428572</v>
      </c>
      <c r="CH9" s="52">
        <f>IF(OR('RPM &amp; Discounts'!$B$3='A0.Support'!$B$3,'RPM &amp; Discounts'!$B$3='A0.Support'!$B$4),CH27,CH18*CH27)</f>
        <v>509.71371428571427</v>
      </c>
      <c r="CI9" s="52">
        <f>IF(OR('RPM &amp; Discounts'!$B$3='A0.Support'!$B$3,'RPM &amp; Discounts'!$B$3='A0.Support'!$B$4),CI27,CI18*CI27)</f>
        <v>702.26228571428555</v>
      </c>
      <c r="CJ9" s="52">
        <f>IF(OR('RPM &amp; Discounts'!$B$3='A0.Support'!$B$3,'RPM &amp; Discounts'!$B$3='A0.Support'!$B$4),CJ27,CJ18*CJ27)</f>
        <v>702.26485714285707</v>
      </c>
      <c r="CK9" s="52">
        <f>IF(OR('RPM &amp; Discounts'!$B$3='A0.Support'!$B$3,'RPM &amp; Discounts'!$B$3='A0.Support'!$B$4),CK27,CK18*CK27)</f>
        <v>705.6591428571428</v>
      </c>
      <c r="CL9" s="52">
        <f>IF(OR('RPM &amp; Discounts'!$B$3='A0.Support'!$B$3,'RPM &amp; Discounts'!$B$3='A0.Support'!$B$4),CL27,CL18*CL27)</f>
        <v>702.26485714285707</v>
      </c>
      <c r="CM9" s="52">
        <f>IF(OR('RPM &amp; Discounts'!$B$3='A0.Support'!$B$3,'RPM &amp; Discounts'!$B$3='A0.Support'!$B$4),CM27,CM18*CM27)</f>
        <v>720.49371428571419</v>
      </c>
    </row>
    <row r="12" spans="2:91">
      <c r="B12" s="2" t="s">
        <v>5</v>
      </c>
      <c r="C12" s="41" t="str">
        <f>C3</f>
        <v>Exit point</v>
      </c>
      <c r="D12" s="42"/>
      <c r="E12" s="4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4"/>
    </row>
    <row r="13" spans="2:91">
      <c r="B13" s="46" t="str">
        <f>B4</f>
        <v>Entry point</v>
      </c>
      <c r="C13" s="45" t="str">
        <f>C$4</f>
        <v>CTS Campo Maior</v>
      </c>
      <c r="D13" s="45" t="str">
        <f t="shared" ref="D13:BO13" si="0">D$4</f>
        <v>CTS Valença do Minho</v>
      </c>
      <c r="E13" s="45" t="str">
        <f t="shared" si="0"/>
        <v>LNG Terminal Sines</v>
      </c>
      <c r="F13" s="45" t="str">
        <f t="shared" si="0"/>
        <v>Underground storage Carriço</v>
      </c>
      <c r="G13" s="45" t="str">
        <f t="shared" si="0"/>
        <v>GRMS 01059</v>
      </c>
      <c r="H13" s="45" t="str">
        <f t="shared" si="0"/>
        <v>GRMS 01109</v>
      </c>
      <c r="I13" s="45" t="str">
        <f t="shared" si="0"/>
        <v>GRMS 01119</v>
      </c>
      <c r="J13" s="45" t="str">
        <f t="shared" si="0"/>
        <v>GRMS 01129</v>
      </c>
      <c r="K13" s="45" t="str">
        <f t="shared" si="0"/>
        <v>GRMS 01139</v>
      </c>
      <c r="L13" s="45" t="str">
        <f t="shared" si="0"/>
        <v>GRMS 01149</v>
      </c>
      <c r="M13" s="45" t="str">
        <f t="shared" si="0"/>
        <v>GRMS 01159</v>
      </c>
      <c r="N13" s="45" t="str">
        <f t="shared" si="0"/>
        <v>GRMS 01179</v>
      </c>
      <c r="O13" s="45" t="str">
        <f t="shared" si="0"/>
        <v>GRMS 01189</v>
      </c>
      <c r="P13" s="45" t="str">
        <f t="shared" si="0"/>
        <v>GRMS 01209</v>
      </c>
      <c r="Q13" s="45" t="str">
        <f t="shared" si="0"/>
        <v>GRMS 01219</v>
      </c>
      <c r="R13" s="45" t="str">
        <f t="shared" si="0"/>
        <v>GRMS 01229</v>
      </c>
      <c r="S13" s="45" t="str">
        <f t="shared" si="0"/>
        <v>GRMS 01239</v>
      </c>
      <c r="T13" s="45" t="str">
        <f t="shared" si="0"/>
        <v>GRMS 01259</v>
      </c>
      <c r="U13" s="45" t="str">
        <f t="shared" si="0"/>
        <v>GRMS 01269</v>
      </c>
      <c r="V13" s="45" t="str">
        <f t="shared" si="0"/>
        <v>GRMS 01279</v>
      </c>
      <c r="W13" s="45" t="str">
        <f t="shared" si="0"/>
        <v>GRMS 01309</v>
      </c>
      <c r="X13" s="45" t="str">
        <f t="shared" si="0"/>
        <v>GRMS 01319</v>
      </c>
      <c r="Y13" s="45" t="str">
        <f t="shared" si="0"/>
        <v>GRMS 01359</v>
      </c>
      <c r="Z13" s="45" t="str">
        <f t="shared" si="0"/>
        <v>GRMS 01369</v>
      </c>
      <c r="AA13" s="45" t="str">
        <f t="shared" si="0"/>
        <v>GRMS 01409</v>
      </c>
      <c r="AB13" s="45" t="str">
        <f t="shared" si="0"/>
        <v>GRMS 02069</v>
      </c>
      <c r="AC13" s="45" t="str">
        <f t="shared" si="0"/>
        <v>GRMS 02089</v>
      </c>
      <c r="AD13" s="45" t="str">
        <f t="shared" si="0"/>
        <v>GRMS 02159</v>
      </c>
      <c r="AE13" s="45" t="str">
        <f t="shared" si="0"/>
        <v>GRMS 02509</v>
      </c>
      <c r="AF13" s="45" t="str">
        <f t="shared" si="0"/>
        <v>GRMS 02519</v>
      </c>
      <c r="AG13" s="45" t="str">
        <f t="shared" si="0"/>
        <v>GRMS 02539</v>
      </c>
      <c r="AH13" s="45" t="str">
        <f t="shared" si="0"/>
        <v>GRMS 02549</v>
      </c>
      <c r="AI13" s="45" t="str">
        <f t="shared" si="0"/>
        <v>GRMS 02559</v>
      </c>
      <c r="AJ13" s="45" t="str">
        <f t="shared" si="0"/>
        <v>GRMS 02569</v>
      </c>
      <c r="AK13" s="45" t="str">
        <f t="shared" si="0"/>
        <v>GRMS 02709</v>
      </c>
      <c r="AL13" s="45" t="str">
        <f t="shared" si="0"/>
        <v>GRMS 02719</v>
      </c>
      <c r="AM13" s="45" t="str">
        <f t="shared" si="0"/>
        <v>GRMS 02739</v>
      </c>
      <c r="AN13" s="45" t="str">
        <f t="shared" si="0"/>
        <v>GRMS 03009</v>
      </c>
      <c r="AO13" s="45" t="str">
        <f t="shared" si="0"/>
        <v>GRMS 03059</v>
      </c>
      <c r="AP13" s="45" t="str">
        <f t="shared" si="0"/>
        <v>GRMS 03069</v>
      </c>
      <c r="AQ13" s="45" t="str">
        <f t="shared" si="0"/>
        <v>GRMS 03109</v>
      </c>
      <c r="AR13" s="45" t="str">
        <f t="shared" si="0"/>
        <v>GRMS 03169</v>
      </c>
      <c r="AS13" s="45" t="str">
        <f t="shared" si="0"/>
        <v>GRMS 03219</v>
      </c>
      <c r="AT13" s="45" t="str">
        <f t="shared" si="0"/>
        <v>GRMS 03229</v>
      </c>
      <c r="AU13" s="45" t="str">
        <f t="shared" si="0"/>
        <v>GRMS 03259</v>
      </c>
      <c r="AV13" s="45" t="str">
        <f t="shared" si="0"/>
        <v>GRMS 03269</v>
      </c>
      <c r="AW13" s="45" t="str">
        <f t="shared" si="0"/>
        <v>GRMS 03309</v>
      </c>
      <c r="AX13" s="45" t="str">
        <f t="shared" si="0"/>
        <v>GRMS 03359</v>
      </c>
      <c r="AY13" s="45" t="str">
        <f t="shared" si="0"/>
        <v>GRMS 03369</v>
      </c>
      <c r="AZ13" s="45" t="str">
        <f t="shared" si="0"/>
        <v>GRMS 03459</v>
      </c>
      <c r="BA13" s="45" t="str">
        <f t="shared" si="0"/>
        <v>GRMS 03559</v>
      </c>
      <c r="BB13" s="45" t="str">
        <f t="shared" si="0"/>
        <v>GRMS 03609</v>
      </c>
      <c r="BC13" s="45" t="str">
        <f t="shared" si="0"/>
        <v>GRMS 03619</v>
      </c>
      <c r="BD13" s="45" t="str">
        <f t="shared" si="0"/>
        <v>GRMS 03659</v>
      </c>
      <c r="BE13" s="45" t="str">
        <f t="shared" si="0"/>
        <v>GRMS 04059</v>
      </c>
      <c r="BF13" s="45" t="str">
        <f t="shared" si="0"/>
        <v>GRMS 04109</v>
      </c>
      <c r="BG13" s="45" t="str">
        <f t="shared" si="0"/>
        <v>GRMS 04149</v>
      </c>
      <c r="BH13" s="45" t="str">
        <f t="shared" si="0"/>
        <v>GRMS 04159</v>
      </c>
      <c r="BI13" s="45" t="str">
        <f t="shared" si="0"/>
        <v>GRMS 04209</v>
      </c>
      <c r="BJ13" s="45" t="str">
        <f t="shared" si="0"/>
        <v>GRMS 05009</v>
      </c>
      <c r="BK13" s="45" t="str">
        <f t="shared" si="0"/>
        <v>GRMS 05119</v>
      </c>
      <c r="BL13" s="45" t="str">
        <f t="shared" si="0"/>
        <v>GRMS 05179</v>
      </c>
      <c r="BM13" s="45" t="str">
        <f t="shared" si="0"/>
        <v>GRMS 05309</v>
      </c>
      <c r="BN13" s="45" t="str">
        <f t="shared" si="0"/>
        <v>GRMS 05609</v>
      </c>
      <c r="BO13" s="45" t="str">
        <f t="shared" si="0"/>
        <v>GRMS 07009</v>
      </c>
      <c r="BP13" s="45" t="str">
        <f t="shared" ref="BP13:CM13" si="1">BP$4</f>
        <v>GRMS 08009</v>
      </c>
      <c r="BQ13" s="45" t="str">
        <f t="shared" si="1"/>
        <v>GRMS 08109</v>
      </c>
      <c r="BR13" s="45" t="str">
        <f t="shared" si="1"/>
        <v>GRMS 08119</v>
      </c>
      <c r="BS13" s="45" t="str">
        <f t="shared" si="1"/>
        <v>GRMS 08209</v>
      </c>
      <c r="BT13" s="45" t="str">
        <f t="shared" si="1"/>
        <v>GRMS 08309</v>
      </c>
      <c r="BU13" s="45" t="str">
        <f t="shared" si="1"/>
        <v>GRMS 08409</v>
      </c>
      <c r="BV13" s="45" t="str">
        <f t="shared" si="1"/>
        <v>GRMS 08559</v>
      </c>
      <c r="BW13" s="45" t="str">
        <f t="shared" si="1"/>
        <v>GRMS 10079</v>
      </c>
      <c r="BX13" s="45" t="str">
        <f t="shared" si="1"/>
        <v>GRMS 10159</v>
      </c>
      <c r="BY13" s="45" t="str">
        <f t="shared" si="1"/>
        <v>GRMS 10209</v>
      </c>
      <c r="BZ13" s="45" t="str">
        <f t="shared" si="1"/>
        <v>GRMS 10309</v>
      </c>
      <c r="CA13" s="45" t="str">
        <f t="shared" si="1"/>
        <v>GRMS 10359</v>
      </c>
      <c r="CB13" s="45" t="str">
        <f t="shared" si="1"/>
        <v>GRMS 10459</v>
      </c>
      <c r="CC13" s="45" t="str">
        <f t="shared" si="1"/>
        <v>GRMS 11109</v>
      </c>
      <c r="CD13" s="45" t="str">
        <f t="shared" si="1"/>
        <v>GRMS 11159</v>
      </c>
      <c r="CE13" s="45" t="str">
        <f t="shared" si="1"/>
        <v>GRMS 11209</v>
      </c>
      <c r="CF13" s="45" t="str">
        <f t="shared" si="1"/>
        <v>GRMS 11279</v>
      </c>
      <c r="CG13" s="45" t="str">
        <f t="shared" si="1"/>
        <v>GRMS 11309</v>
      </c>
      <c r="CH13" s="45" t="str">
        <f t="shared" si="1"/>
        <v>GRMS 12209</v>
      </c>
      <c r="CI13" s="45" t="str">
        <f t="shared" si="1"/>
        <v>GRMS 12609</v>
      </c>
      <c r="CJ13" s="45" t="str">
        <f t="shared" si="1"/>
        <v>GRMS 12619</v>
      </c>
      <c r="CK13" s="45" t="str">
        <f t="shared" si="1"/>
        <v>GRMS 12619B</v>
      </c>
      <c r="CL13" s="45" t="str">
        <f t="shared" si="1"/>
        <v>GRMS 12629</v>
      </c>
      <c r="CM13" s="45" t="str">
        <f t="shared" si="1"/>
        <v>GRMS 12809</v>
      </c>
    </row>
    <row r="14" spans="2:91">
      <c r="B14" s="14" t="str">
        <f>B5</f>
        <v>CTS Campo Maior</v>
      </c>
      <c r="C14" s="50">
        <f>'Input data'!$D$198</f>
        <v>1</v>
      </c>
      <c r="D14" s="50">
        <f>'Input data'!$D$198</f>
        <v>1</v>
      </c>
      <c r="E14" s="50">
        <f>'Input data'!$D$198</f>
        <v>1</v>
      </c>
      <c r="F14" s="50">
        <f>'Input data'!$D$198</f>
        <v>1</v>
      </c>
      <c r="G14" s="51">
        <f>'Input data'!$D$197</f>
        <v>2.5714285714285712</v>
      </c>
      <c r="H14" s="51">
        <f>'Input data'!$D$197</f>
        <v>2.5714285714285712</v>
      </c>
      <c r="I14" s="51">
        <f>'Input data'!$D$197</f>
        <v>2.5714285714285712</v>
      </c>
      <c r="J14" s="51">
        <f>'Input data'!$D$197</f>
        <v>2.5714285714285712</v>
      </c>
      <c r="K14" s="51">
        <f>'Input data'!$D$197</f>
        <v>2.5714285714285712</v>
      </c>
      <c r="L14" s="51">
        <f>'Input data'!$D$197</f>
        <v>2.5714285714285712</v>
      </c>
      <c r="M14" s="51">
        <f>'Input data'!$D$197</f>
        <v>2.5714285714285712</v>
      </c>
      <c r="N14" s="51">
        <f>'Input data'!$D$197</f>
        <v>2.5714285714285712</v>
      </c>
      <c r="O14" s="51">
        <f>'Input data'!$D$197</f>
        <v>2.5714285714285712</v>
      </c>
      <c r="P14" s="51">
        <f>'Input data'!$D$197</f>
        <v>2.5714285714285712</v>
      </c>
      <c r="Q14" s="51">
        <f>'Input data'!$D$197</f>
        <v>2.5714285714285712</v>
      </c>
      <c r="R14" s="51">
        <f>'Input data'!$D$197</f>
        <v>2.5714285714285712</v>
      </c>
      <c r="S14" s="51">
        <f>'Input data'!$D$197</f>
        <v>2.5714285714285712</v>
      </c>
      <c r="T14" s="51">
        <f>'Input data'!$D$197</f>
        <v>2.5714285714285712</v>
      </c>
      <c r="U14" s="51">
        <f>'Input data'!$D$197</f>
        <v>2.5714285714285712</v>
      </c>
      <c r="V14" s="51">
        <f>'Input data'!$D$197</f>
        <v>2.5714285714285712</v>
      </c>
      <c r="W14" s="51">
        <f>'Input data'!$D$197</f>
        <v>2.5714285714285712</v>
      </c>
      <c r="X14" s="51">
        <f>'Input data'!$D$197</f>
        <v>2.5714285714285712</v>
      </c>
      <c r="Y14" s="51">
        <f>'Input data'!$D$197</f>
        <v>2.5714285714285712</v>
      </c>
      <c r="Z14" s="51">
        <f>'Input data'!$D$197</f>
        <v>2.5714285714285712</v>
      </c>
      <c r="AA14" s="51">
        <f>'Input data'!$D$197</f>
        <v>2.5714285714285712</v>
      </c>
      <c r="AB14" s="51">
        <f>'Input data'!$D$197</f>
        <v>2.5714285714285712</v>
      </c>
      <c r="AC14" s="51">
        <f>'Input data'!$D$197</f>
        <v>2.5714285714285712</v>
      </c>
      <c r="AD14" s="51">
        <f>'Input data'!$D$197</f>
        <v>2.5714285714285712</v>
      </c>
      <c r="AE14" s="51">
        <f>'Input data'!$D$197</f>
        <v>2.5714285714285712</v>
      </c>
      <c r="AF14" s="51">
        <f>'Input data'!$D$197</f>
        <v>2.5714285714285712</v>
      </c>
      <c r="AG14" s="51">
        <f>'Input data'!$D$197</f>
        <v>2.5714285714285712</v>
      </c>
      <c r="AH14" s="51">
        <f>'Input data'!$D$197</f>
        <v>2.5714285714285712</v>
      </c>
      <c r="AI14" s="51">
        <f>'Input data'!$D$197</f>
        <v>2.5714285714285712</v>
      </c>
      <c r="AJ14" s="51">
        <f>'Input data'!$D$197</f>
        <v>2.5714285714285712</v>
      </c>
      <c r="AK14" s="51">
        <f>'Input data'!$D$197</f>
        <v>2.5714285714285712</v>
      </c>
      <c r="AL14" s="51">
        <f>'Input data'!$D$197</f>
        <v>2.5714285714285712</v>
      </c>
      <c r="AM14" s="51">
        <f>'Input data'!$D$197</f>
        <v>2.5714285714285712</v>
      </c>
      <c r="AN14" s="51">
        <f>'Input data'!$D$197</f>
        <v>2.5714285714285712</v>
      </c>
      <c r="AO14" s="51">
        <f>'Input data'!$D$197</f>
        <v>2.5714285714285712</v>
      </c>
      <c r="AP14" s="51">
        <f>'Input data'!$D$197</f>
        <v>2.5714285714285712</v>
      </c>
      <c r="AQ14" s="51">
        <f>'Input data'!$D$197</f>
        <v>2.5714285714285712</v>
      </c>
      <c r="AR14" s="51">
        <f>'Input data'!$D$197</f>
        <v>2.5714285714285712</v>
      </c>
      <c r="AS14" s="51">
        <f>'Input data'!$D$197</f>
        <v>2.5714285714285712</v>
      </c>
      <c r="AT14" s="51">
        <f>'Input data'!$D$197</f>
        <v>2.5714285714285712</v>
      </c>
      <c r="AU14" s="51">
        <f>'Input data'!$D$197</f>
        <v>2.5714285714285712</v>
      </c>
      <c r="AV14" s="51">
        <f>'Input data'!$D$197</f>
        <v>2.5714285714285712</v>
      </c>
      <c r="AW14" s="51">
        <f>'Input data'!$D$197</f>
        <v>2.5714285714285712</v>
      </c>
      <c r="AX14" s="51">
        <f>'Input data'!$D$197</f>
        <v>2.5714285714285712</v>
      </c>
      <c r="AY14" s="51">
        <f>'Input data'!$D$197</f>
        <v>2.5714285714285712</v>
      </c>
      <c r="AZ14" s="51">
        <f>'Input data'!$D$197</f>
        <v>2.5714285714285712</v>
      </c>
      <c r="BA14" s="51">
        <f>'Input data'!$D$197</f>
        <v>2.5714285714285712</v>
      </c>
      <c r="BB14" s="51">
        <f>'Input data'!$D$197</f>
        <v>2.5714285714285712</v>
      </c>
      <c r="BC14" s="51">
        <f>'Input data'!$D$197</f>
        <v>2.5714285714285712</v>
      </c>
      <c r="BD14" s="51">
        <f>'Input data'!$D$197</f>
        <v>2.5714285714285712</v>
      </c>
      <c r="BE14" s="51">
        <f>'Input data'!$D$197</f>
        <v>2.5714285714285712</v>
      </c>
      <c r="BF14" s="51">
        <f>'Input data'!$D$197</f>
        <v>2.5714285714285712</v>
      </c>
      <c r="BG14" s="51">
        <f>'Input data'!$D$197</f>
        <v>2.5714285714285712</v>
      </c>
      <c r="BH14" s="51">
        <f>'Input data'!$D$197</f>
        <v>2.5714285714285712</v>
      </c>
      <c r="BI14" s="51">
        <f>'Input data'!$D$197</f>
        <v>2.5714285714285712</v>
      </c>
      <c r="BJ14" s="51">
        <f>'Input data'!$D$197</f>
        <v>2.5714285714285712</v>
      </c>
      <c r="BK14" s="51">
        <f>'Input data'!$D$197</f>
        <v>2.5714285714285712</v>
      </c>
      <c r="BL14" s="51">
        <f>'Input data'!$D$197</f>
        <v>2.5714285714285712</v>
      </c>
      <c r="BM14" s="51">
        <f>'Input data'!$D$197</f>
        <v>2.5714285714285712</v>
      </c>
      <c r="BN14" s="51">
        <f>'Input data'!$D$197</f>
        <v>2.5714285714285712</v>
      </c>
      <c r="BO14" s="51">
        <f>'Input data'!$D$197</f>
        <v>2.5714285714285712</v>
      </c>
      <c r="BP14" s="51">
        <f>'Input data'!$D$197</f>
        <v>2.5714285714285712</v>
      </c>
      <c r="BQ14" s="51">
        <f>'Input data'!$D$197</f>
        <v>2.5714285714285712</v>
      </c>
      <c r="BR14" s="51">
        <f>'Input data'!$D$197</f>
        <v>2.5714285714285712</v>
      </c>
      <c r="BS14" s="51">
        <f>'Input data'!$D$197</f>
        <v>2.5714285714285712</v>
      </c>
      <c r="BT14" s="51">
        <f>'Input data'!$D$197</f>
        <v>2.5714285714285712</v>
      </c>
      <c r="BU14" s="51">
        <f>'Input data'!$D$197</f>
        <v>2.5714285714285712</v>
      </c>
      <c r="BV14" s="51">
        <f>'Input data'!$D$197</f>
        <v>2.5714285714285712</v>
      </c>
      <c r="BW14" s="51">
        <f>'Input data'!$D$197</f>
        <v>2.5714285714285712</v>
      </c>
      <c r="BX14" s="51">
        <f>'Input data'!$D$197</f>
        <v>2.5714285714285712</v>
      </c>
      <c r="BY14" s="51">
        <f>'Input data'!$D$197</f>
        <v>2.5714285714285712</v>
      </c>
      <c r="BZ14" s="51">
        <f>'Input data'!$D$197</f>
        <v>2.5714285714285712</v>
      </c>
      <c r="CA14" s="51">
        <f>'Input data'!$D$197</f>
        <v>2.5714285714285712</v>
      </c>
      <c r="CB14" s="51">
        <f>'Input data'!$D$197</f>
        <v>2.5714285714285712</v>
      </c>
      <c r="CC14" s="51">
        <f>'Input data'!$D$197</f>
        <v>2.5714285714285712</v>
      </c>
      <c r="CD14" s="51">
        <f>'Input data'!$D$197</f>
        <v>2.5714285714285712</v>
      </c>
      <c r="CE14" s="51">
        <f>'Input data'!$D$197</f>
        <v>2.5714285714285712</v>
      </c>
      <c r="CF14" s="51">
        <f>'Input data'!$D$197</f>
        <v>2.5714285714285712</v>
      </c>
      <c r="CG14" s="51">
        <f>'Input data'!$D$197</f>
        <v>2.5714285714285712</v>
      </c>
      <c r="CH14" s="51">
        <f>'Input data'!$D$197</f>
        <v>2.5714285714285712</v>
      </c>
      <c r="CI14" s="51">
        <f>'Input data'!$D$197</f>
        <v>2.5714285714285712</v>
      </c>
      <c r="CJ14" s="51">
        <f>'Input data'!$D$197</f>
        <v>2.5714285714285712</v>
      </c>
      <c r="CK14" s="51">
        <f>'Input data'!$D$197</f>
        <v>2.5714285714285712</v>
      </c>
      <c r="CL14" s="51">
        <f>'Input data'!$D$197</f>
        <v>2.5714285714285712</v>
      </c>
      <c r="CM14" s="51">
        <f>'Input data'!$D$197</f>
        <v>2.5714285714285712</v>
      </c>
    </row>
    <row r="15" spans="2:91">
      <c r="B15" s="14" t="str">
        <f t="shared" ref="B15:B18" si="2">B6</f>
        <v>CTS Valença do Minho</v>
      </c>
      <c r="C15" s="50">
        <f>'Input data'!$D$198</f>
        <v>1</v>
      </c>
      <c r="D15" s="50">
        <f>'Input data'!$D$198</f>
        <v>1</v>
      </c>
      <c r="E15" s="50">
        <f>'Input data'!$D$198</f>
        <v>1</v>
      </c>
      <c r="F15" s="50">
        <f>'Input data'!$D$198</f>
        <v>1</v>
      </c>
      <c r="G15" s="51">
        <f>'Input data'!$D$197</f>
        <v>2.5714285714285712</v>
      </c>
      <c r="H15" s="51">
        <f>'Input data'!$D$197</f>
        <v>2.5714285714285712</v>
      </c>
      <c r="I15" s="51">
        <f>'Input data'!$D$197</f>
        <v>2.5714285714285712</v>
      </c>
      <c r="J15" s="51">
        <f>'Input data'!$D$197</f>
        <v>2.5714285714285712</v>
      </c>
      <c r="K15" s="51">
        <f>'Input data'!$D$197</f>
        <v>2.5714285714285712</v>
      </c>
      <c r="L15" s="51">
        <f>'Input data'!$D$197</f>
        <v>2.5714285714285712</v>
      </c>
      <c r="M15" s="51">
        <f>'Input data'!$D$197</f>
        <v>2.5714285714285712</v>
      </c>
      <c r="N15" s="51">
        <f>'Input data'!$D$197</f>
        <v>2.5714285714285712</v>
      </c>
      <c r="O15" s="51">
        <f>'Input data'!$D$197</f>
        <v>2.5714285714285712</v>
      </c>
      <c r="P15" s="51">
        <f>'Input data'!$D$197</f>
        <v>2.5714285714285712</v>
      </c>
      <c r="Q15" s="51">
        <f>'Input data'!$D$197</f>
        <v>2.5714285714285712</v>
      </c>
      <c r="R15" s="51">
        <f>'Input data'!$D$197</f>
        <v>2.5714285714285712</v>
      </c>
      <c r="S15" s="51">
        <f>'Input data'!$D$197</f>
        <v>2.5714285714285712</v>
      </c>
      <c r="T15" s="51">
        <f>'Input data'!$D$197</f>
        <v>2.5714285714285712</v>
      </c>
      <c r="U15" s="51">
        <f>'Input data'!$D$197</f>
        <v>2.5714285714285712</v>
      </c>
      <c r="V15" s="51">
        <f>'Input data'!$D$197</f>
        <v>2.5714285714285712</v>
      </c>
      <c r="W15" s="51">
        <f>'Input data'!$D$197</f>
        <v>2.5714285714285712</v>
      </c>
      <c r="X15" s="51">
        <f>'Input data'!$D$197</f>
        <v>2.5714285714285712</v>
      </c>
      <c r="Y15" s="51">
        <f>'Input data'!$D$197</f>
        <v>2.5714285714285712</v>
      </c>
      <c r="Z15" s="51">
        <f>'Input data'!$D$197</f>
        <v>2.5714285714285712</v>
      </c>
      <c r="AA15" s="51">
        <f>'Input data'!$D$197</f>
        <v>2.5714285714285712</v>
      </c>
      <c r="AB15" s="51">
        <f>'Input data'!$D$197</f>
        <v>2.5714285714285712</v>
      </c>
      <c r="AC15" s="51">
        <f>'Input data'!$D$197</f>
        <v>2.5714285714285712</v>
      </c>
      <c r="AD15" s="51">
        <f>'Input data'!$D$197</f>
        <v>2.5714285714285712</v>
      </c>
      <c r="AE15" s="51">
        <f>'Input data'!$D$197</f>
        <v>2.5714285714285712</v>
      </c>
      <c r="AF15" s="51">
        <f>'Input data'!$D$197</f>
        <v>2.5714285714285712</v>
      </c>
      <c r="AG15" s="51">
        <f>'Input data'!$D$197</f>
        <v>2.5714285714285712</v>
      </c>
      <c r="AH15" s="51">
        <f>'Input data'!$D$197</f>
        <v>2.5714285714285712</v>
      </c>
      <c r="AI15" s="51">
        <f>'Input data'!$D$197</f>
        <v>2.5714285714285712</v>
      </c>
      <c r="AJ15" s="51">
        <f>'Input data'!$D$197</f>
        <v>2.5714285714285712</v>
      </c>
      <c r="AK15" s="51">
        <f>'Input data'!$D$197</f>
        <v>2.5714285714285712</v>
      </c>
      <c r="AL15" s="51">
        <f>'Input data'!$D$197</f>
        <v>2.5714285714285712</v>
      </c>
      <c r="AM15" s="51">
        <f>'Input data'!$D$197</f>
        <v>2.5714285714285712</v>
      </c>
      <c r="AN15" s="51">
        <f>'Input data'!$D$197</f>
        <v>2.5714285714285712</v>
      </c>
      <c r="AO15" s="51">
        <f>'Input data'!$D$197</f>
        <v>2.5714285714285712</v>
      </c>
      <c r="AP15" s="51">
        <f>'Input data'!$D$197</f>
        <v>2.5714285714285712</v>
      </c>
      <c r="AQ15" s="51">
        <f>'Input data'!$D$197</f>
        <v>2.5714285714285712</v>
      </c>
      <c r="AR15" s="51">
        <f>'Input data'!$D$197</f>
        <v>2.5714285714285712</v>
      </c>
      <c r="AS15" s="51">
        <f>'Input data'!$D$197</f>
        <v>2.5714285714285712</v>
      </c>
      <c r="AT15" s="51">
        <f>'Input data'!$D$197</f>
        <v>2.5714285714285712</v>
      </c>
      <c r="AU15" s="51">
        <f>'Input data'!$D$197</f>
        <v>2.5714285714285712</v>
      </c>
      <c r="AV15" s="51">
        <f>'Input data'!$D$197</f>
        <v>2.5714285714285712</v>
      </c>
      <c r="AW15" s="51">
        <f>'Input data'!$D$197</f>
        <v>2.5714285714285712</v>
      </c>
      <c r="AX15" s="51">
        <f>'Input data'!$D$197</f>
        <v>2.5714285714285712</v>
      </c>
      <c r="AY15" s="51">
        <f>'Input data'!$D$197</f>
        <v>2.5714285714285712</v>
      </c>
      <c r="AZ15" s="51">
        <f>'Input data'!$D$197</f>
        <v>2.5714285714285712</v>
      </c>
      <c r="BA15" s="51">
        <f>'Input data'!$D$197</f>
        <v>2.5714285714285712</v>
      </c>
      <c r="BB15" s="51">
        <f>'Input data'!$D$197</f>
        <v>2.5714285714285712</v>
      </c>
      <c r="BC15" s="51">
        <f>'Input data'!$D$197</f>
        <v>2.5714285714285712</v>
      </c>
      <c r="BD15" s="51">
        <f>'Input data'!$D$197</f>
        <v>2.5714285714285712</v>
      </c>
      <c r="BE15" s="51">
        <f>'Input data'!$D$197</f>
        <v>2.5714285714285712</v>
      </c>
      <c r="BF15" s="51">
        <f>'Input data'!$D$197</f>
        <v>2.5714285714285712</v>
      </c>
      <c r="BG15" s="51">
        <f>'Input data'!$D$197</f>
        <v>2.5714285714285712</v>
      </c>
      <c r="BH15" s="51">
        <f>'Input data'!$D$197</f>
        <v>2.5714285714285712</v>
      </c>
      <c r="BI15" s="51">
        <f>'Input data'!$D$197</f>
        <v>2.5714285714285712</v>
      </c>
      <c r="BJ15" s="51">
        <f>'Input data'!$D$197</f>
        <v>2.5714285714285712</v>
      </c>
      <c r="BK15" s="51">
        <f>'Input data'!$D$197</f>
        <v>2.5714285714285712</v>
      </c>
      <c r="BL15" s="51">
        <f>'Input data'!$D$197</f>
        <v>2.5714285714285712</v>
      </c>
      <c r="BM15" s="51">
        <f>'Input data'!$D$197</f>
        <v>2.5714285714285712</v>
      </c>
      <c r="BN15" s="51">
        <f>'Input data'!$D$197</f>
        <v>2.5714285714285712</v>
      </c>
      <c r="BO15" s="51">
        <f>'Input data'!$D$197</f>
        <v>2.5714285714285712</v>
      </c>
      <c r="BP15" s="51">
        <f>'Input data'!$D$197</f>
        <v>2.5714285714285712</v>
      </c>
      <c r="BQ15" s="51">
        <f>'Input data'!$D$197</f>
        <v>2.5714285714285712</v>
      </c>
      <c r="BR15" s="51">
        <f>'Input data'!$D$197</f>
        <v>2.5714285714285712</v>
      </c>
      <c r="BS15" s="51">
        <f>'Input data'!$D$197</f>
        <v>2.5714285714285712</v>
      </c>
      <c r="BT15" s="51">
        <f>'Input data'!$D$197</f>
        <v>2.5714285714285712</v>
      </c>
      <c r="BU15" s="51">
        <f>'Input data'!$D$197</f>
        <v>2.5714285714285712</v>
      </c>
      <c r="BV15" s="51">
        <f>'Input data'!$D$197</f>
        <v>2.5714285714285712</v>
      </c>
      <c r="BW15" s="51">
        <f>'Input data'!$D$197</f>
        <v>2.5714285714285712</v>
      </c>
      <c r="BX15" s="51">
        <f>'Input data'!$D$197</f>
        <v>2.5714285714285712</v>
      </c>
      <c r="BY15" s="51">
        <f>'Input data'!$D$197</f>
        <v>2.5714285714285712</v>
      </c>
      <c r="BZ15" s="51">
        <f>'Input data'!$D$197</f>
        <v>2.5714285714285712</v>
      </c>
      <c r="CA15" s="51">
        <f>'Input data'!$D$197</f>
        <v>2.5714285714285712</v>
      </c>
      <c r="CB15" s="51">
        <f>'Input data'!$D$197</f>
        <v>2.5714285714285712</v>
      </c>
      <c r="CC15" s="51">
        <f>'Input data'!$D$197</f>
        <v>2.5714285714285712</v>
      </c>
      <c r="CD15" s="51">
        <f>'Input data'!$D$197</f>
        <v>2.5714285714285712</v>
      </c>
      <c r="CE15" s="51">
        <f>'Input data'!$D$197</f>
        <v>2.5714285714285712</v>
      </c>
      <c r="CF15" s="51">
        <f>'Input data'!$D$197</f>
        <v>2.5714285714285712</v>
      </c>
      <c r="CG15" s="51">
        <f>'Input data'!$D$197</f>
        <v>2.5714285714285712</v>
      </c>
      <c r="CH15" s="51">
        <f>'Input data'!$D$197</f>
        <v>2.5714285714285712</v>
      </c>
      <c r="CI15" s="51">
        <f>'Input data'!$D$197</f>
        <v>2.5714285714285712</v>
      </c>
      <c r="CJ15" s="51">
        <f>'Input data'!$D$197</f>
        <v>2.5714285714285712</v>
      </c>
      <c r="CK15" s="51">
        <f>'Input data'!$D$197</f>
        <v>2.5714285714285712</v>
      </c>
      <c r="CL15" s="51">
        <f>'Input data'!$D$197</f>
        <v>2.5714285714285712</v>
      </c>
      <c r="CM15" s="51">
        <f>'Input data'!$D$197</f>
        <v>2.5714285714285712</v>
      </c>
    </row>
    <row r="16" spans="2:91">
      <c r="B16" s="14" t="str">
        <f t="shared" si="2"/>
        <v>LNG Terminal Sines</v>
      </c>
      <c r="C16" s="50">
        <f>'Input data'!$D$198</f>
        <v>1</v>
      </c>
      <c r="D16" s="50">
        <f>'Input data'!$D$198</f>
        <v>1</v>
      </c>
      <c r="E16" s="50">
        <f>'Input data'!$D$198</f>
        <v>1</v>
      </c>
      <c r="F16" s="50">
        <f>'Input data'!$D$198</f>
        <v>1</v>
      </c>
      <c r="G16" s="51">
        <f>'Input data'!$D$197</f>
        <v>2.5714285714285712</v>
      </c>
      <c r="H16" s="51">
        <f>'Input data'!$D$197</f>
        <v>2.5714285714285712</v>
      </c>
      <c r="I16" s="51">
        <f>'Input data'!$D$197</f>
        <v>2.5714285714285712</v>
      </c>
      <c r="J16" s="51">
        <f>'Input data'!$D$197</f>
        <v>2.5714285714285712</v>
      </c>
      <c r="K16" s="51">
        <f>'Input data'!$D$197</f>
        <v>2.5714285714285712</v>
      </c>
      <c r="L16" s="51">
        <f>'Input data'!$D$197</f>
        <v>2.5714285714285712</v>
      </c>
      <c r="M16" s="51">
        <f>'Input data'!$D$197</f>
        <v>2.5714285714285712</v>
      </c>
      <c r="N16" s="51">
        <f>'Input data'!$D$197</f>
        <v>2.5714285714285712</v>
      </c>
      <c r="O16" s="51">
        <f>'Input data'!$D$197</f>
        <v>2.5714285714285712</v>
      </c>
      <c r="P16" s="51">
        <f>'Input data'!$D$197</f>
        <v>2.5714285714285712</v>
      </c>
      <c r="Q16" s="51">
        <f>'Input data'!$D$197</f>
        <v>2.5714285714285712</v>
      </c>
      <c r="R16" s="51">
        <f>'Input data'!$D$197</f>
        <v>2.5714285714285712</v>
      </c>
      <c r="S16" s="51">
        <f>'Input data'!$D$197</f>
        <v>2.5714285714285712</v>
      </c>
      <c r="T16" s="51">
        <f>'Input data'!$D$197</f>
        <v>2.5714285714285712</v>
      </c>
      <c r="U16" s="51">
        <f>'Input data'!$D$197</f>
        <v>2.5714285714285712</v>
      </c>
      <c r="V16" s="51">
        <f>'Input data'!$D$197</f>
        <v>2.5714285714285712</v>
      </c>
      <c r="W16" s="51">
        <f>'Input data'!$D$197</f>
        <v>2.5714285714285712</v>
      </c>
      <c r="X16" s="51">
        <f>'Input data'!$D$197</f>
        <v>2.5714285714285712</v>
      </c>
      <c r="Y16" s="51">
        <f>'Input data'!$D$197</f>
        <v>2.5714285714285712</v>
      </c>
      <c r="Z16" s="51">
        <f>'Input data'!$D$197</f>
        <v>2.5714285714285712</v>
      </c>
      <c r="AA16" s="51">
        <f>'Input data'!$D$197</f>
        <v>2.5714285714285712</v>
      </c>
      <c r="AB16" s="51">
        <f>'Input data'!$D$197</f>
        <v>2.5714285714285712</v>
      </c>
      <c r="AC16" s="51">
        <f>'Input data'!$D$197</f>
        <v>2.5714285714285712</v>
      </c>
      <c r="AD16" s="51">
        <f>'Input data'!$D$197</f>
        <v>2.5714285714285712</v>
      </c>
      <c r="AE16" s="51">
        <f>'Input data'!$D$197</f>
        <v>2.5714285714285712</v>
      </c>
      <c r="AF16" s="51">
        <f>'Input data'!$D$197</f>
        <v>2.5714285714285712</v>
      </c>
      <c r="AG16" s="51">
        <f>'Input data'!$D$197</f>
        <v>2.5714285714285712</v>
      </c>
      <c r="AH16" s="51">
        <f>'Input data'!$D$197</f>
        <v>2.5714285714285712</v>
      </c>
      <c r="AI16" s="51">
        <f>'Input data'!$D$197</f>
        <v>2.5714285714285712</v>
      </c>
      <c r="AJ16" s="51">
        <f>'Input data'!$D$197</f>
        <v>2.5714285714285712</v>
      </c>
      <c r="AK16" s="51">
        <f>'Input data'!$D$197</f>
        <v>2.5714285714285712</v>
      </c>
      <c r="AL16" s="51">
        <f>'Input data'!$D$197</f>
        <v>2.5714285714285712</v>
      </c>
      <c r="AM16" s="51">
        <f>'Input data'!$D$197</f>
        <v>2.5714285714285712</v>
      </c>
      <c r="AN16" s="51">
        <f>'Input data'!$D$197</f>
        <v>2.5714285714285712</v>
      </c>
      <c r="AO16" s="51">
        <f>'Input data'!$D$197</f>
        <v>2.5714285714285712</v>
      </c>
      <c r="AP16" s="51">
        <f>'Input data'!$D$197</f>
        <v>2.5714285714285712</v>
      </c>
      <c r="AQ16" s="51">
        <f>'Input data'!$D$197</f>
        <v>2.5714285714285712</v>
      </c>
      <c r="AR16" s="51">
        <f>'Input data'!$D$197</f>
        <v>2.5714285714285712</v>
      </c>
      <c r="AS16" s="51">
        <f>'Input data'!$D$197</f>
        <v>2.5714285714285712</v>
      </c>
      <c r="AT16" s="51">
        <f>'Input data'!$D$197</f>
        <v>2.5714285714285712</v>
      </c>
      <c r="AU16" s="51">
        <f>'Input data'!$D$197</f>
        <v>2.5714285714285712</v>
      </c>
      <c r="AV16" s="51">
        <f>'Input data'!$D$197</f>
        <v>2.5714285714285712</v>
      </c>
      <c r="AW16" s="51">
        <f>'Input data'!$D$197</f>
        <v>2.5714285714285712</v>
      </c>
      <c r="AX16" s="51">
        <f>'Input data'!$D$197</f>
        <v>2.5714285714285712</v>
      </c>
      <c r="AY16" s="51">
        <f>'Input data'!$D$197</f>
        <v>2.5714285714285712</v>
      </c>
      <c r="AZ16" s="51">
        <f>'Input data'!$D$197</f>
        <v>2.5714285714285712</v>
      </c>
      <c r="BA16" s="51">
        <f>'Input data'!$D$197</f>
        <v>2.5714285714285712</v>
      </c>
      <c r="BB16" s="51">
        <f>'Input data'!$D$197</f>
        <v>2.5714285714285712</v>
      </c>
      <c r="BC16" s="51">
        <f>'Input data'!$D$197</f>
        <v>2.5714285714285712</v>
      </c>
      <c r="BD16" s="51">
        <f>'Input data'!$D$197</f>
        <v>2.5714285714285712</v>
      </c>
      <c r="BE16" s="51">
        <f>'Input data'!$D$197</f>
        <v>2.5714285714285712</v>
      </c>
      <c r="BF16" s="51">
        <f>'Input data'!$D$197</f>
        <v>2.5714285714285712</v>
      </c>
      <c r="BG16" s="51">
        <f>'Input data'!$D$197</f>
        <v>2.5714285714285712</v>
      </c>
      <c r="BH16" s="51">
        <f>'Input data'!$D$197</f>
        <v>2.5714285714285712</v>
      </c>
      <c r="BI16" s="51">
        <f>'Input data'!$D$197</f>
        <v>2.5714285714285712</v>
      </c>
      <c r="BJ16" s="51">
        <f>'Input data'!$D$197</f>
        <v>2.5714285714285712</v>
      </c>
      <c r="BK16" s="51">
        <f>'Input data'!$D$197</f>
        <v>2.5714285714285712</v>
      </c>
      <c r="BL16" s="51">
        <f>'Input data'!$D$197</f>
        <v>2.5714285714285712</v>
      </c>
      <c r="BM16" s="51">
        <f>'Input data'!$D$197</f>
        <v>2.5714285714285712</v>
      </c>
      <c r="BN16" s="51">
        <f>'Input data'!$D$197</f>
        <v>2.5714285714285712</v>
      </c>
      <c r="BO16" s="51">
        <f>'Input data'!$D$197</f>
        <v>2.5714285714285712</v>
      </c>
      <c r="BP16" s="51">
        <f>'Input data'!$D$197</f>
        <v>2.5714285714285712</v>
      </c>
      <c r="BQ16" s="51">
        <f>'Input data'!$D$197</f>
        <v>2.5714285714285712</v>
      </c>
      <c r="BR16" s="51">
        <f>'Input data'!$D$197</f>
        <v>2.5714285714285712</v>
      </c>
      <c r="BS16" s="51">
        <f>'Input data'!$D$197</f>
        <v>2.5714285714285712</v>
      </c>
      <c r="BT16" s="51">
        <f>'Input data'!$D$197</f>
        <v>2.5714285714285712</v>
      </c>
      <c r="BU16" s="51">
        <f>'Input data'!$D$197</f>
        <v>2.5714285714285712</v>
      </c>
      <c r="BV16" s="51">
        <f>'Input data'!$D$197</f>
        <v>2.5714285714285712</v>
      </c>
      <c r="BW16" s="51">
        <f>'Input data'!$D$197</f>
        <v>2.5714285714285712</v>
      </c>
      <c r="BX16" s="51">
        <f>'Input data'!$D$197</f>
        <v>2.5714285714285712</v>
      </c>
      <c r="BY16" s="51">
        <f>'Input data'!$D$197</f>
        <v>2.5714285714285712</v>
      </c>
      <c r="BZ16" s="51">
        <f>'Input data'!$D$197</f>
        <v>2.5714285714285712</v>
      </c>
      <c r="CA16" s="51">
        <f>'Input data'!$D$197</f>
        <v>2.5714285714285712</v>
      </c>
      <c r="CB16" s="51">
        <f>'Input data'!$D$197</f>
        <v>2.5714285714285712</v>
      </c>
      <c r="CC16" s="51">
        <f>'Input data'!$D$197</f>
        <v>2.5714285714285712</v>
      </c>
      <c r="CD16" s="51">
        <f>'Input data'!$D$197</f>
        <v>2.5714285714285712</v>
      </c>
      <c r="CE16" s="51">
        <f>'Input data'!$D$197</f>
        <v>2.5714285714285712</v>
      </c>
      <c r="CF16" s="51">
        <f>'Input data'!$D$197</f>
        <v>2.5714285714285712</v>
      </c>
      <c r="CG16" s="51">
        <f>'Input data'!$D$197</f>
        <v>2.5714285714285712</v>
      </c>
      <c r="CH16" s="51">
        <f>'Input data'!$D$197</f>
        <v>2.5714285714285712</v>
      </c>
      <c r="CI16" s="51">
        <f>'Input data'!$D$197</f>
        <v>2.5714285714285712</v>
      </c>
      <c r="CJ16" s="51">
        <f>'Input data'!$D$197</f>
        <v>2.5714285714285712</v>
      </c>
      <c r="CK16" s="51">
        <f>'Input data'!$D$197</f>
        <v>2.5714285714285712</v>
      </c>
      <c r="CL16" s="51">
        <f>'Input data'!$D$197</f>
        <v>2.5714285714285712</v>
      </c>
      <c r="CM16" s="51">
        <f>'Input data'!$D$197</f>
        <v>2.5714285714285712</v>
      </c>
    </row>
    <row r="17" spans="2:91">
      <c r="B17" s="14" t="str">
        <f t="shared" si="2"/>
        <v>Underground storage Carriço</v>
      </c>
      <c r="C17" s="50">
        <f>'Input data'!$D$198</f>
        <v>1</v>
      </c>
      <c r="D17" s="50">
        <f>'Input data'!$D$198</f>
        <v>1</v>
      </c>
      <c r="E17" s="50">
        <f>'Input data'!$D$198</f>
        <v>1</v>
      </c>
      <c r="F17" s="50">
        <f>'Input data'!$D$198</f>
        <v>1</v>
      </c>
      <c r="G17" s="51">
        <f>'Input data'!$D$197</f>
        <v>2.5714285714285712</v>
      </c>
      <c r="H17" s="51">
        <f>'Input data'!$D$197</f>
        <v>2.5714285714285712</v>
      </c>
      <c r="I17" s="51">
        <f>'Input data'!$D$197</f>
        <v>2.5714285714285712</v>
      </c>
      <c r="J17" s="51">
        <f>'Input data'!$D$197</f>
        <v>2.5714285714285712</v>
      </c>
      <c r="K17" s="51">
        <f>'Input data'!$D$197</f>
        <v>2.5714285714285712</v>
      </c>
      <c r="L17" s="51">
        <f>'Input data'!$D$197</f>
        <v>2.5714285714285712</v>
      </c>
      <c r="M17" s="51">
        <f>'Input data'!$D$197</f>
        <v>2.5714285714285712</v>
      </c>
      <c r="N17" s="51">
        <f>'Input data'!$D$197</f>
        <v>2.5714285714285712</v>
      </c>
      <c r="O17" s="51">
        <f>'Input data'!$D$197</f>
        <v>2.5714285714285712</v>
      </c>
      <c r="P17" s="51">
        <f>'Input data'!$D$197</f>
        <v>2.5714285714285712</v>
      </c>
      <c r="Q17" s="51">
        <f>'Input data'!$D$197</f>
        <v>2.5714285714285712</v>
      </c>
      <c r="R17" s="51">
        <f>'Input data'!$D$197</f>
        <v>2.5714285714285712</v>
      </c>
      <c r="S17" s="51">
        <f>'Input data'!$D$197</f>
        <v>2.5714285714285712</v>
      </c>
      <c r="T17" s="51">
        <f>'Input data'!$D$197</f>
        <v>2.5714285714285712</v>
      </c>
      <c r="U17" s="51">
        <f>'Input data'!$D$197</f>
        <v>2.5714285714285712</v>
      </c>
      <c r="V17" s="51">
        <f>'Input data'!$D$197</f>
        <v>2.5714285714285712</v>
      </c>
      <c r="W17" s="51">
        <f>'Input data'!$D$197</f>
        <v>2.5714285714285712</v>
      </c>
      <c r="X17" s="51">
        <f>'Input data'!$D$197</f>
        <v>2.5714285714285712</v>
      </c>
      <c r="Y17" s="51">
        <f>'Input data'!$D$197</f>
        <v>2.5714285714285712</v>
      </c>
      <c r="Z17" s="51">
        <f>'Input data'!$D$197</f>
        <v>2.5714285714285712</v>
      </c>
      <c r="AA17" s="51">
        <f>'Input data'!$D$197</f>
        <v>2.5714285714285712</v>
      </c>
      <c r="AB17" s="51">
        <f>'Input data'!$D$197</f>
        <v>2.5714285714285712</v>
      </c>
      <c r="AC17" s="51">
        <f>'Input data'!$D$197</f>
        <v>2.5714285714285712</v>
      </c>
      <c r="AD17" s="51">
        <f>'Input data'!$D$197</f>
        <v>2.5714285714285712</v>
      </c>
      <c r="AE17" s="51">
        <f>'Input data'!$D$197</f>
        <v>2.5714285714285712</v>
      </c>
      <c r="AF17" s="51">
        <f>'Input data'!$D$197</f>
        <v>2.5714285714285712</v>
      </c>
      <c r="AG17" s="51">
        <f>'Input data'!$D$197</f>
        <v>2.5714285714285712</v>
      </c>
      <c r="AH17" s="51">
        <f>'Input data'!$D$197</f>
        <v>2.5714285714285712</v>
      </c>
      <c r="AI17" s="51">
        <f>'Input data'!$D$197</f>
        <v>2.5714285714285712</v>
      </c>
      <c r="AJ17" s="51">
        <f>'Input data'!$D$197</f>
        <v>2.5714285714285712</v>
      </c>
      <c r="AK17" s="51">
        <f>'Input data'!$D$197</f>
        <v>2.5714285714285712</v>
      </c>
      <c r="AL17" s="51">
        <f>'Input data'!$D$197</f>
        <v>2.5714285714285712</v>
      </c>
      <c r="AM17" s="51">
        <f>'Input data'!$D$197</f>
        <v>2.5714285714285712</v>
      </c>
      <c r="AN17" s="51">
        <f>'Input data'!$D$197</f>
        <v>2.5714285714285712</v>
      </c>
      <c r="AO17" s="51">
        <f>'Input data'!$D$197</f>
        <v>2.5714285714285712</v>
      </c>
      <c r="AP17" s="51">
        <f>'Input data'!$D$197</f>
        <v>2.5714285714285712</v>
      </c>
      <c r="AQ17" s="51">
        <f>'Input data'!$D$197</f>
        <v>2.5714285714285712</v>
      </c>
      <c r="AR17" s="51">
        <f>'Input data'!$D$197</f>
        <v>2.5714285714285712</v>
      </c>
      <c r="AS17" s="51">
        <f>'Input data'!$D$197</f>
        <v>2.5714285714285712</v>
      </c>
      <c r="AT17" s="51">
        <f>'Input data'!$D$197</f>
        <v>2.5714285714285712</v>
      </c>
      <c r="AU17" s="51">
        <f>'Input data'!$D$197</f>
        <v>2.5714285714285712</v>
      </c>
      <c r="AV17" s="51">
        <f>'Input data'!$D$197</f>
        <v>2.5714285714285712</v>
      </c>
      <c r="AW17" s="51">
        <f>'Input data'!$D$197</f>
        <v>2.5714285714285712</v>
      </c>
      <c r="AX17" s="51">
        <f>'Input data'!$D$197</f>
        <v>2.5714285714285712</v>
      </c>
      <c r="AY17" s="51">
        <f>'Input data'!$D$197</f>
        <v>2.5714285714285712</v>
      </c>
      <c r="AZ17" s="51">
        <f>'Input data'!$D$197</f>
        <v>2.5714285714285712</v>
      </c>
      <c r="BA17" s="51">
        <f>'Input data'!$D$197</f>
        <v>2.5714285714285712</v>
      </c>
      <c r="BB17" s="51">
        <f>'Input data'!$D$197</f>
        <v>2.5714285714285712</v>
      </c>
      <c r="BC17" s="51">
        <f>'Input data'!$D$197</f>
        <v>2.5714285714285712</v>
      </c>
      <c r="BD17" s="51">
        <f>'Input data'!$D$197</f>
        <v>2.5714285714285712</v>
      </c>
      <c r="BE17" s="51">
        <f>'Input data'!$D$197</f>
        <v>2.5714285714285712</v>
      </c>
      <c r="BF17" s="51">
        <f>'Input data'!$D$197</f>
        <v>2.5714285714285712</v>
      </c>
      <c r="BG17" s="51">
        <f>'Input data'!$D$197</f>
        <v>2.5714285714285712</v>
      </c>
      <c r="BH17" s="51">
        <f>'Input data'!$D$197</f>
        <v>2.5714285714285712</v>
      </c>
      <c r="BI17" s="51">
        <f>'Input data'!$D$197</f>
        <v>2.5714285714285712</v>
      </c>
      <c r="BJ17" s="51">
        <f>'Input data'!$D$197</f>
        <v>2.5714285714285712</v>
      </c>
      <c r="BK17" s="51">
        <f>'Input data'!$D$197</f>
        <v>2.5714285714285712</v>
      </c>
      <c r="BL17" s="51">
        <f>'Input data'!$D$197</f>
        <v>2.5714285714285712</v>
      </c>
      <c r="BM17" s="51">
        <f>'Input data'!$D$197</f>
        <v>2.5714285714285712</v>
      </c>
      <c r="BN17" s="51">
        <f>'Input data'!$D$197</f>
        <v>2.5714285714285712</v>
      </c>
      <c r="BO17" s="51">
        <f>'Input data'!$D$197</f>
        <v>2.5714285714285712</v>
      </c>
      <c r="BP17" s="51">
        <f>'Input data'!$D$197</f>
        <v>2.5714285714285712</v>
      </c>
      <c r="BQ17" s="51">
        <f>'Input data'!$D$197</f>
        <v>2.5714285714285712</v>
      </c>
      <c r="BR17" s="51">
        <f>'Input data'!$D$197</f>
        <v>2.5714285714285712</v>
      </c>
      <c r="BS17" s="51">
        <f>'Input data'!$D$197</f>
        <v>2.5714285714285712</v>
      </c>
      <c r="BT17" s="51">
        <f>'Input data'!$D$197</f>
        <v>2.5714285714285712</v>
      </c>
      <c r="BU17" s="51">
        <f>'Input data'!$D$197</f>
        <v>2.5714285714285712</v>
      </c>
      <c r="BV17" s="51">
        <f>'Input data'!$D$197</f>
        <v>2.5714285714285712</v>
      </c>
      <c r="BW17" s="51">
        <f>'Input data'!$D$197</f>
        <v>2.5714285714285712</v>
      </c>
      <c r="BX17" s="51">
        <f>'Input data'!$D$197</f>
        <v>2.5714285714285712</v>
      </c>
      <c r="BY17" s="51">
        <f>'Input data'!$D$197</f>
        <v>2.5714285714285712</v>
      </c>
      <c r="BZ17" s="51">
        <f>'Input data'!$D$197</f>
        <v>2.5714285714285712</v>
      </c>
      <c r="CA17" s="51">
        <f>'Input data'!$D$197</f>
        <v>2.5714285714285712</v>
      </c>
      <c r="CB17" s="51">
        <f>'Input data'!$D$197</f>
        <v>2.5714285714285712</v>
      </c>
      <c r="CC17" s="51">
        <f>'Input data'!$D$197</f>
        <v>2.5714285714285712</v>
      </c>
      <c r="CD17" s="51">
        <f>'Input data'!$D$197</f>
        <v>2.5714285714285712</v>
      </c>
      <c r="CE17" s="51">
        <f>'Input data'!$D$197</f>
        <v>2.5714285714285712</v>
      </c>
      <c r="CF17" s="51">
        <f>'Input data'!$D$197</f>
        <v>2.5714285714285712</v>
      </c>
      <c r="CG17" s="51">
        <f>'Input data'!$D$197</f>
        <v>2.5714285714285712</v>
      </c>
      <c r="CH17" s="51">
        <f>'Input data'!$D$197</f>
        <v>2.5714285714285712</v>
      </c>
      <c r="CI17" s="51">
        <f>'Input data'!$D$197</f>
        <v>2.5714285714285712</v>
      </c>
      <c r="CJ17" s="51">
        <f>'Input data'!$D$197</f>
        <v>2.5714285714285712</v>
      </c>
      <c r="CK17" s="51">
        <f>'Input data'!$D$197</f>
        <v>2.5714285714285712</v>
      </c>
      <c r="CL17" s="51">
        <f>'Input data'!$D$197</f>
        <v>2.5714285714285712</v>
      </c>
      <c r="CM17" s="51">
        <f>'Input data'!$D$197</f>
        <v>2.5714285714285712</v>
      </c>
    </row>
    <row r="18" spans="2:91">
      <c r="B18" s="14" t="str">
        <f t="shared" si="2"/>
        <v>Gas producers</v>
      </c>
      <c r="C18" s="50">
        <f>'Input data'!$D$198</f>
        <v>1</v>
      </c>
      <c r="D18" s="50">
        <f>'Input data'!$D$198</f>
        <v>1</v>
      </c>
      <c r="E18" s="50">
        <f>'Input data'!$D$198</f>
        <v>1</v>
      </c>
      <c r="F18" s="50">
        <f>'Input data'!$D$198</f>
        <v>1</v>
      </c>
      <c r="G18" s="51">
        <f>'Input data'!$D$197</f>
        <v>2.5714285714285712</v>
      </c>
      <c r="H18" s="51">
        <f>'Input data'!$D$197</f>
        <v>2.5714285714285712</v>
      </c>
      <c r="I18" s="51">
        <f>'Input data'!$D$197</f>
        <v>2.5714285714285712</v>
      </c>
      <c r="J18" s="51">
        <f>'Input data'!$D$197</f>
        <v>2.5714285714285712</v>
      </c>
      <c r="K18" s="51">
        <f>'Input data'!$D$197</f>
        <v>2.5714285714285712</v>
      </c>
      <c r="L18" s="51">
        <f>'Input data'!$D$197</f>
        <v>2.5714285714285712</v>
      </c>
      <c r="M18" s="51">
        <f>'Input data'!$D$197</f>
        <v>2.5714285714285712</v>
      </c>
      <c r="N18" s="51">
        <f>'Input data'!$D$197</f>
        <v>2.5714285714285712</v>
      </c>
      <c r="O18" s="51">
        <f>'Input data'!$D$197</f>
        <v>2.5714285714285712</v>
      </c>
      <c r="P18" s="51">
        <f>'Input data'!$D$197</f>
        <v>2.5714285714285712</v>
      </c>
      <c r="Q18" s="51">
        <f>'Input data'!$D$197</f>
        <v>2.5714285714285712</v>
      </c>
      <c r="R18" s="51">
        <f>'Input data'!$D$197</f>
        <v>2.5714285714285712</v>
      </c>
      <c r="S18" s="51">
        <f>'Input data'!$D$197</f>
        <v>2.5714285714285712</v>
      </c>
      <c r="T18" s="51">
        <f>'Input data'!$D$197</f>
        <v>2.5714285714285712</v>
      </c>
      <c r="U18" s="51">
        <f>'Input data'!$D$197</f>
        <v>2.5714285714285712</v>
      </c>
      <c r="V18" s="51">
        <f>'Input data'!$D$197</f>
        <v>2.5714285714285712</v>
      </c>
      <c r="W18" s="51">
        <f>'Input data'!$D$197</f>
        <v>2.5714285714285712</v>
      </c>
      <c r="X18" s="51">
        <f>'Input data'!$D$197</f>
        <v>2.5714285714285712</v>
      </c>
      <c r="Y18" s="51">
        <f>'Input data'!$D$197</f>
        <v>2.5714285714285712</v>
      </c>
      <c r="Z18" s="51">
        <f>'Input data'!$D$197</f>
        <v>2.5714285714285712</v>
      </c>
      <c r="AA18" s="51">
        <f>'Input data'!$D$197</f>
        <v>2.5714285714285712</v>
      </c>
      <c r="AB18" s="51">
        <f>'Input data'!$D$197</f>
        <v>2.5714285714285712</v>
      </c>
      <c r="AC18" s="51">
        <f>'Input data'!$D$197</f>
        <v>2.5714285714285712</v>
      </c>
      <c r="AD18" s="51">
        <f>'Input data'!$D$197</f>
        <v>2.5714285714285712</v>
      </c>
      <c r="AE18" s="51">
        <f>'Input data'!$D$197</f>
        <v>2.5714285714285712</v>
      </c>
      <c r="AF18" s="51">
        <f>'Input data'!$D$197</f>
        <v>2.5714285714285712</v>
      </c>
      <c r="AG18" s="51">
        <f>'Input data'!$D$197</f>
        <v>2.5714285714285712</v>
      </c>
      <c r="AH18" s="51">
        <f>'Input data'!$D$197</f>
        <v>2.5714285714285712</v>
      </c>
      <c r="AI18" s="51">
        <f>'Input data'!$D$197</f>
        <v>2.5714285714285712</v>
      </c>
      <c r="AJ18" s="51">
        <f>'Input data'!$D$197</f>
        <v>2.5714285714285712</v>
      </c>
      <c r="AK18" s="51">
        <f>'Input data'!$D$197</f>
        <v>2.5714285714285712</v>
      </c>
      <c r="AL18" s="51">
        <f>'Input data'!$D$197</f>
        <v>2.5714285714285712</v>
      </c>
      <c r="AM18" s="51">
        <f>'Input data'!$D$197</f>
        <v>2.5714285714285712</v>
      </c>
      <c r="AN18" s="51">
        <f>'Input data'!$D$197</f>
        <v>2.5714285714285712</v>
      </c>
      <c r="AO18" s="51">
        <f>'Input data'!$D$197</f>
        <v>2.5714285714285712</v>
      </c>
      <c r="AP18" s="51">
        <f>'Input data'!$D$197</f>
        <v>2.5714285714285712</v>
      </c>
      <c r="AQ18" s="51">
        <f>'Input data'!$D$197</f>
        <v>2.5714285714285712</v>
      </c>
      <c r="AR18" s="51">
        <f>'Input data'!$D$197</f>
        <v>2.5714285714285712</v>
      </c>
      <c r="AS18" s="51">
        <f>'Input data'!$D$197</f>
        <v>2.5714285714285712</v>
      </c>
      <c r="AT18" s="51">
        <f>'Input data'!$D$197</f>
        <v>2.5714285714285712</v>
      </c>
      <c r="AU18" s="51">
        <f>'Input data'!$D$197</f>
        <v>2.5714285714285712</v>
      </c>
      <c r="AV18" s="51">
        <f>'Input data'!$D$197</f>
        <v>2.5714285714285712</v>
      </c>
      <c r="AW18" s="51">
        <f>'Input data'!$D$197</f>
        <v>2.5714285714285712</v>
      </c>
      <c r="AX18" s="51">
        <f>'Input data'!$D$197</f>
        <v>2.5714285714285712</v>
      </c>
      <c r="AY18" s="51">
        <f>'Input data'!$D$197</f>
        <v>2.5714285714285712</v>
      </c>
      <c r="AZ18" s="51">
        <f>'Input data'!$D$197</f>
        <v>2.5714285714285712</v>
      </c>
      <c r="BA18" s="51">
        <f>'Input data'!$D$197</f>
        <v>2.5714285714285712</v>
      </c>
      <c r="BB18" s="51">
        <f>'Input data'!$D$197</f>
        <v>2.5714285714285712</v>
      </c>
      <c r="BC18" s="51">
        <f>'Input data'!$D$197</f>
        <v>2.5714285714285712</v>
      </c>
      <c r="BD18" s="51">
        <f>'Input data'!$D$197</f>
        <v>2.5714285714285712</v>
      </c>
      <c r="BE18" s="51">
        <f>'Input data'!$D$197</f>
        <v>2.5714285714285712</v>
      </c>
      <c r="BF18" s="51">
        <f>'Input data'!$D$197</f>
        <v>2.5714285714285712</v>
      </c>
      <c r="BG18" s="51">
        <f>'Input data'!$D$197</f>
        <v>2.5714285714285712</v>
      </c>
      <c r="BH18" s="51">
        <f>'Input data'!$D$197</f>
        <v>2.5714285714285712</v>
      </c>
      <c r="BI18" s="51">
        <f>'Input data'!$D$197</f>
        <v>2.5714285714285712</v>
      </c>
      <c r="BJ18" s="51">
        <f>'Input data'!$D$197</f>
        <v>2.5714285714285712</v>
      </c>
      <c r="BK18" s="51">
        <f>'Input data'!$D$197</f>
        <v>2.5714285714285712</v>
      </c>
      <c r="BL18" s="51">
        <f>'Input data'!$D$197</f>
        <v>2.5714285714285712</v>
      </c>
      <c r="BM18" s="51">
        <f>'Input data'!$D$197</f>
        <v>2.5714285714285712</v>
      </c>
      <c r="BN18" s="51">
        <f>'Input data'!$D$197</f>
        <v>2.5714285714285712</v>
      </c>
      <c r="BO18" s="51">
        <f>'Input data'!$D$197</f>
        <v>2.5714285714285712</v>
      </c>
      <c r="BP18" s="51">
        <f>'Input data'!$D$197</f>
        <v>2.5714285714285712</v>
      </c>
      <c r="BQ18" s="51">
        <f>'Input data'!$D$197</f>
        <v>2.5714285714285712</v>
      </c>
      <c r="BR18" s="51">
        <f>'Input data'!$D$197</f>
        <v>2.5714285714285712</v>
      </c>
      <c r="BS18" s="51">
        <f>'Input data'!$D$197</f>
        <v>2.5714285714285712</v>
      </c>
      <c r="BT18" s="51">
        <f>'Input data'!$D$197</f>
        <v>2.5714285714285712</v>
      </c>
      <c r="BU18" s="51">
        <f>'Input data'!$D$197</f>
        <v>2.5714285714285712</v>
      </c>
      <c r="BV18" s="51">
        <f>'Input data'!$D$197</f>
        <v>2.5714285714285712</v>
      </c>
      <c r="BW18" s="51">
        <f>'Input data'!$D$197</f>
        <v>2.5714285714285712</v>
      </c>
      <c r="BX18" s="51">
        <f>'Input data'!$D$197</f>
        <v>2.5714285714285712</v>
      </c>
      <c r="BY18" s="51">
        <f>'Input data'!$D$197</f>
        <v>2.5714285714285712</v>
      </c>
      <c r="BZ18" s="51">
        <f>'Input data'!$D$197</f>
        <v>2.5714285714285712</v>
      </c>
      <c r="CA18" s="51">
        <f>'Input data'!$D$197</f>
        <v>2.5714285714285712</v>
      </c>
      <c r="CB18" s="51">
        <f>'Input data'!$D$197</f>
        <v>2.5714285714285712</v>
      </c>
      <c r="CC18" s="51">
        <f>'Input data'!$D$197</f>
        <v>2.5714285714285712</v>
      </c>
      <c r="CD18" s="51">
        <f>'Input data'!$D$197</f>
        <v>2.5714285714285712</v>
      </c>
      <c r="CE18" s="51">
        <f>'Input data'!$D$197</f>
        <v>2.5714285714285712</v>
      </c>
      <c r="CF18" s="51">
        <f>'Input data'!$D$197</f>
        <v>2.5714285714285712</v>
      </c>
      <c r="CG18" s="51">
        <f>'Input data'!$D$197</f>
        <v>2.5714285714285712</v>
      </c>
      <c r="CH18" s="51">
        <f>'Input data'!$D$197</f>
        <v>2.5714285714285712</v>
      </c>
      <c r="CI18" s="51">
        <f>'Input data'!$D$197</f>
        <v>2.5714285714285712</v>
      </c>
      <c r="CJ18" s="51">
        <f>'Input data'!$D$197</f>
        <v>2.5714285714285712</v>
      </c>
      <c r="CK18" s="51">
        <f>'Input data'!$D$197</f>
        <v>2.5714285714285712</v>
      </c>
      <c r="CL18" s="51">
        <f>'Input data'!$D$197</f>
        <v>2.5714285714285712</v>
      </c>
      <c r="CM18" s="51">
        <f>'Input data'!$D$197</f>
        <v>2.5714285714285712</v>
      </c>
    </row>
    <row r="21" spans="2:91">
      <c r="B21" s="2" t="s">
        <v>4</v>
      </c>
      <c r="C21" s="41" t="str">
        <f>C3</f>
        <v>Exit point</v>
      </c>
      <c r="D21" s="42"/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4"/>
    </row>
    <row r="22" spans="2:91">
      <c r="B22" s="46" t="str">
        <f>B4</f>
        <v>Entry point</v>
      </c>
      <c r="C22" s="48" t="str">
        <f>C$4</f>
        <v>CTS Campo Maior</v>
      </c>
      <c r="D22" s="48" t="str">
        <f t="shared" ref="D22:BO22" si="3">D$4</f>
        <v>CTS Valença do Minho</v>
      </c>
      <c r="E22" s="48" t="str">
        <f t="shared" si="3"/>
        <v>LNG Terminal Sines</v>
      </c>
      <c r="F22" s="48" t="str">
        <f t="shared" si="3"/>
        <v>Underground storage Carriço</v>
      </c>
      <c r="G22" s="48" t="str">
        <f t="shared" si="3"/>
        <v>GRMS 01059</v>
      </c>
      <c r="H22" s="48" t="str">
        <f t="shared" si="3"/>
        <v>GRMS 01109</v>
      </c>
      <c r="I22" s="48" t="str">
        <f t="shared" si="3"/>
        <v>GRMS 01119</v>
      </c>
      <c r="J22" s="48" t="str">
        <f t="shared" si="3"/>
        <v>GRMS 01129</v>
      </c>
      <c r="K22" s="48" t="str">
        <f t="shared" si="3"/>
        <v>GRMS 01139</v>
      </c>
      <c r="L22" s="48" t="str">
        <f t="shared" si="3"/>
        <v>GRMS 01149</v>
      </c>
      <c r="M22" s="48" t="str">
        <f t="shared" si="3"/>
        <v>GRMS 01159</v>
      </c>
      <c r="N22" s="48" t="str">
        <f t="shared" si="3"/>
        <v>GRMS 01179</v>
      </c>
      <c r="O22" s="48" t="str">
        <f t="shared" si="3"/>
        <v>GRMS 01189</v>
      </c>
      <c r="P22" s="48" t="str">
        <f t="shared" si="3"/>
        <v>GRMS 01209</v>
      </c>
      <c r="Q22" s="48" t="str">
        <f t="shared" si="3"/>
        <v>GRMS 01219</v>
      </c>
      <c r="R22" s="48" t="str">
        <f t="shared" si="3"/>
        <v>GRMS 01229</v>
      </c>
      <c r="S22" s="48" t="str">
        <f t="shared" si="3"/>
        <v>GRMS 01239</v>
      </c>
      <c r="T22" s="48" t="str">
        <f t="shared" si="3"/>
        <v>GRMS 01259</v>
      </c>
      <c r="U22" s="48" t="str">
        <f t="shared" si="3"/>
        <v>GRMS 01269</v>
      </c>
      <c r="V22" s="48" t="str">
        <f t="shared" si="3"/>
        <v>GRMS 01279</v>
      </c>
      <c r="W22" s="48" t="str">
        <f t="shared" si="3"/>
        <v>GRMS 01309</v>
      </c>
      <c r="X22" s="48" t="str">
        <f t="shared" si="3"/>
        <v>GRMS 01319</v>
      </c>
      <c r="Y22" s="48" t="str">
        <f t="shared" si="3"/>
        <v>GRMS 01359</v>
      </c>
      <c r="Z22" s="48" t="str">
        <f t="shared" si="3"/>
        <v>GRMS 01369</v>
      </c>
      <c r="AA22" s="48" t="str">
        <f t="shared" si="3"/>
        <v>GRMS 01409</v>
      </c>
      <c r="AB22" s="48" t="str">
        <f t="shared" si="3"/>
        <v>GRMS 02069</v>
      </c>
      <c r="AC22" s="48" t="str">
        <f t="shared" si="3"/>
        <v>GRMS 02089</v>
      </c>
      <c r="AD22" s="48" t="str">
        <f t="shared" si="3"/>
        <v>GRMS 02159</v>
      </c>
      <c r="AE22" s="48" t="str">
        <f t="shared" si="3"/>
        <v>GRMS 02509</v>
      </c>
      <c r="AF22" s="48" t="str">
        <f t="shared" si="3"/>
        <v>GRMS 02519</v>
      </c>
      <c r="AG22" s="48" t="str">
        <f t="shared" si="3"/>
        <v>GRMS 02539</v>
      </c>
      <c r="AH22" s="48" t="str">
        <f t="shared" si="3"/>
        <v>GRMS 02549</v>
      </c>
      <c r="AI22" s="48" t="str">
        <f t="shared" si="3"/>
        <v>GRMS 02559</v>
      </c>
      <c r="AJ22" s="48" t="str">
        <f t="shared" si="3"/>
        <v>GRMS 02569</v>
      </c>
      <c r="AK22" s="48" t="str">
        <f t="shared" si="3"/>
        <v>GRMS 02709</v>
      </c>
      <c r="AL22" s="48" t="str">
        <f t="shared" si="3"/>
        <v>GRMS 02719</v>
      </c>
      <c r="AM22" s="48" t="str">
        <f t="shared" si="3"/>
        <v>GRMS 02739</v>
      </c>
      <c r="AN22" s="48" t="str">
        <f t="shared" si="3"/>
        <v>GRMS 03009</v>
      </c>
      <c r="AO22" s="48" t="str">
        <f t="shared" si="3"/>
        <v>GRMS 03059</v>
      </c>
      <c r="AP22" s="48" t="str">
        <f t="shared" si="3"/>
        <v>GRMS 03069</v>
      </c>
      <c r="AQ22" s="48" t="str">
        <f t="shared" si="3"/>
        <v>GRMS 03109</v>
      </c>
      <c r="AR22" s="48" t="str">
        <f t="shared" si="3"/>
        <v>GRMS 03169</v>
      </c>
      <c r="AS22" s="48" t="str">
        <f t="shared" si="3"/>
        <v>GRMS 03219</v>
      </c>
      <c r="AT22" s="48" t="str">
        <f t="shared" si="3"/>
        <v>GRMS 03229</v>
      </c>
      <c r="AU22" s="48" t="str">
        <f t="shared" si="3"/>
        <v>GRMS 03259</v>
      </c>
      <c r="AV22" s="48" t="str">
        <f t="shared" si="3"/>
        <v>GRMS 03269</v>
      </c>
      <c r="AW22" s="48" t="str">
        <f t="shared" si="3"/>
        <v>GRMS 03309</v>
      </c>
      <c r="AX22" s="48" t="str">
        <f t="shared" si="3"/>
        <v>GRMS 03359</v>
      </c>
      <c r="AY22" s="48" t="str">
        <f t="shared" si="3"/>
        <v>GRMS 03369</v>
      </c>
      <c r="AZ22" s="48" t="str">
        <f t="shared" si="3"/>
        <v>GRMS 03459</v>
      </c>
      <c r="BA22" s="48" t="str">
        <f t="shared" si="3"/>
        <v>GRMS 03559</v>
      </c>
      <c r="BB22" s="48" t="str">
        <f t="shared" si="3"/>
        <v>GRMS 03609</v>
      </c>
      <c r="BC22" s="48" t="str">
        <f t="shared" si="3"/>
        <v>GRMS 03619</v>
      </c>
      <c r="BD22" s="48" t="str">
        <f t="shared" si="3"/>
        <v>GRMS 03659</v>
      </c>
      <c r="BE22" s="48" t="str">
        <f t="shared" si="3"/>
        <v>GRMS 04059</v>
      </c>
      <c r="BF22" s="48" t="str">
        <f t="shared" si="3"/>
        <v>GRMS 04109</v>
      </c>
      <c r="BG22" s="48" t="str">
        <f t="shared" si="3"/>
        <v>GRMS 04149</v>
      </c>
      <c r="BH22" s="48" t="str">
        <f t="shared" si="3"/>
        <v>GRMS 04159</v>
      </c>
      <c r="BI22" s="48" t="str">
        <f t="shared" si="3"/>
        <v>GRMS 04209</v>
      </c>
      <c r="BJ22" s="48" t="str">
        <f t="shared" si="3"/>
        <v>GRMS 05009</v>
      </c>
      <c r="BK22" s="48" t="str">
        <f t="shared" si="3"/>
        <v>GRMS 05119</v>
      </c>
      <c r="BL22" s="48" t="str">
        <f t="shared" si="3"/>
        <v>GRMS 05179</v>
      </c>
      <c r="BM22" s="48" t="str">
        <f t="shared" si="3"/>
        <v>GRMS 05309</v>
      </c>
      <c r="BN22" s="48" t="str">
        <f t="shared" si="3"/>
        <v>GRMS 05609</v>
      </c>
      <c r="BO22" s="48" t="str">
        <f t="shared" si="3"/>
        <v>GRMS 07009</v>
      </c>
      <c r="BP22" s="48" t="str">
        <f t="shared" ref="BP22:CM22" si="4">BP$4</f>
        <v>GRMS 08009</v>
      </c>
      <c r="BQ22" s="48" t="str">
        <f t="shared" si="4"/>
        <v>GRMS 08109</v>
      </c>
      <c r="BR22" s="48" t="str">
        <f t="shared" si="4"/>
        <v>GRMS 08119</v>
      </c>
      <c r="BS22" s="48" t="str">
        <f t="shared" si="4"/>
        <v>GRMS 08209</v>
      </c>
      <c r="BT22" s="48" t="str">
        <f t="shared" si="4"/>
        <v>GRMS 08309</v>
      </c>
      <c r="BU22" s="48" t="str">
        <f t="shared" si="4"/>
        <v>GRMS 08409</v>
      </c>
      <c r="BV22" s="48" t="str">
        <f t="shared" si="4"/>
        <v>GRMS 08559</v>
      </c>
      <c r="BW22" s="48" t="str">
        <f t="shared" si="4"/>
        <v>GRMS 10079</v>
      </c>
      <c r="BX22" s="48" t="str">
        <f t="shared" si="4"/>
        <v>GRMS 10159</v>
      </c>
      <c r="BY22" s="48" t="str">
        <f t="shared" si="4"/>
        <v>GRMS 10209</v>
      </c>
      <c r="BZ22" s="48" t="str">
        <f t="shared" si="4"/>
        <v>GRMS 10309</v>
      </c>
      <c r="CA22" s="48" t="str">
        <f t="shared" si="4"/>
        <v>GRMS 10359</v>
      </c>
      <c r="CB22" s="48" t="str">
        <f t="shared" si="4"/>
        <v>GRMS 10459</v>
      </c>
      <c r="CC22" s="48" t="str">
        <f t="shared" si="4"/>
        <v>GRMS 11109</v>
      </c>
      <c r="CD22" s="48" t="str">
        <f t="shared" si="4"/>
        <v>GRMS 11159</v>
      </c>
      <c r="CE22" s="48" t="str">
        <f t="shared" si="4"/>
        <v>GRMS 11209</v>
      </c>
      <c r="CF22" s="48" t="str">
        <f t="shared" si="4"/>
        <v>GRMS 11279</v>
      </c>
      <c r="CG22" s="48" t="str">
        <f t="shared" si="4"/>
        <v>GRMS 11309</v>
      </c>
      <c r="CH22" s="48" t="str">
        <f t="shared" si="4"/>
        <v>GRMS 12209</v>
      </c>
      <c r="CI22" s="48" t="str">
        <f t="shared" si="4"/>
        <v>GRMS 12609</v>
      </c>
      <c r="CJ22" s="48" t="str">
        <f t="shared" si="4"/>
        <v>GRMS 12619</v>
      </c>
      <c r="CK22" s="48" t="str">
        <f t="shared" si="4"/>
        <v>GRMS 12619B</v>
      </c>
      <c r="CL22" s="48" t="str">
        <f t="shared" si="4"/>
        <v>GRMS 12629</v>
      </c>
      <c r="CM22" s="48" t="str">
        <f t="shared" si="4"/>
        <v>GRMS 12809</v>
      </c>
    </row>
    <row r="23" spans="2:91">
      <c r="B23" s="47" t="str">
        <f>B5</f>
        <v>CTS Campo Maior</v>
      </c>
      <c r="C23" s="49">
        <f>IF('RPM &amp; Discounts'!$B$3='A0.Support'!$B$8,'A3.Distance matrix'!D14,'A3.Distance matrix'!D5)</f>
        <v>0</v>
      </c>
      <c r="D23" s="49">
        <f>IF('RPM &amp; Discounts'!$B$3='A0.Support'!$B$8,'A3.Distance matrix'!E14,'A3.Distance matrix'!E5)</f>
        <v>508.95100000000002</v>
      </c>
      <c r="E23" s="49">
        <f>IF('RPM &amp; Discounts'!$B$3='A0.Support'!$B$8,'A3.Distance matrix'!F14,'A3.Distance matrix'!F5)</f>
        <v>481.59199999999998</v>
      </c>
      <c r="F23" s="49">
        <f>IF('RPM &amp; Discounts'!$B$3='A0.Support'!$B$8,'A3.Distance matrix'!G14,'A3.Distance matrix'!G5)</f>
        <v>239.52199999999999</v>
      </c>
      <c r="G23" s="49">
        <f>IF('RPM &amp; Discounts'!$B$3='A0.Support'!$B$8,'A3.Distance matrix'!H14,'A3.Distance matrix'!H5)</f>
        <v>394.28100000000001</v>
      </c>
      <c r="H23" s="49">
        <f>IF('RPM &amp; Discounts'!$B$3='A0.Support'!$B$8,'A3.Distance matrix'!I14,'A3.Distance matrix'!I5)</f>
        <v>407.28199999999998</v>
      </c>
      <c r="I23" s="49">
        <f>IF('RPM &amp; Discounts'!$B$3='A0.Support'!$B$8,'A3.Distance matrix'!J14,'A3.Distance matrix'!J5)</f>
        <v>398.971</v>
      </c>
      <c r="J23" s="49">
        <f>IF('RPM &amp; Discounts'!$B$3='A0.Support'!$B$8,'A3.Distance matrix'!K14,'A3.Distance matrix'!K5)</f>
        <v>407.28100000000001</v>
      </c>
      <c r="K23" s="49">
        <f>IF('RPM &amp; Discounts'!$B$3='A0.Support'!$B$8,'A3.Distance matrix'!L14,'A3.Distance matrix'!L5)</f>
        <v>378.351</v>
      </c>
      <c r="L23" s="49">
        <f>IF('RPM &amp; Discounts'!$B$3='A0.Support'!$B$8,'A3.Distance matrix'!M14,'A3.Distance matrix'!M5)</f>
        <v>365.96100000000001</v>
      </c>
      <c r="M23" s="49">
        <f>IF('RPM &amp; Discounts'!$B$3='A0.Support'!$B$8,'A3.Distance matrix'!N14,'A3.Distance matrix'!N5)</f>
        <v>413.541</v>
      </c>
      <c r="N23" s="49">
        <f>IF('RPM &amp; Discounts'!$B$3='A0.Support'!$B$8,'A3.Distance matrix'!O14,'A3.Distance matrix'!O5)</f>
        <v>349.26100000000002</v>
      </c>
      <c r="O23" s="49">
        <f>IF('RPM &amp; Discounts'!$B$3='A0.Support'!$B$8,'A3.Distance matrix'!P14,'A3.Distance matrix'!P5)</f>
        <v>336.80099999999999</v>
      </c>
      <c r="P23" s="49">
        <f>IF('RPM &amp; Discounts'!$B$3='A0.Support'!$B$8,'A3.Distance matrix'!Q14,'A3.Distance matrix'!Q5)</f>
        <v>366.06200000000001</v>
      </c>
      <c r="Q23" s="49">
        <f>IF('RPM &amp; Discounts'!$B$3='A0.Support'!$B$8,'A3.Distance matrix'!R14,'A3.Distance matrix'!R5)</f>
        <v>333.17099999999999</v>
      </c>
      <c r="R23" s="49">
        <f>IF('RPM &amp; Discounts'!$B$3='A0.Support'!$B$8,'A3.Distance matrix'!S14,'A3.Distance matrix'!S5)</f>
        <v>353.952</v>
      </c>
      <c r="S23" s="49">
        <f>IF('RPM &amp; Discounts'!$B$3='A0.Support'!$B$8,'A3.Distance matrix'!T14,'A3.Distance matrix'!T5)</f>
        <v>360.72300000000001</v>
      </c>
      <c r="T23" s="49">
        <f>IF('RPM &amp; Discounts'!$B$3='A0.Support'!$B$8,'A3.Distance matrix'!U14,'A3.Distance matrix'!U5)</f>
        <v>330.601</v>
      </c>
      <c r="U23" s="49">
        <f>IF('RPM &amp; Discounts'!$B$3='A0.Support'!$B$8,'A3.Distance matrix'!V14,'A3.Distance matrix'!V5)</f>
        <v>333.17200000000003</v>
      </c>
      <c r="V23" s="49">
        <f>IF('RPM &amp; Discounts'!$B$3='A0.Support'!$B$8,'A3.Distance matrix'!W14,'A3.Distance matrix'!W5)</f>
        <v>360.72199999999998</v>
      </c>
      <c r="W23" s="49">
        <f>IF('RPM &amp; Discounts'!$B$3='A0.Support'!$B$8,'A3.Distance matrix'!X14,'A3.Distance matrix'!X5)</f>
        <v>328.39100000000002</v>
      </c>
      <c r="X23" s="49">
        <f>IF('RPM &amp; Discounts'!$B$3='A0.Support'!$B$8,'A3.Distance matrix'!Y14,'A3.Distance matrix'!Y5)</f>
        <v>316.96100000000001</v>
      </c>
      <c r="Y23" s="49">
        <f>IF('RPM &amp; Discounts'!$B$3='A0.Support'!$B$8,'A3.Distance matrix'!Z14,'A3.Distance matrix'!Z5)</f>
        <v>340.69200000000001</v>
      </c>
      <c r="Z23" s="49">
        <f>IF('RPM &amp; Discounts'!$B$3='A0.Support'!$B$8,'A3.Distance matrix'!AA14,'A3.Distance matrix'!AA5)</f>
        <v>340.69099999999997</v>
      </c>
      <c r="AA23" s="49">
        <f>IF('RPM &amp; Discounts'!$B$3='A0.Support'!$B$8,'A3.Distance matrix'!AB14,'A3.Distance matrix'!AB5)</f>
        <v>292.36099999999999</v>
      </c>
      <c r="AB23" s="49">
        <f>IF('RPM &amp; Discounts'!$B$3='A0.Support'!$B$8,'A3.Distance matrix'!AC14,'A3.Distance matrix'!AC5)</f>
        <v>258.42099999999999</v>
      </c>
      <c r="AC23" s="49">
        <f>IF('RPM &amp; Discounts'!$B$3='A0.Support'!$B$8,'A3.Distance matrix'!AD14,'A3.Distance matrix'!AD5)</f>
        <v>245.74100000000001</v>
      </c>
      <c r="AD23" s="49">
        <f>IF('RPM &amp; Discounts'!$B$3='A0.Support'!$B$8,'A3.Distance matrix'!AE14,'A3.Distance matrix'!AE5)</f>
        <v>239.17099999999999</v>
      </c>
      <c r="AE23" s="49">
        <f>IF('RPM &amp; Discounts'!$B$3='A0.Support'!$B$8,'A3.Distance matrix'!AF14,'A3.Distance matrix'!AF5)</f>
        <v>239.52099999999999</v>
      </c>
      <c r="AF23" s="49">
        <f>IF('RPM &amp; Discounts'!$B$3='A0.Support'!$B$8,'A3.Distance matrix'!AG14,'A3.Distance matrix'!AG5)</f>
        <v>249.43100000000001</v>
      </c>
      <c r="AG23" s="49">
        <f>IF('RPM &amp; Discounts'!$B$3='A0.Support'!$B$8,'A3.Distance matrix'!AH14,'A3.Distance matrix'!AH5)</f>
        <v>249.541</v>
      </c>
      <c r="AH23" s="49">
        <f>IF('RPM &amp; Discounts'!$B$3='A0.Support'!$B$8,'A3.Distance matrix'!AI14,'A3.Distance matrix'!AI5)</f>
        <v>262.61099999999999</v>
      </c>
      <c r="AI23" s="49">
        <f>IF('RPM &amp; Discounts'!$B$3='A0.Support'!$B$8,'A3.Distance matrix'!AJ14,'A3.Distance matrix'!AJ5)</f>
        <v>229.70099999999999</v>
      </c>
      <c r="AJ23" s="49">
        <f>IF('RPM &amp; Discounts'!$B$3='A0.Support'!$B$8,'A3.Distance matrix'!AK14,'A3.Distance matrix'!AK5)</f>
        <v>262.61200000000002</v>
      </c>
      <c r="AK23" s="49">
        <f>IF('RPM &amp; Discounts'!$B$3='A0.Support'!$B$8,'A3.Distance matrix'!AL14,'A3.Distance matrix'!AL5)</f>
        <v>252.971</v>
      </c>
      <c r="AL23" s="49">
        <f>IF('RPM &amp; Discounts'!$B$3='A0.Support'!$B$8,'A3.Distance matrix'!AM14,'A3.Distance matrix'!AM5)</f>
        <v>262.89100000000002</v>
      </c>
      <c r="AM23" s="49">
        <f>IF('RPM &amp; Discounts'!$B$3='A0.Support'!$B$8,'A3.Distance matrix'!AN14,'A3.Distance matrix'!AN5)</f>
        <v>258.80099999999999</v>
      </c>
      <c r="AN23" s="49">
        <f>IF('RPM &amp; Discounts'!$B$3='A0.Support'!$B$8,'A3.Distance matrix'!AO14,'A3.Distance matrix'!AO5)</f>
        <v>264.45100000000002</v>
      </c>
      <c r="AO23" s="49">
        <f>IF('RPM &amp; Discounts'!$B$3='A0.Support'!$B$8,'A3.Distance matrix'!AP14,'A3.Distance matrix'!AP5)</f>
        <v>278.11099999999999</v>
      </c>
      <c r="AP23" s="49">
        <f>IF('RPM &amp; Discounts'!$B$3='A0.Support'!$B$8,'A3.Distance matrix'!AQ14,'A3.Distance matrix'!AQ5)</f>
        <v>285.21100000000001</v>
      </c>
      <c r="AQ23" s="49">
        <f>IF('RPM &amp; Discounts'!$B$3='A0.Support'!$B$8,'A3.Distance matrix'!AR14,'A3.Distance matrix'!AR5)</f>
        <v>290.05099999999999</v>
      </c>
      <c r="AR23" s="49">
        <f>IF('RPM &amp; Discounts'!$B$3='A0.Support'!$B$8,'A3.Distance matrix'!AS14,'A3.Distance matrix'!AS5)</f>
        <v>295.041</v>
      </c>
      <c r="AS23" s="49">
        <f>IF('RPM &amp; Discounts'!$B$3='A0.Support'!$B$8,'A3.Distance matrix'!AT14,'A3.Distance matrix'!AT5)</f>
        <v>311.37099999999998</v>
      </c>
      <c r="AT23" s="49">
        <f>IF('RPM &amp; Discounts'!$B$3='A0.Support'!$B$8,'A3.Distance matrix'!AU14,'A3.Distance matrix'!AU5)</f>
        <v>318.45100000000002</v>
      </c>
      <c r="AU23" s="49">
        <f>IF('RPM &amp; Discounts'!$B$3='A0.Support'!$B$8,'A3.Distance matrix'!AV14,'A3.Distance matrix'!AV5)</f>
        <v>331.27199999999999</v>
      </c>
      <c r="AV23" s="49">
        <f>IF('RPM &amp; Discounts'!$B$3='A0.Support'!$B$8,'A3.Distance matrix'!AW14,'A3.Distance matrix'!AW5)</f>
        <v>331.27100000000002</v>
      </c>
      <c r="AW23" s="49">
        <f>IF('RPM &amp; Discounts'!$B$3='A0.Support'!$B$8,'A3.Distance matrix'!AX14,'A3.Distance matrix'!AX5)</f>
        <v>335.791</v>
      </c>
      <c r="AX23" s="49">
        <f>IF('RPM &amp; Discounts'!$B$3='A0.Support'!$B$8,'A3.Distance matrix'!AY14,'A3.Distance matrix'!AY5)</f>
        <v>344.55200000000002</v>
      </c>
      <c r="AY23" s="49">
        <f>IF('RPM &amp; Discounts'!$B$3='A0.Support'!$B$8,'A3.Distance matrix'!AZ14,'A3.Distance matrix'!AZ5)</f>
        <v>344.55099999999999</v>
      </c>
      <c r="AZ23" s="49">
        <f>IF('RPM &amp; Discounts'!$B$3='A0.Support'!$B$8,'A3.Distance matrix'!BA14,'A3.Distance matrix'!BA5)</f>
        <v>357.71100000000001</v>
      </c>
      <c r="BA23" s="49">
        <f>IF('RPM &amp; Discounts'!$B$3='A0.Support'!$B$8,'A3.Distance matrix'!BB14,'A3.Distance matrix'!BB5)</f>
        <v>375.27100000000002</v>
      </c>
      <c r="BB23" s="49">
        <f>IF('RPM &amp; Discounts'!$B$3='A0.Support'!$B$8,'A3.Distance matrix'!BC14,'A3.Distance matrix'!BC5)</f>
        <v>389.661</v>
      </c>
      <c r="BC23" s="49">
        <f>IF('RPM &amp; Discounts'!$B$3='A0.Support'!$B$8,'A3.Distance matrix'!BD14,'A3.Distance matrix'!BD5)</f>
        <v>386.92099999999999</v>
      </c>
      <c r="BD23" s="49">
        <f>IF('RPM &amp; Discounts'!$B$3='A0.Support'!$B$8,'A3.Distance matrix'!BE14,'A3.Distance matrix'!BE5)</f>
        <v>391.61099999999999</v>
      </c>
      <c r="BE23" s="49">
        <f>IF('RPM &amp; Discounts'!$B$3='A0.Support'!$B$8,'A3.Distance matrix'!BF14,'A3.Distance matrix'!BF5)</f>
        <v>397.971</v>
      </c>
      <c r="BF23" s="49">
        <f>IF('RPM &amp; Discounts'!$B$3='A0.Support'!$B$8,'A3.Distance matrix'!BG14,'A3.Distance matrix'!BG5)</f>
        <v>407.46100000000001</v>
      </c>
      <c r="BG23" s="49">
        <f>IF('RPM &amp; Discounts'!$B$3='A0.Support'!$B$8,'A3.Distance matrix'!BH14,'A3.Distance matrix'!BH5)</f>
        <v>438.77100000000002</v>
      </c>
      <c r="BH23" s="49">
        <f>IF('RPM &amp; Discounts'!$B$3='A0.Support'!$B$8,'A3.Distance matrix'!BI14,'A3.Distance matrix'!BI5)</f>
        <v>417.76100000000002</v>
      </c>
      <c r="BI23" s="49">
        <f>IF('RPM &amp; Discounts'!$B$3='A0.Support'!$B$8,'A3.Distance matrix'!BJ14,'A3.Distance matrix'!BJ5)</f>
        <v>426.851</v>
      </c>
      <c r="BJ23" s="49">
        <f>IF('RPM &amp; Discounts'!$B$3='A0.Support'!$B$8,'A3.Distance matrix'!BK14,'A3.Distance matrix'!BK5)</f>
        <v>440.98099999999999</v>
      </c>
      <c r="BK23" s="49">
        <f>IF('RPM &amp; Discounts'!$B$3='A0.Support'!$B$8,'A3.Distance matrix'!BL14,'A3.Distance matrix'!BL5)</f>
        <v>448.86099999999999</v>
      </c>
      <c r="BL23" s="49">
        <f>IF('RPM &amp; Discounts'!$B$3='A0.Support'!$B$8,'A3.Distance matrix'!BM14,'A3.Distance matrix'!BM5)</f>
        <v>476.43099999999998</v>
      </c>
      <c r="BM23" s="49">
        <f>IF('RPM &amp; Discounts'!$B$3='A0.Support'!$B$8,'A3.Distance matrix'!BN14,'A3.Distance matrix'!BN5)</f>
        <v>474.33100000000002</v>
      </c>
      <c r="BN23" s="49">
        <f>IF('RPM &amp; Discounts'!$B$3='A0.Support'!$B$8,'A3.Distance matrix'!BO14,'A3.Distance matrix'!BO5)</f>
        <v>504.17099999999999</v>
      </c>
      <c r="BO23" s="49">
        <f>IF('RPM &amp; Discounts'!$B$3='A0.Support'!$B$8,'A3.Distance matrix'!BP14,'A3.Distance matrix'!BP5)</f>
        <v>0.24099999999999999</v>
      </c>
      <c r="BP23" s="49">
        <f>IF('RPM &amp; Discounts'!$B$3='A0.Support'!$B$8,'A3.Distance matrix'!BQ14,'A3.Distance matrix'!BQ5)</f>
        <v>103.621</v>
      </c>
      <c r="BQ23" s="49">
        <f>IF('RPM &amp; Discounts'!$B$3='A0.Support'!$B$8,'A3.Distance matrix'!BR14,'A3.Distance matrix'!BR5)</f>
        <v>126.211</v>
      </c>
      <c r="BR23" s="49">
        <f>IF('RPM &amp; Discounts'!$B$3='A0.Support'!$B$8,'A3.Distance matrix'!BS14,'A3.Distance matrix'!BS5)</f>
        <v>131.27099999999999</v>
      </c>
      <c r="BS23" s="49">
        <f>IF('RPM &amp; Discounts'!$B$3='A0.Support'!$B$8,'A3.Distance matrix'!BT14,'A3.Distance matrix'!BT5)</f>
        <v>146.101</v>
      </c>
      <c r="BT23" s="49">
        <f>IF('RPM &amp; Discounts'!$B$3='A0.Support'!$B$8,'A3.Distance matrix'!BU14,'A3.Distance matrix'!BU5)</f>
        <v>164.28100000000001</v>
      </c>
      <c r="BU23" s="49">
        <f>IF('RPM &amp; Discounts'!$B$3='A0.Support'!$B$8,'A3.Distance matrix'!BV14,'A3.Distance matrix'!BV5)</f>
        <v>183.321</v>
      </c>
      <c r="BV23" s="49">
        <f>IF('RPM &amp; Discounts'!$B$3='A0.Support'!$B$8,'A3.Distance matrix'!BW14,'A3.Distance matrix'!BW5)</f>
        <v>216.55099999999999</v>
      </c>
      <c r="BW23" s="49">
        <f>IF('RPM &amp; Discounts'!$B$3='A0.Support'!$B$8,'A3.Distance matrix'!BX14,'A3.Distance matrix'!BX5)</f>
        <v>71.540999999999997</v>
      </c>
      <c r="BX23" s="49">
        <f>IF('RPM &amp; Discounts'!$B$3='A0.Support'!$B$8,'A3.Distance matrix'!BY14,'A3.Distance matrix'!BY5)</f>
        <v>111.401</v>
      </c>
      <c r="BY23" s="49">
        <f>IF('RPM &amp; Discounts'!$B$3='A0.Support'!$B$8,'A3.Distance matrix'!BZ14,'A3.Distance matrix'!BZ5)</f>
        <v>136.27099999999999</v>
      </c>
      <c r="BZ23" s="49">
        <f>IF('RPM &amp; Discounts'!$B$3='A0.Support'!$B$8,'A3.Distance matrix'!CA14,'A3.Distance matrix'!CA5)</f>
        <v>183.37100000000001</v>
      </c>
      <c r="CA23" s="49">
        <f>IF('RPM &amp; Discounts'!$B$3='A0.Support'!$B$8,'A3.Distance matrix'!CB14,'A3.Distance matrix'!CB5)</f>
        <v>194.15100000000001</v>
      </c>
      <c r="CB23" s="49">
        <f>IF('RPM &amp; Discounts'!$B$3='A0.Support'!$B$8,'A3.Distance matrix'!CC14,'A3.Distance matrix'!CC5)</f>
        <v>233.68100000000001</v>
      </c>
      <c r="CC23" s="49">
        <f>IF('RPM &amp; Discounts'!$B$3='A0.Support'!$B$8,'A3.Distance matrix'!CD14,'A3.Distance matrix'!CD5)</f>
        <v>317.791</v>
      </c>
      <c r="CD23" s="49">
        <f>IF('RPM &amp; Discounts'!$B$3='A0.Support'!$B$8,'A3.Distance matrix'!CE14,'A3.Distance matrix'!CE5)</f>
        <v>327.33100000000002</v>
      </c>
      <c r="CE23" s="49">
        <f>IF('RPM &amp; Discounts'!$B$3='A0.Support'!$B$8,'A3.Distance matrix'!CF14,'A3.Distance matrix'!CF5)</f>
        <v>334.37099999999998</v>
      </c>
      <c r="CF23" s="49">
        <f>IF('RPM &amp; Discounts'!$B$3='A0.Support'!$B$8,'A3.Distance matrix'!CG14,'A3.Distance matrix'!CG5)</f>
        <v>328.49099999999999</v>
      </c>
      <c r="CG23" s="49">
        <f>IF('RPM &amp; Discounts'!$B$3='A0.Support'!$B$8,'A3.Distance matrix'!CH14,'A3.Distance matrix'!CH5)</f>
        <v>310.01100000000002</v>
      </c>
      <c r="CH23" s="49">
        <f>IF('RPM &amp; Discounts'!$B$3='A0.Support'!$B$8,'A3.Distance matrix'!CI14,'A3.Distance matrix'!CI5)</f>
        <v>399.62099999999998</v>
      </c>
      <c r="CI23" s="49">
        <f>IF('RPM &amp; Discounts'!$B$3='A0.Support'!$B$8,'A3.Distance matrix'!CJ14,'A3.Distance matrix'!CJ5)</f>
        <v>474.50099999999998</v>
      </c>
      <c r="CJ23" s="49">
        <f>IF('RPM &amp; Discounts'!$B$3='A0.Support'!$B$8,'A3.Distance matrix'!CK14,'A3.Distance matrix'!CK5)</f>
        <v>474.50200000000001</v>
      </c>
      <c r="CK23" s="49">
        <f>IF('RPM &amp; Discounts'!$B$3='A0.Support'!$B$8,'A3.Distance matrix'!CL14,'A3.Distance matrix'!CL5)</f>
        <v>475.822</v>
      </c>
      <c r="CL23" s="49">
        <f>IF('RPM &amp; Discounts'!$B$3='A0.Support'!$B$8,'A3.Distance matrix'!CM14,'A3.Distance matrix'!CM5)</f>
        <v>474.50200000000001</v>
      </c>
      <c r="CM23" s="49">
        <f>IF('RPM &amp; Discounts'!$B$3='A0.Support'!$B$8,'A3.Distance matrix'!CN14,'A3.Distance matrix'!CN5)</f>
        <v>481.59100000000001</v>
      </c>
    </row>
    <row r="24" spans="2:91">
      <c r="B24" s="47" t="str">
        <f t="shared" ref="B24:B27" si="5">B6</f>
        <v>CTS Valença do Minho</v>
      </c>
      <c r="C24" s="49">
        <f>IF('RPM &amp; Discounts'!$B$3='A0.Support'!$B$8,'A3.Distance matrix'!D15,'A3.Distance matrix'!D6)</f>
        <v>508.95100000000002</v>
      </c>
      <c r="D24" s="49">
        <f>IF('RPM &amp; Discounts'!$B$3='A0.Support'!$B$8,'A3.Distance matrix'!E15,'A3.Distance matrix'!E6)</f>
        <v>0</v>
      </c>
      <c r="E24" s="49">
        <f>IF('RPM &amp; Discounts'!$B$3='A0.Support'!$B$8,'A3.Distance matrix'!F15,'A3.Distance matrix'!F6)</f>
        <v>549.62099999999998</v>
      </c>
      <c r="F24" s="49">
        <f>IF('RPM &amp; Discounts'!$B$3='A0.Support'!$B$8,'A3.Distance matrix'!G15,'A3.Distance matrix'!G6)</f>
        <v>307.55099999999999</v>
      </c>
      <c r="G24" s="49">
        <f>IF('RPM &amp; Discounts'!$B$3='A0.Support'!$B$8,'A3.Distance matrix'!H15,'A3.Distance matrix'!H6)</f>
        <v>462.31</v>
      </c>
      <c r="H24" s="49">
        <f>IF('RPM &amp; Discounts'!$B$3='A0.Support'!$B$8,'A3.Distance matrix'!I15,'A3.Distance matrix'!I6)</f>
        <v>475.31099999999998</v>
      </c>
      <c r="I24" s="49">
        <f>IF('RPM &amp; Discounts'!$B$3='A0.Support'!$B$8,'A3.Distance matrix'!J15,'A3.Distance matrix'!J6)</f>
        <v>467</v>
      </c>
      <c r="J24" s="49">
        <f>IF('RPM &amp; Discounts'!$B$3='A0.Support'!$B$8,'A3.Distance matrix'!K15,'A3.Distance matrix'!K6)</f>
        <v>475.31</v>
      </c>
      <c r="K24" s="49">
        <f>IF('RPM &amp; Discounts'!$B$3='A0.Support'!$B$8,'A3.Distance matrix'!L15,'A3.Distance matrix'!L6)</f>
        <v>446.38</v>
      </c>
      <c r="L24" s="49">
        <f>IF('RPM &amp; Discounts'!$B$3='A0.Support'!$B$8,'A3.Distance matrix'!M15,'A3.Distance matrix'!M6)</f>
        <v>433.99</v>
      </c>
      <c r="M24" s="49">
        <f>IF('RPM &amp; Discounts'!$B$3='A0.Support'!$B$8,'A3.Distance matrix'!N15,'A3.Distance matrix'!N6)</f>
        <v>481.57</v>
      </c>
      <c r="N24" s="49">
        <f>IF('RPM &amp; Discounts'!$B$3='A0.Support'!$B$8,'A3.Distance matrix'!O15,'A3.Distance matrix'!O6)</f>
        <v>417.29</v>
      </c>
      <c r="O24" s="49">
        <f>IF('RPM &amp; Discounts'!$B$3='A0.Support'!$B$8,'A3.Distance matrix'!P15,'A3.Distance matrix'!P6)</f>
        <v>404.83</v>
      </c>
      <c r="P24" s="49">
        <f>IF('RPM &amp; Discounts'!$B$3='A0.Support'!$B$8,'A3.Distance matrix'!Q15,'A3.Distance matrix'!Q6)</f>
        <v>434.09100000000001</v>
      </c>
      <c r="Q24" s="49">
        <f>IF('RPM &amp; Discounts'!$B$3='A0.Support'!$B$8,'A3.Distance matrix'!R15,'A3.Distance matrix'!R6)</f>
        <v>401.2</v>
      </c>
      <c r="R24" s="49">
        <f>IF('RPM &amp; Discounts'!$B$3='A0.Support'!$B$8,'A3.Distance matrix'!S15,'A3.Distance matrix'!S6)</f>
        <v>421.98099999999999</v>
      </c>
      <c r="S24" s="49">
        <f>IF('RPM &amp; Discounts'!$B$3='A0.Support'!$B$8,'A3.Distance matrix'!T15,'A3.Distance matrix'!T6)</f>
        <v>428.75200000000001</v>
      </c>
      <c r="T24" s="49">
        <f>IF('RPM &amp; Discounts'!$B$3='A0.Support'!$B$8,'A3.Distance matrix'!U15,'A3.Distance matrix'!U6)</f>
        <v>398.63</v>
      </c>
      <c r="U24" s="49">
        <f>IF('RPM &amp; Discounts'!$B$3='A0.Support'!$B$8,'A3.Distance matrix'!V15,'A3.Distance matrix'!V6)</f>
        <v>401.20100000000002</v>
      </c>
      <c r="V24" s="49">
        <f>IF('RPM &amp; Discounts'!$B$3='A0.Support'!$B$8,'A3.Distance matrix'!W15,'A3.Distance matrix'!W6)</f>
        <v>428.75099999999998</v>
      </c>
      <c r="W24" s="49">
        <f>IF('RPM &amp; Discounts'!$B$3='A0.Support'!$B$8,'A3.Distance matrix'!X15,'A3.Distance matrix'!X6)</f>
        <v>396.42</v>
      </c>
      <c r="X24" s="49">
        <f>IF('RPM &amp; Discounts'!$B$3='A0.Support'!$B$8,'A3.Distance matrix'!Y15,'A3.Distance matrix'!Y6)</f>
        <v>384.99</v>
      </c>
      <c r="Y24" s="49">
        <f>IF('RPM &amp; Discounts'!$B$3='A0.Support'!$B$8,'A3.Distance matrix'!Z15,'A3.Distance matrix'!Z6)</f>
        <v>408.721</v>
      </c>
      <c r="Z24" s="49">
        <f>IF('RPM &amp; Discounts'!$B$3='A0.Support'!$B$8,'A3.Distance matrix'!AA15,'A3.Distance matrix'!AA6)</f>
        <v>408.72</v>
      </c>
      <c r="AA24" s="49">
        <f>IF('RPM &amp; Discounts'!$B$3='A0.Support'!$B$8,'A3.Distance matrix'!AB15,'A3.Distance matrix'!AB6)</f>
        <v>360.39</v>
      </c>
      <c r="AB24" s="49">
        <f>IF('RPM &amp; Discounts'!$B$3='A0.Support'!$B$8,'A3.Distance matrix'!AC15,'A3.Distance matrix'!AC6)</f>
        <v>326.45</v>
      </c>
      <c r="AC24" s="49">
        <f>IF('RPM &amp; Discounts'!$B$3='A0.Support'!$B$8,'A3.Distance matrix'!AD15,'A3.Distance matrix'!AD6)</f>
        <v>313.77</v>
      </c>
      <c r="AD24" s="49">
        <f>IF('RPM &amp; Discounts'!$B$3='A0.Support'!$B$8,'A3.Distance matrix'!AE15,'A3.Distance matrix'!AE6)</f>
        <v>307.2</v>
      </c>
      <c r="AE24" s="49">
        <f>IF('RPM &amp; Discounts'!$B$3='A0.Support'!$B$8,'A3.Distance matrix'!AF15,'A3.Distance matrix'!AF6)</f>
        <v>307.55</v>
      </c>
      <c r="AF24" s="49">
        <f>IF('RPM &amp; Discounts'!$B$3='A0.Support'!$B$8,'A3.Distance matrix'!AG15,'A3.Distance matrix'!AG6)</f>
        <v>317.45999999999998</v>
      </c>
      <c r="AG24" s="49">
        <f>IF('RPM &amp; Discounts'!$B$3='A0.Support'!$B$8,'A3.Distance matrix'!AH15,'A3.Distance matrix'!AH6)</f>
        <v>317.57</v>
      </c>
      <c r="AH24" s="49">
        <f>IF('RPM &amp; Discounts'!$B$3='A0.Support'!$B$8,'A3.Distance matrix'!AI15,'A3.Distance matrix'!AI6)</f>
        <v>330.64</v>
      </c>
      <c r="AI24" s="49">
        <f>IF('RPM &amp; Discounts'!$B$3='A0.Support'!$B$8,'A3.Distance matrix'!AJ15,'A3.Distance matrix'!AJ6)</f>
        <v>279.25</v>
      </c>
      <c r="AJ24" s="49">
        <f>IF('RPM &amp; Discounts'!$B$3='A0.Support'!$B$8,'A3.Distance matrix'!AK15,'A3.Distance matrix'!AK6)</f>
        <v>330.64100000000002</v>
      </c>
      <c r="AK24" s="49">
        <f>IF('RPM &amp; Discounts'!$B$3='A0.Support'!$B$8,'A3.Distance matrix'!AL15,'A3.Distance matrix'!AL6)</f>
        <v>265.12</v>
      </c>
      <c r="AL24" s="49">
        <f>IF('RPM &amp; Discounts'!$B$3='A0.Support'!$B$8,'A3.Distance matrix'!AM15,'A3.Distance matrix'!AM6)</f>
        <v>275.04000000000002</v>
      </c>
      <c r="AM24" s="49">
        <f>IF('RPM &amp; Discounts'!$B$3='A0.Support'!$B$8,'A3.Distance matrix'!AN15,'A3.Distance matrix'!AN6)</f>
        <v>250.15</v>
      </c>
      <c r="AN24" s="49">
        <f>IF('RPM &amp; Discounts'!$B$3='A0.Support'!$B$8,'A3.Distance matrix'!AO15,'A3.Distance matrix'!AO6)</f>
        <v>244.5</v>
      </c>
      <c r="AO24" s="49">
        <f>IF('RPM &amp; Discounts'!$B$3='A0.Support'!$B$8,'A3.Distance matrix'!AP15,'A3.Distance matrix'!AP6)</f>
        <v>230.84</v>
      </c>
      <c r="AP24" s="49">
        <f>IF('RPM &amp; Discounts'!$B$3='A0.Support'!$B$8,'A3.Distance matrix'!AQ15,'A3.Distance matrix'!AQ6)</f>
        <v>223.74</v>
      </c>
      <c r="AQ24" s="49">
        <f>IF('RPM &amp; Discounts'!$B$3='A0.Support'!$B$8,'A3.Distance matrix'!AR15,'A3.Distance matrix'!AR6)</f>
        <v>218.9</v>
      </c>
      <c r="AR24" s="49">
        <f>IF('RPM &amp; Discounts'!$B$3='A0.Support'!$B$8,'A3.Distance matrix'!AS15,'A3.Distance matrix'!AS6)</f>
        <v>213.91</v>
      </c>
      <c r="AS24" s="49">
        <f>IF('RPM &amp; Discounts'!$B$3='A0.Support'!$B$8,'A3.Distance matrix'!AT15,'A3.Distance matrix'!AT6)</f>
        <v>197.58</v>
      </c>
      <c r="AT24" s="49">
        <f>IF('RPM &amp; Discounts'!$B$3='A0.Support'!$B$8,'A3.Distance matrix'!AU15,'A3.Distance matrix'!AU6)</f>
        <v>190.5</v>
      </c>
      <c r="AU24" s="49">
        <f>IF('RPM &amp; Discounts'!$B$3='A0.Support'!$B$8,'A3.Distance matrix'!AV15,'A3.Distance matrix'!AV6)</f>
        <v>191.96100000000001</v>
      </c>
      <c r="AV24" s="49">
        <f>IF('RPM &amp; Discounts'!$B$3='A0.Support'!$B$8,'A3.Distance matrix'!AW15,'A3.Distance matrix'!AW6)</f>
        <v>191.96</v>
      </c>
      <c r="AW24" s="49">
        <f>IF('RPM &amp; Discounts'!$B$3='A0.Support'!$B$8,'A3.Distance matrix'!AX15,'A3.Distance matrix'!AX6)</f>
        <v>173.16</v>
      </c>
      <c r="AX24" s="49">
        <f>IF('RPM &amp; Discounts'!$B$3='A0.Support'!$B$8,'A3.Distance matrix'!AY15,'A3.Distance matrix'!AY6)</f>
        <v>164.40100000000001</v>
      </c>
      <c r="AY24" s="49">
        <f>IF('RPM &amp; Discounts'!$B$3='A0.Support'!$B$8,'A3.Distance matrix'!AZ15,'A3.Distance matrix'!AZ6)</f>
        <v>164.4</v>
      </c>
      <c r="AZ24" s="49">
        <f>IF('RPM &amp; Discounts'!$B$3='A0.Support'!$B$8,'A3.Distance matrix'!BA15,'A3.Distance matrix'!BA6)</f>
        <v>151.24</v>
      </c>
      <c r="BA24" s="49">
        <f>IF('RPM &amp; Discounts'!$B$3='A0.Support'!$B$8,'A3.Distance matrix'!BB15,'A3.Distance matrix'!BB6)</f>
        <v>133.68</v>
      </c>
      <c r="BB24" s="49">
        <f>IF('RPM &amp; Discounts'!$B$3='A0.Support'!$B$8,'A3.Distance matrix'!BC15,'A3.Distance matrix'!BC6)</f>
        <v>136.16999999999999</v>
      </c>
      <c r="BC24" s="49">
        <f>IF('RPM &amp; Discounts'!$B$3='A0.Support'!$B$8,'A3.Distance matrix'!BD15,'A3.Distance matrix'!BD6)</f>
        <v>133.43</v>
      </c>
      <c r="BD24" s="49">
        <f>IF('RPM &amp; Discounts'!$B$3='A0.Support'!$B$8,'A3.Distance matrix'!BE15,'A3.Distance matrix'!BE6)</f>
        <v>131.36000000000001</v>
      </c>
      <c r="BE24" s="49">
        <f>IF('RPM &amp; Discounts'!$B$3='A0.Support'!$B$8,'A3.Distance matrix'!BF15,'A3.Distance matrix'!BF6)</f>
        <v>110.98</v>
      </c>
      <c r="BF24" s="49">
        <f>IF('RPM &amp; Discounts'!$B$3='A0.Support'!$B$8,'A3.Distance matrix'!BG15,'A3.Distance matrix'!BG6)</f>
        <v>101.49</v>
      </c>
      <c r="BG24" s="49">
        <f>IF('RPM &amp; Discounts'!$B$3='A0.Support'!$B$8,'A3.Distance matrix'!BH15,'A3.Distance matrix'!BH6)</f>
        <v>117.66</v>
      </c>
      <c r="BH24" s="49">
        <f>IF('RPM &amp; Discounts'!$B$3='A0.Support'!$B$8,'A3.Distance matrix'!BI15,'A3.Distance matrix'!BI6)</f>
        <v>91.19</v>
      </c>
      <c r="BI24" s="49">
        <f>IF('RPM &amp; Discounts'!$B$3='A0.Support'!$B$8,'A3.Distance matrix'!BJ15,'A3.Distance matrix'!BJ6)</f>
        <v>82.1</v>
      </c>
      <c r="BJ24" s="49">
        <f>IF('RPM &amp; Discounts'!$B$3='A0.Support'!$B$8,'A3.Distance matrix'!BK15,'A3.Distance matrix'!BK6)</f>
        <v>80.97</v>
      </c>
      <c r="BK24" s="49">
        <f>IF('RPM &amp; Discounts'!$B$3='A0.Support'!$B$8,'A3.Distance matrix'!BL15,'A3.Distance matrix'!BL6)</f>
        <v>60.09</v>
      </c>
      <c r="BL24" s="49">
        <f>IF('RPM &amp; Discounts'!$B$3='A0.Support'!$B$8,'A3.Distance matrix'!BM15,'A3.Distance matrix'!BM6)</f>
        <v>71.680000000000007</v>
      </c>
      <c r="BM24" s="49">
        <f>IF('RPM &amp; Discounts'!$B$3='A0.Support'!$B$8,'A3.Distance matrix'!BN15,'A3.Distance matrix'!BN6)</f>
        <v>34.619999999999997</v>
      </c>
      <c r="BN24" s="49">
        <f>IF('RPM &amp; Discounts'!$B$3='A0.Support'!$B$8,'A3.Distance matrix'!BO15,'A3.Distance matrix'!BO6)</f>
        <v>4.78</v>
      </c>
      <c r="BO24" s="49">
        <f>IF('RPM &amp; Discounts'!$B$3='A0.Support'!$B$8,'A3.Distance matrix'!BP15,'A3.Distance matrix'!BP6)</f>
        <v>508.71</v>
      </c>
      <c r="BP24" s="49">
        <f>IF('RPM &amp; Discounts'!$B$3='A0.Support'!$B$8,'A3.Distance matrix'!BQ15,'A3.Distance matrix'!BQ6)</f>
        <v>405.33</v>
      </c>
      <c r="BQ24" s="49">
        <f>IF('RPM &amp; Discounts'!$B$3='A0.Support'!$B$8,'A3.Distance matrix'!BR15,'A3.Distance matrix'!BR6)</f>
        <v>382.74</v>
      </c>
      <c r="BR24" s="49">
        <f>IF('RPM &amp; Discounts'!$B$3='A0.Support'!$B$8,'A3.Distance matrix'!BS15,'A3.Distance matrix'!BS6)</f>
        <v>387.8</v>
      </c>
      <c r="BS24" s="49">
        <f>IF('RPM &amp; Discounts'!$B$3='A0.Support'!$B$8,'A3.Distance matrix'!BT15,'A3.Distance matrix'!BT6)</f>
        <v>362.85</v>
      </c>
      <c r="BT24" s="49">
        <f>IF('RPM &amp; Discounts'!$B$3='A0.Support'!$B$8,'A3.Distance matrix'!BU15,'A3.Distance matrix'!BU6)</f>
        <v>344.67</v>
      </c>
      <c r="BU24" s="49">
        <f>IF('RPM &amp; Discounts'!$B$3='A0.Support'!$B$8,'A3.Distance matrix'!BV15,'A3.Distance matrix'!BV6)</f>
        <v>325.63</v>
      </c>
      <c r="BV24" s="49">
        <f>IF('RPM &amp; Discounts'!$B$3='A0.Support'!$B$8,'A3.Distance matrix'!BW15,'A3.Distance matrix'!BW6)</f>
        <v>292.39999999999998</v>
      </c>
      <c r="BW24" s="49">
        <f>IF('RPM &amp; Discounts'!$B$3='A0.Support'!$B$8,'A3.Distance matrix'!BX15,'A3.Distance matrix'!BX6)</f>
        <v>481.29</v>
      </c>
      <c r="BX24" s="49">
        <f>IF('RPM &amp; Discounts'!$B$3='A0.Support'!$B$8,'A3.Distance matrix'!BY15,'A3.Distance matrix'!BY6)</f>
        <v>480.47</v>
      </c>
      <c r="BY24" s="49">
        <f>IF('RPM &amp; Discounts'!$B$3='A0.Support'!$B$8,'A3.Distance matrix'!BZ15,'A3.Distance matrix'!BZ6)</f>
        <v>455.6</v>
      </c>
      <c r="BZ24" s="49">
        <f>IF('RPM &amp; Discounts'!$B$3='A0.Support'!$B$8,'A3.Distance matrix'!CA15,'A3.Distance matrix'!CA6)</f>
        <v>408.5</v>
      </c>
      <c r="CA24" s="49">
        <f>IF('RPM &amp; Discounts'!$B$3='A0.Support'!$B$8,'A3.Distance matrix'!CB15,'A3.Distance matrix'!CB6)</f>
        <v>397.72</v>
      </c>
      <c r="CB24" s="49">
        <f>IF('RPM &amp; Discounts'!$B$3='A0.Support'!$B$8,'A3.Distance matrix'!CC15,'A3.Distance matrix'!CC6)</f>
        <v>358.19</v>
      </c>
      <c r="CC24" s="49">
        <f>IF('RPM &amp; Discounts'!$B$3='A0.Support'!$B$8,'A3.Distance matrix'!CD15,'A3.Distance matrix'!CD6)</f>
        <v>236.66</v>
      </c>
      <c r="CD24" s="49">
        <f>IF('RPM &amp; Discounts'!$B$3='A0.Support'!$B$8,'A3.Distance matrix'!CE15,'A3.Distance matrix'!CE6)</f>
        <v>246.2</v>
      </c>
      <c r="CE24" s="49">
        <f>IF('RPM &amp; Discounts'!$B$3='A0.Support'!$B$8,'A3.Distance matrix'!CF15,'A3.Distance matrix'!CF6)</f>
        <v>257.5</v>
      </c>
      <c r="CF24" s="49">
        <f>IF('RPM &amp; Discounts'!$B$3='A0.Support'!$B$8,'A3.Distance matrix'!CG15,'A3.Distance matrix'!CG6)</f>
        <v>279.72000000000003</v>
      </c>
      <c r="CG24" s="49">
        <f>IF('RPM &amp; Discounts'!$B$3='A0.Support'!$B$8,'A3.Distance matrix'!CH15,'A3.Distance matrix'!CH6)</f>
        <v>281.86</v>
      </c>
      <c r="CH24" s="49">
        <f>IF('RPM &amp; Discounts'!$B$3='A0.Support'!$B$8,'A3.Distance matrix'!CI15,'A3.Distance matrix'!CI6)</f>
        <v>467.65</v>
      </c>
      <c r="CI24" s="49">
        <f>IF('RPM &amp; Discounts'!$B$3='A0.Support'!$B$8,'A3.Distance matrix'!CJ15,'A3.Distance matrix'!CJ6)</f>
        <v>542.53</v>
      </c>
      <c r="CJ24" s="49">
        <f>IF('RPM &amp; Discounts'!$B$3='A0.Support'!$B$8,'A3.Distance matrix'!CK15,'A3.Distance matrix'!CK6)</f>
        <v>542.53099999999995</v>
      </c>
      <c r="CK24" s="49">
        <f>IF('RPM &amp; Discounts'!$B$3='A0.Support'!$B$8,'A3.Distance matrix'!CL15,'A3.Distance matrix'!CL6)</f>
        <v>543.851</v>
      </c>
      <c r="CL24" s="49">
        <f>IF('RPM &amp; Discounts'!$B$3='A0.Support'!$B$8,'A3.Distance matrix'!CM15,'A3.Distance matrix'!CM6)</f>
        <v>542.53099999999995</v>
      </c>
      <c r="CM24" s="49">
        <f>IF('RPM &amp; Discounts'!$B$3='A0.Support'!$B$8,'A3.Distance matrix'!CN15,'A3.Distance matrix'!CN6)</f>
        <v>549.62</v>
      </c>
    </row>
    <row r="25" spans="2:91">
      <c r="B25" s="47" t="str">
        <f t="shared" si="5"/>
        <v>LNG Terminal Sines</v>
      </c>
      <c r="C25" s="49">
        <f>IF('RPM &amp; Discounts'!$B$3='A0.Support'!$B$8,'A3.Distance matrix'!D16,'A3.Distance matrix'!D7)</f>
        <v>481.59199999999998</v>
      </c>
      <c r="D25" s="49">
        <f>IF('RPM &amp; Discounts'!$B$3='A0.Support'!$B$8,'A3.Distance matrix'!E16,'A3.Distance matrix'!E7)</f>
        <v>549.62099999999998</v>
      </c>
      <c r="E25" s="49">
        <f>IF('RPM &amp; Discounts'!$B$3='A0.Support'!$B$8,'A3.Distance matrix'!F16,'A3.Distance matrix'!F7)</f>
        <v>0</v>
      </c>
      <c r="F25" s="49">
        <f>IF('RPM &amp; Discounts'!$B$3='A0.Support'!$B$8,'A3.Distance matrix'!G16,'A3.Distance matrix'!G7)</f>
        <v>280.19200000000001</v>
      </c>
      <c r="G25" s="49">
        <f>IF('RPM &amp; Discounts'!$B$3='A0.Support'!$B$8,'A3.Distance matrix'!H16,'A3.Distance matrix'!H7)</f>
        <v>87.311000000000007</v>
      </c>
      <c r="H25" s="49">
        <f>IF('RPM &amp; Discounts'!$B$3='A0.Support'!$B$8,'A3.Distance matrix'!I16,'A3.Distance matrix'!I7)</f>
        <v>113.492</v>
      </c>
      <c r="I25" s="49">
        <f>IF('RPM &amp; Discounts'!$B$3='A0.Support'!$B$8,'A3.Distance matrix'!J16,'A3.Distance matrix'!J7)</f>
        <v>105.181</v>
      </c>
      <c r="J25" s="49">
        <f>IF('RPM &amp; Discounts'!$B$3='A0.Support'!$B$8,'A3.Distance matrix'!K16,'A3.Distance matrix'!K7)</f>
        <v>113.491</v>
      </c>
      <c r="K25" s="49">
        <f>IF('RPM &amp; Discounts'!$B$3='A0.Support'!$B$8,'A3.Distance matrix'!L16,'A3.Distance matrix'!L7)</f>
        <v>103.241</v>
      </c>
      <c r="L25" s="49">
        <f>IF('RPM &amp; Discounts'!$B$3='A0.Support'!$B$8,'A3.Distance matrix'!M16,'A3.Distance matrix'!M7)</f>
        <v>115.631</v>
      </c>
      <c r="M25" s="49">
        <f>IF('RPM &amp; Discounts'!$B$3='A0.Support'!$B$8,'A3.Distance matrix'!N16,'A3.Distance matrix'!N7)</f>
        <v>119.751</v>
      </c>
      <c r="N25" s="49">
        <f>IF('RPM &amp; Discounts'!$B$3='A0.Support'!$B$8,'A3.Distance matrix'!O16,'A3.Distance matrix'!O7)</f>
        <v>132.33099999999999</v>
      </c>
      <c r="O25" s="49">
        <f>IF('RPM &amp; Discounts'!$B$3='A0.Support'!$B$8,'A3.Distance matrix'!P16,'A3.Distance matrix'!P7)</f>
        <v>144.791</v>
      </c>
      <c r="P25" s="49">
        <f>IF('RPM &amp; Discounts'!$B$3='A0.Support'!$B$8,'A3.Distance matrix'!Q16,'A3.Distance matrix'!Q7)</f>
        <v>181.59200000000001</v>
      </c>
      <c r="Q25" s="49">
        <f>IF('RPM &amp; Discounts'!$B$3='A0.Support'!$B$8,'A3.Distance matrix'!R16,'A3.Distance matrix'!R7)</f>
        <v>148.70099999999999</v>
      </c>
      <c r="R25" s="49">
        <f>IF('RPM &amp; Discounts'!$B$3='A0.Support'!$B$8,'A3.Distance matrix'!S16,'A3.Distance matrix'!S7)</f>
        <v>169.482</v>
      </c>
      <c r="S25" s="49">
        <f>IF('RPM &amp; Discounts'!$B$3='A0.Support'!$B$8,'A3.Distance matrix'!T16,'A3.Distance matrix'!T7)</f>
        <v>176.25299999999999</v>
      </c>
      <c r="T25" s="49">
        <f>IF('RPM &amp; Discounts'!$B$3='A0.Support'!$B$8,'A3.Distance matrix'!U16,'A3.Distance matrix'!U7)</f>
        <v>150.99100000000001</v>
      </c>
      <c r="U25" s="49">
        <f>IF('RPM &amp; Discounts'!$B$3='A0.Support'!$B$8,'A3.Distance matrix'!V16,'A3.Distance matrix'!V7)</f>
        <v>148.702</v>
      </c>
      <c r="V25" s="49">
        <f>IF('RPM &amp; Discounts'!$B$3='A0.Support'!$B$8,'A3.Distance matrix'!W16,'A3.Distance matrix'!W7)</f>
        <v>176.25200000000001</v>
      </c>
      <c r="W25" s="49">
        <f>IF('RPM &amp; Discounts'!$B$3='A0.Support'!$B$8,'A3.Distance matrix'!X16,'A3.Distance matrix'!X7)</f>
        <v>176.06100000000001</v>
      </c>
      <c r="X25" s="49">
        <f>IF('RPM &amp; Discounts'!$B$3='A0.Support'!$B$8,'A3.Distance matrix'!Y16,'A3.Distance matrix'!Y7)</f>
        <v>164.631</v>
      </c>
      <c r="Y25" s="49">
        <f>IF('RPM &amp; Discounts'!$B$3='A0.Support'!$B$8,'A3.Distance matrix'!Z16,'A3.Distance matrix'!Z7)</f>
        <v>188.36199999999999</v>
      </c>
      <c r="Z25" s="49">
        <f>IF('RPM &amp; Discounts'!$B$3='A0.Support'!$B$8,'A3.Distance matrix'!AA16,'A3.Distance matrix'!AA7)</f>
        <v>188.36099999999999</v>
      </c>
      <c r="AA25" s="49">
        <f>IF('RPM &amp; Discounts'!$B$3='A0.Support'!$B$8,'A3.Distance matrix'!AB16,'A3.Distance matrix'!AB7)</f>
        <v>189.23099999999999</v>
      </c>
      <c r="AB25" s="49">
        <f>IF('RPM &amp; Discounts'!$B$3='A0.Support'!$B$8,'A3.Distance matrix'!AC16,'A3.Distance matrix'!AC7)</f>
        <v>223.17099999999999</v>
      </c>
      <c r="AC25" s="49">
        <f>IF('RPM &amp; Discounts'!$B$3='A0.Support'!$B$8,'A3.Distance matrix'!AD16,'A3.Distance matrix'!AD7)</f>
        <v>235.851</v>
      </c>
      <c r="AD25" s="49">
        <f>IF('RPM &amp; Discounts'!$B$3='A0.Support'!$B$8,'A3.Distance matrix'!AE16,'A3.Distance matrix'!AE7)</f>
        <v>242.42099999999999</v>
      </c>
      <c r="AE25" s="49">
        <f>IF('RPM &amp; Discounts'!$B$3='A0.Support'!$B$8,'A3.Distance matrix'!AF16,'A3.Distance matrix'!AF7)</f>
        <v>280.19099999999997</v>
      </c>
      <c r="AF25" s="49">
        <f>IF('RPM &amp; Discounts'!$B$3='A0.Support'!$B$8,'A3.Distance matrix'!AG16,'A3.Distance matrix'!AG7)</f>
        <v>290.101</v>
      </c>
      <c r="AG25" s="49">
        <f>IF('RPM &amp; Discounts'!$B$3='A0.Support'!$B$8,'A3.Distance matrix'!AH16,'A3.Distance matrix'!AH7)</f>
        <v>290.21100000000001</v>
      </c>
      <c r="AH25" s="49">
        <f>IF('RPM &amp; Discounts'!$B$3='A0.Support'!$B$8,'A3.Distance matrix'!AI16,'A3.Distance matrix'!AI7)</f>
        <v>303.28100000000001</v>
      </c>
      <c r="AI25" s="49">
        <f>IF('RPM &amp; Discounts'!$B$3='A0.Support'!$B$8,'A3.Distance matrix'!AJ16,'A3.Distance matrix'!AJ7)</f>
        <v>270.37099999999998</v>
      </c>
      <c r="AJ25" s="49">
        <f>IF('RPM &amp; Discounts'!$B$3='A0.Support'!$B$8,'A3.Distance matrix'!AK16,'A3.Distance matrix'!AK7)</f>
        <v>303.28199999999998</v>
      </c>
      <c r="AK25" s="49">
        <f>IF('RPM &amp; Discounts'!$B$3='A0.Support'!$B$8,'A3.Distance matrix'!AL16,'A3.Distance matrix'!AL7)</f>
        <v>293.64100000000002</v>
      </c>
      <c r="AL25" s="49">
        <f>IF('RPM &amp; Discounts'!$B$3='A0.Support'!$B$8,'A3.Distance matrix'!AM16,'A3.Distance matrix'!AM7)</f>
        <v>303.56099999999998</v>
      </c>
      <c r="AM25" s="49">
        <f>IF('RPM &amp; Discounts'!$B$3='A0.Support'!$B$8,'A3.Distance matrix'!AN16,'A3.Distance matrix'!AN7)</f>
        <v>299.471</v>
      </c>
      <c r="AN25" s="49">
        <f>IF('RPM &amp; Discounts'!$B$3='A0.Support'!$B$8,'A3.Distance matrix'!AO16,'A3.Distance matrix'!AO7)</f>
        <v>305.12099999999998</v>
      </c>
      <c r="AO25" s="49">
        <f>IF('RPM &amp; Discounts'!$B$3='A0.Support'!$B$8,'A3.Distance matrix'!AP16,'A3.Distance matrix'!AP7)</f>
        <v>318.78100000000001</v>
      </c>
      <c r="AP25" s="49">
        <f>IF('RPM &amp; Discounts'!$B$3='A0.Support'!$B$8,'A3.Distance matrix'!AQ16,'A3.Distance matrix'!AQ7)</f>
        <v>325.88099999999997</v>
      </c>
      <c r="AQ25" s="49">
        <f>IF('RPM &amp; Discounts'!$B$3='A0.Support'!$B$8,'A3.Distance matrix'!AR16,'A3.Distance matrix'!AR7)</f>
        <v>330.721</v>
      </c>
      <c r="AR25" s="49">
        <f>IF('RPM &amp; Discounts'!$B$3='A0.Support'!$B$8,'A3.Distance matrix'!AS16,'A3.Distance matrix'!AS7)</f>
        <v>335.71100000000001</v>
      </c>
      <c r="AS25" s="49">
        <f>IF('RPM &amp; Discounts'!$B$3='A0.Support'!$B$8,'A3.Distance matrix'!AT16,'A3.Distance matrix'!AT7)</f>
        <v>352.041</v>
      </c>
      <c r="AT25" s="49">
        <f>IF('RPM &amp; Discounts'!$B$3='A0.Support'!$B$8,'A3.Distance matrix'!AU16,'A3.Distance matrix'!AU7)</f>
        <v>359.12099999999998</v>
      </c>
      <c r="AU25" s="49">
        <f>IF('RPM &amp; Discounts'!$B$3='A0.Support'!$B$8,'A3.Distance matrix'!AV16,'A3.Distance matrix'!AV7)</f>
        <v>371.94200000000001</v>
      </c>
      <c r="AV25" s="49">
        <f>IF('RPM &amp; Discounts'!$B$3='A0.Support'!$B$8,'A3.Distance matrix'!AW16,'A3.Distance matrix'!AW7)</f>
        <v>371.94099999999997</v>
      </c>
      <c r="AW25" s="49">
        <f>IF('RPM &amp; Discounts'!$B$3='A0.Support'!$B$8,'A3.Distance matrix'!AX16,'A3.Distance matrix'!AX7)</f>
        <v>376.46100000000001</v>
      </c>
      <c r="AX25" s="49">
        <f>IF('RPM &amp; Discounts'!$B$3='A0.Support'!$B$8,'A3.Distance matrix'!AY16,'A3.Distance matrix'!AY7)</f>
        <v>385.22199999999998</v>
      </c>
      <c r="AY25" s="49">
        <f>IF('RPM &amp; Discounts'!$B$3='A0.Support'!$B$8,'A3.Distance matrix'!AZ16,'A3.Distance matrix'!AZ7)</f>
        <v>385.221</v>
      </c>
      <c r="AZ25" s="49">
        <f>IF('RPM &amp; Discounts'!$B$3='A0.Support'!$B$8,'A3.Distance matrix'!BA16,'A3.Distance matrix'!BA7)</f>
        <v>398.38099999999997</v>
      </c>
      <c r="BA25" s="49">
        <f>IF('RPM &amp; Discounts'!$B$3='A0.Support'!$B$8,'A3.Distance matrix'!BB16,'A3.Distance matrix'!BB7)</f>
        <v>415.94099999999997</v>
      </c>
      <c r="BB25" s="49">
        <f>IF('RPM &amp; Discounts'!$B$3='A0.Support'!$B$8,'A3.Distance matrix'!BC16,'A3.Distance matrix'!BC7)</f>
        <v>430.33100000000002</v>
      </c>
      <c r="BC25" s="49">
        <f>IF('RPM &amp; Discounts'!$B$3='A0.Support'!$B$8,'A3.Distance matrix'!BD16,'A3.Distance matrix'!BD7)</f>
        <v>427.59100000000001</v>
      </c>
      <c r="BD25" s="49">
        <f>IF('RPM &amp; Discounts'!$B$3='A0.Support'!$B$8,'A3.Distance matrix'!BE16,'A3.Distance matrix'!BE7)</f>
        <v>432.28100000000001</v>
      </c>
      <c r="BE25" s="49">
        <f>IF('RPM &amp; Discounts'!$B$3='A0.Support'!$B$8,'A3.Distance matrix'!BF16,'A3.Distance matrix'!BF7)</f>
        <v>438.64100000000002</v>
      </c>
      <c r="BF25" s="49">
        <f>IF('RPM &amp; Discounts'!$B$3='A0.Support'!$B$8,'A3.Distance matrix'!BG16,'A3.Distance matrix'!BG7)</f>
        <v>448.13099999999997</v>
      </c>
      <c r="BG25" s="49">
        <f>IF('RPM &amp; Discounts'!$B$3='A0.Support'!$B$8,'A3.Distance matrix'!BH16,'A3.Distance matrix'!BH7)</f>
        <v>479.44099999999997</v>
      </c>
      <c r="BH25" s="49">
        <f>IF('RPM &amp; Discounts'!$B$3='A0.Support'!$B$8,'A3.Distance matrix'!BI16,'A3.Distance matrix'!BI7)</f>
        <v>458.43099999999998</v>
      </c>
      <c r="BI25" s="49">
        <f>IF('RPM &amp; Discounts'!$B$3='A0.Support'!$B$8,'A3.Distance matrix'!BJ16,'A3.Distance matrix'!BJ7)</f>
        <v>467.52100000000002</v>
      </c>
      <c r="BJ25" s="49">
        <f>IF('RPM &amp; Discounts'!$B$3='A0.Support'!$B$8,'A3.Distance matrix'!BK16,'A3.Distance matrix'!BK7)</f>
        <v>481.65100000000001</v>
      </c>
      <c r="BK25" s="49">
        <f>IF('RPM &amp; Discounts'!$B$3='A0.Support'!$B$8,'A3.Distance matrix'!BL16,'A3.Distance matrix'!BL7)</f>
        <v>489.53100000000001</v>
      </c>
      <c r="BL25" s="49">
        <f>IF('RPM &amp; Discounts'!$B$3='A0.Support'!$B$8,'A3.Distance matrix'!BM16,'A3.Distance matrix'!BM7)</f>
        <v>517.101</v>
      </c>
      <c r="BM25" s="49">
        <f>IF('RPM &amp; Discounts'!$B$3='A0.Support'!$B$8,'A3.Distance matrix'!BN16,'A3.Distance matrix'!BN7)</f>
        <v>515.00099999999998</v>
      </c>
      <c r="BN25" s="49">
        <f>IF('RPM &amp; Discounts'!$B$3='A0.Support'!$B$8,'A3.Distance matrix'!BO16,'A3.Distance matrix'!BO7)</f>
        <v>544.84100000000001</v>
      </c>
      <c r="BO25" s="49">
        <f>IF('RPM &amp; Discounts'!$B$3='A0.Support'!$B$8,'A3.Distance matrix'!BP16,'A3.Distance matrix'!BP7)</f>
        <v>481.351</v>
      </c>
      <c r="BP25" s="49">
        <f>IF('RPM &amp; Discounts'!$B$3='A0.Support'!$B$8,'A3.Distance matrix'!BQ16,'A3.Distance matrix'!BQ7)</f>
        <v>377.971</v>
      </c>
      <c r="BQ25" s="49">
        <f>IF('RPM &amp; Discounts'!$B$3='A0.Support'!$B$8,'A3.Distance matrix'!BR16,'A3.Distance matrix'!BR7)</f>
        <v>355.38099999999997</v>
      </c>
      <c r="BR25" s="49">
        <f>IF('RPM &amp; Discounts'!$B$3='A0.Support'!$B$8,'A3.Distance matrix'!BS16,'A3.Distance matrix'!BS7)</f>
        <v>360.44099999999997</v>
      </c>
      <c r="BS25" s="49">
        <f>IF('RPM &amp; Discounts'!$B$3='A0.Support'!$B$8,'A3.Distance matrix'!BT16,'A3.Distance matrix'!BT7)</f>
        <v>335.49099999999999</v>
      </c>
      <c r="BT25" s="49">
        <f>IF('RPM &amp; Discounts'!$B$3='A0.Support'!$B$8,'A3.Distance matrix'!BU16,'A3.Distance matrix'!BU7)</f>
        <v>317.31099999999998</v>
      </c>
      <c r="BU25" s="49">
        <f>IF('RPM &amp; Discounts'!$B$3='A0.Support'!$B$8,'A3.Distance matrix'!BV16,'A3.Distance matrix'!BV7)</f>
        <v>298.27100000000002</v>
      </c>
      <c r="BV25" s="49">
        <f>IF('RPM &amp; Discounts'!$B$3='A0.Support'!$B$8,'A3.Distance matrix'!BW16,'A3.Distance matrix'!BW7)</f>
        <v>265.041</v>
      </c>
      <c r="BW25" s="49">
        <f>IF('RPM &amp; Discounts'!$B$3='A0.Support'!$B$8,'A3.Distance matrix'!BX16,'A3.Distance matrix'!BX7)</f>
        <v>453.93099999999998</v>
      </c>
      <c r="BX25" s="49">
        <f>IF('RPM &amp; Discounts'!$B$3='A0.Support'!$B$8,'A3.Distance matrix'!BY16,'A3.Distance matrix'!BY7)</f>
        <v>493.791</v>
      </c>
      <c r="BY25" s="49">
        <f>IF('RPM &amp; Discounts'!$B$3='A0.Support'!$B$8,'A3.Distance matrix'!BZ16,'A3.Distance matrix'!BZ7)</f>
        <v>518.66099999999994</v>
      </c>
      <c r="BZ25" s="49">
        <f>IF('RPM &amp; Discounts'!$B$3='A0.Support'!$B$8,'A3.Distance matrix'!CA16,'A3.Distance matrix'!CA7)</f>
        <v>530.30100000000004</v>
      </c>
      <c r="CA25" s="49">
        <f>IF('RPM &amp; Discounts'!$B$3='A0.Support'!$B$8,'A3.Distance matrix'!CB16,'A3.Distance matrix'!CB7)</f>
        <v>519.52099999999996</v>
      </c>
      <c r="CB25" s="49">
        <f>IF('RPM &amp; Discounts'!$B$3='A0.Support'!$B$8,'A3.Distance matrix'!CC16,'A3.Distance matrix'!CC7)</f>
        <v>479.99099999999999</v>
      </c>
      <c r="CC25" s="49">
        <f>IF('RPM &amp; Discounts'!$B$3='A0.Support'!$B$8,'A3.Distance matrix'!CD16,'A3.Distance matrix'!CD7)</f>
        <v>358.46100000000001</v>
      </c>
      <c r="CD25" s="49">
        <f>IF('RPM &amp; Discounts'!$B$3='A0.Support'!$B$8,'A3.Distance matrix'!CE16,'A3.Distance matrix'!CE7)</f>
        <v>368.00099999999998</v>
      </c>
      <c r="CE25" s="49">
        <f>IF('RPM &amp; Discounts'!$B$3='A0.Support'!$B$8,'A3.Distance matrix'!CF16,'A3.Distance matrix'!CF7)</f>
        <v>379.30099999999999</v>
      </c>
      <c r="CF25" s="49">
        <f>IF('RPM &amp; Discounts'!$B$3='A0.Support'!$B$8,'A3.Distance matrix'!CG16,'A3.Distance matrix'!CG7)</f>
        <v>401.52100000000002</v>
      </c>
      <c r="CG25" s="49">
        <f>IF('RPM &amp; Discounts'!$B$3='A0.Support'!$B$8,'A3.Distance matrix'!CH16,'A3.Distance matrix'!CH7)</f>
        <v>403.661</v>
      </c>
      <c r="CH25" s="49">
        <f>IF('RPM &amp; Discounts'!$B$3='A0.Support'!$B$8,'A3.Distance matrix'!CI16,'A3.Distance matrix'!CI7)</f>
        <v>81.971000000000004</v>
      </c>
      <c r="CI25" s="49">
        <f>IF('RPM &amp; Discounts'!$B$3='A0.Support'!$B$8,'A3.Distance matrix'!CJ16,'A3.Distance matrix'!CJ7)</f>
        <v>7.0910000000000002</v>
      </c>
      <c r="CJ25" s="49">
        <f>IF('RPM &amp; Discounts'!$B$3='A0.Support'!$B$8,'A3.Distance matrix'!CK16,'A3.Distance matrix'!CK7)</f>
        <v>7.0919999999999996</v>
      </c>
      <c r="CK25" s="49">
        <f>IF('RPM &amp; Discounts'!$B$3='A0.Support'!$B$8,'A3.Distance matrix'!CL16,'A3.Distance matrix'!CL7)</f>
        <v>8.4120000000000008</v>
      </c>
      <c r="CL25" s="49">
        <f>IF('RPM &amp; Discounts'!$B$3='A0.Support'!$B$8,'A3.Distance matrix'!CM16,'A3.Distance matrix'!CM7)</f>
        <v>7.0919999999999996</v>
      </c>
      <c r="CM25" s="49">
        <f>IF('RPM &amp; Discounts'!$B$3='A0.Support'!$B$8,'A3.Distance matrix'!CN16,'A3.Distance matrix'!CN7)</f>
        <v>9.9999999999989008E-4</v>
      </c>
    </row>
    <row r="26" spans="2:91">
      <c r="B26" s="47" t="str">
        <f t="shared" si="5"/>
        <v>Underground storage Carriço</v>
      </c>
      <c r="C26" s="49">
        <f>IF('RPM &amp; Discounts'!$B$3='A0.Support'!$B$8,'A3.Distance matrix'!D17,'A3.Distance matrix'!D8)</f>
        <v>239.52199999999999</v>
      </c>
      <c r="D26" s="49">
        <f>IF('RPM &amp; Discounts'!$B$3='A0.Support'!$B$8,'A3.Distance matrix'!E17,'A3.Distance matrix'!E8)</f>
        <v>307.55099999999999</v>
      </c>
      <c r="E26" s="49">
        <f>IF('RPM &amp; Discounts'!$B$3='A0.Support'!$B$8,'A3.Distance matrix'!F17,'A3.Distance matrix'!F8)</f>
        <v>280.19200000000001</v>
      </c>
      <c r="F26" s="49">
        <f>IF('RPM &amp; Discounts'!$B$3='A0.Support'!$B$8,'A3.Distance matrix'!G17,'A3.Distance matrix'!G8)</f>
        <v>0</v>
      </c>
      <c r="G26" s="49">
        <f>IF('RPM &amp; Discounts'!$B$3='A0.Support'!$B$8,'A3.Distance matrix'!H17,'A3.Distance matrix'!H8)</f>
        <v>192.881</v>
      </c>
      <c r="H26" s="49">
        <f>IF('RPM &amp; Discounts'!$B$3='A0.Support'!$B$8,'A3.Distance matrix'!I17,'A3.Distance matrix'!I8)</f>
        <v>205.88200000000001</v>
      </c>
      <c r="I26" s="49">
        <f>IF('RPM &amp; Discounts'!$B$3='A0.Support'!$B$8,'A3.Distance matrix'!J17,'A3.Distance matrix'!J8)</f>
        <v>197.571</v>
      </c>
      <c r="J26" s="49">
        <f>IF('RPM &amp; Discounts'!$B$3='A0.Support'!$B$8,'A3.Distance matrix'!K17,'A3.Distance matrix'!K8)</f>
        <v>205.881</v>
      </c>
      <c r="K26" s="49">
        <f>IF('RPM &amp; Discounts'!$B$3='A0.Support'!$B$8,'A3.Distance matrix'!L17,'A3.Distance matrix'!L8)</f>
        <v>176.95099999999999</v>
      </c>
      <c r="L26" s="49">
        <f>IF('RPM &amp; Discounts'!$B$3='A0.Support'!$B$8,'A3.Distance matrix'!M17,'A3.Distance matrix'!M8)</f>
        <v>164.56100000000001</v>
      </c>
      <c r="M26" s="49">
        <f>IF('RPM &amp; Discounts'!$B$3='A0.Support'!$B$8,'A3.Distance matrix'!N17,'A3.Distance matrix'!N8)</f>
        <v>212.14099999999999</v>
      </c>
      <c r="N26" s="49">
        <f>IF('RPM &amp; Discounts'!$B$3='A0.Support'!$B$8,'A3.Distance matrix'!O17,'A3.Distance matrix'!O8)</f>
        <v>147.86099999999999</v>
      </c>
      <c r="O26" s="49">
        <f>IF('RPM &amp; Discounts'!$B$3='A0.Support'!$B$8,'A3.Distance matrix'!P17,'A3.Distance matrix'!P8)</f>
        <v>135.40100000000001</v>
      </c>
      <c r="P26" s="49">
        <f>IF('RPM &amp; Discounts'!$B$3='A0.Support'!$B$8,'A3.Distance matrix'!Q17,'A3.Distance matrix'!Q8)</f>
        <v>164.66200000000001</v>
      </c>
      <c r="Q26" s="49">
        <f>IF('RPM &amp; Discounts'!$B$3='A0.Support'!$B$8,'A3.Distance matrix'!R17,'A3.Distance matrix'!R8)</f>
        <v>131.77099999999999</v>
      </c>
      <c r="R26" s="49">
        <f>IF('RPM &amp; Discounts'!$B$3='A0.Support'!$B$8,'A3.Distance matrix'!S17,'A3.Distance matrix'!S8)</f>
        <v>152.55199999999999</v>
      </c>
      <c r="S26" s="49">
        <f>IF('RPM &amp; Discounts'!$B$3='A0.Support'!$B$8,'A3.Distance matrix'!T17,'A3.Distance matrix'!T8)</f>
        <v>159.32300000000001</v>
      </c>
      <c r="T26" s="49">
        <f>IF('RPM &amp; Discounts'!$B$3='A0.Support'!$B$8,'A3.Distance matrix'!U17,'A3.Distance matrix'!U8)</f>
        <v>129.20099999999999</v>
      </c>
      <c r="U26" s="49">
        <f>IF('RPM &amp; Discounts'!$B$3='A0.Support'!$B$8,'A3.Distance matrix'!V17,'A3.Distance matrix'!V8)</f>
        <v>131.77199999999999</v>
      </c>
      <c r="V26" s="49">
        <f>IF('RPM &amp; Discounts'!$B$3='A0.Support'!$B$8,'A3.Distance matrix'!W17,'A3.Distance matrix'!W8)</f>
        <v>159.322</v>
      </c>
      <c r="W26" s="49">
        <f>IF('RPM &amp; Discounts'!$B$3='A0.Support'!$B$8,'A3.Distance matrix'!X17,'A3.Distance matrix'!X8)</f>
        <v>126.991</v>
      </c>
      <c r="X26" s="49">
        <f>IF('RPM &amp; Discounts'!$B$3='A0.Support'!$B$8,'A3.Distance matrix'!Y17,'A3.Distance matrix'!Y8)</f>
        <v>115.56100000000001</v>
      </c>
      <c r="Y26" s="49">
        <f>IF('RPM &amp; Discounts'!$B$3='A0.Support'!$B$8,'A3.Distance matrix'!Z17,'A3.Distance matrix'!Z8)</f>
        <v>139.292</v>
      </c>
      <c r="Z26" s="49">
        <f>IF('RPM &amp; Discounts'!$B$3='A0.Support'!$B$8,'A3.Distance matrix'!AA17,'A3.Distance matrix'!AA8)</f>
        <v>139.291</v>
      </c>
      <c r="AA26" s="49">
        <f>IF('RPM &amp; Discounts'!$B$3='A0.Support'!$B$8,'A3.Distance matrix'!AB17,'A3.Distance matrix'!AB8)</f>
        <v>90.960999999999999</v>
      </c>
      <c r="AB26" s="49">
        <f>IF('RPM &amp; Discounts'!$B$3='A0.Support'!$B$8,'A3.Distance matrix'!AC17,'A3.Distance matrix'!AC8)</f>
        <v>57.021000000000001</v>
      </c>
      <c r="AC26" s="49">
        <f>IF('RPM &amp; Discounts'!$B$3='A0.Support'!$B$8,'A3.Distance matrix'!AD17,'A3.Distance matrix'!AD8)</f>
        <v>44.341000000000001</v>
      </c>
      <c r="AD26" s="49">
        <f>IF('RPM &amp; Discounts'!$B$3='A0.Support'!$B$8,'A3.Distance matrix'!AE17,'A3.Distance matrix'!AE8)</f>
        <v>37.771000000000001</v>
      </c>
      <c r="AE26" s="49">
        <f>IF('RPM &amp; Discounts'!$B$3='A0.Support'!$B$8,'A3.Distance matrix'!AF17,'A3.Distance matrix'!AF8)</f>
        <v>9.9999999999989008E-4</v>
      </c>
      <c r="AF26" s="49">
        <f>IF('RPM &amp; Discounts'!$B$3='A0.Support'!$B$8,'A3.Distance matrix'!AG17,'A3.Distance matrix'!AG8)</f>
        <v>9.9109999999999996</v>
      </c>
      <c r="AG26" s="49">
        <f>IF('RPM &amp; Discounts'!$B$3='A0.Support'!$B$8,'A3.Distance matrix'!AH17,'A3.Distance matrix'!AH8)</f>
        <v>10.021000000000001</v>
      </c>
      <c r="AH26" s="49">
        <f>IF('RPM &amp; Discounts'!$B$3='A0.Support'!$B$8,'A3.Distance matrix'!AI17,'A3.Distance matrix'!AI8)</f>
        <v>23.091000000000001</v>
      </c>
      <c r="AI26" s="49">
        <f>IF('RPM &amp; Discounts'!$B$3='A0.Support'!$B$8,'A3.Distance matrix'!AJ17,'A3.Distance matrix'!AJ8)</f>
        <v>28.300999999999998</v>
      </c>
      <c r="AJ26" s="49">
        <f>IF('RPM &amp; Discounts'!$B$3='A0.Support'!$B$8,'A3.Distance matrix'!AK17,'A3.Distance matrix'!AK8)</f>
        <v>23.091999999999999</v>
      </c>
      <c r="AK26" s="49">
        <f>IF('RPM &amp; Discounts'!$B$3='A0.Support'!$B$8,'A3.Distance matrix'!AL17,'A3.Distance matrix'!AL8)</f>
        <v>51.570999999999998</v>
      </c>
      <c r="AL26" s="49">
        <f>IF('RPM &amp; Discounts'!$B$3='A0.Support'!$B$8,'A3.Distance matrix'!AM17,'A3.Distance matrix'!AM8)</f>
        <v>61.491</v>
      </c>
      <c r="AM26" s="49">
        <f>IF('RPM &amp; Discounts'!$B$3='A0.Support'!$B$8,'A3.Distance matrix'!AN17,'A3.Distance matrix'!AN8)</f>
        <v>57.401000000000003</v>
      </c>
      <c r="AN26" s="49">
        <f>IF('RPM &amp; Discounts'!$B$3='A0.Support'!$B$8,'A3.Distance matrix'!AO17,'A3.Distance matrix'!AO8)</f>
        <v>63.051000000000002</v>
      </c>
      <c r="AO26" s="49">
        <f>IF('RPM &amp; Discounts'!$B$3='A0.Support'!$B$8,'A3.Distance matrix'!AP17,'A3.Distance matrix'!AP8)</f>
        <v>76.710999999999999</v>
      </c>
      <c r="AP26" s="49">
        <f>IF('RPM &amp; Discounts'!$B$3='A0.Support'!$B$8,'A3.Distance matrix'!AQ17,'A3.Distance matrix'!AQ8)</f>
        <v>83.811000000000007</v>
      </c>
      <c r="AQ26" s="49">
        <f>IF('RPM &amp; Discounts'!$B$3='A0.Support'!$B$8,'A3.Distance matrix'!AR17,'A3.Distance matrix'!AR8)</f>
        <v>88.650999999999996</v>
      </c>
      <c r="AR26" s="49">
        <f>IF('RPM &amp; Discounts'!$B$3='A0.Support'!$B$8,'A3.Distance matrix'!AS17,'A3.Distance matrix'!AS8)</f>
        <v>93.641000000000005</v>
      </c>
      <c r="AS26" s="49">
        <f>IF('RPM &amp; Discounts'!$B$3='A0.Support'!$B$8,'A3.Distance matrix'!AT17,'A3.Distance matrix'!AT8)</f>
        <v>109.971</v>
      </c>
      <c r="AT26" s="49">
        <f>IF('RPM &amp; Discounts'!$B$3='A0.Support'!$B$8,'A3.Distance matrix'!AU17,'A3.Distance matrix'!AU8)</f>
        <v>117.051</v>
      </c>
      <c r="AU26" s="49">
        <f>IF('RPM &amp; Discounts'!$B$3='A0.Support'!$B$8,'A3.Distance matrix'!AV17,'A3.Distance matrix'!AV8)</f>
        <v>129.87200000000001</v>
      </c>
      <c r="AV26" s="49">
        <f>IF('RPM &amp; Discounts'!$B$3='A0.Support'!$B$8,'A3.Distance matrix'!AW17,'A3.Distance matrix'!AW8)</f>
        <v>129.87100000000001</v>
      </c>
      <c r="AW26" s="49">
        <f>IF('RPM &amp; Discounts'!$B$3='A0.Support'!$B$8,'A3.Distance matrix'!AX17,'A3.Distance matrix'!AX8)</f>
        <v>134.39099999999999</v>
      </c>
      <c r="AX26" s="49">
        <f>IF('RPM &amp; Discounts'!$B$3='A0.Support'!$B$8,'A3.Distance matrix'!AY17,'A3.Distance matrix'!AY8)</f>
        <v>143.15199999999999</v>
      </c>
      <c r="AY26" s="49">
        <f>IF('RPM &amp; Discounts'!$B$3='A0.Support'!$B$8,'A3.Distance matrix'!AZ17,'A3.Distance matrix'!AZ8)</f>
        <v>143.15100000000001</v>
      </c>
      <c r="AZ26" s="49">
        <f>IF('RPM &amp; Discounts'!$B$3='A0.Support'!$B$8,'A3.Distance matrix'!BA17,'A3.Distance matrix'!BA8)</f>
        <v>156.31100000000001</v>
      </c>
      <c r="BA26" s="49">
        <f>IF('RPM &amp; Discounts'!$B$3='A0.Support'!$B$8,'A3.Distance matrix'!BB17,'A3.Distance matrix'!BB8)</f>
        <v>173.87100000000001</v>
      </c>
      <c r="BB26" s="49">
        <f>IF('RPM &amp; Discounts'!$B$3='A0.Support'!$B$8,'A3.Distance matrix'!BC17,'A3.Distance matrix'!BC8)</f>
        <v>188.261</v>
      </c>
      <c r="BC26" s="49">
        <f>IF('RPM &amp; Discounts'!$B$3='A0.Support'!$B$8,'A3.Distance matrix'!BD17,'A3.Distance matrix'!BD8)</f>
        <v>185.52099999999999</v>
      </c>
      <c r="BD26" s="49">
        <f>IF('RPM &amp; Discounts'!$B$3='A0.Support'!$B$8,'A3.Distance matrix'!BE17,'A3.Distance matrix'!BE8)</f>
        <v>190.21100000000001</v>
      </c>
      <c r="BE26" s="49">
        <f>IF('RPM &amp; Discounts'!$B$3='A0.Support'!$B$8,'A3.Distance matrix'!BF17,'A3.Distance matrix'!BF8)</f>
        <v>196.571</v>
      </c>
      <c r="BF26" s="49">
        <f>IF('RPM &amp; Discounts'!$B$3='A0.Support'!$B$8,'A3.Distance matrix'!BG17,'A3.Distance matrix'!BG8)</f>
        <v>206.06100000000001</v>
      </c>
      <c r="BG26" s="49">
        <f>IF('RPM &amp; Discounts'!$B$3='A0.Support'!$B$8,'A3.Distance matrix'!BH17,'A3.Distance matrix'!BH8)</f>
        <v>237.37100000000001</v>
      </c>
      <c r="BH26" s="49">
        <f>IF('RPM &amp; Discounts'!$B$3='A0.Support'!$B$8,'A3.Distance matrix'!BI17,'A3.Distance matrix'!BI8)</f>
        <v>216.36099999999999</v>
      </c>
      <c r="BI26" s="49">
        <f>IF('RPM &amp; Discounts'!$B$3='A0.Support'!$B$8,'A3.Distance matrix'!BJ17,'A3.Distance matrix'!BJ8)</f>
        <v>225.45099999999999</v>
      </c>
      <c r="BJ26" s="49">
        <f>IF('RPM &amp; Discounts'!$B$3='A0.Support'!$B$8,'A3.Distance matrix'!BK17,'A3.Distance matrix'!BK8)</f>
        <v>239.58099999999999</v>
      </c>
      <c r="BK26" s="49">
        <f>IF('RPM &amp; Discounts'!$B$3='A0.Support'!$B$8,'A3.Distance matrix'!BL17,'A3.Distance matrix'!BL8)</f>
        <v>247.46100000000001</v>
      </c>
      <c r="BL26" s="49">
        <f>IF('RPM &amp; Discounts'!$B$3='A0.Support'!$B$8,'A3.Distance matrix'!BM17,'A3.Distance matrix'!BM8)</f>
        <v>275.03100000000001</v>
      </c>
      <c r="BM26" s="49">
        <f>IF('RPM &amp; Discounts'!$B$3='A0.Support'!$B$8,'A3.Distance matrix'!BN17,'A3.Distance matrix'!BN8)</f>
        <v>272.93099999999998</v>
      </c>
      <c r="BN26" s="49">
        <f>IF('RPM &amp; Discounts'!$B$3='A0.Support'!$B$8,'A3.Distance matrix'!BO17,'A3.Distance matrix'!BO8)</f>
        <v>302.77100000000002</v>
      </c>
      <c r="BO26" s="49">
        <f>IF('RPM &amp; Discounts'!$B$3='A0.Support'!$B$8,'A3.Distance matrix'!BP17,'A3.Distance matrix'!BP8)</f>
        <v>239.28100000000001</v>
      </c>
      <c r="BP26" s="49">
        <f>IF('RPM &amp; Discounts'!$B$3='A0.Support'!$B$8,'A3.Distance matrix'!BQ17,'A3.Distance matrix'!BQ8)</f>
        <v>135.90100000000001</v>
      </c>
      <c r="BQ26" s="49">
        <f>IF('RPM &amp; Discounts'!$B$3='A0.Support'!$B$8,'A3.Distance matrix'!BR17,'A3.Distance matrix'!BR8)</f>
        <v>113.31100000000001</v>
      </c>
      <c r="BR26" s="49">
        <f>IF('RPM &amp; Discounts'!$B$3='A0.Support'!$B$8,'A3.Distance matrix'!BS17,'A3.Distance matrix'!BS8)</f>
        <v>118.371</v>
      </c>
      <c r="BS26" s="49">
        <f>IF('RPM &amp; Discounts'!$B$3='A0.Support'!$B$8,'A3.Distance matrix'!BT17,'A3.Distance matrix'!BT8)</f>
        <v>93.421000000000006</v>
      </c>
      <c r="BT26" s="49">
        <f>IF('RPM &amp; Discounts'!$B$3='A0.Support'!$B$8,'A3.Distance matrix'!BU17,'A3.Distance matrix'!BU8)</f>
        <v>75.241</v>
      </c>
      <c r="BU26" s="49">
        <f>IF('RPM &amp; Discounts'!$B$3='A0.Support'!$B$8,'A3.Distance matrix'!BV17,'A3.Distance matrix'!BV8)</f>
        <v>56.201000000000001</v>
      </c>
      <c r="BV26" s="49">
        <f>IF('RPM &amp; Discounts'!$B$3='A0.Support'!$B$8,'A3.Distance matrix'!BW17,'A3.Distance matrix'!BW8)</f>
        <v>22.971</v>
      </c>
      <c r="BW26" s="49">
        <f>IF('RPM &amp; Discounts'!$B$3='A0.Support'!$B$8,'A3.Distance matrix'!BX17,'A3.Distance matrix'!BX8)</f>
        <v>211.86099999999999</v>
      </c>
      <c r="BX26" s="49">
        <f>IF('RPM &amp; Discounts'!$B$3='A0.Support'!$B$8,'A3.Distance matrix'!BY17,'A3.Distance matrix'!BY8)</f>
        <v>251.721</v>
      </c>
      <c r="BY26" s="49">
        <f>IF('RPM &amp; Discounts'!$B$3='A0.Support'!$B$8,'A3.Distance matrix'!BZ17,'A3.Distance matrix'!BZ8)</f>
        <v>276.59100000000001</v>
      </c>
      <c r="BZ26" s="49">
        <f>IF('RPM &amp; Discounts'!$B$3='A0.Support'!$B$8,'A3.Distance matrix'!CA17,'A3.Distance matrix'!CA8)</f>
        <v>288.23099999999999</v>
      </c>
      <c r="CA26" s="49">
        <f>IF('RPM &amp; Discounts'!$B$3='A0.Support'!$B$8,'A3.Distance matrix'!CB17,'A3.Distance matrix'!CB8)</f>
        <v>277.45100000000002</v>
      </c>
      <c r="CB26" s="49">
        <f>IF('RPM &amp; Discounts'!$B$3='A0.Support'!$B$8,'A3.Distance matrix'!CC17,'A3.Distance matrix'!CC8)</f>
        <v>237.92099999999999</v>
      </c>
      <c r="CC26" s="49">
        <f>IF('RPM &amp; Discounts'!$B$3='A0.Support'!$B$8,'A3.Distance matrix'!CD17,'A3.Distance matrix'!CD8)</f>
        <v>116.39100000000001</v>
      </c>
      <c r="CD26" s="49">
        <f>IF('RPM &amp; Discounts'!$B$3='A0.Support'!$B$8,'A3.Distance matrix'!CE17,'A3.Distance matrix'!CE8)</f>
        <v>125.931</v>
      </c>
      <c r="CE26" s="49">
        <f>IF('RPM &amp; Discounts'!$B$3='A0.Support'!$B$8,'A3.Distance matrix'!CF17,'A3.Distance matrix'!CF8)</f>
        <v>137.23099999999999</v>
      </c>
      <c r="CF26" s="49">
        <f>IF('RPM &amp; Discounts'!$B$3='A0.Support'!$B$8,'A3.Distance matrix'!CG17,'A3.Distance matrix'!CG8)</f>
        <v>159.45099999999999</v>
      </c>
      <c r="CG26" s="49">
        <f>IF('RPM &amp; Discounts'!$B$3='A0.Support'!$B$8,'A3.Distance matrix'!CH17,'A3.Distance matrix'!CH8)</f>
        <v>161.59100000000001</v>
      </c>
      <c r="CH26" s="49">
        <f>IF('RPM &amp; Discounts'!$B$3='A0.Support'!$B$8,'A3.Distance matrix'!CI17,'A3.Distance matrix'!CI8)</f>
        <v>198.221</v>
      </c>
      <c r="CI26" s="49">
        <f>IF('RPM &amp; Discounts'!$B$3='A0.Support'!$B$8,'A3.Distance matrix'!CJ17,'A3.Distance matrix'!CJ8)</f>
        <v>273.101</v>
      </c>
      <c r="CJ26" s="49">
        <f>IF('RPM &amp; Discounts'!$B$3='A0.Support'!$B$8,'A3.Distance matrix'!CK17,'A3.Distance matrix'!CK8)</f>
        <v>273.10199999999998</v>
      </c>
      <c r="CK26" s="49">
        <f>IF('RPM &amp; Discounts'!$B$3='A0.Support'!$B$8,'A3.Distance matrix'!CL17,'A3.Distance matrix'!CL8)</f>
        <v>274.42200000000003</v>
      </c>
      <c r="CL26" s="49">
        <f>IF('RPM &amp; Discounts'!$B$3='A0.Support'!$B$8,'A3.Distance matrix'!CM17,'A3.Distance matrix'!CM8)</f>
        <v>273.10199999999998</v>
      </c>
      <c r="CM26" s="49">
        <f>IF('RPM &amp; Discounts'!$B$3='A0.Support'!$B$8,'A3.Distance matrix'!CN17,'A3.Distance matrix'!CN8)</f>
        <v>280.19099999999997</v>
      </c>
    </row>
    <row r="27" spans="2:91">
      <c r="B27" s="47" t="str">
        <f t="shared" si="5"/>
        <v>Gas producers</v>
      </c>
      <c r="C27" s="49">
        <f>IF('RPM &amp; Discounts'!$B$3='A0.Support'!$B$8,'A3.Distance matrix'!D18,'A3.Distance matrix'!D9)</f>
        <v>239.523</v>
      </c>
      <c r="D27" s="49">
        <f>IF('RPM &amp; Discounts'!$B$3='A0.Support'!$B$8,'A3.Distance matrix'!E18,'A3.Distance matrix'!E9)</f>
        <v>307.55200000000002</v>
      </c>
      <c r="E27" s="49">
        <f>IF('RPM &amp; Discounts'!$B$3='A0.Support'!$B$8,'A3.Distance matrix'!F18,'A3.Distance matrix'!F9)</f>
        <v>280.19299999999998</v>
      </c>
      <c r="F27" s="49">
        <f>IF('RPM &amp; Discounts'!$B$3='A0.Support'!$B$8,'A3.Distance matrix'!G18,'A3.Distance matrix'!G9)</f>
        <v>9.9999999999989008E-4</v>
      </c>
      <c r="G27" s="49">
        <f>IF('RPM &amp; Discounts'!$B$3='A0.Support'!$B$8,'A3.Distance matrix'!H18,'A3.Distance matrix'!H9)</f>
        <v>192.88200000000001</v>
      </c>
      <c r="H27" s="49">
        <f>IF('RPM &amp; Discounts'!$B$3='A0.Support'!$B$8,'A3.Distance matrix'!I18,'A3.Distance matrix'!I9)</f>
        <v>205.88300000000001</v>
      </c>
      <c r="I27" s="49">
        <f>IF('RPM &amp; Discounts'!$B$3='A0.Support'!$B$8,'A3.Distance matrix'!J18,'A3.Distance matrix'!J9)</f>
        <v>197.572</v>
      </c>
      <c r="J27" s="49">
        <f>IF('RPM &amp; Discounts'!$B$3='A0.Support'!$B$8,'A3.Distance matrix'!K18,'A3.Distance matrix'!K9)</f>
        <v>205.88200000000001</v>
      </c>
      <c r="K27" s="49">
        <f>IF('RPM &amp; Discounts'!$B$3='A0.Support'!$B$8,'A3.Distance matrix'!L18,'A3.Distance matrix'!L9)</f>
        <v>176.952</v>
      </c>
      <c r="L27" s="49">
        <f>IF('RPM &amp; Discounts'!$B$3='A0.Support'!$B$8,'A3.Distance matrix'!M18,'A3.Distance matrix'!M9)</f>
        <v>164.56200000000001</v>
      </c>
      <c r="M27" s="49">
        <f>IF('RPM &amp; Discounts'!$B$3='A0.Support'!$B$8,'A3.Distance matrix'!N18,'A3.Distance matrix'!N9)</f>
        <v>212.142</v>
      </c>
      <c r="N27" s="49">
        <f>IF('RPM &amp; Discounts'!$B$3='A0.Support'!$B$8,'A3.Distance matrix'!O18,'A3.Distance matrix'!O9)</f>
        <v>147.86199999999999</v>
      </c>
      <c r="O27" s="49">
        <f>IF('RPM &amp; Discounts'!$B$3='A0.Support'!$B$8,'A3.Distance matrix'!P18,'A3.Distance matrix'!P9)</f>
        <v>135.40199999999999</v>
      </c>
      <c r="P27" s="49">
        <f>IF('RPM &amp; Discounts'!$B$3='A0.Support'!$B$8,'A3.Distance matrix'!Q18,'A3.Distance matrix'!Q9)</f>
        <v>164.66300000000001</v>
      </c>
      <c r="Q27" s="49">
        <f>IF('RPM &amp; Discounts'!$B$3='A0.Support'!$B$8,'A3.Distance matrix'!R18,'A3.Distance matrix'!R9)</f>
        <v>131.77199999999999</v>
      </c>
      <c r="R27" s="49">
        <f>IF('RPM &amp; Discounts'!$B$3='A0.Support'!$B$8,'A3.Distance matrix'!S18,'A3.Distance matrix'!S9)</f>
        <v>152.553</v>
      </c>
      <c r="S27" s="49">
        <f>IF('RPM &amp; Discounts'!$B$3='A0.Support'!$B$8,'A3.Distance matrix'!T18,'A3.Distance matrix'!T9)</f>
        <v>159.32400000000001</v>
      </c>
      <c r="T27" s="49">
        <f>IF('RPM &amp; Discounts'!$B$3='A0.Support'!$B$8,'A3.Distance matrix'!U18,'A3.Distance matrix'!U9)</f>
        <v>129.202</v>
      </c>
      <c r="U27" s="49">
        <f>IF('RPM &amp; Discounts'!$B$3='A0.Support'!$B$8,'A3.Distance matrix'!V18,'A3.Distance matrix'!V9)</f>
        <v>131.773</v>
      </c>
      <c r="V27" s="49">
        <f>IF('RPM &amp; Discounts'!$B$3='A0.Support'!$B$8,'A3.Distance matrix'!W18,'A3.Distance matrix'!W9)</f>
        <v>159.32300000000001</v>
      </c>
      <c r="W27" s="49">
        <f>IF('RPM &amp; Discounts'!$B$3='A0.Support'!$B$8,'A3.Distance matrix'!X18,'A3.Distance matrix'!X9)</f>
        <v>126.992</v>
      </c>
      <c r="X27" s="49">
        <f>IF('RPM &amp; Discounts'!$B$3='A0.Support'!$B$8,'A3.Distance matrix'!Y18,'A3.Distance matrix'!Y9)</f>
        <v>115.562</v>
      </c>
      <c r="Y27" s="49">
        <f>IF('RPM &amp; Discounts'!$B$3='A0.Support'!$B$8,'A3.Distance matrix'!Z18,'A3.Distance matrix'!Z9)</f>
        <v>139.29300000000001</v>
      </c>
      <c r="Z27" s="49">
        <f>IF('RPM &amp; Discounts'!$B$3='A0.Support'!$B$8,'A3.Distance matrix'!AA18,'A3.Distance matrix'!AA9)</f>
        <v>139.292</v>
      </c>
      <c r="AA27" s="49">
        <f>IF('RPM &amp; Discounts'!$B$3='A0.Support'!$B$8,'A3.Distance matrix'!AB18,'A3.Distance matrix'!AB9)</f>
        <v>90.962000000000003</v>
      </c>
      <c r="AB27" s="49">
        <f>IF('RPM &amp; Discounts'!$B$3='A0.Support'!$B$8,'A3.Distance matrix'!AC18,'A3.Distance matrix'!AC9)</f>
        <v>57.021999999999998</v>
      </c>
      <c r="AC27" s="49">
        <f>IF('RPM &amp; Discounts'!$B$3='A0.Support'!$B$8,'A3.Distance matrix'!AD18,'A3.Distance matrix'!AD9)</f>
        <v>44.341999999999999</v>
      </c>
      <c r="AD27" s="49">
        <f>IF('RPM &amp; Discounts'!$B$3='A0.Support'!$B$8,'A3.Distance matrix'!AE18,'A3.Distance matrix'!AE9)</f>
        <v>37.771999999999998</v>
      </c>
      <c r="AE27" s="49">
        <f>IF('RPM &amp; Discounts'!$B$3='A0.Support'!$B$8,'A3.Distance matrix'!AF18,'A3.Distance matrix'!AF9)</f>
        <v>1.9999999999997802E-3</v>
      </c>
      <c r="AF27" s="49">
        <f>IF('RPM &amp; Discounts'!$B$3='A0.Support'!$B$8,'A3.Distance matrix'!AG18,'A3.Distance matrix'!AG9)</f>
        <v>9.9120000000000008</v>
      </c>
      <c r="AG27" s="49">
        <f>IF('RPM &amp; Discounts'!$B$3='A0.Support'!$B$8,'A3.Distance matrix'!AH18,'A3.Distance matrix'!AH9)</f>
        <v>10.022</v>
      </c>
      <c r="AH27" s="49">
        <f>IF('RPM &amp; Discounts'!$B$3='A0.Support'!$B$8,'A3.Distance matrix'!AI18,'A3.Distance matrix'!AI9)</f>
        <v>23.091999999999999</v>
      </c>
      <c r="AI27" s="49">
        <f>IF('RPM &amp; Discounts'!$B$3='A0.Support'!$B$8,'A3.Distance matrix'!AJ18,'A3.Distance matrix'!AJ9)</f>
        <v>28.302</v>
      </c>
      <c r="AJ27" s="49">
        <f>IF('RPM &amp; Discounts'!$B$3='A0.Support'!$B$8,'A3.Distance matrix'!AK18,'A3.Distance matrix'!AK9)</f>
        <v>23.093</v>
      </c>
      <c r="AK27" s="49">
        <f>IF('RPM &amp; Discounts'!$B$3='A0.Support'!$B$8,'A3.Distance matrix'!AL18,'A3.Distance matrix'!AL9)</f>
        <v>51.572000000000003</v>
      </c>
      <c r="AL27" s="49">
        <f>IF('RPM &amp; Discounts'!$B$3='A0.Support'!$B$8,'A3.Distance matrix'!AM18,'A3.Distance matrix'!AM9)</f>
        <v>61.491999999999997</v>
      </c>
      <c r="AM27" s="49">
        <f>IF('RPM &amp; Discounts'!$B$3='A0.Support'!$B$8,'A3.Distance matrix'!AN18,'A3.Distance matrix'!AN9)</f>
        <v>57.402000000000001</v>
      </c>
      <c r="AN27" s="49">
        <f>IF('RPM &amp; Discounts'!$B$3='A0.Support'!$B$8,'A3.Distance matrix'!AO18,'A3.Distance matrix'!AO9)</f>
        <v>63.052</v>
      </c>
      <c r="AO27" s="49">
        <f>IF('RPM &amp; Discounts'!$B$3='A0.Support'!$B$8,'A3.Distance matrix'!AP18,'A3.Distance matrix'!AP9)</f>
        <v>76.712000000000003</v>
      </c>
      <c r="AP27" s="49">
        <f>IF('RPM &amp; Discounts'!$B$3='A0.Support'!$B$8,'A3.Distance matrix'!AQ18,'A3.Distance matrix'!AQ9)</f>
        <v>83.811999999999998</v>
      </c>
      <c r="AQ27" s="49">
        <f>IF('RPM &amp; Discounts'!$B$3='A0.Support'!$B$8,'A3.Distance matrix'!AR18,'A3.Distance matrix'!AR9)</f>
        <v>88.652000000000001</v>
      </c>
      <c r="AR27" s="49">
        <f>IF('RPM &amp; Discounts'!$B$3='A0.Support'!$B$8,'A3.Distance matrix'!AS18,'A3.Distance matrix'!AS9)</f>
        <v>93.641999999999996</v>
      </c>
      <c r="AS27" s="49">
        <f>IF('RPM &amp; Discounts'!$B$3='A0.Support'!$B$8,'A3.Distance matrix'!AT18,'A3.Distance matrix'!AT9)</f>
        <v>109.97199999999999</v>
      </c>
      <c r="AT27" s="49">
        <f>IF('RPM &amp; Discounts'!$B$3='A0.Support'!$B$8,'A3.Distance matrix'!AU18,'A3.Distance matrix'!AU9)</f>
        <v>117.05200000000001</v>
      </c>
      <c r="AU27" s="49">
        <f>IF('RPM &amp; Discounts'!$B$3='A0.Support'!$B$8,'A3.Distance matrix'!AV18,'A3.Distance matrix'!AV9)</f>
        <v>129.87299999999999</v>
      </c>
      <c r="AV27" s="49">
        <f>IF('RPM &amp; Discounts'!$B$3='A0.Support'!$B$8,'A3.Distance matrix'!AW18,'A3.Distance matrix'!AW9)</f>
        <v>129.87200000000001</v>
      </c>
      <c r="AW27" s="49">
        <f>IF('RPM &amp; Discounts'!$B$3='A0.Support'!$B$8,'A3.Distance matrix'!AX18,'A3.Distance matrix'!AX9)</f>
        <v>134.392</v>
      </c>
      <c r="AX27" s="49">
        <f>IF('RPM &amp; Discounts'!$B$3='A0.Support'!$B$8,'A3.Distance matrix'!AY18,'A3.Distance matrix'!AY9)</f>
        <v>143.15299999999999</v>
      </c>
      <c r="AY27" s="49">
        <f>IF('RPM &amp; Discounts'!$B$3='A0.Support'!$B$8,'A3.Distance matrix'!AZ18,'A3.Distance matrix'!AZ9)</f>
        <v>143.15199999999999</v>
      </c>
      <c r="AZ27" s="49">
        <f>IF('RPM &amp; Discounts'!$B$3='A0.Support'!$B$8,'A3.Distance matrix'!BA18,'A3.Distance matrix'!BA9)</f>
        <v>156.31200000000001</v>
      </c>
      <c r="BA27" s="49">
        <f>IF('RPM &amp; Discounts'!$B$3='A0.Support'!$B$8,'A3.Distance matrix'!BB18,'A3.Distance matrix'!BB9)</f>
        <v>173.87200000000001</v>
      </c>
      <c r="BB27" s="49">
        <f>IF('RPM &amp; Discounts'!$B$3='A0.Support'!$B$8,'A3.Distance matrix'!BC18,'A3.Distance matrix'!BC9)</f>
        <v>188.262</v>
      </c>
      <c r="BC27" s="49">
        <f>IF('RPM &amp; Discounts'!$B$3='A0.Support'!$B$8,'A3.Distance matrix'!BD18,'A3.Distance matrix'!BD9)</f>
        <v>185.52199999999999</v>
      </c>
      <c r="BD27" s="49">
        <f>IF('RPM &amp; Discounts'!$B$3='A0.Support'!$B$8,'A3.Distance matrix'!BE18,'A3.Distance matrix'!BE9)</f>
        <v>190.21199999999999</v>
      </c>
      <c r="BE27" s="49">
        <f>IF('RPM &amp; Discounts'!$B$3='A0.Support'!$B$8,'A3.Distance matrix'!BF18,'A3.Distance matrix'!BF9)</f>
        <v>196.572</v>
      </c>
      <c r="BF27" s="49">
        <f>IF('RPM &amp; Discounts'!$B$3='A0.Support'!$B$8,'A3.Distance matrix'!BG18,'A3.Distance matrix'!BG9)</f>
        <v>206.06200000000001</v>
      </c>
      <c r="BG27" s="49">
        <f>IF('RPM &amp; Discounts'!$B$3='A0.Support'!$B$8,'A3.Distance matrix'!BH18,'A3.Distance matrix'!BH9)</f>
        <v>237.37200000000001</v>
      </c>
      <c r="BH27" s="49">
        <f>IF('RPM &amp; Discounts'!$B$3='A0.Support'!$B$8,'A3.Distance matrix'!BI18,'A3.Distance matrix'!BI9)</f>
        <v>216.36199999999999</v>
      </c>
      <c r="BI27" s="49">
        <f>IF('RPM &amp; Discounts'!$B$3='A0.Support'!$B$8,'A3.Distance matrix'!BJ18,'A3.Distance matrix'!BJ9)</f>
        <v>225.452</v>
      </c>
      <c r="BJ27" s="49">
        <f>IF('RPM &amp; Discounts'!$B$3='A0.Support'!$B$8,'A3.Distance matrix'!BK18,'A3.Distance matrix'!BK9)</f>
        <v>239.58199999999999</v>
      </c>
      <c r="BK27" s="49">
        <f>IF('RPM &amp; Discounts'!$B$3='A0.Support'!$B$8,'A3.Distance matrix'!BL18,'A3.Distance matrix'!BL9)</f>
        <v>247.46199999999999</v>
      </c>
      <c r="BL27" s="49">
        <f>IF('RPM &amp; Discounts'!$B$3='A0.Support'!$B$8,'A3.Distance matrix'!BM18,'A3.Distance matrix'!BM9)</f>
        <v>275.03199999999998</v>
      </c>
      <c r="BM27" s="49">
        <f>IF('RPM &amp; Discounts'!$B$3='A0.Support'!$B$8,'A3.Distance matrix'!BN18,'A3.Distance matrix'!BN9)</f>
        <v>272.93200000000002</v>
      </c>
      <c r="BN27" s="49">
        <f>IF('RPM &amp; Discounts'!$B$3='A0.Support'!$B$8,'A3.Distance matrix'!BO18,'A3.Distance matrix'!BO9)</f>
        <v>302.77199999999999</v>
      </c>
      <c r="BO27" s="49">
        <f>IF('RPM &amp; Discounts'!$B$3='A0.Support'!$B$8,'A3.Distance matrix'!BP18,'A3.Distance matrix'!BP9)</f>
        <v>239.28200000000001</v>
      </c>
      <c r="BP27" s="49">
        <f>IF('RPM &amp; Discounts'!$B$3='A0.Support'!$B$8,'A3.Distance matrix'!BQ18,'A3.Distance matrix'!BQ9)</f>
        <v>135.90199999999999</v>
      </c>
      <c r="BQ27" s="49">
        <f>IF('RPM &amp; Discounts'!$B$3='A0.Support'!$B$8,'A3.Distance matrix'!BR18,'A3.Distance matrix'!BR9)</f>
        <v>113.312</v>
      </c>
      <c r="BR27" s="49">
        <f>IF('RPM &amp; Discounts'!$B$3='A0.Support'!$B$8,'A3.Distance matrix'!BS18,'A3.Distance matrix'!BS9)</f>
        <v>118.372</v>
      </c>
      <c r="BS27" s="49">
        <f>IF('RPM &amp; Discounts'!$B$3='A0.Support'!$B$8,'A3.Distance matrix'!BT18,'A3.Distance matrix'!BT9)</f>
        <v>93.421999999999997</v>
      </c>
      <c r="BT27" s="49">
        <f>IF('RPM &amp; Discounts'!$B$3='A0.Support'!$B$8,'A3.Distance matrix'!BU18,'A3.Distance matrix'!BU9)</f>
        <v>75.242000000000004</v>
      </c>
      <c r="BU27" s="49">
        <f>IF('RPM &amp; Discounts'!$B$3='A0.Support'!$B$8,'A3.Distance matrix'!BV18,'A3.Distance matrix'!BV9)</f>
        <v>56.201999999999998</v>
      </c>
      <c r="BV27" s="49">
        <f>IF('RPM &amp; Discounts'!$B$3='A0.Support'!$B$8,'A3.Distance matrix'!BW18,'A3.Distance matrix'!BW9)</f>
        <v>22.972000000000001</v>
      </c>
      <c r="BW27" s="49">
        <f>IF('RPM &amp; Discounts'!$B$3='A0.Support'!$B$8,'A3.Distance matrix'!BX18,'A3.Distance matrix'!BX9)</f>
        <v>211.86199999999999</v>
      </c>
      <c r="BX27" s="49">
        <f>IF('RPM &amp; Discounts'!$B$3='A0.Support'!$B$8,'A3.Distance matrix'!BY18,'A3.Distance matrix'!BY9)</f>
        <v>251.72200000000001</v>
      </c>
      <c r="BY27" s="49">
        <f>IF('RPM &amp; Discounts'!$B$3='A0.Support'!$B$8,'A3.Distance matrix'!BZ18,'A3.Distance matrix'!BZ9)</f>
        <v>276.59199999999998</v>
      </c>
      <c r="BZ27" s="49">
        <f>IF('RPM &amp; Discounts'!$B$3='A0.Support'!$B$8,'A3.Distance matrix'!CA18,'A3.Distance matrix'!CA9)</f>
        <v>288.23200000000003</v>
      </c>
      <c r="CA27" s="49">
        <f>IF('RPM &amp; Discounts'!$B$3='A0.Support'!$B$8,'A3.Distance matrix'!CB18,'A3.Distance matrix'!CB9)</f>
        <v>277.452</v>
      </c>
      <c r="CB27" s="49">
        <f>IF('RPM &amp; Discounts'!$B$3='A0.Support'!$B$8,'A3.Distance matrix'!CC18,'A3.Distance matrix'!CC9)</f>
        <v>237.922</v>
      </c>
      <c r="CC27" s="49">
        <f>IF('RPM &amp; Discounts'!$B$3='A0.Support'!$B$8,'A3.Distance matrix'!CD18,'A3.Distance matrix'!CD9)</f>
        <v>116.392</v>
      </c>
      <c r="CD27" s="49">
        <f>IF('RPM &amp; Discounts'!$B$3='A0.Support'!$B$8,'A3.Distance matrix'!CE18,'A3.Distance matrix'!CE9)</f>
        <v>125.932</v>
      </c>
      <c r="CE27" s="49">
        <f>IF('RPM &amp; Discounts'!$B$3='A0.Support'!$B$8,'A3.Distance matrix'!CF18,'A3.Distance matrix'!CF9)</f>
        <v>137.232</v>
      </c>
      <c r="CF27" s="49">
        <f>IF('RPM &amp; Discounts'!$B$3='A0.Support'!$B$8,'A3.Distance matrix'!CG18,'A3.Distance matrix'!CG9)</f>
        <v>159.452</v>
      </c>
      <c r="CG27" s="49">
        <f>IF('RPM &amp; Discounts'!$B$3='A0.Support'!$B$8,'A3.Distance matrix'!CH18,'A3.Distance matrix'!CH9)</f>
        <v>161.59200000000001</v>
      </c>
      <c r="CH27" s="49">
        <f>IF('RPM &amp; Discounts'!$B$3='A0.Support'!$B$8,'A3.Distance matrix'!CI18,'A3.Distance matrix'!CI9)</f>
        <v>198.22200000000001</v>
      </c>
      <c r="CI27" s="49">
        <f>IF('RPM &amp; Discounts'!$B$3='A0.Support'!$B$8,'A3.Distance matrix'!CJ18,'A3.Distance matrix'!CJ9)</f>
        <v>273.10199999999998</v>
      </c>
      <c r="CJ27" s="49">
        <f>IF('RPM &amp; Discounts'!$B$3='A0.Support'!$B$8,'A3.Distance matrix'!CK18,'A3.Distance matrix'!CK9)</f>
        <v>273.10300000000001</v>
      </c>
      <c r="CK27" s="49">
        <f>IF('RPM &amp; Discounts'!$B$3='A0.Support'!$B$8,'A3.Distance matrix'!CL18,'A3.Distance matrix'!CL9)</f>
        <v>274.423</v>
      </c>
      <c r="CL27" s="49">
        <f>IF('RPM &amp; Discounts'!$B$3='A0.Support'!$B$8,'A3.Distance matrix'!CM18,'A3.Distance matrix'!CM9)</f>
        <v>273.10300000000001</v>
      </c>
      <c r="CM27" s="49">
        <f>IF('RPM &amp; Discounts'!$B$3='A0.Support'!$B$8,'A3.Distance matrix'!CN18,'A3.Distance matrix'!CN9)</f>
        <v>280.19200000000001</v>
      </c>
    </row>
    <row r="30" spans="2:91">
      <c r="C30"/>
      <c r="D30"/>
      <c r="E30"/>
      <c r="F30"/>
      <c r="G30"/>
    </row>
    <row r="31" spans="2:91">
      <c r="C31"/>
      <c r="D31"/>
      <c r="E31"/>
      <c r="F31"/>
      <c r="G31"/>
    </row>
    <row r="32" spans="2:91">
      <c r="C32"/>
      <c r="D32"/>
      <c r="E32"/>
      <c r="F32"/>
      <c r="G3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B1:G279"/>
  <sheetViews>
    <sheetView showGridLines="0" workbookViewId="0">
      <selection sqref="A1:A1048576"/>
    </sheetView>
  </sheetViews>
  <sheetFormatPr defaultRowHeight="14.4"/>
  <cols>
    <col min="2" max="2" width="26.88671875" bestFit="1" customWidth="1"/>
    <col min="3" max="5" width="28.6640625" customWidth="1"/>
    <col min="6" max="6" width="28.6640625" style="1" customWidth="1"/>
    <col min="7" max="7" width="28.6640625" customWidth="1"/>
  </cols>
  <sheetData>
    <row r="1" spans="2:7" s="1" customFormat="1"/>
    <row r="3" spans="2:7">
      <c r="B3" s="2" t="s">
        <v>3</v>
      </c>
      <c r="C3" s="41" t="s">
        <v>2</v>
      </c>
      <c r="D3" s="42"/>
      <c r="E3" s="42"/>
      <c r="F3" s="42"/>
      <c r="G3" s="44"/>
    </row>
    <row r="4" spans="2:7">
      <c r="B4" s="46" t="s">
        <v>1</v>
      </c>
      <c r="C4" s="45" t="str">
        <f t="array" ref="C4:G4">TRANSPOSE('Input capacity'!B7:B11)</f>
        <v>CTS Campo Maior</v>
      </c>
      <c r="D4" s="14" t="str">
        <v>CTS Valença do Minho</v>
      </c>
      <c r="E4" s="14" t="str">
        <v>LNG Terminal Sines</v>
      </c>
      <c r="F4" s="14" t="str">
        <v>Underground storage Carriço</v>
      </c>
      <c r="G4" s="14" t="str">
        <v>Gas producers</v>
      </c>
    </row>
    <row r="5" spans="2:7">
      <c r="B5" s="14" t="str">
        <f>'Input capacity'!B19</f>
        <v>CTS Campo Maior</v>
      </c>
      <c r="C5" s="53">
        <f t="array" ref="C5:C93">TRANSPOSE('Distance Matrix_Entry'!C5:CM5)</f>
        <v>0</v>
      </c>
      <c r="D5" s="53">
        <f t="array" ref="D5:D93">TRANSPOSE('Distance Matrix_Entry'!C6:CM6)</f>
        <v>508.95100000000002</v>
      </c>
      <c r="E5" s="53">
        <f t="array" ref="E5:E93">TRANSPOSE('Distance Matrix_Entry'!C7:CM7)</f>
        <v>481.59199999999998</v>
      </c>
      <c r="F5" s="53">
        <f t="array" ref="F5:F93">TRANSPOSE('Distance Matrix_Entry'!C8:CM8)</f>
        <v>239.52199999999999</v>
      </c>
      <c r="G5" s="53">
        <f t="array" ref="G5:G93">TRANSPOSE('Distance Matrix_Entry'!C9:CM9)</f>
        <v>239.523</v>
      </c>
    </row>
    <row r="6" spans="2:7">
      <c r="B6" s="14" t="str">
        <f>'Input capacity'!B20</f>
        <v>CTS Valença do Minho</v>
      </c>
      <c r="C6" s="53">
        <v>508.95100000000002</v>
      </c>
      <c r="D6" s="53">
        <v>0</v>
      </c>
      <c r="E6" s="53">
        <v>549.62099999999998</v>
      </c>
      <c r="F6" s="53">
        <v>307.55099999999999</v>
      </c>
      <c r="G6" s="53">
        <v>307.55200000000002</v>
      </c>
    </row>
    <row r="7" spans="2:7">
      <c r="B7" s="14" t="str">
        <f>'Input capacity'!B21</f>
        <v>LNG Terminal Sines</v>
      </c>
      <c r="C7" s="53">
        <v>481.59199999999998</v>
      </c>
      <c r="D7" s="53">
        <v>549.62099999999998</v>
      </c>
      <c r="E7" s="53">
        <v>0</v>
      </c>
      <c r="F7" s="53">
        <v>280.19200000000001</v>
      </c>
      <c r="G7" s="53">
        <v>280.19299999999998</v>
      </c>
    </row>
    <row r="8" spans="2:7">
      <c r="B8" s="14" t="str">
        <f>'Input capacity'!B22</f>
        <v>Underground storage Carriço</v>
      </c>
      <c r="C8" s="53">
        <v>239.52199999999999</v>
      </c>
      <c r="D8" s="53">
        <v>307.55099999999999</v>
      </c>
      <c r="E8" s="53">
        <v>280.19200000000001</v>
      </c>
      <c r="F8" s="53">
        <v>0</v>
      </c>
      <c r="G8" s="53">
        <v>9.9999999999989008E-4</v>
      </c>
    </row>
    <row r="9" spans="2:7">
      <c r="B9" s="14" t="str">
        <f>'Input capacity'!B23</f>
        <v>GRMS 01059</v>
      </c>
      <c r="C9" s="53">
        <v>1013.8654285714285</v>
      </c>
      <c r="D9" s="53">
        <v>1188.7971428571427</v>
      </c>
      <c r="E9" s="53">
        <v>224.51400000000001</v>
      </c>
      <c r="F9" s="53">
        <v>495.97971428571424</v>
      </c>
      <c r="G9" s="53">
        <v>495.98228571428569</v>
      </c>
    </row>
    <row r="10" spans="2:7">
      <c r="B10" s="14" t="str">
        <f>'Input capacity'!B24</f>
        <v>GRMS 01109</v>
      </c>
      <c r="C10" s="53">
        <v>1047.2965714285713</v>
      </c>
      <c r="D10" s="53">
        <v>1222.2282857142854</v>
      </c>
      <c r="E10" s="53">
        <v>291.8365714285714</v>
      </c>
      <c r="F10" s="53">
        <v>529.41085714285714</v>
      </c>
      <c r="G10" s="53">
        <v>529.41342857142854</v>
      </c>
    </row>
    <row r="11" spans="2:7">
      <c r="B11" s="14" t="str">
        <f>'Input capacity'!B25</f>
        <v>GRMS 01119</v>
      </c>
      <c r="C11" s="53">
        <v>1025.9254285714285</v>
      </c>
      <c r="D11" s="53">
        <v>1200.8571428571427</v>
      </c>
      <c r="E11" s="53">
        <v>270.46542857142856</v>
      </c>
      <c r="F11" s="53">
        <v>508.03971428571424</v>
      </c>
      <c r="G11" s="53">
        <v>508.0422857142857</v>
      </c>
    </row>
    <row r="12" spans="2:7">
      <c r="B12" s="14" t="str">
        <f>'Input capacity'!B26</f>
        <v>GRMS 01129</v>
      </c>
      <c r="C12" s="53">
        <v>1047.2939999999999</v>
      </c>
      <c r="D12" s="53">
        <v>1222.2257142857143</v>
      </c>
      <c r="E12" s="53">
        <v>291.83399999999995</v>
      </c>
      <c r="F12" s="53">
        <v>529.40828571428563</v>
      </c>
      <c r="G12" s="53">
        <v>529.41085714285714</v>
      </c>
    </row>
    <row r="13" spans="2:7">
      <c r="B13" s="14" t="str">
        <f>'Input capacity'!B27</f>
        <v>GRMS 01139</v>
      </c>
      <c r="C13" s="53">
        <v>972.90257142857138</v>
      </c>
      <c r="D13" s="53">
        <v>1147.8342857142857</v>
      </c>
      <c r="E13" s="53">
        <v>265.47685714285711</v>
      </c>
      <c r="F13" s="53">
        <v>455.01685714285708</v>
      </c>
      <c r="G13" s="53">
        <v>455.01942857142853</v>
      </c>
    </row>
    <row r="14" spans="2:7">
      <c r="B14" s="14" t="str">
        <f>'Input capacity'!B28</f>
        <v>GRMS 01149</v>
      </c>
      <c r="C14" s="53">
        <v>941.04257142857136</v>
      </c>
      <c r="D14" s="53">
        <v>1115.9742857142855</v>
      </c>
      <c r="E14" s="53">
        <v>297.33685714285713</v>
      </c>
      <c r="F14" s="53">
        <v>423.15685714285712</v>
      </c>
      <c r="G14" s="53">
        <v>423.15942857142858</v>
      </c>
    </row>
    <row r="15" spans="2:7">
      <c r="B15" s="14" t="str">
        <f>'Input capacity'!B29</f>
        <v>GRMS 01159</v>
      </c>
      <c r="C15" s="53">
        <v>1063.3911428571428</v>
      </c>
      <c r="D15" s="53">
        <v>1238.3228571428569</v>
      </c>
      <c r="E15" s="53">
        <v>307.93114285714285</v>
      </c>
      <c r="F15" s="53">
        <v>545.50542857142852</v>
      </c>
      <c r="G15" s="53">
        <v>545.50799999999992</v>
      </c>
    </row>
    <row r="16" spans="2:7">
      <c r="B16" s="14" t="str">
        <f>'Input capacity'!B30</f>
        <v>GRMS 01179</v>
      </c>
      <c r="C16" s="53">
        <v>898.0997142857143</v>
      </c>
      <c r="D16" s="53">
        <v>1073.0314285714285</v>
      </c>
      <c r="E16" s="53">
        <v>340.27971428571425</v>
      </c>
      <c r="F16" s="53">
        <v>380.21399999999994</v>
      </c>
      <c r="G16" s="53">
        <v>380.2165714285714</v>
      </c>
    </row>
    <row r="17" spans="2:7">
      <c r="B17" s="14" t="str">
        <f>'Input capacity'!B31</f>
        <v>GRMS 01189</v>
      </c>
      <c r="C17" s="53">
        <v>866.05971428571422</v>
      </c>
      <c r="D17" s="53">
        <v>1040.9914285714285</v>
      </c>
      <c r="E17" s="53">
        <v>372.31971428571421</v>
      </c>
      <c r="F17" s="53">
        <v>348.17399999999998</v>
      </c>
      <c r="G17" s="53">
        <v>348.17657142857138</v>
      </c>
    </row>
    <row r="18" spans="2:7">
      <c r="B18" s="14" t="str">
        <f>'Input capacity'!B32</f>
        <v>GRMS 01209</v>
      </c>
      <c r="C18" s="53">
        <v>941.30228571428563</v>
      </c>
      <c r="D18" s="53">
        <v>1116.2339999999999</v>
      </c>
      <c r="E18" s="53">
        <v>466.9508571428571</v>
      </c>
      <c r="F18" s="53">
        <v>423.41657142857139</v>
      </c>
      <c r="G18" s="53">
        <v>423.41914285714284</v>
      </c>
    </row>
    <row r="19" spans="2:7">
      <c r="B19" s="14" t="str">
        <f>'Input capacity'!B33</f>
        <v>GRMS 01219</v>
      </c>
      <c r="C19" s="53">
        <v>856.72542857142844</v>
      </c>
      <c r="D19" s="53">
        <v>1031.6571428571426</v>
      </c>
      <c r="E19" s="53">
        <v>382.37399999999997</v>
      </c>
      <c r="F19" s="53">
        <v>338.83971428571419</v>
      </c>
      <c r="G19" s="53">
        <v>338.84228571428565</v>
      </c>
    </row>
    <row r="20" spans="2:7">
      <c r="B20" s="14" t="str">
        <f>'Input capacity'!B34</f>
        <v>GRMS 01229</v>
      </c>
      <c r="C20" s="53">
        <v>910.16228571428564</v>
      </c>
      <c r="D20" s="53">
        <v>1085.0939999999998</v>
      </c>
      <c r="E20" s="53">
        <v>435.81085714285712</v>
      </c>
      <c r="F20" s="53">
        <v>392.27657142857134</v>
      </c>
      <c r="G20" s="53">
        <v>392.2791428571428</v>
      </c>
    </row>
    <row r="21" spans="2:7">
      <c r="B21" s="14" t="str">
        <f>'Input capacity'!B35</f>
        <v>GRMS 01239</v>
      </c>
      <c r="C21" s="53">
        <v>927.57342857142851</v>
      </c>
      <c r="D21" s="53">
        <v>1102.5051428571428</v>
      </c>
      <c r="E21" s="53">
        <v>453.22199999999992</v>
      </c>
      <c r="F21" s="53">
        <v>409.68771428571426</v>
      </c>
      <c r="G21" s="53">
        <v>409.69028571428572</v>
      </c>
    </row>
    <row r="22" spans="2:7">
      <c r="B22" s="14" t="str">
        <f>'Input capacity'!B36</f>
        <v>GRMS 01259</v>
      </c>
      <c r="C22" s="53">
        <v>850.11685714285704</v>
      </c>
      <c r="D22" s="53">
        <v>1025.0485714285712</v>
      </c>
      <c r="E22" s="53">
        <v>388.26257142857145</v>
      </c>
      <c r="F22" s="53">
        <v>332.2311428571428</v>
      </c>
      <c r="G22" s="53">
        <v>332.23371428571426</v>
      </c>
    </row>
    <row r="23" spans="2:7">
      <c r="B23" s="14" t="str">
        <f>'Input capacity'!B37</f>
        <v>GRMS 01269</v>
      </c>
      <c r="C23" s="53">
        <v>856.72799999999995</v>
      </c>
      <c r="D23" s="53">
        <v>1031.6597142857142</v>
      </c>
      <c r="E23" s="53">
        <v>382.37657142857137</v>
      </c>
      <c r="F23" s="53">
        <v>338.84228571428565</v>
      </c>
      <c r="G23" s="53">
        <v>338.84485714285711</v>
      </c>
    </row>
    <row r="24" spans="2:7">
      <c r="B24" s="14" t="str">
        <f>'Input capacity'!B38</f>
        <v>GRMS 01279</v>
      </c>
      <c r="C24" s="53">
        <v>927.57085714285699</v>
      </c>
      <c r="D24" s="53">
        <v>1102.5025714285712</v>
      </c>
      <c r="E24" s="53">
        <v>453.21942857142852</v>
      </c>
      <c r="F24" s="53">
        <v>409.68514285714281</v>
      </c>
      <c r="G24" s="53">
        <v>409.68771428571426</v>
      </c>
    </row>
    <row r="25" spans="2:7">
      <c r="B25" s="14" t="str">
        <f>'Input capacity'!B39</f>
        <v>GRMS 01309</v>
      </c>
      <c r="C25" s="53">
        <v>844.43399999999997</v>
      </c>
      <c r="D25" s="53">
        <v>1019.3657142857143</v>
      </c>
      <c r="E25" s="53">
        <v>452.72828571428568</v>
      </c>
      <c r="F25" s="53">
        <v>326.54828571428567</v>
      </c>
      <c r="G25" s="53">
        <v>326.55085714285713</v>
      </c>
    </row>
    <row r="26" spans="2:7">
      <c r="B26" s="14" t="str">
        <f>'Input capacity'!B40</f>
        <v>GRMS 01319</v>
      </c>
      <c r="C26" s="53">
        <v>815.04257142857136</v>
      </c>
      <c r="D26" s="53">
        <v>989.97428571428566</v>
      </c>
      <c r="E26" s="53">
        <v>423.33685714285713</v>
      </c>
      <c r="F26" s="53">
        <v>297.15685714285712</v>
      </c>
      <c r="G26" s="53">
        <v>297.15942857142852</v>
      </c>
    </row>
    <row r="27" spans="2:7">
      <c r="B27" s="14" t="str">
        <f>'Input capacity'!B41</f>
        <v>GRMS 01359</v>
      </c>
      <c r="C27" s="53">
        <v>876.06514285714275</v>
      </c>
      <c r="D27" s="53">
        <v>1050.9968571428572</v>
      </c>
      <c r="E27" s="53">
        <v>484.35942857142851</v>
      </c>
      <c r="F27" s="53">
        <v>358.17942857142856</v>
      </c>
      <c r="G27" s="53">
        <v>358.18199999999996</v>
      </c>
    </row>
    <row r="28" spans="2:7">
      <c r="B28" s="14" t="str">
        <f>'Input capacity'!B42</f>
        <v>GRMS 01369</v>
      </c>
      <c r="C28" s="53">
        <v>876.06257142857123</v>
      </c>
      <c r="D28" s="53">
        <v>1050.9942857142858</v>
      </c>
      <c r="E28" s="53">
        <v>484.35685714285705</v>
      </c>
      <c r="F28" s="53">
        <v>358.1768571428571</v>
      </c>
      <c r="G28" s="53">
        <v>358.17942857142856</v>
      </c>
    </row>
    <row r="29" spans="2:7">
      <c r="B29" s="14" t="str">
        <f>'Input capacity'!B43</f>
        <v>GRMS 01409</v>
      </c>
      <c r="C29" s="53">
        <v>751.7854285714285</v>
      </c>
      <c r="D29" s="53">
        <v>926.71714285714268</v>
      </c>
      <c r="E29" s="53">
        <v>486.59399999999994</v>
      </c>
      <c r="F29" s="53">
        <v>233.89971428571425</v>
      </c>
      <c r="G29" s="53">
        <v>233.90228571428571</v>
      </c>
    </row>
    <row r="30" spans="2:7">
      <c r="B30" s="14" t="str">
        <f>'Input capacity'!B44</f>
        <v>GRMS 02069</v>
      </c>
      <c r="C30" s="53">
        <v>664.51114285714277</v>
      </c>
      <c r="D30" s="53">
        <v>839.44285714285706</v>
      </c>
      <c r="E30" s="53">
        <v>573.86828571428566</v>
      </c>
      <c r="F30" s="53">
        <v>146.62542857142856</v>
      </c>
      <c r="G30" s="53">
        <v>146.62799999999999</v>
      </c>
    </row>
    <row r="31" spans="2:7">
      <c r="B31" s="14" t="str">
        <f>'Input capacity'!B45</f>
        <v>GRMS 02089</v>
      </c>
      <c r="C31" s="53">
        <v>631.9054285714285</v>
      </c>
      <c r="D31" s="53">
        <v>806.83714285714268</v>
      </c>
      <c r="E31" s="53">
        <v>606.47399999999993</v>
      </c>
      <c r="F31" s="53">
        <v>114.01971428571427</v>
      </c>
      <c r="G31" s="53">
        <v>114.0222857142857</v>
      </c>
    </row>
    <row r="32" spans="2:7">
      <c r="B32" s="14" t="str">
        <f>'Input capacity'!B46</f>
        <v>GRMS 02159</v>
      </c>
      <c r="C32" s="53">
        <v>615.01114285714277</v>
      </c>
      <c r="D32" s="53">
        <v>789.94285714285706</v>
      </c>
      <c r="E32" s="53">
        <v>623.36828571428566</v>
      </c>
      <c r="F32" s="53">
        <v>97.125428571428557</v>
      </c>
      <c r="G32" s="53">
        <v>97.127999999999986</v>
      </c>
    </row>
    <row r="33" spans="2:7">
      <c r="B33" s="14" t="str">
        <f>'Input capacity'!B47</f>
        <v>GRMS 02509</v>
      </c>
      <c r="C33" s="53">
        <v>615.91114285714275</v>
      </c>
      <c r="D33" s="53">
        <v>790.84285714285704</v>
      </c>
      <c r="E33" s="53">
        <v>720.49114285714268</v>
      </c>
      <c r="F33" s="53">
        <v>2.5714285714282885E-3</v>
      </c>
      <c r="G33" s="53">
        <v>5.1428571428565771E-3</v>
      </c>
    </row>
    <row r="34" spans="2:7">
      <c r="B34" s="14" t="str">
        <f>'Input capacity'!B48</f>
        <v>GRMS 02519</v>
      </c>
      <c r="C34" s="53">
        <v>641.39400000000001</v>
      </c>
      <c r="D34" s="53">
        <v>816.32571428571418</v>
      </c>
      <c r="E34" s="53">
        <v>745.97399999999993</v>
      </c>
      <c r="F34" s="53">
        <v>25.485428571428567</v>
      </c>
      <c r="G34" s="53">
        <v>25.488</v>
      </c>
    </row>
    <row r="35" spans="2:7">
      <c r="B35" s="14" t="str">
        <f>'Input capacity'!B49</f>
        <v>GRMS 02539</v>
      </c>
      <c r="C35" s="53">
        <v>641.6768571428571</v>
      </c>
      <c r="D35" s="53">
        <v>816.60857142857128</v>
      </c>
      <c r="E35" s="53">
        <v>746.25685714285714</v>
      </c>
      <c r="F35" s="53">
        <v>25.768285714285714</v>
      </c>
      <c r="G35" s="53">
        <v>25.770857142857142</v>
      </c>
    </row>
    <row r="36" spans="2:7">
      <c r="B36" s="14" t="str">
        <f>'Input capacity'!B50</f>
        <v>GRMS 02549</v>
      </c>
      <c r="C36" s="53">
        <v>675.2854285714285</v>
      </c>
      <c r="D36" s="53">
        <v>850.21714285714279</v>
      </c>
      <c r="E36" s="53">
        <v>779.86542857142854</v>
      </c>
      <c r="F36" s="53">
        <v>59.376857142857141</v>
      </c>
      <c r="G36" s="53">
        <v>59.379428571428562</v>
      </c>
    </row>
    <row r="37" spans="2:7">
      <c r="B37" s="14" t="str">
        <f>'Input capacity'!B51</f>
        <v>GRMS 02559</v>
      </c>
      <c r="C37" s="53">
        <v>590.65971428571424</v>
      </c>
      <c r="D37" s="53">
        <v>718.07142857142856</v>
      </c>
      <c r="E37" s="53">
        <v>695.23971428571417</v>
      </c>
      <c r="F37" s="53">
        <v>72.773999999999987</v>
      </c>
      <c r="G37" s="53">
        <v>72.776571428571415</v>
      </c>
    </row>
    <row r="38" spans="2:7">
      <c r="B38" s="14" t="str">
        <f>'Input capacity'!B52</f>
        <v>GRMS 02569</v>
      </c>
      <c r="C38" s="53">
        <v>675.28800000000001</v>
      </c>
      <c r="D38" s="53">
        <v>850.2197142857143</v>
      </c>
      <c r="E38" s="53">
        <v>779.86799999999982</v>
      </c>
      <c r="F38" s="53">
        <v>59.379428571428562</v>
      </c>
      <c r="G38" s="53">
        <v>59.381999999999991</v>
      </c>
    </row>
    <row r="39" spans="2:7">
      <c r="B39" s="14" t="str">
        <f>'Input capacity'!B53</f>
        <v>GRMS 02709</v>
      </c>
      <c r="C39" s="53">
        <v>650.49685714285704</v>
      </c>
      <c r="D39" s="53">
        <v>681.73714285714277</v>
      </c>
      <c r="E39" s="53">
        <v>755.07685714285708</v>
      </c>
      <c r="F39" s="53">
        <v>132.61114285714285</v>
      </c>
      <c r="G39" s="53">
        <v>132.61371428571428</v>
      </c>
    </row>
    <row r="40" spans="2:7">
      <c r="B40" s="14" t="str">
        <f>'Input capacity'!B54</f>
        <v>GRMS 02719</v>
      </c>
      <c r="C40" s="53">
        <v>676.00542857142852</v>
      </c>
      <c r="D40" s="53">
        <v>707.24571428571426</v>
      </c>
      <c r="E40" s="53">
        <v>780.58542857142845</v>
      </c>
      <c r="F40" s="53">
        <v>158.11971428571428</v>
      </c>
      <c r="G40" s="53">
        <v>158.12228571428568</v>
      </c>
    </row>
    <row r="41" spans="2:7">
      <c r="B41" s="14" t="str">
        <f>'Input capacity'!B55</f>
        <v>GRMS 02739</v>
      </c>
      <c r="C41" s="53">
        <v>665.48828571428567</v>
      </c>
      <c r="D41" s="53">
        <v>643.24285714285713</v>
      </c>
      <c r="E41" s="53">
        <v>770.06828571428559</v>
      </c>
      <c r="F41" s="53">
        <v>147.60257142857142</v>
      </c>
      <c r="G41" s="53">
        <v>147.60514285714285</v>
      </c>
    </row>
    <row r="42" spans="2:7">
      <c r="B42" s="14" t="str">
        <f>'Input capacity'!B56</f>
        <v>GRMS 03009</v>
      </c>
      <c r="C42" s="53">
        <v>680.01685714285713</v>
      </c>
      <c r="D42" s="53">
        <v>628.71428571428567</v>
      </c>
      <c r="E42" s="53">
        <v>784.59685714285706</v>
      </c>
      <c r="F42" s="53">
        <v>162.13114285714283</v>
      </c>
      <c r="G42" s="53">
        <v>162.13371428571426</v>
      </c>
    </row>
    <row r="43" spans="2:7">
      <c r="B43" s="14" t="str">
        <f>'Input capacity'!B57</f>
        <v>GRMS 03059</v>
      </c>
      <c r="C43" s="53">
        <v>715.14257142857139</v>
      </c>
      <c r="D43" s="53">
        <v>593.58857142857141</v>
      </c>
      <c r="E43" s="53">
        <v>819.72257142857131</v>
      </c>
      <c r="F43" s="53">
        <v>197.25685714285711</v>
      </c>
      <c r="G43" s="53">
        <v>197.25942857142857</v>
      </c>
    </row>
    <row r="44" spans="2:7">
      <c r="B44" s="14" t="str">
        <f>'Input capacity'!B58</f>
        <v>GRMS 03069</v>
      </c>
      <c r="C44" s="53">
        <v>733.39971428571425</v>
      </c>
      <c r="D44" s="53">
        <v>575.33142857142855</v>
      </c>
      <c r="E44" s="53">
        <v>837.97971428571418</v>
      </c>
      <c r="F44" s="53">
        <v>215.51400000000001</v>
      </c>
      <c r="G44" s="53">
        <v>215.51657142857141</v>
      </c>
    </row>
    <row r="45" spans="2:7">
      <c r="B45" s="14" t="str">
        <f>'Input capacity'!B59</f>
        <v>GRMS 03109</v>
      </c>
      <c r="C45" s="53">
        <v>745.84542857142844</v>
      </c>
      <c r="D45" s="53">
        <v>562.88571428571424</v>
      </c>
      <c r="E45" s="53">
        <v>850.42542857142848</v>
      </c>
      <c r="F45" s="53">
        <v>227.95971428571426</v>
      </c>
      <c r="G45" s="53">
        <v>227.96228571428568</v>
      </c>
    </row>
    <row r="46" spans="2:7">
      <c r="B46" s="14" t="str">
        <f>'Input capacity'!B60</f>
        <v>GRMS 03169</v>
      </c>
      <c r="C46" s="53">
        <v>758.6768571428571</v>
      </c>
      <c r="D46" s="53">
        <v>550.0542857142857</v>
      </c>
      <c r="E46" s="53">
        <v>863.25685714285714</v>
      </c>
      <c r="F46" s="53">
        <v>240.79114285714286</v>
      </c>
      <c r="G46" s="53">
        <v>240.79371428571426</v>
      </c>
    </row>
    <row r="47" spans="2:7">
      <c r="B47" s="14" t="str">
        <f>'Input capacity'!B61</f>
        <v>GRMS 03219</v>
      </c>
      <c r="C47" s="53">
        <v>800.66828571428562</v>
      </c>
      <c r="D47" s="53">
        <v>508.06285714285713</v>
      </c>
      <c r="E47" s="53">
        <v>905.24828571428566</v>
      </c>
      <c r="F47" s="53">
        <v>282.78257142857143</v>
      </c>
      <c r="G47" s="53">
        <v>282.78514285714283</v>
      </c>
    </row>
    <row r="48" spans="2:7">
      <c r="B48" s="14" t="str">
        <f>'Input capacity'!B62</f>
        <v>GRMS 03229</v>
      </c>
      <c r="C48" s="53">
        <v>818.87400000000002</v>
      </c>
      <c r="D48" s="53">
        <v>489.85714285714283</v>
      </c>
      <c r="E48" s="53">
        <v>923.45399999999984</v>
      </c>
      <c r="F48" s="53">
        <v>300.98828571428567</v>
      </c>
      <c r="G48" s="53">
        <v>300.99085714285712</v>
      </c>
    </row>
    <row r="49" spans="2:7">
      <c r="B49" s="14" t="str">
        <f>'Input capacity'!B63</f>
        <v>GRMS 03259</v>
      </c>
      <c r="C49" s="53">
        <v>851.84228571428559</v>
      </c>
      <c r="D49" s="53">
        <v>493.61399999999998</v>
      </c>
      <c r="E49" s="53">
        <v>956.42228571428564</v>
      </c>
      <c r="F49" s="53">
        <v>333.95657142857141</v>
      </c>
      <c r="G49" s="53">
        <v>333.95914285714281</v>
      </c>
    </row>
    <row r="50" spans="2:7">
      <c r="B50" s="14" t="str">
        <f>'Input capacity'!B64</f>
        <v>GRMS 03269</v>
      </c>
      <c r="C50" s="53">
        <v>851.83971428571419</v>
      </c>
      <c r="D50" s="53">
        <v>493.61142857142852</v>
      </c>
      <c r="E50" s="53">
        <v>956.41971428571412</v>
      </c>
      <c r="F50" s="53">
        <v>333.95400000000001</v>
      </c>
      <c r="G50" s="53">
        <v>333.95657142857141</v>
      </c>
    </row>
    <row r="51" spans="2:7">
      <c r="B51" s="14" t="str">
        <f>'Input capacity'!B65</f>
        <v>GRMS 03309</v>
      </c>
      <c r="C51" s="53">
        <v>863.46257142857132</v>
      </c>
      <c r="D51" s="53">
        <v>445.26857142857136</v>
      </c>
      <c r="E51" s="53">
        <v>968.04257142857136</v>
      </c>
      <c r="F51" s="53">
        <v>345.57685714285708</v>
      </c>
      <c r="G51" s="53">
        <v>345.57942857142854</v>
      </c>
    </row>
    <row r="52" spans="2:7">
      <c r="B52" s="14" t="str">
        <f>'Input capacity'!B66</f>
        <v>GRMS 03359</v>
      </c>
      <c r="C52" s="53">
        <v>885.99085714285707</v>
      </c>
      <c r="D52" s="53">
        <v>422.74542857142853</v>
      </c>
      <c r="E52" s="53">
        <v>990.57085714285699</v>
      </c>
      <c r="F52" s="53">
        <v>368.10514285714277</v>
      </c>
      <c r="G52" s="53">
        <v>368.10771428571422</v>
      </c>
    </row>
    <row r="53" spans="2:7">
      <c r="B53" s="14" t="str">
        <f>'Input capacity'!B67</f>
        <v>GRMS 03369</v>
      </c>
      <c r="C53" s="53">
        <v>885.98828571428555</v>
      </c>
      <c r="D53" s="53">
        <v>422.74285714285713</v>
      </c>
      <c r="E53" s="53">
        <v>990.56828571428559</v>
      </c>
      <c r="F53" s="53">
        <v>368.10257142857142</v>
      </c>
      <c r="G53" s="53">
        <v>368.10514285714277</v>
      </c>
    </row>
    <row r="54" spans="2:7">
      <c r="B54" s="14" t="str">
        <f>'Input capacity'!B68</f>
        <v>GRMS 03459</v>
      </c>
      <c r="C54" s="53">
        <v>919.8282857142857</v>
      </c>
      <c r="D54" s="53">
        <v>388.9028571428571</v>
      </c>
      <c r="E54" s="53">
        <v>1024.4082857142855</v>
      </c>
      <c r="F54" s="53">
        <v>401.9425714285714</v>
      </c>
      <c r="G54" s="53">
        <v>401.94514285714286</v>
      </c>
    </row>
    <row r="55" spans="2:7">
      <c r="B55" s="14" t="str">
        <f>'Input capacity'!B69</f>
        <v>GRMS 03559</v>
      </c>
      <c r="C55" s="53">
        <v>964.98257142857142</v>
      </c>
      <c r="D55" s="53">
        <v>343.74857142857144</v>
      </c>
      <c r="E55" s="53">
        <v>1069.5625714285713</v>
      </c>
      <c r="F55" s="53">
        <v>447.09685714285712</v>
      </c>
      <c r="G55" s="53">
        <v>447.09942857142858</v>
      </c>
    </row>
    <row r="56" spans="2:7">
      <c r="B56" s="14" t="str">
        <f>'Input capacity'!B70</f>
        <v>GRMS 03609</v>
      </c>
      <c r="C56" s="53">
        <v>1001.9854285714284</v>
      </c>
      <c r="D56" s="53">
        <v>350.15142857142848</v>
      </c>
      <c r="E56" s="53">
        <v>1106.5654285714286</v>
      </c>
      <c r="F56" s="53">
        <v>484.09971428571424</v>
      </c>
      <c r="G56" s="53">
        <v>484.10228571428564</v>
      </c>
    </row>
    <row r="57" spans="2:7">
      <c r="B57" s="14" t="str">
        <f>'Input capacity'!B71</f>
        <v>GRMS 03619</v>
      </c>
      <c r="C57" s="53">
        <v>994.93971428571422</v>
      </c>
      <c r="D57" s="53">
        <v>343.10571428571427</v>
      </c>
      <c r="E57" s="53">
        <v>1099.5197142857141</v>
      </c>
      <c r="F57" s="53">
        <v>477.05399999999992</v>
      </c>
      <c r="G57" s="53">
        <v>477.05657142857137</v>
      </c>
    </row>
    <row r="58" spans="2:7">
      <c r="B58" s="14" t="str">
        <f>'Input capacity'!B72</f>
        <v>GRMS 03659</v>
      </c>
      <c r="C58" s="53">
        <v>1006.9997142857142</v>
      </c>
      <c r="D58" s="53">
        <v>337.78285714285715</v>
      </c>
      <c r="E58" s="53">
        <v>1111.5797142857141</v>
      </c>
      <c r="F58" s="53">
        <v>489.11399999999998</v>
      </c>
      <c r="G58" s="53">
        <v>489.11657142857138</v>
      </c>
    </row>
    <row r="59" spans="2:7">
      <c r="B59" s="14" t="str">
        <f>'Input capacity'!B73</f>
        <v>GRMS 04059</v>
      </c>
      <c r="C59" s="53">
        <v>1023.3539999999999</v>
      </c>
      <c r="D59" s="53">
        <v>285.37714285714281</v>
      </c>
      <c r="E59" s="53">
        <v>1127.934</v>
      </c>
      <c r="F59" s="53">
        <v>505.46828571428568</v>
      </c>
      <c r="G59" s="53">
        <v>505.47085714285708</v>
      </c>
    </row>
    <row r="60" spans="2:7">
      <c r="B60" s="14" t="str">
        <f>'Input capacity'!B74</f>
        <v>GRMS 04109</v>
      </c>
      <c r="C60" s="53">
        <v>1047.7568571428571</v>
      </c>
      <c r="D60" s="53">
        <v>260.97428571428566</v>
      </c>
      <c r="E60" s="53">
        <v>1152.3368571428568</v>
      </c>
      <c r="F60" s="53">
        <v>529.87114285714279</v>
      </c>
      <c r="G60" s="53">
        <v>529.8737142857143</v>
      </c>
    </row>
    <row r="61" spans="2:7">
      <c r="B61" s="14" t="str">
        <f>'Input capacity'!B75</f>
        <v>GRMS 04149</v>
      </c>
      <c r="C61" s="53">
        <v>1128.2682857142856</v>
      </c>
      <c r="D61" s="53">
        <v>302.5542857142857</v>
      </c>
      <c r="E61" s="53">
        <v>1232.8482857142856</v>
      </c>
      <c r="F61" s="53">
        <v>610.3825714285714</v>
      </c>
      <c r="G61" s="53">
        <v>610.3851428571428</v>
      </c>
    </row>
    <row r="62" spans="2:7">
      <c r="B62" s="14" t="str">
        <f>'Input capacity'!B76</f>
        <v>GRMS 04159</v>
      </c>
      <c r="C62" s="53">
        <v>1074.2425714285714</v>
      </c>
      <c r="D62" s="53">
        <v>234.48857142857139</v>
      </c>
      <c r="E62" s="53">
        <v>1178.8225714285713</v>
      </c>
      <c r="F62" s="53">
        <v>556.35685714285705</v>
      </c>
      <c r="G62" s="53">
        <v>556.35942857142845</v>
      </c>
    </row>
    <row r="63" spans="2:7">
      <c r="B63" s="14" t="str">
        <f>'Input capacity'!B77</f>
        <v>GRMS 04209</v>
      </c>
      <c r="C63" s="53">
        <v>1097.616857142857</v>
      </c>
      <c r="D63" s="53">
        <v>211.11428571428567</v>
      </c>
      <c r="E63" s="53">
        <v>1202.196857142857</v>
      </c>
      <c r="F63" s="53">
        <v>579.7311428571428</v>
      </c>
      <c r="G63" s="53">
        <v>579.7337142857142</v>
      </c>
    </row>
    <row r="64" spans="2:7">
      <c r="B64" s="14" t="str">
        <f>'Input capacity'!B78</f>
        <v>GRMS 05009</v>
      </c>
      <c r="C64" s="53">
        <v>1133.9511428571427</v>
      </c>
      <c r="D64" s="53">
        <v>208.20857142857142</v>
      </c>
      <c r="E64" s="53">
        <v>1238.5311428571429</v>
      </c>
      <c r="F64" s="53">
        <v>616.06542857142847</v>
      </c>
      <c r="G64" s="53">
        <v>616.06799999999987</v>
      </c>
    </row>
    <row r="65" spans="2:7">
      <c r="B65" s="14" t="str">
        <f>'Input capacity'!B79</f>
        <v>GRMS 05119</v>
      </c>
      <c r="C65" s="53">
        <v>1154.2139999999999</v>
      </c>
      <c r="D65" s="53">
        <v>154.51714285714286</v>
      </c>
      <c r="E65" s="53">
        <v>1258.7939999999999</v>
      </c>
      <c r="F65" s="53">
        <v>636.3282857142857</v>
      </c>
      <c r="G65" s="53">
        <v>636.3308571428571</v>
      </c>
    </row>
    <row r="66" spans="2:7">
      <c r="B66" s="14" t="str">
        <f>'Input capacity'!B80</f>
        <v>GRMS 05179</v>
      </c>
      <c r="C66" s="53">
        <v>1225.1082857142856</v>
      </c>
      <c r="D66" s="53">
        <v>184.32</v>
      </c>
      <c r="E66" s="53">
        <v>1329.6882857142855</v>
      </c>
      <c r="F66" s="53">
        <v>707.22257142857143</v>
      </c>
      <c r="G66" s="53">
        <v>707.22514285714271</v>
      </c>
    </row>
    <row r="67" spans="2:7">
      <c r="B67" s="14" t="str">
        <f>'Input capacity'!B81</f>
        <v>GRMS 05309</v>
      </c>
      <c r="C67" s="53">
        <v>1219.7082857142857</v>
      </c>
      <c r="D67" s="53">
        <v>89.022857142857134</v>
      </c>
      <c r="E67" s="53">
        <v>1324.2882857142856</v>
      </c>
      <c r="F67" s="53">
        <v>701.82257142857134</v>
      </c>
      <c r="G67" s="53">
        <v>701.82514285714285</v>
      </c>
    </row>
    <row r="68" spans="2:7">
      <c r="B68" s="14" t="str">
        <f>'Input capacity'!B82</f>
        <v>GRMS 05609</v>
      </c>
      <c r="C68" s="53">
        <v>1296.4397142857142</v>
      </c>
      <c r="D68" s="53">
        <v>12.29142857142857</v>
      </c>
      <c r="E68" s="53">
        <v>1401.0197142857141</v>
      </c>
      <c r="F68" s="53">
        <v>778.55399999999997</v>
      </c>
      <c r="G68" s="53">
        <v>778.55657142857137</v>
      </c>
    </row>
    <row r="69" spans="2:7">
      <c r="B69" s="14" t="str">
        <f>'Input capacity'!B83</f>
        <v>GRMS 07009</v>
      </c>
      <c r="C69" s="53">
        <v>0.61971428571428566</v>
      </c>
      <c r="D69" s="53">
        <v>1308.1114285714284</v>
      </c>
      <c r="E69" s="53">
        <v>1237.7597142857142</v>
      </c>
      <c r="F69" s="53">
        <v>615.29399999999998</v>
      </c>
      <c r="G69" s="53">
        <v>615.29657142857138</v>
      </c>
    </row>
    <row r="70" spans="2:7">
      <c r="B70" s="14" t="str">
        <f>'Input capacity'!B84</f>
        <v>GRMS 08009</v>
      </c>
      <c r="C70" s="53">
        <v>266.45399999999995</v>
      </c>
      <c r="D70" s="53">
        <v>1042.2771428571427</v>
      </c>
      <c r="E70" s="53">
        <v>971.92542857142848</v>
      </c>
      <c r="F70" s="53">
        <v>349.45971428571426</v>
      </c>
      <c r="G70" s="53">
        <v>349.46228571428566</v>
      </c>
    </row>
    <row r="71" spans="2:7">
      <c r="B71" s="14" t="str">
        <f>'Input capacity'!B85</f>
        <v>GRMS 08109</v>
      </c>
      <c r="C71" s="53">
        <v>324.54257142857142</v>
      </c>
      <c r="D71" s="53">
        <v>984.18857142857132</v>
      </c>
      <c r="E71" s="53">
        <v>913.83685714285696</v>
      </c>
      <c r="F71" s="53">
        <v>291.37114285714284</v>
      </c>
      <c r="G71" s="53">
        <v>291.37371428571424</v>
      </c>
    </row>
    <row r="72" spans="2:7">
      <c r="B72" s="14" t="str">
        <f>'Input capacity'!B86</f>
        <v>GRMS 08119</v>
      </c>
      <c r="C72" s="53">
        <v>337.55399999999992</v>
      </c>
      <c r="D72" s="53">
        <v>997.19999999999993</v>
      </c>
      <c r="E72" s="53">
        <v>926.84828571428557</v>
      </c>
      <c r="F72" s="53">
        <v>304.3825714285714</v>
      </c>
      <c r="G72" s="53">
        <v>304.38514285714285</v>
      </c>
    </row>
    <row r="73" spans="2:7">
      <c r="B73" s="14" t="str">
        <f>'Input capacity'!B87</f>
        <v>GRMS 08209</v>
      </c>
      <c r="C73" s="53">
        <v>375.68828571428566</v>
      </c>
      <c r="D73" s="53">
        <v>933.04285714285709</v>
      </c>
      <c r="E73" s="53">
        <v>862.69114285714272</v>
      </c>
      <c r="F73" s="53">
        <v>240.22542857142855</v>
      </c>
      <c r="G73" s="53">
        <v>240.22799999999998</v>
      </c>
    </row>
    <row r="74" spans="2:7">
      <c r="B74" s="14" t="str">
        <f>'Input capacity'!B88</f>
        <v>GRMS 08309</v>
      </c>
      <c r="C74" s="53">
        <v>422.43685714285709</v>
      </c>
      <c r="D74" s="53">
        <v>886.29428571428571</v>
      </c>
      <c r="E74" s="53">
        <v>815.94257142857134</v>
      </c>
      <c r="F74" s="53">
        <v>193.47685714285711</v>
      </c>
      <c r="G74" s="53">
        <v>193.47942857142857</v>
      </c>
    </row>
    <row r="75" spans="2:7">
      <c r="B75" s="14" t="str">
        <f>'Input capacity'!B89</f>
        <v>GRMS 08409</v>
      </c>
      <c r="C75" s="53">
        <v>471.39685714285707</v>
      </c>
      <c r="D75" s="53">
        <v>837.33428571428567</v>
      </c>
      <c r="E75" s="53">
        <v>766.98257142857142</v>
      </c>
      <c r="F75" s="53">
        <v>144.51685714285713</v>
      </c>
      <c r="G75" s="53">
        <v>144.51942857142856</v>
      </c>
    </row>
    <row r="76" spans="2:7">
      <c r="B76" s="14" t="str">
        <f>'Input capacity'!B90</f>
        <v>GRMS 08559</v>
      </c>
      <c r="C76" s="53">
        <v>556.84542857142844</v>
      </c>
      <c r="D76" s="53">
        <v>751.88571428571413</v>
      </c>
      <c r="E76" s="53">
        <v>681.53399999999988</v>
      </c>
      <c r="F76" s="53">
        <v>59.068285714285707</v>
      </c>
      <c r="G76" s="53">
        <v>59.070857142857143</v>
      </c>
    </row>
    <row r="77" spans="2:7">
      <c r="B77" s="14" t="str">
        <f>'Input capacity'!B91</f>
        <v>GRMS 10079</v>
      </c>
      <c r="C77" s="53">
        <v>183.96257142857141</v>
      </c>
      <c r="D77" s="53">
        <v>1237.6028571428571</v>
      </c>
      <c r="E77" s="53">
        <v>1167.2511428571427</v>
      </c>
      <c r="F77" s="53">
        <v>544.7854285714285</v>
      </c>
      <c r="G77" s="53">
        <v>544.7879999999999</v>
      </c>
    </row>
    <row r="78" spans="2:7">
      <c r="B78" s="14" t="str">
        <f>'Input capacity'!B92</f>
        <v>GRMS 10159</v>
      </c>
      <c r="C78" s="53">
        <v>286.45971428571426</v>
      </c>
      <c r="D78" s="53">
        <v>1235.4942857142858</v>
      </c>
      <c r="E78" s="53">
        <v>1269.7482857142857</v>
      </c>
      <c r="F78" s="53">
        <v>647.28257142857137</v>
      </c>
      <c r="G78" s="53">
        <v>647.28514285714277</v>
      </c>
    </row>
    <row r="79" spans="2:7">
      <c r="B79" s="14" t="str">
        <f>'Input capacity'!B93</f>
        <v>GRMS 10209</v>
      </c>
      <c r="C79" s="53">
        <v>350.41114285714281</v>
      </c>
      <c r="D79" s="53">
        <v>1171.542857142857</v>
      </c>
      <c r="E79" s="53">
        <v>1333.699714285714</v>
      </c>
      <c r="F79" s="53">
        <v>711.23399999999992</v>
      </c>
      <c r="G79" s="53">
        <v>711.23657142857132</v>
      </c>
    </row>
    <row r="80" spans="2:7">
      <c r="B80" s="14" t="str">
        <f>'Input capacity'!B94</f>
        <v>GRMS 10309</v>
      </c>
      <c r="C80" s="53">
        <v>471.52542857142856</v>
      </c>
      <c r="D80" s="53">
        <v>1050.4285714285713</v>
      </c>
      <c r="E80" s="53">
        <v>1363.6311428571428</v>
      </c>
      <c r="F80" s="53">
        <v>741.16542857142849</v>
      </c>
      <c r="G80" s="53">
        <v>741.16800000000001</v>
      </c>
    </row>
    <row r="81" spans="2:7">
      <c r="B81" s="14" t="str">
        <f>'Input capacity'!B95</f>
        <v>GRMS 10359</v>
      </c>
      <c r="C81" s="53">
        <v>499.24542857142853</v>
      </c>
      <c r="D81" s="53">
        <v>1022.7085714285714</v>
      </c>
      <c r="E81" s="53">
        <v>1335.9111428571425</v>
      </c>
      <c r="F81" s="53">
        <v>713.44542857142858</v>
      </c>
      <c r="G81" s="53">
        <v>713.44799999999998</v>
      </c>
    </row>
    <row r="82" spans="2:7">
      <c r="B82" s="14" t="str">
        <f>'Input capacity'!B96</f>
        <v>GRMS 10459</v>
      </c>
      <c r="C82" s="53">
        <v>600.89400000000001</v>
      </c>
      <c r="D82" s="53">
        <v>921.06</v>
      </c>
      <c r="E82" s="53">
        <v>1234.2625714285712</v>
      </c>
      <c r="F82" s="53">
        <v>611.79685714285711</v>
      </c>
      <c r="G82" s="53">
        <v>611.79942857142851</v>
      </c>
    </row>
    <row r="83" spans="2:7">
      <c r="B83" s="14" t="str">
        <f>'Input capacity'!B97</f>
        <v>GRMS 11109</v>
      </c>
      <c r="C83" s="53">
        <v>817.1768571428571</v>
      </c>
      <c r="D83" s="53">
        <v>608.5542857142857</v>
      </c>
      <c r="E83" s="53">
        <v>921.75685714285703</v>
      </c>
      <c r="F83" s="53">
        <v>299.29114285714286</v>
      </c>
      <c r="G83" s="53">
        <v>299.29371428571426</v>
      </c>
    </row>
    <row r="84" spans="2:7">
      <c r="B84" s="14" t="str">
        <f>'Input capacity'!B98</f>
        <v>GRMS 11159</v>
      </c>
      <c r="C84" s="53">
        <v>841.70828571428569</v>
      </c>
      <c r="D84" s="53">
        <v>633.08571428571418</v>
      </c>
      <c r="E84" s="53">
        <v>946.28828571428551</v>
      </c>
      <c r="F84" s="53">
        <v>323.82257142857139</v>
      </c>
      <c r="G84" s="53">
        <v>323.82514285714285</v>
      </c>
    </row>
    <row r="85" spans="2:7">
      <c r="B85" s="14" t="str">
        <f>'Input capacity'!B99</f>
        <v>GRMS 11209</v>
      </c>
      <c r="C85" s="53">
        <v>859.81114285714273</v>
      </c>
      <c r="D85" s="53">
        <v>662.14285714285711</v>
      </c>
      <c r="E85" s="53">
        <v>975.34542857142844</v>
      </c>
      <c r="F85" s="53">
        <v>352.87971428571421</v>
      </c>
      <c r="G85" s="53">
        <v>352.88228571428567</v>
      </c>
    </row>
    <row r="86" spans="2:7">
      <c r="B86" s="14" t="str">
        <f>'Input capacity'!B100</f>
        <v>GRMS 11279</v>
      </c>
      <c r="C86" s="53">
        <v>844.69114285714272</v>
      </c>
      <c r="D86" s="53">
        <v>719.28</v>
      </c>
      <c r="E86" s="53">
        <v>1032.4825714285714</v>
      </c>
      <c r="F86" s="53">
        <v>410.01685714285708</v>
      </c>
      <c r="G86" s="53">
        <v>410.01942857142853</v>
      </c>
    </row>
    <row r="87" spans="2:7">
      <c r="B87" s="14" t="str">
        <f>'Input capacity'!B101</f>
        <v>GRMS 11309</v>
      </c>
      <c r="C87" s="53">
        <v>797.17114285714285</v>
      </c>
      <c r="D87" s="53">
        <v>724.7828571428571</v>
      </c>
      <c r="E87" s="53">
        <v>1037.9854285714284</v>
      </c>
      <c r="F87" s="53">
        <v>415.51971428571426</v>
      </c>
      <c r="G87" s="53">
        <v>415.52228571428572</v>
      </c>
    </row>
    <row r="88" spans="2:7">
      <c r="B88" s="14" t="str">
        <f>'Input capacity'!B102</f>
        <v>GRMS 12209</v>
      </c>
      <c r="C88" s="53">
        <v>1027.5968571428571</v>
      </c>
      <c r="D88" s="53">
        <v>1202.5285714285712</v>
      </c>
      <c r="E88" s="53">
        <v>210.78257142857143</v>
      </c>
      <c r="F88" s="53">
        <v>509.71114285714282</v>
      </c>
      <c r="G88" s="53">
        <v>509.71371428571427</v>
      </c>
    </row>
    <row r="89" spans="2:7">
      <c r="B89" s="14" t="str">
        <f>'Input capacity'!B103</f>
        <v>GRMS 12609</v>
      </c>
      <c r="C89" s="53">
        <v>1220.1454285714283</v>
      </c>
      <c r="D89" s="53">
        <v>1395.0771428571427</v>
      </c>
      <c r="E89" s="53">
        <v>18.233999999999998</v>
      </c>
      <c r="F89" s="53">
        <v>702.25971428571427</v>
      </c>
      <c r="G89" s="53">
        <v>702.26228571428555</v>
      </c>
    </row>
    <row r="90" spans="2:7">
      <c r="B90" s="14" t="str">
        <f>'Input capacity'!B104</f>
        <v>GRMS 12619</v>
      </c>
      <c r="C90" s="53">
        <v>1220.1479999999999</v>
      </c>
      <c r="D90" s="53">
        <v>1395.0797142857141</v>
      </c>
      <c r="E90" s="53">
        <v>18.236571428571427</v>
      </c>
      <c r="F90" s="53">
        <v>702.26228571428555</v>
      </c>
      <c r="G90" s="53">
        <v>702.26485714285707</v>
      </c>
    </row>
    <row r="91" spans="2:7">
      <c r="B91" s="14" t="str">
        <f>'Input capacity'!B105</f>
        <v>GRMS 12619B</v>
      </c>
      <c r="C91" s="53">
        <v>1223.5422857142855</v>
      </c>
      <c r="D91" s="53">
        <v>1398.4739999999999</v>
      </c>
      <c r="E91" s="53">
        <v>21.630857142857142</v>
      </c>
      <c r="F91" s="53">
        <v>705.6565714285714</v>
      </c>
      <c r="G91" s="53">
        <v>705.6591428571428</v>
      </c>
    </row>
    <row r="92" spans="2:7">
      <c r="B92" s="14" t="str">
        <f>'Input capacity'!B106</f>
        <v>GRMS 12629</v>
      </c>
      <c r="C92" s="53">
        <v>1220.1479999999999</v>
      </c>
      <c r="D92" s="53">
        <v>1395.0797142857141</v>
      </c>
      <c r="E92" s="53">
        <v>18.236571428571427</v>
      </c>
      <c r="F92" s="53">
        <v>702.26228571428555</v>
      </c>
      <c r="G92" s="53">
        <v>702.26485714285707</v>
      </c>
    </row>
    <row r="93" spans="2:7">
      <c r="B93" s="14" t="str">
        <f>'Input capacity'!B107</f>
        <v>GRMS 12809</v>
      </c>
      <c r="C93" s="53">
        <v>1238.376857142857</v>
      </c>
      <c r="D93" s="53">
        <v>1413.3085714285712</v>
      </c>
      <c r="E93" s="53">
        <v>2.5714285714282885E-3</v>
      </c>
      <c r="F93" s="53">
        <v>720.49114285714268</v>
      </c>
      <c r="G93" s="53">
        <v>720.49371428571419</v>
      </c>
    </row>
    <row r="96" spans="2:7">
      <c r="B96" s="2" t="str">
        <f>'Distance Matrix_Entry'!B12</f>
        <v>Economic value</v>
      </c>
      <c r="C96" s="41" t="s">
        <v>2</v>
      </c>
      <c r="D96" s="42"/>
      <c r="E96" s="42"/>
      <c r="F96" s="42"/>
      <c r="G96" s="44"/>
    </row>
    <row r="97" spans="2:7">
      <c r="B97" s="46" t="s">
        <v>1</v>
      </c>
      <c r="C97" s="14" t="str">
        <f t="shared" ref="C97:G97" si="0">C4</f>
        <v>CTS Campo Maior</v>
      </c>
      <c r="D97" s="14" t="str">
        <f t="shared" si="0"/>
        <v>CTS Valença do Minho</v>
      </c>
      <c r="E97" s="14" t="str">
        <f t="shared" si="0"/>
        <v>LNG Terminal Sines</v>
      </c>
      <c r="F97" s="14" t="str">
        <f t="shared" si="0"/>
        <v>Underground storage Carriço</v>
      </c>
      <c r="G97" s="14" t="str">
        <f t="shared" si="0"/>
        <v>Gas producers</v>
      </c>
    </row>
    <row r="98" spans="2:7">
      <c r="B98" s="14" t="str">
        <f>B5</f>
        <v>CTS Campo Maior</v>
      </c>
      <c r="C98" s="71">
        <f t="array" ref="C98:C186">TRANSPOSE('Distance Matrix_Entry'!C14:CM14)</f>
        <v>1</v>
      </c>
      <c r="D98" s="71">
        <f t="array" ref="D98:D186">TRANSPOSE('Distance Matrix_Entry'!C15:CM15)</f>
        <v>1</v>
      </c>
      <c r="E98" s="71">
        <f t="array" ref="E98:E186">TRANSPOSE('Distance Matrix_Entry'!C16:CM16)</f>
        <v>1</v>
      </c>
      <c r="F98" s="71">
        <f t="array" ref="F98:F186">TRANSPOSE('Distance Matrix_Entry'!C17:CM17)</f>
        <v>1</v>
      </c>
      <c r="G98" s="71">
        <f t="array" ref="G98:G186">TRANSPOSE('Distance Matrix_Entry'!C18:CM18)</f>
        <v>1</v>
      </c>
    </row>
    <row r="99" spans="2:7">
      <c r="B99" s="14" t="str">
        <f t="shared" ref="B99:B162" si="1">B6</f>
        <v>CTS Valença do Minho</v>
      </c>
      <c r="C99" s="71">
        <v>1</v>
      </c>
      <c r="D99" s="71">
        <v>1</v>
      </c>
      <c r="E99" s="71">
        <v>1</v>
      </c>
      <c r="F99" s="71">
        <v>1</v>
      </c>
      <c r="G99" s="71">
        <v>1</v>
      </c>
    </row>
    <row r="100" spans="2:7">
      <c r="B100" s="14" t="str">
        <f t="shared" si="1"/>
        <v>LNG Terminal Sines</v>
      </c>
      <c r="C100" s="71">
        <v>1</v>
      </c>
      <c r="D100" s="71">
        <v>1</v>
      </c>
      <c r="E100" s="71">
        <v>1</v>
      </c>
      <c r="F100" s="71">
        <v>1</v>
      </c>
      <c r="G100" s="71">
        <v>1</v>
      </c>
    </row>
    <row r="101" spans="2:7">
      <c r="B101" s="14" t="str">
        <f t="shared" si="1"/>
        <v>Underground storage Carriço</v>
      </c>
      <c r="C101" s="71">
        <v>1</v>
      </c>
      <c r="D101" s="71">
        <v>1</v>
      </c>
      <c r="E101" s="71">
        <v>1</v>
      </c>
      <c r="F101" s="71">
        <v>1</v>
      </c>
      <c r="G101" s="71">
        <v>1</v>
      </c>
    </row>
    <row r="102" spans="2:7">
      <c r="B102" s="14" t="str">
        <f t="shared" si="1"/>
        <v>GRMS 01059</v>
      </c>
      <c r="C102" s="71">
        <v>2.5714285714285712</v>
      </c>
      <c r="D102" s="71">
        <v>2.5714285714285712</v>
      </c>
      <c r="E102" s="71">
        <v>2.5714285714285712</v>
      </c>
      <c r="F102" s="71">
        <v>2.5714285714285712</v>
      </c>
      <c r="G102" s="71">
        <v>2.5714285714285712</v>
      </c>
    </row>
    <row r="103" spans="2:7">
      <c r="B103" s="14" t="str">
        <f t="shared" si="1"/>
        <v>GRMS 01109</v>
      </c>
      <c r="C103" s="71">
        <v>2.5714285714285712</v>
      </c>
      <c r="D103" s="71">
        <v>2.5714285714285712</v>
      </c>
      <c r="E103" s="71">
        <v>2.5714285714285712</v>
      </c>
      <c r="F103" s="71">
        <v>2.5714285714285712</v>
      </c>
      <c r="G103" s="71">
        <v>2.5714285714285712</v>
      </c>
    </row>
    <row r="104" spans="2:7">
      <c r="B104" s="14" t="str">
        <f t="shared" si="1"/>
        <v>GRMS 01119</v>
      </c>
      <c r="C104" s="71">
        <v>2.5714285714285712</v>
      </c>
      <c r="D104" s="71">
        <v>2.5714285714285712</v>
      </c>
      <c r="E104" s="71">
        <v>2.5714285714285712</v>
      </c>
      <c r="F104" s="71">
        <v>2.5714285714285712</v>
      </c>
      <c r="G104" s="71">
        <v>2.5714285714285712</v>
      </c>
    </row>
    <row r="105" spans="2:7">
      <c r="B105" s="14" t="str">
        <f t="shared" si="1"/>
        <v>GRMS 01129</v>
      </c>
      <c r="C105" s="71">
        <v>2.5714285714285712</v>
      </c>
      <c r="D105" s="71">
        <v>2.5714285714285712</v>
      </c>
      <c r="E105" s="71">
        <v>2.5714285714285712</v>
      </c>
      <c r="F105" s="71">
        <v>2.5714285714285712</v>
      </c>
      <c r="G105" s="71">
        <v>2.5714285714285712</v>
      </c>
    </row>
    <row r="106" spans="2:7">
      <c r="B106" s="14" t="str">
        <f t="shared" si="1"/>
        <v>GRMS 01139</v>
      </c>
      <c r="C106" s="71">
        <v>2.5714285714285712</v>
      </c>
      <c r="D106" s="71">
        <v>2.5714285714285712</v>
      </c>
      <c r="E106" s="71">
        <v>2.5714285714285712</v>
      </c>
      <c r="F106" s="71">
        <v>2.5714285714285712</v>
      </c>
      <c r="G106" s="71">
        <v>2.5714285714285712</v>
      </c>
    </row>
    <row r="107" spans="2:7">
      <c r="B107" s="14" t="str">
        <f t="shared" si="1"/>
        <v>GRMS 01149</v>
      </c>
      <c r="C107" s="71">
        <v>2.5714285714285712</v>
      </c>
      <c r="D107" s="71">
        <v>2.5714285714285712</v>
      </c>
      <c r="E107" s="71">
        <v>2.5714285714285712</v>
      </c>
      <c r="F107" s="71">
        <v>2.5714285714285712</v>
      </c>
      <c r="G107" s="71">
        <v>2.5714285714285712</v>
      </c>
    </row>
    <row r="108" spans="2:7">
      <c r="B108" s="14" t="str">
        <f t="shared" si="1"/>
        <v>GRMS 01159</v>
      </c>
      <c r="C108" s="71">
        <v>2.5714285714285712</v>
      </c>
      <c r="D108" s="71">
        <v>2.5714285714285712</v>
      </c>
      <c r="E108" s="71">
        <v>2.5714285714285712</v>
      </c>
      <c r="F108" s="71">
        <v>2.5714285714285712</v>
      </c>
      <c r="G108" s="71">
        <v>2.5714285714285712</v>
      </c>
    </row>
    <row r="109" spans="2:7">
      <c r="B109" s="14" t="str">
        <f t="shared" si="1"/>
        <v>GRMS 01179</v>
      </c>
      <c r="C109" s="71">
        <v>2.5714285714285712</v>
      </c>
      <c r="D109" s="71">
        <v>2.5714285714285712</v>
      </c>
      <c r="E109" s="71">
        <v>2.5714285714285712</v>
      </c>
      <c r="F109" s="71">
        <v>2.5714285714285712</v>
      </c>
      <c r="G109" s="71">
        <v>2.5714285714285712</v>
      </c>
    </row>
    <row r="110" spans="2:7">
      <c r="B110" s="14" t="str">
        <f t="shared" si="1"/>
        <v>GRMS 01189</v>
      </c>
      <c r="C110" s="71">
        <v>2.5714285714285712</v>
      </c>
      <c r="D110" s="71">
        <v>2.5714285714285712</v>
      </c>
      <c r="E110" s="71">
        <v>2.5714285714285712</v>
      </c>
      <c r="F110" s="71">
        <v>2.5714285714285712</v>
      </c>
      <c r="G110" s="71">
        <v>2.5714285714285712</v>
      </c>
    </row>
    <row r="111" spans="2:7">
      <c r="B111" s="14" t="str">
        <f t="shared" si="1"/>
        <v>GRMS 01209</v>
      </c>
      <c r="C111" s="71">
        <v>2.5714285714285712</v>
      </c>
      <c r="D111" s="71">
        <v>2.5714285714285712</v>
      </c>
      <c r="E111" s="71">
        <v>2.5714285714285712</v>
      </c>
      <c r="F111" s="71">
        <v>2.5714285714285712</v>
      </c>
      <c r="G111" s="71">
        <v>2.5714285714285712</v>
      </c>
    </row>
    <row r="112" spans="2:7">
      <c r="B112" s="14" t="str">
        <f t="shared" si="1"/>
        <v>GRMS 01219</v>
      </c>
      <c r="C112" s="71">
        <v>2.5714285714285712</v>
      </c>
      <c r="D112" s="71">
        <v>2.5714285714285712</v>
      </c>
      <c r="E112" s="71">
        <v>2.5714285714285712</v>
      </c>
      <c r="F112" s="71">
        <v>2.5714285714285712</v>
      </c>
      <c r="G112" s="71">
        <v>2.5714285714285712</v>
      </c>
    </row>
    <row r="113" spans="2:7">
      <c r="B113" s="14" t="str">
        <f t="shared" si="1"/>
        <v>GRMS 01229</v>
      </c>
      <c r="C113" s="71">
        <v>2.5714285714285712</v>
      </c>
      <c r="D113" s="71">
        <v>2.5714285714285712</v>
      </c>
      <c r="E113" s="71">
        <v>2.5714285714285712</v>
      </c>
      <c r="F113" s="71">
        <v>2.5714285714285712</v>
      </c>
      <c r="G113" s="71">
        <v>2.5714285714285712</v>
      </c>
    </row>
    <row r="114" spans="2:7">
      <c r="B114" s="14" t="str">
        <f t="shared" si="1"/>
        <v>GRMS 01239</v>
      </c>
      <c r="C114" s="71">
        <v>2.5714285714285712</v>
      </c>
      <c r="D114" s="71">
        <v>2.5714285714285712</v>
      </c>
      <c r="E114" s="71">
        <v>2.5714285714285712</v>
      </c>
      <c r="F114" s="71">
        <v>2.5714285714285712</v>
      </c>
      <c r="G114" s="71">
        <v>2.5714285714285712</v>
      </c>
    </row>
    <row r="115" spans="2:7">
      <c r="B115" s="14" t="str">
        <f t="shared" si="1"/>
        <v>GRMS 01259</v>
      </c>
      <c r="C115" s="71">
        <v>2.5714285714285712</v>
      </c>
      <c r="D115" s="71">
        <v>2.5714285714285712</v>
      </c>
      <c r="E115" s="71">
        <v>2.5714285714285712</v>
      </c>
      <c r="F115" s="71">
        <v>2.5714285714285712</v>
      </c>
      <c r="G115" s="71">
        <v>2.5714285714285712</v>
      </c>
    </row>
    <row r="116" spans="2:7">
      <c r="B116" s="14" t="str">
        <f t="shared" si="1"/>
        <v>GRMS 01269</v>
      </c>
      <c r="C116" s="71">
        <v>2.5714285714285712</v>
      </c>
      <c r="D116" s="71">
        <v>2.5714285714285712</v>
      </c>
      <c r="E116" s="71">
        <v>2.5714285714285712</v>
      </c>
      <c r="F116" s="71">
        <v>2.5714285714285712</v>
      </c>
      <c r="G116" s="71">
        <v>2.5714285714285712</v>
      </c>
    </row>
    <row r="117" spans="2:7">
      <c r="B117" s="14" t="str">
        <f t="shared" si="1"/>
        <v>GRMS 01279</v>
      </c>
      <c r="C117" s="71">
        <v>2.5714285714285712</v>
      </c>
      <c r="D117" s="71">
        <v>2.5714285714285712</v>
      </c>
      <c r="E117" s="71">
        <v>2.5714285714285712</v>
      </c>
      <c r="F117" s="71">
        <v>2.5714285714285712</v>
      </c>
      <c r="G117" s="71">
        <v>2.5714285714285712</v>
      </c>
    </row>
    <row r="118" spans="2:7">
      <c r="B118" s="14" t="str">
        <f t="shared" si="1"/>
        <v>GRMS 01309</v>
      </c>
      <c r="C118" s="71">
        <v>2.5714285714285712</v>
      </c>
      <c r="D118" s="71">
        <v>2.5714285714285712</v>
      </c>
      <c r="E118" s="71">
        <v>2.5714285714285712</v>
      </c>
      <c r="F118" s="71">
        <v>2.5714285714285712</v>
      </c>
      <c r="G118" s="71">
        <v>2.5714285714285712</v>
      </c>
    </row>
    <row r="119" spans="2:7">
      <c r="B119" s="14" t="str">
        <f t="shared" si="1"/>
        <v>GRMS 01319</v>
      </c>
      <c r="C119" s="71">
        <v>2.5714285714285712</v>
      </c>
      <c r="D119" s="71">
        <v>2.5714285714285712</v>
      </c>
      <c r="E119" s="71">
        <v>2.5714285714285712</v>
      </c>
      <c r="F119" s="71">
        <v>2.5714285714285712</v>
      </c>
      <c r="G119" s="71">
        <v>2.5714285714285712</v>
      </c>
    </row>
    <row r="120" spans="2:7">
      <c r="B120" s="14" t="str">
        <f t="shared" si="1"/>
        <v>GRMS 01359</v>
      </c>
      <c r="C120" s="71">
        <v>2.5714285714285712</v>
      </c>
      <c r="D120" s="71">
        <v>2.5714285714285712</v>
      </c>
      <c r="E120" s="71">
        <v>2.5714285714285712</v>
      </c>
      <c r="F120" s="71">
        <v>2.5714285714285712</v>
      </c>
      <c r="G120" s="71">
        <v>2.5714285714285712</v>
      </c>
    </row>
    <row r="121" spans="2:7">
      <c r="B121" s="14" t="str">
        <f t="shared" si="1"/>
        <v>GRMS 01369</v>
      </c>
      <c r="C121" s="71">
        <v>2.5714285714285712</v>
      </c>
      <c r="D121" s="71">
        <v>2.5714285714285712</v>
      </c>
      <c r="E121" s="71">
        <v>2.5714285714285712</v>
      </c>
      <c r="F121" s="71">
        <v>2.5714285714285712</v>
      </c>
      <c r="G121" s="71">
        <v>2.5714285714285712</v>
      </c>
    </row>
    <row r="122" spans="2:7">
      <c r="B122" s="14" t="str">
        <f t="shared" si="1"/>
        <v>GRMS 01409</v>
      </c>
      <c r="C122" s="71">
        <v>2.5714285714285712</v>
      </c>
      <c r="D122" s="71">
        <v>2.5714285714285712</v>
      </c>
      <c r="E122" s="71">
        <v>2.5714285714285712</v>
      </c>
      <c r="F122" s="71">
        <v>2.5714285714285712</v>
      </c>
      <c r="G122" s="71">
        <v>2.5714285714285712</v>
      </c>
    </row>
    <row r="123" spans="2:7">
      <c r="B123" s="14" t="str">
        <f t="shared" si="1"/>
        <v>GRMS 02069</v>
      </c>
      <c r="C123" s="71">
        <v>2.5714285714285712</v>
      </c>
      <c r="D123" s="71">
        <v>2.5714285714285712</v>
      </c>
      <c r="E123" s="71">
        <v>2.5714285714285712</v>
      </c>
      <c r="F123" s="71">
        <v>2.5714285714285712</v>
      </c>
      <c r="G123" s="71">
        <v>2.5714285714285712</v>
      </c>
    </row>
    <row r="124" spans="2:7">
      <c r="B124" s="14" t="str">
        <f t="shared" si="1"/>
        <v>GRMS 02089</v>
      </c>
      <c r="C124" s="71">
        <v>2.5714285714285712</v>
      </c>
      <c r="D124" s="71">
        <v>2.5714285714285712</v>
      </c>
      <c r="E124" s="71">
        <v>2.5714285714285712</v>
      </c>
      <c r="F124" s="71">
        <v>2.5714285714285712</v>
      </c>
      <c r="G124" s="71">
        <v>2.5714285714285712</v>
      </c>
    </row>
    <row r="125" spans="2:7">
      <c r="B125" s="14" t="str">
        <f t="shared" si="1"/>
        <v>GRMS 02159</v>
      </c>
      <c r="C125" s="71">
        <v>2.5714285714285712</v>
      </c>
      <c r="D125" s="71">
        <v>2.5714285714285712</v>
      </c>
      <c r="E125" s="71">
        <v>2.5714285714285712</v>
      </c>
      <c r="F125" s="71">
        <v>2.5714285714285712</v>
      </c>
      <c r="G125" s="71">
        <v>2.5714285714285712</v>
      </c>
    </row>
    <row r="126" spans="2:7">
      <c r="B126" s="14" t="str">
        <f t="shared" si="1"/>
        <v>GRMS 02509</v>
      </c>
      <c r="C126" s="71">
        <v>2.5714285714285712</v>
      </c>
      <c r="D126" s="71">
        <v>2.5714285714285712</v>
      </c>
      <c r="E126" s="71">
        <v>2.5714285714285712</v>
      </c>
      <c r="F126" s="71">
        <v>2.5714285714285712</v>
      </c>
      <c r="G126" s="71">
        <v>2.5714285714285712</v>
      </c>
    </row>
    <row r="127" spans="2:7">
      <c r="B127" s="14" t="str">
        <f t="shared" si="1"/>
        <v>GRMS 02519</v>
      </c>
      <c r="C127" s="71">
        <v>2.5714285714285712</v>
      </c>
      <c r="D127" s="71">
        <v>2.5714285714285712</v>
      </c>
      <c r="E127" s="71">
        <v>2.5714285714285712</v>
      </c>
      <c r="F127" s="71">
        <v>2.5714285714285712</v>
      </c>
      <c r="G127" s="71">
        <v>2.5714285714285712</v>
      </c>
    </row>
    <row r="128" spans="2:7">
      <c r="B128" s="14" t="str">
        <f t="shared" si="1"/>
        <v>GRMS 02539</v>
      </c>
      <c r="C128" s="71">
        <v>2.5714285714285712</v>
      </c>
      <c r="D128" s="71">
        <v>2.5714285714285712</v>
      </c>
      <c r="E128" s="71">
        <v>2.5714285714285712</v>
      </c>
      <c r="F128" s="71">
        <v>2.5714285714285712</v>
      </c>
      <c r="G128" s="71">
        <v>2.5714285714285712</v>
      </c>
    </row>
    <row r="129" spans="2:7">
      <c r="B129" s="14" t="str">
        <f t="shared" si="1"/>
        <v>GRMS 02549</v>
      </c>
      <c r="C129" s="71">
        <v>2.5714285714285712</v>
      </c>
      <c r="D129" s="71">
        <v>2.5714285714285712</v>
      </c>
      <c r="E129" s="71">
        <v>2.5714285714285712</v>
      </c>
      <c r="F129" s="71">
        <v>2.5714285714285712</v>
      </c>
      <c r="G129" s="71">
        <v>2.5714285714285712</v>
      </c>
    </row>
    <row r="130" spans="2:7">
      <c r="B130" s="14" t="str">
        <f t="shared" si="1"/>
        <v>GRMS 02559</v>
      </c>
      <c r="C130" s="71">
        <v>2.5714285714285712</v>
      </c>
      <c r="D130" s="71">
        <v>2.5714285714285712</v>
      </c>
      <c r="E130" s="71">
        <v>2.5714285714285712</v>
      </c>
      <c r="F130" s="71">
        <v>2.5714285714285712</v>
      </c>
      <c r="G130" s="71">
        <v>2.5714285714285712</v>
      </c>
    </row>
    <row r="131" spans="2:7">
      <c r="B131" s="14" t="str">
        <f t="shared" si="1"/>
        <v>GRMS 02569</v>
      </c>
      <c r="C131" s="71">
        <v>2.5714285714285712</v>
      </c>
      <c r="D131" s="71">
        <v>2.5714285714285712</v>
      </c>
      <c r="E131" s="71">
        <v>2.5714285714285712</v>
      </c>
      <c r="F131" s="71">
        <v>2.5714285714285712</v>
      </c>
      <c r="G131" s="71">
        <v>2.5714285714285712</v>
      </c>
    </row>
    <row r="132" spans="2:7">
      <c r="B132" s="14" t="str">
        <f t="shared" si="1"/>
        <v>GRMS 02709</v>
      </c>
      <c r="C132" s="71">
        <v>2.5714285714285712</v>
      </c>
      <c r="D132" s="71">
        <v>2.5714285714285712</v>
      </c>
      <c r="E132" s="71">
        <v>2.5714285714285712</v>
      </c>
      <c r="F132" s="71">
        <v>2.5714285714285712</v>
      </c>
      <c r="G132" s="71">
        <v>2.5714285714285712</v>
      </c>
    </row>
    <row r="133" spans="2:7">
      <c r="B133" s="14" t="str">
        <f t="shared" si="1"/>
        <v>GRMS 02719</v>
      </c>
      <c r="C133" s="71">
        <v>2.5714285714285712</v>
      </c>
      <c r="D133" s="71">
        <v>2.5714285714285712</v>
      </c>
      <c r="E133" s="71">
        <v>2.5714285714285712</v>
      </c>
      <c r="F133" s="71">
        <v>2.5714285714285712</v>
      </c>
      <c r="G133" s="71">
        <v>2.5714285714285712</v>
      </c>
    </row>
    <row r="134" spans="2:7">
      <c r="B134" s="14" t="str">
        <f t="shared" si="1"/>
        <v>GRMS 02739</v>
      </c>
      <c r="C134" s="71">
        <v>2.5714285714285712</v>
      </c>
      <c r="D134" s="71">
        <v>2.5714285714285712</v>
      </c>
      <c r="E134" s="71">
        <v>2.5714285714285712</v>
      </c>
      <c r="F134" s="71">
        <v>2.5714285714285712</v>
      </c>
      <c r="G134" s="71">
        <v>2.5714285714285712</v>
      </c>
    </row>
    <row r="135" spans="2:7">
      <c r="B135" s="14" t="str">
        <f t="shared" si="1"/>
        <v>GRMS 03009</v>
      </c>
      <c r="C135" s="71">
        <v>2.5714285714285712</v>
      </c>
      <c r="D135" s="71">
        <v>2.5714285714285712</v>
      </c>
      <c r="E135" s="71">
        <v>2.5714285714285712</v>
      </c>
      <c r="F135" s="71">
        <v>2.5714285714285712</v>
      </c>
      <c r="G135" s="71">
        <v>2.5714285714285712</v>
      </c>
    </row>
    <row r="136" spans="2:7">
      <c r="B136" s="14" t="str">
        <f t="shared" si="1"/>
        <v>GRMS 03059</v>
      </c>
      <c r="C136" s="71">
        <v>2.5714285714285712</v>
      </c>
      <c r="D136" s="71">
        <v>2.5714285714285712</v>
      </c>
      <c r="E136" s="71">
        <v>2.5714285714285712</v>
      </c>
      <c r="F136" s="71">
        <v>2.5714285714285712</v>
      </c>
      <c r="G136" s="71">
        <v>2.5714285714285712</v>
      </c>
    </row>
    <row r="137" spans="2:7">
      <c r="B137" s="14" t="str">
        <f t="shared" si="1"/>
        <v>GRMS 03069</v>
      </c>
      <c r="C137" s="71">
        <v>2.5714285714285712</v>
      </c>
      <c r="D137" s="71">
        <v>2.5714285714285712</v>
      </c>
      <c r="E137" s="71">
        <v>2.5714285714285712</v>
      </c>
      <c r="F137" s="71">
        <v>2.5714285714285712</v>
      </c>
      <c r="G137" s="71">
        <v>2.5714285714285712</v>
      </c>
    </row>
    <row r="138" spans="2:7">
      <c r="B138" s="14" t="str">
        <f t="shared" si="1"/>
        <v>GRMS 03109</v>
      </c>
      <c r="C138" s="71">
        <v>2.5714285714285712</v>
      </c>
      <c r="D138" s="71">
        <v>2.5714285714285712</v>
      </c>
      <c r="E138" s="71">
        <v>2.5714285714285712</v>
      </c>
      <c r="F138" s="71">
        <v>2.5714285714285712</v>
      </c>
      <c r="G138" s="71">
        <v>2.5714285714285712</v>
      </c>
    </row>
    <row r="139" spans="2:7">
      <c r="B139" s="14" t="str">
        <f t="shared" si="1"/>
        <v>GRMS 03169</v>
      </c>
      <c r="C139" s="71">
        <v>2.5714285714285712</v>
      </c>
      <c r="D139" s="71">
        <v>2.5714285714285712</v>
      </c>
      <c r="E139" s="71">
        <v>2.5714285714285712</v>
      </c>
      <c r="F139" s="71">
        <v>2.5714285714285712</v>
      </c>
      <c r="G139" s="71">
        <v>2.5714285714285712</v>
      </c>
    </row>
    <row r="140" spans="2:7">
      <c r="B140" s="14" t="str">
        <f t="shared" si="1"/>
        <v>GRMS 03219</v>
      </c>
      <c r="C140" s="71">
        <v>2.5714285714285712</v>
      </c>
      <c r="D140" s="71">
        <v>2.5714285714285712</v>
      </c>
      <c r="E140" s="71">
        <v>2.5714285714285712</v>
      </c>
      <c r="F140" s="71">
        <v>2.5714285714285712</v>
      </c>
      <c r="G140" s="71">
        <v>2.5714285714285712</v>
      </c>
    </row>
    <row r="141" spans="2:7">
      <c r="B141" s="14" t="str">
        <f t="shared" si="1"/>
        <v>GRMS 03229</v>
      </c>
      <c r="C141" s="71">
        <v>2.5714285714285712</v>
      </c>
      <c r="D141" s="71">
        <v>2.5714285714285712</v>
      </c>
      <c r="E141" s="71">
        <v>2.5714285714285712</v>
      </c>
      <c r="F141" s="71">
        <v>2.5714285714285712</v>
      </c>
      <c r="G141" s="71">
        <v>2.5714285714285712</v>
      </c>
    </row>
    <row r="142" spans="2:7">
      <c r="B142" s="14" t="str">
        <f t="shared" si="1"/>
        <v>GRMS 03259</v>
      </c>
      <c r="C142" s="71">
        <v>2.5714285714285712</v>
      </c>
      <c r="D142" s="71">
        <v>2.5714285714285712</v>
      </c>
      <c r="E142" s="71">
        <v>2.5714285714285712</v>
      </c>
      <c r="F142" s="71">
        <v>2.5714285714285712</v>
      </c>
      <c r="G142" s="71">
        <v>2.5714285714285712</v>
      </c>
    </row>
    <row r="143" spans="2:7">
      <c r="B143" s="14" t="str">
        <f t="shared" si="1"/>
        <v>GRMS 03269</v>
      </c>
      <c r="C143" s="71">
        <v>2.5714285714285712</v>
      </c>
      <c r="D143" s="71">
        <v>2.5714285714285712</v>
      </c>
      <c r="E143" s="71">
        <v>2.5714285714285712</v>
      </c>
      <c r="F143" s="71">
        <v>2.5714285714285712</v>
      </c>
      <c r="G143" s="71">
        <v>2.5714285714285712</v>
      </c>
    </row>
    <row r="144" spans="2:7">
      <c r="B144" s="14" t="str">
        <f t="shared" si="1"/>
        <v>GRMS 03309</v>
      </c>
      <c r="C144" s="71">
        <v>2.5714285714285712</v>
      </c>
      <c r="D144" s="71">
        <v>2.5714285714285712</v>
      </c>
      <c r="E144" s="71">
        <v>2.5714285714285712</v>
      </c>
      <c r="F144" s="71">
        <v>2.5714285714285712</v>
      </c>
      <c r="G144" s="71">
        <v>2.5714285714285712</v>
      </c>
    </row>
    <row r="145" spans="2:7">
      <c r="B145" s="14" t="str">
        <f t="shared" si="1"/>
        <v>GRMS 03359</v>
      </c>
      <c r="C145" s="71">
        <v>2.5714285714285712</v>
      </c>
      <c r="D145" s="71">
        <v>2.5714285714285712</v>
      </c>
      <c r="E145" s="71">
        <v>2.5714285714285712</v>
      </c>
      <c r="F145" s="71">
        <v>2.5714285714285712</v>
      </c>
      <c r="G145" s="71">
        <v>2.5714285714285712</v>
      </c>
    </row>
    <row r="146" spans="2:7">
      <c r="B146" s="14" t="str">
        <f t="shared" si="1"/>
        <v>GRMS 03369</v>
      </c>
      <c r="C146" s="71">
        <v>2.5714285714285712</v>
      </c>
      <c r="D146" s="71">
        <v>2.5714285714285712</v>
      </c>
      <c r="E146" s="71">
        <v>2.5714285714285712</v>
      </c>
      <c r="F146" s="71">
        <v>2.5714285714285712</v>
      </c>
      <c r="G146" s="71">
        <v>2.5714285714285712</v>
      </c>
    </row>
    <row r="147" spans="2:7">
      <c r="B147" s="14" t="str">
        <f t="shared" si="1"/>
        <v>GRMS 03459</v>
      </c>
      <c r="C147" s="71">
        <v>2.5714285714285712</v>
      </c>
      <c r="D147" s="71">
        <v>2.5714285714285712</v>
      </c>
      <c r="E147" s="71">
        <v>2.5714285714285712</v>
      </c>
      <c r="F147" s="71">
        <v>2.5714285714285712</v>
      </c>
      <c r="G147" s="71">
        <v>2.5714285714285712</v>
      </c>
    </row>
    <row r="148" spans="2:7">
      <c r="B148" s="14" t="str">
        <f t="shared" si="1"/>
        <v>GRMS 03559</v>
      </c>
      <c r="C148" s="71">
        <v>2.5714285714285712</v>
      </c>
      <c r="D148" s="71">
        <v>2.5714285714285712</v>
      </c>
      <c r="E148" s="71">
        <v>2.5714285714285712</v>
      </c>
      <c r="F148" s="71">
        <v>2.5714285714285712</v>
      </c>
      <c r="G148" s="71">
        <v>2.5714285714285712</v>
      </c>
    </row>
    <row r="149" spans="2:7">
      <c r="B149" s="14" t="str">
        <f t="shared" si="1"/>
        <v>GRMS 03609</v>
      </c>
      <c r="C149" s="71">
        <v>2.5714285714285712</v>
      </c>
      <c r="D149" s="71">
        <v>2.5714285714285712</v>
      </c>
      <c r="E149" s="71">
        <v>2.5714285714285712</v>
      </c>
      <c r="F149" s="71">
        <v>2.5714285714285712</v>
      </c>
      <c r="G149" s="71">
        <v>2.5714285714285712</v>
      </c>
    </row>
    <row r="150" spans="2:7">
      <c r="B150" s="14" t="str">
        <f t="shared" si="1"/>
        <v>GRMS 03619</v>
      </c>
      <c r="C150" s="71">
        <v>2.5714285714285712</v>
      </c>
      <c r="D150" s="71">
        <v>2.5714285714285712</v>
      </c>
      <c r="E150" s="71">
        <v>2.5714285714285712</v>
      </c>
      <c r="F150" s="71">
        <v>2.5714285714285712</v>
      </c>
      <c r="G150" s="71">
        <v>2.5714285714285712</v>
      </c>
    </row>
    <row r="151" spans="2:7">
      <c r="B151" s="14" t="str">
        <f t="shared" si="1"/>
        <v>GRMS 03659</v>
      </c>
      <c r="C151" s="71">
        <v>2.5714285714285712</v>
      </c>
      <c r="D151" s="71">
        <v>2.5714285714285712</v>
      </c>
      <c r="E151" s="71">
        <v>2.5714285714285712</v>
      </c>
      <c r="F151" s="71">
        <v>2.5714285714285712</v>
      </c>
      <c r="G151" s="71">
        <v>2.5714285714285712</v>
      </c>
    </row>
    <row r="152" spans="2:7">
      <c r="B152" s="14" t="str">
        <f t="shared" si="1"/>
        <v>GRMS 04059</v>
      </c>
      <c r="C152" s="71">
        <v>2.5714285714285712</v>
      </c>
      <c r="D152" s="71">
        <v>2.5714285714285712</v>
      </c>
      <c r="E152" s="71">
        <v>2.5714285714285712</v>
      </c>
      <c r="F152" s="71">
        <v>2.5714285714285712</v>
      </c>
      <c r="G152" s="71">
        <v>2.5714285714285712</v>
      </c>
    </row>
    <row r="153" spans="2:7">
      <c r="B153" s="14" t="str">
        <f t="shared" si="1"/>
        <v>GRMS 04109</v>
      </c>
      <c r="C153" s="71">
        <v>2.5714285714285712</v>
      </c>
      <c r="D153" s="71">
        <v>2.5714285714285712</v>
      </c>
      <c r="E153" s="71">
        <v>2.5714285714285712</v>
      </c>
      <c r="F153" s="71">
        <v>2.5714285714285712</v>
      </c>
      <c r="G153" s="71">
        <v>2.5714285714285712</v>
      </c>
    </row>
    <row r="154" spans="2:7">
      <c r="B154" s="14" t="str">
        <f t="shared" si="1"/>
        <v>GRMS 04149</v>
      </c>
      <c r="C154" s="71">
        <v>2.5714285714285712</v>
      </c>
      <c r="D154" s="71">
        <v>2.5714285714285712</v>
      </c>
      <c r="E154" s="71">
        <v>2.5714285714285712</v>
      </c>
      <c r="F154" s="71">
        <v>2.5714285714285712</v>
      </c>
      <c r="G154" s="71">
        <v>2.5714285714285712</v>
      </c>
    </row>
    <row r="155" spans="2:7">
      <c r="B155" s="14" t="str">
        <f t="shared" si="1"/>
        <v>GRMS 04159</v>
      </c>
      <c r="C155" s="71">
        <v>2.5714285714285712</v>
      </c>
      <c r="D155" s="71">
        <v>2.5714285714285712</v>
      </c>
      <c r="E155" s="71">
        <v>2.5714285714285712</v>
      </c>
      <c r="F155" s="71">
        <v>2.5714285714285712</v>
      </c>
      <c r="G155" s="71">
        <v>2.5714285714285712</v>
      </c>
    </row>
    <row r="156" spans="2:7">
      <c r="B156" s="14" t="str">
        <f t="shared" si="1"/>
        <v>GRMS 04209</v>
      </c>
      <c r="C156" s="71">
        <v>2.5714285714285712</v>
      </c>
      <c r="D156" s="71">
        <v>2.5714285714285712</v>
      </c>
      <c r="E156" s="71">
        <v>2.5714285714285712</v>
      </c>
      <c r="F156" s="71">
        <v>2.5714285714285712</v>
      </c>
      <c r="G156" s="71">
        <v>2.5714285714285712</v>
      </c>
    </row>
    <row r="157" spans="2:7">
      <c r="B157" s="14" t="str">
        <f t="shared" si="1"/>
        <v>GRMS 05009</v>
      </c>
      <c r="C157" s="71">
        <v>2.5714285714285712</v>
      </c>
      <c r="D157" s="71">
        <v>2.5714285714285712</v>
      </c>
      <c r="E157" s="71">
        <v>2.5714285714285712</v>
      </c>
      <c r="F157" s="71">
        <v>2.5714285714285712</v>
      </c>
      <c r="G157" s="71">
        <v>2.5714285714285712</v>
      </c>
    </row>
    <row r="158" spans="2:7">
      <c r="B158" s="14" t="str">
        <f t="shared" si="1"/>
        <v>GRMS 05119</v>
      </c>
      <c r="C158" s="71">
        <v>2.5714285714285712</v>
      </c>
      <c r="D158" s="71">
        <v>2.5714285714285712</v>
      </c>
      <c r="E158" s="71">
        <v>2.5714285714285712</v>
      </c>
      <c r="F158" s="71">
        <v>2.5714285714285712</v>
      </c>
      <c r="G158" s="71">
        <v>2.5714285714285712</v>
      </c>
    </row>
    <row r="159" spans="2:7">
      <c r="B159" s="14" t="str">
        <f t="shared" si="1"/>
        <v>GRMS 05179</v>
      </c>
      <c r="C159" s="71">
        <v>2.5714285714285712</v>
      </c>
      <c r="D159" s="71">
        <v>2.5714285714285712</v>
      </c>
      <c r="E159" s="71">
        <v>2.5714285714285712</v>
      </c>
      <c r="F159" s="71">
        <v>2.5714285714285712</v>
      </c>
      <c r="G159" s="71">
        <v>2.5714285714285712</v>
      </c>
    </row>
    <row r="160" spans="2:7">
      <c r="B160" s="14" t="str">
        <f t="shared" si="1"/>
        <v>GRMS 05309</v>
      </c>
      <c r="C160" s="71">
        <v>2.5714285714285712</v>
      </c>
      <c r="D160" s="71">
        <v>2.5714285714285712</v>
      </c>
      <c r="E160" s="71">
        <v>2.5714285714285712</v>
      </c>
      <c r="F160" s="71">
        <v>2.5714285714285712</v>
      </c>
      <c r="G160" s="71">
        <v>2.5714285714285712</v>
      </c>
    </row>
    <row r="161" spans="2:7">
      <c r="B161" s="14" t="str">
        <f t="shared" si="1"/>
        <v>GRMS 05609</v>
      </c>
      <c r="C161" s="71">
        <v>2.5714285714285712</v>
      </c>
      <c r="D161" s="71">
        <v>2.5714285714285712</v>
      </c>
      <c r="E161" s="71">
        <v>2.5714285714285712</v>
      </c>
      <c r="F161" s="71">
        <v>2.5714285714285712</v>
      </c>
      <c r="G161" s="71">
        <v>2.5714285714285712</v>
      </c>
    </row>
    <row r="162" spans="2:7">
      <c r="B162" s="14" t="str">
        <f t="shared" si="1"/>
        <v>GRMS 07009</v>
      </c>
      <c r="C162" s="71">
        <v>2.5714285714285712</v>
      </c>
      <c r="D162" s="71">
        <v>2.5714285714285712</v>
      </c>
      <c r="E162" s="71">
        <v>2.5714285714285712</v>
      </c>
      <c r="F162" s="71">
        <v>2.5714285714285712</v>
      </c>
      <c r="G162" s="71">
        <v>2.5714285714285712</v>
      </c>
    </row>
    <row r="163" spans="2:7">
      <c r="B163" s="14" t="str">
        <f t="shared" ref="B163:B186" si="2">B70</f>
        <v>GRMS 08009</v>
      </c>
      <c r="C163" s="71">
        <v>2.5714285714285712</v>
      </c>
      <c r="D163" s="71">
        <v>2.5714285714285712</v>
      </c>
      <c r="E163" s="71">
        <v>2.5714285714285712</v>
      </c>
      <c r="F163" s="71">
        <v>2.5714285714285712</v>
      </c>
      <c r="G163" s="71">
        <v>2.5714285714285712</v>
      </c>
    </row>
    <row r="164" spans="2:7">
      <c r="B164" s="14" t="str">
        <f t="shared" si="2"/>
        <v>GRMS 08109</v>
      </c>
      <c r="C164" s="71">
        <v>2.5714285714285712</v>
      </c>
      <c r="D164" s="71">
        <v>2.5714285714285712</v>
      </c>
      <c r="E164" s="71">
        <v>2.5714285714285712</v>
      </c>
      <c r="F164" s="71">
        <v>2.5714285714285712</v>
      </c>
      <c r="G164" s="71">
        <v>2.5714285714285712</v>
      </c>
    </row>
    <row r="165" spans="2:7">
      <c r="B165" s="14" t="str">
        <f t="shared" si="2"/>
        <v>GRMS 08119</v>
      </c>
      <c r="C165" s="71">
        <v>2.5714285714285712</v>
      </c>
      <c r="D165" s="71">
        <v>2.5714285714285712</v>
      </c>
      <c r="E165" s="71">
        <v>2.5714285714285712</v>
      </c>
      <c r="F165" s="71">
        <v>2.5714285714285712</v>
      </c>
      <c r="G165" s="71">
        <v>2.5714285714285712</v>
      </c>
    </row>
    <row r="166" spans="2:7">
      <c r="B166" s="14" t="str">
        <f t="shared" si="2"/>
        <v>GRMS 08209</v>
      </c>
      <c r="C166" s="71">
        <v>2.5714285714285712</v>
      </c>
      <c r="D166" s="71">
        <v>2.5714285714285712</v>
      </c>
      <c r="E166" s="71">
        <v>2.5714285714285712</v>
      </c>
      <c r="F166" s="71">
        <v>2.5714285714285712</v>
      </c>
      <c r="G166" s="71">
        <v>2.5714285714285712</v>
      </c>
    </row>
    <row r="167" spans="2:7">
      <c r="B167" s="14" t="str">
        <f t="shared" si="2"/>
        <v>GRMS 08309</v>
      </c>
      <c r="C167" s="71">
        <v>2.5714285714285712</v>
      </c>
      <c r="D167" s="71">
        <v>2.5714285714285712</v>
      </c>
      <c r="E167" s="71">
        <v>2.5714285714285712</v>
      </c>
      <c r="F167" s="71">
        <v>2.5714285714285712</v>
      </c>
      <c r="G167" s="71">
        <v>2.5714285714285712</v>
      </c>
    </row>
    <row r="168" spans="2:7">
      <c r="B168" s="14" t="str">
        <f t="shared" si="2"/>
        <v>GRMS 08409</v>
      </c>
      <c r="C168" s="71">
        <v>2.5714285714285712</v>
      </c>
      <c r="D168" s="71">
        <v>2.5714285714285712</v>
      </c>
      <c r="E168" s="71">
        <v>2.5714285714285712</v>
      </c>
      <c r="F168" s="71">
        <v>2.5714285714285712</v>
      </c>
      <c r="G168" s="71">
        <v>2.5714285714285712</v>
      </c>
    </row>
    <row r="169" spans="2:7">
      <c r="B169" s="14" t="str">
        <f t="shared" si="2"/>
        <v>GRMS 08559</v>
      </c>
      <c r="C169" s="71">
        <v>2.5714285714285712</v>
      </c>
      <c r="D169" s="71">
        <v>2.5714285714285712</v>
      </c>
      <c r="E169" s="71">
        <v>2.5714285714285712</v>
      </c>
      <c r="F169" s="71">
        <v>2.5714285714285712</v>
      </c>
      <c r="G169" s="71">
        <v>2.5714285714285712</v>
      </c>
    </row>
    <row r="170" spans="2:7">
      <c r="B170" s="14" t="str">
        <f t="shared" si="2"/>
        <v>GRMS 10079</v>
      </c>
      <c r="C170" s="71">
        <v>2.5714285714285712</v>
      </c>
      <c r="D170" s="71">
        <v>2.5714285714285712</v>
      </c>
      <c r="E170" s="71">
        <v>2.5714285714285712</v>
      </c>
      <c r="F170" s="71">
        <v>2.5714285714285712</v>
      </c>
      <c r="G170" s="71">
        <v>2.5714285714285712</v>
      </c>
    </row>
    <row r="171" spans="2:7">
      <c r="B171" s="14" t="str">
        <f t="shared" si="2"/>
        <v>GRMS 10159</v>
      </c>
      <c r="C171" s="71">
        <v>2.5714285714285712</v>
      </c>
      <c r="D171" s="71">
        <v>2.5714285714285712</v>
      </c>
      <c r="E171" s="71">
        <v>2.5714285714285712</v>
      </c>
      <c r="F171" s="71">
        <v>2.5714285714285712</v>
      </c>
      <c r="G171" s="71">
        <v>2.5714285714285712</v>
      </c>
    </row>
    <row r="172" spans="2:7">
      <c r="B172" s="14" t="str">
        <f t="shared" si="2"/>
        <v>GRMS 10209</v>
      </c>
      <c r="C172" s="71">
        <v>2.5714285714285712</v>
      </c>
      <c r="D172" s="71">
        <v>2.5714285714285712</v>
      </c>
      <c r="E172" s="71">
        <v>2.5714285714285712</v>
      </c>
      <c r="F172" s="71">
        <v>2.5714285714285712</v>
      </c>
      <c r="G172" s="71">
        <v>2.5714285714285712</v>
      </c>
    </row>
    <row r="173" spans="2:7">
      <c r="B173" s="14" t="str">
        <f t="shared" si="2"/>
        <v>GRMS 10309</v>
      </c>
      <c r="C173" s="71">
        <v>2.5714285714285712</v>
      </c>
      <c r="D173" s="71">
        <v>2.5714285714285712</v>
      </c>
      <c r="E173" s="71">
        <v>2.5714285714285712</v>
      </c>
      <c r="F173" s="71">
        <v>2.5714285714285712</v>
      </c>
      <c r="G173" s="71">
        <v>2.5714285714285712</v>
      </c>
    </row>
    <row r="174" spans="2:7">
      <c r="B174" s="14" t="str">
        <f t="shared" si="2"/>
        <v>GRMS 10359</v>
      </c>
      <c r="C174" s="71">
        <v>2.5714285714285712</v>
      </c>
      <c r="D174" s="71">
        <v>2.5714285714285712</v>
      </c>
      <c r="E174" s="71">
        <v>2.5714285714285712</v>
      </c>
      <c r="F174" s="71">
        <v>2.5714285714285712</v>
      </c>
      <c r="G174" s="71">
        <v>2.5714285714285712</v>
      </c>
    </row>
    <row r="175" spans="2:7">
      <c r="B175" s="14" t="str">
        <f t="shared" si="2"/>
        <v>GRMS 10459</v>
      </c>
      <c r="C175" s="71">
        <v>2.5714285714285712</v>
      </c>
      <c r="D175" s="71">
        <v>2.5714285714285712</v>
      </c>
      <c r="E175" s="71">
        <v>2.5714285714285712</v>
      </c>
      <c r="F175" s="71">
        <v>2.5714285714285712</v>
      </c>
      <c r="G175" s="71">
        <v>2.5714285714285712</v>
      </c>
    </row>
    <row r="176" spans="2:7">
      <c r="B176" s="14" t="str">
        <f t="shared" si="2"/>
        <v>GRMS 11109</v>
      </c>
      <c r="C176" s="71">
        <v>2.5714285714285712</v>
      </c>
      <c r="D176" s="71">
        <v>2.5714285714285712</v>
      </c>
      <c r="E176" s="71">
        <v>2.5714285714285712</v>
      </c>
      <c r="F176" s="71">
        <v>2.5714285714285712</v>
      </c>
      <c r="G176" s="71">
        <v>2.5714285714285712</v>
      </c>
    </row>
    <row r="177" spans="2:7">
      <c r="B177" s="14" t="str">
        <f t="shared" si="2"/>
        <v>GRMS 11159</v>
      </c>
      <c r="C177" s="71">
        <v>2.5714285714285712</v>
      </c>
      <c r="D177" s="71">
        <v>2.5714285714285712</v>
      </c>
      <c r="E177" s="71">
        <v>2.5714285714285712</v>
      </c>
      <c r="F177" s="71">
        <v>2.5714285714285712</v>
      </c>
      <c r="G177" s="71">
        <v>2.5714285714285712</v>
      </c>
    </row>
    <row r="178" spans="2:7">
      <c r="B178" s="14" t="str">
        <f t="shared" si="2"/>
        <v>GRMS 11209</v>
      </c>
      <c r="C178" s="71">
        <v>2.5714285714285712</v>
      </c>
      <c r="D178" s="71">
        <v>2.5714285714285712</v>
      </c>
      <c r="E178" s="71">
        <v>2.5714285714285712</v>
      </c>
      <c r="F178" s="71">
        <v>2.5714285714285712</v>
      </c>
      <c r="G178" s="71">
        <v>2.5714285714285712</v>
      </c>
    </row>
    <row r="179" spans="2:7">
      <c r="B179" s="14" t="str">
        <f t="shared" si="2"/>
        <v>GRMS 11279</v>
      </c>
      <c r="C179" s="71">
        <v>2.5714285714285712</v>
      </c>
      <c r="D179" s="71">
        <v>2.5714285714285712</v>
      </c>
      <c r="E179" s="71">
        <v>2.5714285714285712</v>
      </c>
      <c r="F179" s="71">
        <v>2.5714285714285712</v>
      </c>
      <c r="G179" s="71">
        <v>2.5714285714285712</v>
      </c>
    </row>
    <row r="180" spans="2:7">
      <c r="B180" s="14" t="str">
        <f t="shared" si="2"/>
        <v>GRMS 11309</v>
      </c>
      <c r="C180" s="71">
        <v>2.5714285714285712</v>
      </c>
      <c r="D180" s="71">
        <v>2.5714285714285712</v>
      </c>
      <c r="E180" s="71">
        <v>2.5714285714285712</v>
      </c>
      <c r="F180" s="71">
        <v>2.5714285714285712</v>
      </c>
      <c r="G180" s="71">
        <v>2.5714285714285712</v>
      </c>
    </row>
    <row r="181" spans="2:7">
      <c r="B181" s="14" t="str">
        <f t="shared" si="2"/>
        <v>GRMS 12209</v>
      </c>
      <c r="C181" s="71">
        <v>2.5714285714285712</v>
      </c>
      <c r="D181" s="71">
        <v>2.5714285714285712</v>
      </c>
      <c r="E181" s="71">
        <v>2.5714285714285712</v>
      </c>
      <c r="F181" s="71">
        <v>2.5714285714285712</v>
      </c>
      <c r="G181" s="71">
        <v>2.5714285714285712</v>
      </c>
    </row>
    <row r="182" spans="2:7">
      <c r="B182" s="14" t="str">
        <f t="shared" si="2"/>
        <v>GRMS 12609</v>
      </c>
      <c r="C182" s="71">
        <v>2.5714285714285712</v>
      </c>
      <c r="D182" s="71">
        <v>2.5714285714285712</v>
      </c>
      <c r="E182" s="71">
        <v>2.5714285714285712</v>
      </c>
      <c r="F182" s="71">
        <v>2.5714285714285712</v>
      </c>
      <c r="G182" s="71">
        <v>2.5714285714285712</v>
      </c>
    </row>
    <row r="183" spans="2:7">
      <c r="B183" s="14" t="str">
        <f t="shared" si="2"/>
        <v>GRMS 12619</v>
      </c>
      <c r="C183" s="71">
        <v>2.5714285714285712</v>
      </c>
      <c r="D183" s="71">
        <v>2.5714285714285712</v>
      </c>
      <c r="E183" s="71">
        <v>2.5714285714285712</v>
      </c>
      <c r="F183" s="71">
        <v>2.5714285714285712</v>
      </c>
      <c r="G183" s="71">
        <v>2.5714285714285712</v>
      </c>
    </row>
    <row r="184" spans="2:7">
      <c r="B184" s="14" t="str">
        <f t="shared" si="2"/>
        <v>GRMS 12619B</v>
      </c>
      <c r="C184" s="71">
        <v>2.5714285714285712</v>
      </c>
      <c r="D184" s="71">
        <v>2.5714285714285712</v>
      </c>
      <c r="E184" s="71">
        <v>2.5714285714285712</v>
      </c>
      <c r="F184" s="71">
        <v>2.5714285714285712</v>
      </c>
      <c r="G184" s="71">
        <v>2.5714285714285712</v>
      </c>
    </row>
    <row r="185" spans="2:7">
      <c r="B185" s="14" t="str">
        <f t="shared" si="2"/>
        <v>GRMS 12629</v>
      </c>
      <c r="C185" s="71">
        <v>2.5714285714285712</v>
      </c>
      <c r="D185" s="71">
        <v>2.5714285714285712</v>
      </c>
      <c r="E185" s="71">
        <v>2.5714285714285712</v>
      </c>
      <c r="F185" s="71">
        <v>2.5714285714285712</v>
      </c>
      <c r="G185" s="71">
        <v>2.5714285714285712</v>
      </c>
    </row>
    <row r="186" spans="2:7">
      <c r="B186" s="14" t="str">
        <f t="shared" si="2"/>
        <v>GRMS 12809</v>
      </c>
      <c r="C186" s="71">
        <v>2.5714285714285712</v>
      </c>
      <c r="D186" s="71">
        <v>2.5714285714285712</v>
      </c>
      <c r="E186" s="71">
        <v>2.5714285714285712</v>
      </c>
      <c r="F186" s="71">
        <v>2.5714285714285712</v>
      </c>
      <c r="G186" s="71">
        <v>2.5714285714285712</v>
      </c>
    </row>
    <row r="189" spans="2:7">
      <c r="B189" s="2" t="str">
        <f>'Distance Matrix_Entry'!B21</f>
        <v>Distance, in km</v>
      </c>
      <c r="C189" s="41" t="s">
        <v>2</v>
      </c>
      <c r="D189" s="42"/>
      <c r="E189" s="42"/>
      <c r="F189" s="42"/>
      <c r="G189" s="44"/>
    </row>
    <row r="190" spans="2:7">
      <c r="B190" s="46" t="s">
        <v>1</v>
      </c>
      <c r="C190" s="14" t="str">
        <f t="shared" ref="C190:G190" si="3">C4</f>
        <v>CTS Campo Maior</v>
      </c>
      <c r="D190" s="14" t="str">
        <f t="shared" si="3"/>
        <v>CTS Valença do Minho</v>
      </c>
      <c r="E190" s="14" t="str">
        <f t="shared" si="3"/>
        <v>LNG Terminal Sines</v>
      </c>
      <c r="F190" s="14" t="str">
        <f t="shared" si="3"/>
        <v>Underground storage Carriço</v>
      </c>
      <c r="G190" s="14" t="str">
        <f t="shared" si="3"/>
        <v>Gas producers</v>
      </c>
    </row>
    <row r="191" spans="2:7">
      <c r="B191" s="14" t="str">
        <f>B5</f>
        <v>CTS Campo Maior</v>
      </c>
      <c r="C191" s="53">
        <f t="array" ref="C191:C279">TRANSPOSE('Distance Matrix_Entry'!C23:CM23)</f>
        <v>0</v>
      </c>
      <c r="D191" s="53">
        <f t="array" ref="D191:D279">TRANSPOSE('Distance Matrix_Entry'!C24:CM24)</f>
        <v>508.95100000000002</v>
      </c>
      <c r="E191" s="53">
        <f t="array" ref="E191:E279">TRANSPOSE('Distance Matrix_Entry'!C25:CM25)</f>
        <v>481.59199999999998</v>
      </c>
      <c r="F191" s="53">
        <f t="array" ref="F191:F279">TRANSPOSE('Distance Matrix_Entry'!C26:CM26)</f>
        <v>239.52199999999999</v>
      </c>
      <c r="G191" s="53">
        <f t="array" ref="G191:G279">TRANSPOSE('Distance Matrix_Entry'!C27:CM27)</f>
        <v>239.523</v>
      </c>
    </row>
    <row r="192" spans="2:7">
      <c r="B192" s="14" t="str">
        <f t="shared" ref="B192:B255" si="4">B6</f>
        <v>CTS Valença do Minho</v>
      </c>
      <c r="C192" s="53">
        <v>508.95100000000002</v>
      </c>
      <c r="D192" s="53">
        <v>0</v>
      </c>
      <c r="E192" s="53">
        <v>549.62099999999998</v>
      </c>
      <c r="F192" s="53">
        <v>307.55099999999999</v>
      </c>
      <c r="G192" s="53">
        <v>307.55200000000002</v>
      </c>
    </row>
    <row r="193" spans="2:7">
      <c r="B193" s="14" t="str">
        <f t="shared" si="4"/>
        <v>LNG Terminal Sines</v>
      </c>
      <c r="C193" s="53">
        <v>481.59199999999998</v>
      </c>
      <c r="D193" s="53">
        <v>549.62099999999998</v>
      </c>
      <c r="E193" s="53">
        <v>0</v>
      </c>
      <c r="F193" s="53">
        <v>280.19200000000001</v>
      </c>
      <c r="G193" s="53">
        <v>280.19299999999998</v>
      </c>
    </row>
    <row r="194" spans="2:7">
      <c r="B194" s="14" t="str">
        <f t="shared" si="4"/>
        <v>Underground storage Carriço</v>
      </c>
      <c r="C194" s="53">
        <v>239.52199999999999</v>
      </c>
      <c r="D194" s="53">
        <v>307.55099999999999</v>
      </c>
      <c r="E194" s="53">
        <v>280.19200000000001</v>
      </c>
      <c r="F194" s="53">
        <v>0</v>
      </c>
      <c r="G194" s="53">
        <v>9.9999999999989008E-4</v>
      </c>
    </row>
    <row r="195" spans="2:7">
      <c r="B195" s="14" t="str">
        <f t="shared" si="4"/>
        <v>GRMS 01059</v>
      </c>
      <c r="C195" s="53">
        <v>394.28100000000001</v>
      </c>
      <c r="D195" s="53">
        <v>462.31</v>
      </c>
      <c r="E195" s="53">
        <v>87.311000000000007</v>
      </c>
      <c r="F195" s="53">
        <v>192.881</v>
      </c>
      <c r="G195" s="53">
        <v>192.88200000000001</v>
      </c>
    </row>
    <row r="196" spans="2:7">
      <c r="B196" s="14" t="str">
        <f t="shared" si="4"/>
        <v>GRMS 01109</v>
      </c>
      <c r="C196" s="53">
        <v>407.28199999999998</v>
      </c>
      <c r="D196" s="53">
        <v>475.31099999999998</v>
      </c>
      <c r="E196" s="53">
        <v>113.492</v>
      </c>
      <c r="F196" s="53">
        <v>205.88200000000001</v>
      </c>
      <c r="G196" s="53">
        <v>205.88300000000001</v>
      </c>
    </row>
    <row r="197" spans="2:7">
      <c r="B197" s="14" t="str">
        <f t="shared" si="4"/>
        <v>GRMS 01119</v>
      </c>
      <c r="C197" s="53">
        <v>398.971</v>
      </c>
      <c r="D197" s="53">
        <v>467</v>
      </c>
      <c r="E197" s="53">
        <v>105.181</v>
      </c>
      <c r="F197" s="53">
        <v>197.571</v>
      </c>
      <c r="G197" s="53">
        <v>197.572</v>
      </c>
    </row>
    <row r="198" spans="2:7">
      <c r="B198" s="14" t="str">
        <f t="shared" si="4"/>
        <v>GRMS 01129</v>
      </c>
      <c r="C198" s="53">
        <v>407.28100000000001</v>
      </c>
      <c r="D198" s="53">
        <v>475.31</v>
      </c>
      <c r="E198" s="53">
        <v>113.491</v>
      </c>
      <c r="F198" s="53">
        <v>205.881</v>
      </c>
      <c r="G198" s="53">
        <v>205.88200000000001</v>
      </c>
    </row>
    <row r="199" spans="2:7">
      <c r="B199" s="14" t="str">
        <f t="shared" si="4"/>
        <v>GRMS 01139</v>
      </c>
      <c r="C199" s="53">
        <v>378.351</v>
      </c>
      <c r="D199" s="53">
        <v>446.38</v>
      </c>
      <c r="E199" s="53">
        <v>103.241</v>
      </c>
      <c r="F199" s="53">
        <v>176.95099999999999</v>
      </c>
      <c r="G199" s="53">
        <v>176.952</v>
      </c>
    </row>
    <row r="200" spans="2:7">
      <c r="B200" s="14" t="str">
        <f t="shared" si="4"/>
        <v>GRMS 01149</v>
      </c>
      <c r="C200" s="53">
        <v>365.96100000000001</v>
      </c>
      <c r="D200" s="53">
        <v>433.99</v>
      </c>
      <c r="E200" s="53">
        <v>115.631</v>
      </c>
      <c r="F200" s="53">
        <v>164.56100000000001</v>
      </c>
      <c r="G200" s="53">
        <v>164.56200000000001</v>
      </c>
    </row>
    <row r="201" spans="2:7">
      <c r="B201" s="14" t="str">
        <f t="shared" si="4"/>
        <v>GRMS 01159</v>
      </c>
      <c r="C201" s="53">
        <v>413.541</v>
      </c>
      <c r="D201" s="53">
        <v>481.57</v>
      </c>
      <c r="E201" s="53">
        <v>119.751</v>
      </c>
      <c r="F201" s="53">
        <v>212.14099999999999</v>
      </c>
      <c r="G201" s="53">
        <v>212.142</v>
      </c>
    </row>
    <row r="202" spans="2:7">
      <c r="B202" s="14" t="str">
        <f t="shared" si="4"/>
        <v>GRMS 01179</v>
      </c>
      <c r="C202" s="53">
        <v>349.26100000000002</v>
      </c>
      <c r="D202" s="53">
        <v>417.29</v>
      </c>
      <c r="E202" s="53">
        <v>132.33099999999999</v>
      </c>
      <c r="F202" s="53">
        <v>147.86099999999999</v>
      </c>
      <c r="G202" s="53">
        <v>147.86199999999999</v>
      </c>
    </row>
    <row r="203" spans="2:7">
      <c r="B203" s="14" t="str">
        <f t="shared" si="4"/>
        <v>GRMS 01189</v>
      </c>
      <c r="C203" s="53">
        <v>336.80099999999999</v>
      </c>
      <c r="D203" s="53">
        <v>404.83</v>
      </c>
      <c r="E203" s="53">
        <v>144.791</v>
      </c>
      <c r="F203" s="53">
        <v>135.40100000000001</v>
      </c>
      <c r="G203" s="53">
        <v>135.40199999999999</v>
      </c>
    </row>
    <row r="204" spans="2:7">
      <c r="B204" s="14" t="str">
        <f t="shared" si="4"/>
        <v>GRMS 01209</v>
      </c>
      <c r="C204" s="53">
        <v>366.06200000000001</v>
      </c>
      <c r="D204" s="53">
        <v>434.09100000000001</v>
      </c>
      <c r="E204" s="53">
        <v>181.59200000000001</v>
      </c>
      <c r="F204" s="53">
        <v>164.66200000000001</v>
      </c>
      <c r="G204" s="53">
        <v>164.66300000000001</v>
      </c>
    </row>
    <row r="205" spans="2:7">
      <c r="B205" s="14" t="str">
        <f t="shared" si="4"/>
        <v>GRMS 01219</v>
      </c>
      <c r="C205" s="53">
        <v>333.17099999999999</v>
      </c>
      <c r="D205" s="53">
        <v>401.2</v>
      </c>
      <c r="E205" s="53">
        <v>148.70099999999999</v>
      </c>
      <c r="F205" s="53">
        <v>131.77099999999999</v>
      </c>
      <c r="G205" s="53">
        <v>131.77199999999999</v>
      </c>
    </row>
    <row r="206" spans="2:7">
      <c r="B206" s="14" t="str">
        <f t="shared" si="4"/>
        <v>GRMS 01229</v>
      </c>
      <c r="C206" s="53">
        <v>353.952</v>
      </c>
      <c r="D206" s="53">
        <v>421.98099999999999</v>
      </c>
      <c r="E206" s="53">
        <v>169.482</v>
      </c>
      <c r="F206" s="53">
        <v>152.55199999999999</v>
      </c>
      <c r="G206" s="53">
        <v>152.553</v>
      </c>
    </row>
    <row r="207" spans="2:7">
      <c r="B207" s="14" t="str">
        <f t="shared" si="4"/>
        <v>GRMS 01239</v>
      </c>
      <c r="C207" s="53">
        <v>360.72300000000001</v>
      </c>
      <c r="D207" s="53">
        <v>428.75200000000001</v>
      </c>
      <c r="E207" s="53">
        <v>176.25299999999999</v>
      </c>
      <c r="F207" s="53">
        <v>159.32300000000001</v>
      </c>
      <c r="G207" s="53">
        <v>159.32400000000001</v>
      </c>
    </row>
    <row r="208" spans="2:7">
      <c r="B208" s="14" t="str">
        <f t="shared" si="4"/>
        <v>GRMS 01259</v>
      </c>
      <c r="C208" s="53">
        <v>330.601</v>
      </c>
      <c r="D208" s="53">
        <v>398.63</v>
      </c>
      <c r="E208" s="53">
        <v>150.99100000000001</v>
      </c>
      <c r="F208" s="53">
        <v>129.20099999999999</v>
      </c>
      <c r="G208" s="53">
        <v>129.202</v>
      </c>
    </row>
    <row r="209" spans="2:7">
      <c r="B209" s="14" t="str">
        <f t="shared" si="4"/>
        <v>GRMS 01269</v>
      </c>
      <c r="C209" s="53">
        <v>333.17200000000003</v>
      </c>
      <c r="D209" s="53">
        <v>401.20100000000002</v>
      </c>
      <c r="E209" s="53">
        <v>148.702</v>
      </c>
      <c r="F209" s="53">
        <v>131.77199999999999</v>
      </c>
      <c r="G209" s="53">
        <v>131.773</v>
      </c>
    </row>
    <row r="210" spans="2:7">
      <c r="B210" s="14" t="str">
        <f t="shared" si="4"/>
        <v>GRMS 01279</v>
      </c>
      <c r="C210" s="53">
        <v>360.72199999999998</v>
      </c>
      <c r="D210" s="53">
        <v>428.75099999999998</v>
      </c>
      <c r="E210" s="53">
        <v>176.25200000000001</v>
      </c>
      <c r="F210" s="53">
        <v>159.322</v>
      </c>
      <c r="G210" s="53">
        <v>159.32300000000001</v>
      </c>
    </row>
    <row r="211" spans="2:7">
      <c r="B211" s="14" t="str">
        <f t="shared" si="4"/>
        <v>GRMS 01309</v>
      </c>
      <c r="C211" s="53">
        <v>328.39100000000002</v>
      </c>
      <c r="D211" s="53">
        <v>396.42</v>
      </c>
      <c r="E211" s="53">
        <v>176.06100000000001</v>
      </c>
      <c r="F211" s="53">
        <v>126.991</v>
      </c>
      <c r="G211" s="53">
        <v>126.992</v>
      </c>
    </row>
    <row r="212" spans="2:7">
      <c r="B212" s="14" t="str">
        <f t="shared" si="4"/>
        <v>GRMS 01319</v>
      </c>
      <c r="C212" s="53">
        <v>316.96100000000001</v>
      </c>
      <c r="D212" s="53">
        <v>384.99</v>
      </c>
      <c r="E212" s="53">
        <v>164.631</v>
      </c>
      <c r="F212" s="53">
        <v>115.56100000000001</v>
      </c>
      <c r="G212" s="53">
        <v>115.562</v>
      </c>
    </row>
    <row r="213" spans="2:7">
      <c r="B213" s="14" t="str">
        <f t="shared" si="4"/>
        <v>GRMS 01359</v>
      </c>
      <c r="C213" s="53">
        <v>340.69200000000001</v>
      </c>
      <c r="D213" s="53">
        <v>408.721</v>
      </c>
      <c r="E213" s="53">
        <v>188.36199999999999</v>
      </c>
      <c r="F213" s="53">
        <v>139.292</v>
      </c>
      <c r="G213" s="53">
        <v>139.29300000000001</v>
      </c>
    </row>
    <row r="214" spans="2:7">
      <c r="B214" s="14" t="str">
        <f t="shared" si="4"/>
        <v>GRMS 01369</v>
      </c>
      <c r="C214" s="53">
        <v>340.69099999999997</v>
      </c>
      <c r="D214" s="53">
        <v>408.72</v>
      </c>
      <c r="E214" s="53">
        <v>188.36099999999999</v>
      </c>
      <c r="F214" s="53">
        <v>139.291</v>
      </c>
      <c r="G214" s="53">
        <v>139.292</v>
      </c>
    </row>
    <row r="215" spans="2:7">
      <c r="B215" s="14" t="str">
        <f t="shared" si="4"/>
        <v>GRMS 01409</v>
      </c>
      <c r="C215" s="53">
        <v>292.36099999999999</v>
      </c>
      <c r="D215" s="53">
        <v>360.39</v>
      </c>
      <c r="E215" s="53">
        <v>189.23099999999999</v>
      </c>
      <c r="F215" s="53">
        <v>90.960999999999999</v>
      </c>
      <c r="G215" s="53">
        <v>90.962000000000003</v>
      </c>
    </row>
    <row r="216" spans="2:7">
      <c r="B216" s="14" t="str">
        <f t="shared" si="4"/>
        <v>GRMS 02069</v>
      </c>
      <c r="C216" s="53">
        <v>258.42099999999999</v>
      </c>
      <c r="D216" s="53">
        <v>326.45</v>
      </c>
      <c r="E216" s="53">
        <v>223.17099999999999</v>
      </c>
      <c r="F216" s="53">
        <v>57.021000000000001</v>
      </c>
      <c r="G216" s="53">
        <v>57.021999999999998</v>
      </c>
    </row>
    <row r="217" spans="2:7">
      <c r="B217" s="14" t="str">
        <f t="shared" si="4"/>
        <v>GRMS 02089</v>
      </c>
      <c r="C217" s="53">
        <v>245.74100000000001</v>
      </c>
      <c r="D217" s="53">
        <v>313.77</v>
      </c>
      <c r="E217" s="53">
        <v>235.851</v>
      </c>
      <c r="F217" s="53">
        <v>44.341000000000001</v>
      </c>
      <c r="G217" s="53">
        <v>44.341999999999999</v>
      </c>
    </row>
    <row r="218" spans="2:7">
      <c r="B218" s="14" t="str">
        <f t="shared" si="4"/>
        <v>GRMS 02159</v>
      </c>
      <c r="C218" s="53">
        <v>239.17099999999999</v>
      </c>
      <c r="D218" s="53">
        <v>307.2</v>
      </c>
      <c r="E218" s="53">
        <v>242.42099999999999</v>
      </c>
      <c r="F218" s="53">
        <v>37.771000000000001</v>
      </c>
      <c r="G218" s="53">
        <v>37.771999999999998</v>
      </c>
    </row>
    <row r="219" spans="2:7">
      <c r="B219" s="14" t="str">
        <f t="shared" si="4"/>
        <v>GRMS 02509</v>
      </c>
      <c r="C219" s="53">
        <v>239.52099999999999</v>
      </c>
      <c r="D219" s="53">
        <v>307.55</v>
      </c>
      <c r="E219" s="53">
        <v>280.19099999999997</v>
      </c>
      <c r="F219" s="53">
        <v>9.9999999999989008E-4</v>
      </c>
      <c r="G219" s="53">
        <v>1.9999999999997802E-3</v>
      </c>
    </row>
    <row r="220" spans="2:7">
      <c r="B220" s="14" t="str">
        <f t="shared" si="4"/>
        <v>GRMS 02519</v>
      </c>
      <c r="C220" s="53">
        <v>249.43100000000001</v>
      </c>
      <c r="D220" s="53">
        <v>317.45999999999998</v>
      </c>
      <c r="E220" s="53">
        <v>290.101</v>
      </c>
      <c r="F220" s="53">
        <v>9.9109999999999996</v>
      </c>
      <c r="G220" s="53">
        <v>9.9120000000000008</v>
      </c>
    </row>
    <row r="221" spans="2:7">
      <c r="B221" s="14" t="str">
        <f t="shared" si="4"/>
        <v>GRMS 02539</v>
      </c>
      <c r="C221" s="53">
        <v>249.541</v>
      </c>
      <c r="D221" s="53">
        <v>317.57</v>
      </c>
      <c r="E221" s="53">
        <v>290.21100000000001</v>
      </c>
      <c r="F221" s="53">
        <v>10.021000000000001</v>
      </c>
      <c r="G221" s="53">
        <v>10.022</v>
      </c>
    </row>
    <row r="222" spans="2:7">
      <c r="B222" s="14" t="str">
        <f t="shared" si="4"/>
        <v>GRMS 02549</v>
      </c>
      <c r="C222" s="53">
        <v>262.61099999999999</v>
      </c>
      <c r="D222" s="53">
        <v>330.64</v>
      </c>
      <c r="E222" s="53">
        <v>303.28100000000001</v>
      </c>
      <c r="F222" s="53">
        <v>23.091000000000001</v>
      </c>
      <c r="G222" s="53">
        <v>23.091999999999999</v>
      </c>
    </row>
    <row r="223" spans="2:7">
      <c r="B223" s="14" t="str">
        <f t="shared" si="4"/>
        <v>GRMS 02559</v>
      </c>
      <c r="C223" s="53">
        <v>229.70099999999999</v>
      </c>
      <c r="D223" s="53">
        <v>279.25</v>
      </c>
      <c r="E223" s="53">
        <v>270.37099999999998</v>
      </c>
      <c r="F223" s="53">
        <v>28.300999999999998</v>
      </c>
      <c r="G223" s="53">
        <v>28.302</v>
      </c>
    </row>
    <row r="224" spans="2:7">
      <c r="B224" s="14" t="str">
        <f t="shared" si="4"/>
        <v>GRMS 02569</v>
      </c>
      <c r="C224" s="53">
        <v>262.61200000000002</v>
      </c>
      <c r="D224" s="53">
        <v>330.64100000000002</v>
      </c>
      <c r="E224" s="53">
        <v>303.28199999999998</v>
      </c>
      <c r="F224" s="53">
        <v>23.091999999999999</v>
      </c>
      <c r="G224" s="53">
        <v>23.093</v>
      </c>
    </row>
    <row r="225" spans="2:7">
      <c r="B225" s="14" t="str">
        <f t="shared" si="4"/>
        <v>GRMS 02709</v>
      </c>
      <c r="C225" s="53">
        <v>252.971</v>
      </c>
      <c r="D225" s="53">
        <v>265.12</v>
      </c>
      <c r="E225" s="53">
        <v>293.64100000000002</v>
      </c>
      <c r="F225" s="53">
        <v>51.570999999999998</v>
      </c>
      <c r="G225" s="53">
        <v>51.572000000000003</v>
      </c>
    </row>
    <row r="226" spans="2:7">
      <c r="B226" s="14" t="str">
        <f t="shared" si="4"/>
        <v>GRMS 02719</v>
      </c>
      <c r="C226" s="53">
        <v>262.89100000000002</v>
      </c>
      <c r="D226" s="53">
        <v>275.04000000000002</v>
      </c>
      <c r="E226" s="53">
        <v>303.56099999999998</v>
      </c>
      <c r="F226" s="53">
        <v>61.491</v>
      </c>
      <c r="G226" s="53">
        <v>61.491999999999997</v>
      </c>
    </row>
    <row r="227" spans="2:7">
      <c r="B227" s="14" t="str">
        <f t="shared" si="4"/>
        <v>GRMS 02739</v>
      </c>
      <c r="C227" s="53">
        <v>258.80099999999999</v>
      </c>
      <c r="D227" s="53">
        <v>250.15</v>
      </c>
      <c r="E227" s="53">
        <v>299.471</v>
      </c>
      <c r="F227" s="53">
        <v>57.401000000000003</v>
      </c>
      <c r="G227" s="53">
        <v>57.402000000000001</v>
      </c>
    </row>
    <row r="228" spans="2:7">
      <c r="B228" s="14" t="str">
        <f t="shared" si="4"/>
        <v>GRMS 03009</v>
      </c>
      <c r="C228" s="53">
        <v>264.45100000000002</v>
      </c>
      <c r="D228" s="53">
        <v>244.5</v>
      </c>
      <c r="E228" s="53">
        <v>305.12099999999998</v>
      </c>
      <c r="F228" s="53">
        <v>63.051000000000002</v>
      </c>
      <c r="G228" s="53">
        <v>63.052</v>
      </c>
    </row>
    <row r="229" spans="2:7">
      <c r="B229" s="14" t="str">
        <f t="shared" si="4"/>
        <v>GRMS 03059</v>
      </c>
      <c r="C229" s="53">
        <v>278.11099999999999</v>
      </c>
      <c r="D229" s="53">
        <v>230.84</v>
      </c>
      <c r="E229" s="53">
        <v>318.78100000000001</v>
      </c>
      <c r="F229" s="53">
        <v>76.710999999999999</v>
      </c>
      <c r="G229" s="53">
        <v>76.712000000000003</v>
      </c>
    </row>
    <row r="230" spans="2:7">
      <c r="B230" s="14" t="str">
        <f t="shared" si="4"/>
        <v>GRMS 03069</v>
      </c>
      <c r="C230" s="53">
        <v>285.21100000000001</v>
      </c>
      <c r="D230" s="53">
        <v>223.74</v>
      </c>
      <c r="E230" s="53">
        <v>325.88099999999997</v>
      </c>
      <c r="F230" s="53">
        <v>83.811000000000007</v>
      </c>
      <c r="G230" s="53">
        <v>83.811999999999998</v>
      </c>
    </row>
    <row r="231" spans="2:7">
      <c r="B231" s="14" t="str">
        <f t="shared" si="4"/>
        <v>GRMS 03109</v>
      </c>
      <c r="C231" s="53">
        <v>290.05099999999999</v>
      </c>
      <c r="D231" s="53">
        <v>218.9</v>
      </c>
      <c r="E231" s="53">
        <v>330.721</v>
      </c>
      <c r="F231" s="53">
        <v>88.650999999999996</v>
      </c>
      <c r="G231" s="53">
        <v>88.652000000000001</v>
      </c>
    </row>
    <row r="232" spans="2:7">
      <c r="B232" s="14" t="str">
        <f t="shared" si="4"/>
        <v>GRMS 03169</v>
      </c>
      <c r="C232" s="53">
        <v>295.041</v>
      </c>
      <c r="D232" s="53">
        <v>213.91</v>
      </c>
      <c r="E232" s="53">
        <v>335.71100000000001</v>
      </c>
      <c r="F232" s="53">
        <v>93.641000000000005</v>
      </c>
      <c r="G232" s="53">
        <v>93.641999999999996</v>
      </c>
    </row>
    <row r="233" spans="2:7">
      <c r="B233" s="14" t="str">
        <f t="shared" si="4"/>
        <v>GRMS 03219</v>
      </c>
      <c r="C233" s="53">
        <v>311.37099999999998</v>
      </c>
      <c r="D233" s="53">
        <v>197.58</v>
      </c>
      <c r="E233" s="53">
        <v>352.041</v>
      </c>
      <c r="F233" s="53">
        <v>109.971</v>
      </c>
      <c r="G233" s="53">
        <v>109.97199999999999</v>
      </c>
    </row>
    <row r="234" spans="2:7">
      <c r="B234" s="14" t="str">
        <f t="shared" si="4"/>
        <v>GRMS 03229</v>
      </c>
      <c r="C234" s="53">
        <v>318.45100000000002</v>
      </c>
      <c r="D234" s="53">
        <v>190.5</v>
      </c>
      <c r="E234" s="53">
        <v>359.12099999999998</v>
      </c>
      <c r="F234" s="53">
        <v>117.051</v>
      </c>
      <c r="G234" s="53">
        <v>117.05200000000001</v>
      </c>
    </row>
    <row r="235" spans="2:7">
      <c r="B235" s="14" t="str">
        <f t="shared" si="4"/>
        <v>GRMS 03259</v>
      </c>
      <c r="C235" s="53">
        <v>331.27199999999999</v>
      </c>
      <c r="D235" s="53">
        <v>191.96100000000001</v>
      </c>
      <c r="E235" s="53">
        <v>371.94200000000001</v>
      </c>
      <c r="F235" s="53">
        <v>129.87200000000001</v>
      </c>
      <c r="G235" s="53">
        <v>129.87299999999999</v>
      </c>
    </row>
    <row r="236" spans="2:7">
      <c r="B236" s="14" t="str">
        <f t="shared" si="4"/>
        <v>GRMS 03269</v>
      </c>
      <c r="C236" s="53">
        <v>331.27100000000002</v>
      </c>
      <c r="D236" s="53">
        <v>191.96</v>
      </c>
      <c r="E236" s="53">
        <v>371.94099999999997</v>
      </c>
      <c r="F236" s="53">
        <v>129.87100000000001</v>
      </c>
      <c r="G236" s="53">
        <v>129.87200000000001</v>
      </c>
    </row>
    <row r="237" spans="2:7">
      <c r="B237" s="14" t="str">
        <f t="shared" si="4"/>
        <v>GRMS 03309</v>
      </c>
      <c r="C237" s="53">
        <v>335.791</v>
      </c>
      <c r="D237" s="53">
        <v>173.16</v>
      </c>
      <c r="E237" s="53">
        <v>376.46100000000001</v>
      </c>
      <c r="F237" s="53">
        <v>134.39099999999999</v>
      </c>
      <c r="G237" s="53">
        <v>134.392</v>
      </c>
    </row>
    <row r="238" spans="2:7">
      <c r="B238" s="14" t="str">
        <f t="shared" si="4"/>
        <v>GRMS 03359</v>
      </c>
      <c r="C238" s="53">
        <v>344.55200000000002</v>
      </c>
      <c r="D238" s="53">
        <v>164.40100000000001</v>
      </c>
      <c r="E238" s="53">
        <v>385.22199999999998</v>
      </c>
      <c r="F238" s="53">
        <v>143.15199999999999</v>
      </c>
      <c r="G238" s="53">
        <v>143.15299999999999</v>
      </c>
    </row>
    <row r="239" spans="2:7">
      <c r="B239" s="14" t="str">
        <f t="shared" si="4"/>
        <v>GRMS 03369</v>
      </c>
      <c r="C239" s="53">
        <v>344.55099999999999</v>
      </c>
      <c r="D239" s="53">
        <v>164.4</v>
      </c>
      <c r="E239" s="53">
        <v>385.221</v>
      </c>
      <c r="F239" s="53">
        <v>143.15100000000001</v>
      </c>
      <c r="G239" s="53">
        <v>143.15199999999999</v>
      </c>
    </row>
    <row r="240" spans="2:7">
      <c r="B240" s="14" t="str">
        <f t="shared" si="4"/>
        <v>GRMS 03459</v>
      </c>
      <c r="C240" s="53">
        <v>357.71100000000001</v>
      </c>
      <c r="D240" s="53">
        <v>151.24</v>
      </c>
      <c r="E240" s="53">
        <v>398.38099999999997</v>
      </c>
      <c r="F240" s="53">
        <v>156.31100000000001</v>
      </c>
      <c r="G240" s="53">
        <v>156.31200000000001</v>
      </c>
    </row>
    <row r="241" spans="2:7">
      <c r="B241" s="14" t="str">
        <f t="shared" si="4"/>
        <v>GRMS 03559</v>
      </c>
      <c r="C241" s="53">
        <v>375.27100000000002</v>
      </c>
      <c r="D241" s="53">
        <v>133.68</v>
      </c>
      <c r="E241" s="53">
        <v>415.94099999999997</v>
      </c>
      <c r="F241" s="53">
        <v>173.87100000000001</v>
      </c>
      <c r="G241" s="53">
        <v>173.87200000000001</v>
      </c>
    </row>
    <row r="242" spans="2:7">
      <c r="B242" s="14" t="str">
        <f t="shared" si="4"/>
        <v>GRMS 03609</v>
      </c>
      <c r="C242" s="53">
        <v>389.661</v>
      </c>
      <c r="D242" s="53">
        <v>136.16999999999999</v>
      </c>
      <c r="E242" s="53">
        <v>430.33100000000002</v>
      </c>
      <c r="F242" s="53">
        <v>188.261</v>
      </c>
      <c r="G242" s="53">
        <v>188.262</v>
      </c>
    </row>
    <row r="243" spans="2:7">
      <c r="B243" s="14" t="str">
        <f t="shared" si="4"/>
        <v>GRMS 03619</v>
      </c>
      <c r="C243" s="53">
        <v>386.92099999999999</v>
      </c>
      <c r="D243" s="53">
        <v>133.43</v>
      </c>
      <c r="E243" s="53">
        <v>427.59100000000001</v>
      </c>
      <c r="F243" s="53">
        <v>185.52099999999999</v>
      </c>
      <c r="G243" s="53">
        <v>185.52199999999999</v>
      </c>
    </row>
    <row r="244" spans="2:7">
      <c r="B244" s="14" t="str">
        <f t="shared" si="4"/>
        <v>GRMS 03659</v>
      </c>
      <c r="C244" s="53">
        <v>391.61099999999999</v>
      </c>
      <c r="D244" s="53">
        <v>131.36000000000001</v>
      </c>
      <c r="E244" s="53">
        <v>432.28100000000001</v>
      </c>
      <c r="F244" s="53">
        <v>190.21100000000001</v>
      </c>
      <c r="G244" s="53">
        <v>190.21199999999999</v>
      </c>
    </row>
    <row r="245" spans="2:7">
      <c r="B245" s="14" t="str">
        <f t="shared" si="4"/>
        <v>GRMS 04059</v>
      </c>
      <c r="C245" s="53">
        <v>397.971</v>
      </c>
      <c r="D245" s="53">
        <v>110.98</v>
      </c>
      <c r="E245" s="53">
        <v>438.64100000000002</v>
      </c>
      <c r="F245" s="53">
        <v>196.571</v>
      </c>
      <c r="G245" s="53">
        <v>196.572</v>
      </c>
    </row>
    <row r="246" spans="2:7">
      <c r="B246" s="14" t="str">
        <f t="shared" si="4"/>
        <v>GRMS 04109</v>
      </c>
      <c r="C246" s="53">
        <v>407.46100000000001</v>
      </c>
      <c r="D246" s="53">
        <v>101.49</v>
      </c>
      <c r="E246" s="53">
        <v>448.13099999999997</v>
      </c>
      <c r="F246" s="53">
        <v>206.06100000000001</v>
      </c>
      <c r="G246" s="53">
        <v>206.06200000000001</v>
      </c>
    </row>
    <row r="247" spans="2:7">
      <c r="B247" s="14" t="str">
        <f t="shared" si="4"/>
        <v>GRMS 04149</v>
      </c>
      <c r="C247" s="53">
        <v>438.77100000000002</v>
      </c>
      <c r="D247" s="53">
        <v>117.66</v>
      </c>
      <c r="E247" s="53">
        <v>479.44099999999997</v>
      </c>
      <c r="F247" s="53">
        <v>237.37100000000001</v>
      </c>
      <c r="G247" s="53">
        <v>237.37200000000001</v>
      </c>
    </row>
    <row r="248" spans="2:7">
      <c r="B248" s="14" t="str">
        <f t="shared" si="4"/>
        <v>GRMS 04159</v>
      </c>
      <c r="C248" s="53">
        <v>417.76100000000002</v>
      </c>
      <c r="D248" s="53">
        <v>91.19</v>
      </c>
      <c r="E248" s="53">
        <v>458.43099999999998</v>
      </c>
      <c r="F248" s="53">
        <v>216.36099999999999</v>
      </c>
      <c r="G248" s="53">
        <v>216.36199999999999</v>
      </c>
    </row>
    <row r="249" spans="2:7">
      <c r="B249" s="14" t="str">
        <f t="shared" si="4"/>
        <v>GRMS 04209</v>
      </c>
      <c r="C249" s="53">
        <v>426.851</v>
      </c>
      <c r="D249" s="53">
        <v>82.1</v>
      </c>
      <c r="E249" s="53">
        <v>467.52100000000002</v>
      </c>
      <c r="F249" s="53">
        <v>225.45099999999999</v>
      </c>
      <c r="G249" s="53">
        <v>225.452</v>
      </c>
    </row>
    <row r="250" spans="2:7">
      <c r="B250" s="14" t="str">
        <f t="shared" si="4"/>
        <v>GRMS 05009</v>
      </c>
      <c r="C250" s="53">
        <v>440.98099999999999</v>
      </c>
      <c r="D250" s="53">
        <v>80.97</v>
      </c>
      <c r="E250" s="53">
        <v>481.65100000000001</v>
      </c>
      <c r="F250" s="53">
        <v>239.58099999999999</v>
      </c>
      <c r="G250" s="53">
        <v>239.58199999999999</v>
      </c>
    </row>
    <row r="251" spans="2:7">
      <c r="B251" s="14" t="str">
        <f t="shared" si="4"/>
        <v>GRMS 05119</v>
      </c>
      <c r="C251" s="53">
        <v>448.86099999999999</v>
      </c>
      <c r="D251" s="53">
        <v>60.09</v>
      </c>
      <c r="E251" s="53">
        <v>489.53100000000001</v>
      </c>
      <c r="F251" s="53">
        <v>247.46100000000001</v>
      </c>
      <c r="G251" s="53">
        <v>247.46199999999999</v>
      </c>
    </row>
    <row r="252" spans="2:7">
      <c r="B252" s="14" t="str">
        <f t="shared" si="4"/>
        <v>GRMS 05179</v>
      </c>
      <c r="C252" s="53">
        <v>476.43099999999998</v>
      </c>
      <c r="D252" s="53">
        <v>71.680000000000007</v>
      </c>
      <c r="E252" s="53">
        <v>517.101</v>
      </c>
      <c r="F252" s="53">
        <v>275.03100000000001</v>
      </c>
      <c r="G252" s="53">
        <v>275.03199999999998</v>
      </c>
    </row>
    <row r="253" spans="2:7">
      <c r="B253" s="14" t="str">
        <f t="shared" si="4"/>
        <v>GRMS 05309</v>
      </c>
      <c r="C253" s="53">
        <v>474.33100000000002</v>
      </c>
      <c r="D253" s="53">
        <v>34.619999999999997</v>
      </c>
      <c r="E253" s="53">
        <v>515.00099999999998</v>
      </c>
      <c r="F253" s="53">
        <v>272.93099999999998</v>
      </c>
      <c r="G253" s="53">
        <v>272.93200000000002</v>
      </c>
    </row>
    <row r="254" spans="2:7">
      <c r="B254" s="14" t="str">
        <f t="shared" si="4"/>
        <v>GRMS 05609</v>
      </c>
      <c r="C254" s="53">
        <v>504.17099999999999</v>
      </c>
      <c r="D254" s="53">
        <v>4.78</v>
      </c>
      <c r="E254" s="53">
        <v>544.84100000000001</v>
      </c>
      <c r="F254" s="53">
        <v>302.77100000000002</v>
      </c>
      <c r="G254" s="53">
        <v>302.77199999999999</v>
      </c>
    </row>
    <row r="255" spans="2:7">
      <c r="B255" s="14" t="str">
        <f t="shared" si="4"/>
        <v>GRMS 07009</v>
      </c>
      <c r="C255" s="53">
        <v>0.24099999999999999</v>
      </c>
      <c r="D255" s="53">
        <v>508.71</v>
      </c>
      <c r="E255" s="53">
        <v>481.351</v>
      </c>
      <c r="F255" s="53">
        <v>239.28100000000001</v>
      </c>
      <c r="G255" s="53">
        <v>239.28200000000001</v>
      </c>
    </row>
    <row r="256" spans="2:7">
      <c r="B256" s="14" t="str">
        <f t="shared" ref="B256:B279" si="5">B70</f>
        <v>GRMS 08009</v>
      </c>
      <c r="C256" s="53">
        <v>103.621</v>
      </c>
      <c r="D256" s="53">
        <v>405.33</v>
      </c>
      <c r="E256" s="53">
        <v>377.971</v>
      </c>
      <c r="F256" s="53">
        <v>135.90100000000001</v>
      </c>
      <c r="G256" s="53">
        <v>135.90199999999999</v>
      </c>
    </row>
    <row r="257" spans="2:7">
      <c r="B257" s="14" t="str">
        <f t="shared" si="5"/>
        <v>GRMS 08109</v>
      </c>
      <c r="C257" s="53">
        <v>126.211</v>
      </c>
      <c r="D257" s="53">
        <v>382.74</v>
      </c>
      <c r="E257" s="53">
        <v>355.38099999999997</v>
      </c>
      <c r="F257" s="53">
        <v>113.31100000000001</v>
      </c>
      <c r="G257" s="53">
        <v>113.312</v>
      </c>
    </row>
    <row r="258" spans="2:7">
      <c r="B258" s="14" t="str">
        <f t="shared" si="5"/>
        <v>GRMS 08119</v>
      </c>
      <c r="C258" s="53">
        <v>131.27099999999999</v>
      </c>
      <c r="D258" s="53">
        <v>387.8</v>
      </c>
      <c r="E258" s="53">
        <v>360.44099999999997</v>
      </c>
      <c r="F258" s="53">
        <v>118.371</v>
      </c>
      <c r="G258" s="53">
        <v>118.372</v>
      </c>
    </row>
    <row r="259" spans="2:7">
      <c r="B259" s="14" t="str">
        <f t="shared" si="5"/>
        <v>GRMS 08209</v>
      </c>
      <c r="C259" s="53">
        <v>146.101</v>
      </c>
      <c r="D259" s="53">
        <v>362.85</v>
      </c>
      <c r="E259" s="53">
        <v>335.49099999999999</v>
      </c>
      <c r="F259" s="53">
        <v>93.421000000000006</v>
      </c>
      <c r="G259" s="53">
        <v>93.421999999999997</v>
      </c>
    </row>
    <row r="260" spans="2:7">
      <c r="B260" s="14" t="str">
        <f t="shared" si="5"/>
        <v>GRMS 08309</v>
      </c>
      <c r="C260" s="53">
        <v>164.28100000000001</v>
      </c>
      <c r="D260" s="53">
        <v>344.67</v>
      </c>
      <c r="E260" s="53">
        <v>317.31099999999998</v>
      </c>
      <c r="F260" s="53">
        <v>75.241</v>
      </c>
      <c r="G260" s="53">
        <v>75.242000000000004</v>
      </c>
    </row>
    <row r="261" spans="2:7">
      <c r="B261" s="14" t="str">
        <f t="shared" si="5"/>
        <v>GRMS 08409</v>
      </c>
      <c r="C261" s="53">
        <v>183.321</v>
      </c>
      <c r="D261" s="53">
        <v>325.63</v>
      </c>
      <c r="E261" s="53">
        <v>298.27100000000002</v>
      </c>
      <c r="F261" s="53">
        <v>56.201000000000001</v>
      </c>
      <c r="G261" s="53">
        <v>56.201999999999998</v>
      </c>
    </row>
    <row r="262" spans="2:7">
      <c r="B262" s="14" t="str">
        <f t="shared" si="5"/>
        <v>GRMS 08559</v>
      </c>
      <c r="C262" s="53">
        <v>216.55099999999999</v>
      </c>
      <c r="D262" s="53">
        <v>292.39999999999998</v>
      </c>
      <c r="E262" s="53">
        <v>265.041</v>
      </c>
      <c r="F262" s="53">
        <v>22.971</v>
      </c>
      <c r="G262" s="53">
        <v>22.972000000000001</v>
      </c>
    </row>
    <row r="263" spans="2:7">
      <c r="B263" s="14" t="str">
        <f t="shared" si="5"/>
        <v>GRMS 10079</v>
      </c>
      <c r="C263" s="53">
        <v>71.540999999999997</v>
      </c>
      <c r="D263" s="53">
        <v>481.29</v>
      </c>
      <c r="E263" s="53">
        <v>453.93099999999998</v>
      </c>
      <c r="F263" s="53">
        <v>211.86099999999999</v>
      </c>
      <c r="G263" s="53">
        <v>211.86199999999999</v>
      </c>
    </row>
    <row r="264" spans="2:7">
      <c r="B264" s="14" t="str">
        <f t="shared" si="5"/>
        <v>GRMS 10159</v>
      </c>
      <c r="C264" s="53">
        <v>111.401</v>
      </c>
      <c r="D264" s="53">
        <v>480.47</v>
      </c>
      <c r="E264" s="53">
        <v>493.791</v>
      </c>
      <c r="F264" s="53">
        <v>251.721</v>
      </c>
      <c r="G264" s="53">
        <v>251.72200000000001</v>
      </c>
    </row>
    <row r="265" spans="2:7">
      <c r="B265" s="14" t="str">
        <f t="shared" si="5"/>
        <v>GRMS 10209</v>
      </c>
      <c r="C265" s="53">
        <v>136.27099999999999</v>
      </c>
      <c r="D265" s="53">
        <v>455.6</v>
      </c>
      <c r="E265" s="53">
        <v>518.66099999999994</v>
      </c>
      <c r="F265" s="53">
        <v>276.59100000000001</v>
      </c>
      <c r="G265" s="53">
        <v>276.59199999999998</v>
      </c>
    </row>
    <row r="266" spans="2:7">
      <c r="B266" s="14" t="str">
        <f t="shared" si="5"/>
        <v>GRMS 10309</v>
      </c>
      <c r="C266" s="53">
        <v>183.37100000000001</v>
      </c>
      <c r="D266" s="53">
        <v>408.5</v>
      </c>
      <c r="E266" s="53">
        <v>530.30100000000004</v>
      </c>
      <c r="F266" s="53">
        <v>288.23099999999999</v>
      </c>
      <c r="G266" s="53">
        <v>288.23200000000003</v>
      </c>
    </row>
    <row r="267" spans="2:7">
      <c r="B267" s="14" t="str">
        <f t="shared" si="5"/>
        <v>GRMS 10359</v>
      </c>
      <c r="C267" s="53">
        <v>194.15100000000001</v>
      </c>
      <c r="D267" s="53">
        <v>397.72</v>
      </c>
      <c r="E267" s="53">
        <v>519.52099999999996</v>
      </c>
      <c r="F267" s="53">
        <v>277.45100000000002</v>
      </c>
      <c r="G267" s="53">
        <v>277.452</v>
      </c>
    </row>
    <row r="268" spans="2:7">
      <c r="B268" s="14" t="str">
        <f t="shared" si="5"/>
        <v>GRMS 10459</v>
      </c>
      <c r="C268" s="53">
        <v>233.68100000000001</v>
      </c>
      <c r="D268" s="53">
        <v>358.19</v>
      </c>
      <c r="E268" s="53">
        <v>479.99099999999999</v>
      </c>
      <c r="F268" s="53">
        <v>237.92099999999999</v>
      </c>
      <c r="G268" s="53">
        <v>237.922</v>
      </c>
    </row>
    <row r="269" spans="2:7">
      <c r="B269" s="14" t="str">
        <f t="shared" si="5"/>
        <v>GRMS 11109</v>
      </c>
      <c r="C269" s="53">
        <v>317.791</v>
      </c>
      <c r="D269" s="53">
        <v>236.66</v>
      </c>
      <c r="E269" s="53">
        <v>358.46100000000001</v>
      </c>
      <c r="F269" s="53">
        <v>116.39100000000001</v>
      </c>
      <c r="G269" s="53">
        <v>116.392</v>
      </c>
    </row>
    <row r="270" spans="2:7">
      <c r="B270" s="14" t="str">
        <f t="shared" si="5"/>
        <v>GRMS 11159</v>
      </c>
      <c r="C270" s="53">
        <v>327.33100000000002</v>
      </c>
      <c r="D270" s="53">
        <v>246.2</v>
      </c>
      <c r="E270" s="53">
        <v>368.00099999999998</v>
      </c>
      <c r="F270" s="53">
        <v>125.931</v>
      </c>
      <c r="G270" s="53">
        <v>125.932</v>
      </c>
    </row>
    <row r="271" spans="2:7">
      <c r="B271" s="14" t="str">
        <f t="shared" si="5"/>
        <v>GRMS 11209</v>
      </c>
      <c r="C271" s="53">
        <v>334.37099999999998</v>
      </c>
      <c r="D271" s="53">
        <v>257.5</v>
      </c>
      <c r="E271" s="53">
        <v>379.30099999999999</v>
      </c>
      <c r="F271" s="53">
        <v>137.23099999999999</v>
      </c>
      <c r="G271" s="53">
        <v>137.232</v>
      </c>
    </row>
    <row r="272" spans="2:7">
      <c r="B272" s="14" t="str">
        <f t="shared" si="5"/>
        <v>GRMS 11279</v>
      </c>
      <c r="C272" s="53">
        <v>328.49099999999999</v>
      </c>
      <c r="D272" s="53">
        <v>279.72000000000003</v>
      </c>
      <c r="E272" s="53">
        <v>401.52100000000002</v>
      </c>
      <c r="F272" s="53">
        <v>159.45099999999999</v>
      </c>
      <c r="G272" s="53">
        <v>159.452</v>
      </c>
    </row>
    <row r="273" spans="2:7">
      <c r="B273" s="14" t="str">
        <f t="shared" si="5"/>
        <v>GRMS 11309</v>
      </c>
      <c r="C273" s="53">
        <v>310.01100000000002</v>
      </c>
      <c r="D273" s="53">
        <v>281.86</v>
      </c>
      <c r="E273" s="53">
        <v>403.661</v>
      </c>
      <c r="F273" s="53">
        <v>161.59100000000001</v>
      </c>
      <c r="G273" s="53">
        <v>161.59200000000001</v>
      </c>
    </row>
    <row r="274" spans="2:7">
      <c r="B274" s="14" t="str">
        <f t="shared" si="5"/>
        <v>GRMS 12209</v>
      </c>
      <c r="C274" s="53">
        <v>399.62099999999998</v>
      </c>
      <c r="D274" s="53">
        <v>467.65</v>
      </c>
      <c r="E274" s="53">
        <v>81.971000000000004</v>
      </c>
      <c r="F274" s="53">
        <v>198.221</v>
      </c>
      <c r="G274" s="53">
        <v>198.22200000000001</v>
      </c>
    </row>
    <row r="275" spans="2:7">
      <c r="B275" s="14" t="str">
        <f t="shared" si="5"/>
        <v>GRMS 12609</v>
      </c>
      <c r="C275" s="53">
        <v>474.50099999999998</v>
      </c>
      <c r="D275" s="53">
        <v>542.53</v>
      </c>
      <c r="E275" s="53">
        <v>7.0910000000000002</v>
      </c>
      <c r="F275" s="53">
        <v>273.101</v>
      </c>
      <c r="G275" s="53">
        <v>273.10199999999998</v>
      </c>
    </row>
    <row r="276" spans="2:7">
      <c r="B276" s="14" t="str">
        <f t="shared" si="5"/>
        <v>GRMS 12619</v>
      </c>
      <c r="C276" s="53">
        <v>474.50200000000001</v>
      </c>
      <c r="D276" s="53">
        <v>542.53099999999995</v>
      </c>
      <c r="E276" s="53">
        <v>7.0919999999999996</v>
      </c>
      <c r="F276" s="53">
        <v>273.10199999999998</v>
      </c>
      <c r="G276" s="53">
        <v>273.10300000000001</v>
      </c>
    </row>
    <row r="277" spans="2:7">
      <c r="B277" s="14" t="str">
        <f t="shared" si="5"/>
        <v>GRMS 12619B</v>
      </c>
      <c r="C277" s="53">
        <v>475.822</v>
      </c>
      <c r="D277" s="53">
        <v>543.851</v>
      </c>
      <c r="E277" s="53">
        <v>8.4120000000000008</v>
      </c>
      <c r="F277" s="53">
        <v>274.42200000000003</v>
      </c>
      <c r="G277" s="53">
        <v>274.423</v>
      </c>
    </row>
    <row r="278" spans="2:7">
      <c r="B278" s="14" t="str">
        <f t="shared" si="5"/>
        <v>GRMS 12629</v>
      </c>
      <c r="C278" s="53">
        <v>474.50200000000001</v>
      </c>
      <c r="D278" s="53">
        <v>542.53099999999995</v>
      </c>
      <c r="E278" s="53">
        <v>7.0919999999999996</v>
      </c>
      <c r="F278" s="53">
        <v>273.10199999999998</v>
      </c>
      <c r="G278" s="53">
        <v>273.10300000000001</v>
      </c>
    </row>
    <row r="279" spans="2:7">
      <c r="B279" s="14" t="str">
        <f t="shared" si="5"/>
        <v>GRMS 12809</v>
      </c>
      <c r="C279" s="53">
        <v>481.59100000000001</v>
      </c>
      <c r="D279" s="53">
        <v>549.62</v>
      </c>
      <c r="E279" s="53">
        <v>9.9999999999989008E-4</v>
      </c>
      <c r="F279" s="53">
        <v>280.19099999999997</v>
      </c>
      <c r="G279" s="53">
        <v>280.19200000000001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B2:M186"/>
  <sheetViews>
    <sheetView showGridLines="0" zoomScaleNormal="100" workbookViewId="0">
      <selection sqref="A1:A1048576"/>
    </sheetView>
  </sheetViews>
  <sheetFormatPr defaultColWidth="8.88671875" defaultRowHeight="14.4" customHeight="1"/>
  <cols>
    <col min="1" max="1" width="8.88671875" style="1"/>
    <col min="2" max="2" width="35.6640625" style="1" customWidth="1"/>
    <col min="3" max="3" width="27.5546875" style="1" customWidth="1"/>
    <col min="4" max="5" width="11.6640625" style="1" customWidth="1"/>
    <col min="6" max="6" width="8.88671875" style="1"/>
    <col min="7" max="7" width="8.88671875" style="1" customWidth="1"/>
    <col min="8" max="8" width="11" style="1" bestFit="1" customWidth="1"/>
    <col min="9" max="13" width="8.88671875" style="1" customWidth="1"/>
    <col min="14" max="16384" width="8.88671875" style="1"/>
  </cols>
  <sheetData>
    <row r="2" spans="2:5" ht="28.95" customHeight="1">
      <c r="B2" s="32" t="s">
        <v>590</v>
      </c>
      <c r="C2" s="5"/>
      <c r="D2" s="5"/>
      <c r="E2" s="5"/>
    </row>
    <row r="3" spans="2:5" ht="14.4" customHeight="1">
      <c r="B3" s="37" t="s">
        <v>233</v>
      </c>
    </row>
    <row r="4" spans="2:5" ht="14.4" customHeight="1">
      <c r="B4" s="9" t="s">
        <v>2</v>
      </c>
      <c r="C4" s="9" t="s">
        <v>214</v>
      </c>
      <c r="D4" s="6"/>
      <c r="E4" s="6"/>
    </row>
    <row r="5" spans="2:5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5" ht="14.4" customHeight="1">
      <c r="B6" s="24"/>
      <c r="C6" s="24"/>
      <c r="D6" s="8"/>
      <c r="E6" s="8"/>
    </row>
    <row r="7" spans="2:5" ht="14.4" customHeight="1">
      <c r="B7" s="36" t="s">
        <v>0</v>
      </c>
      <c r="C7" s="3" t="s">
        <v>216</v>
      </c>
      <c r="D7" s="38">
        <f>'Input capacity'!D7</f>
        <v>18392748.289478596</v>
      </c>
      <c r="E7" s="38">
        <f>'Input capacity'!E7</f>
        <v>18392748.289478596</v>
      </c>
    </row>
    <row r="8" spans="2:5" ht="14.4" customHeight="1">
      <c r="B8" s="36" t="s">
        <v>215</v>
      </c>
      <c r="C8" s="3" t="s">
        <v>216</v>
      </c>
      <c r="D8" s="38">
        <f>'Input capacity'!D8</f>
        <v>1372593.1559312386</v>
      </c>
      <c r="E8" s="38">
        <f>'Input capacity'!E8</f>
        <v>1372593.1559312386</v>
      </c>
    </row>
    <row r="9" spans="2:5" ht="14.4" customHeight="1">
      <c r="B9" s="36" t="s">
        <v>217</v>
      </c>
      <c r="C9" s="3" t="s">
        <v>14</v>
      </c>
      <c r="D9" s="38">
        <f>'Input capacity'!D9</f>
        <v>182415826.68795082</v>
      </c>
      <c r="E9" s="38">
        <f>'Input capacity'!E9</f>
        <v>182415826.68795082</v>
      </c>
    </row>
    <row r="10" spans="2:5" ht="14.4" customHeight="1">
      <c r="B10" s="36" t="s">
        <v>218</v>
      </c>
      <c r="C10" s="3" t="s">
        <v>15</v>
      </c>
      <c r="D10" s="38">
        <f>'Input capacity'!D10</f>
        <v>7061251.0740085999</v>
      </c>
      <c r="E10" s="38">
        <f>'Input capacity'!E10</f>
        <v>7061251.0740085999</v>
      </c>
    </row>
    <row r="11" spans="2:5" ht="14.4" customHeight="1">
      <c r="B11" s="36" t="s">
        <v>26</v>
      </c>
      <c r="C11" s="3" t="s">
        <v>219</v>
      </c>
      <c r="D11" s="38">
        <f>'Input capacity'!D11</f>
        <v>1</v>
      </c>
      <c r="E11" s="38">
        <f>'Input capacity'!E11</f>
        <v>1</v>
      </c>
    </row>
    <row r="14" spans="2:5" ht="28.95" customHeight="1">
      <c r="B14" s="32" t="str">
        <f>IF('RPM &amp; Discounts'!$B$3&lt;&gt;'A0.Support'!$B$6,"2. "&amp;'Input data'!B219,"2. "&amp;'Input data'!B201)</f>
        <v>2. Commercial utilization factor at entry points</v>
      </c>
      <c r="C14" s="5"/>
      <c r="D14" s="5"/>
      <c r="E14" s="5"/>
    </row>
    <row r="15" spans="2:5" ht="14.4" customHeight="1">
      <c r="B15" s="37" t="s">
        <v>290</v>
      </c>
    </row>
    <row r="16" spans="2:5" ht="14.4" customHeight="1">
      <c r="B16" s="9" t="s">
        <v>2</v>
      </c>
      <c r="C16" s="9" t="s">
        <v>214</v>
      </c>
      <c r="D16" s="6"/>
      <c r="E16" s="6"/>
    </row>
    <row r="17" spans="2:13" ht="14.4" customHeight="1">
      <c r="B17" s="25"/>
      <c r="C17" s="25"/>
      <c r="D17" s="23" t="str">
        <f>'Input data'!D$5</f>
        <v>2025-26</v>
      </c>
      <c r="E17" s="23" t="str">
        <f>'Input data'!E$5</f>
        <v>2026-27</v>
      </c>
    </row>
    <row r="18" spans="2:13" ht="14.4" customHeight="1">
      <c r="B18" s="24"/>
      <c r="C18" s="24"/>
      <c r="D18" s="8"/>
      <c r="E18" s="8"/>
    </row>
    <row r="19" spans="2:13" ht="14.4" customHeight="1">
      <c r="B19" s="36" t="s">
        <v>0</v>
      </c>
      <c r="C19" s="3" t="s">
        <v>216</v>
      </c>
      <c r="D19" s="89">
        <f>IF('RPM &amp; Discounts'!$B$3&lt;&gt;'A0.Support'!$B$6,'Input data'!D222,'Input data'!D204)</f>
        <v>0.30096563478759114</v>
      </c>
      <c r="E19" s="89">
        <f>IF('RPM &amp; Discounts'!$B$3&lt;&gt;'A0.Support'!$B$6,'Input data'!E222,'Input data'!E204)</f>
        <v>0.30096563478759114</v>
      </c>
      <c r="H19"/>
      <c r="I19"/>
      <c r="J19"/>
      <c r="K19"/>
      <c r="L19"/>
      <c r="M19"/>
    </row>
    <row r="20" spans="2:13" ht="14.4" customHeight="1">
      <c r="B20" s="36" t="s">
        <v>215</v>
      </c>
      <c r="C20" s="3" t="s">
        <v>216</v>
      </c>
      <c r="D20" s="89">
        <f>IF('RPM &amp; Discounts'!$B$3&lt;&gt;'A0.Support'!$B$6,'Input data'!D222,'Input data'!D204)</f>
        <v>0.30096563478759114</v>
      </c>
      <c r="E20" s="89">
        <f>IF('RPM &amp; Discounts'!$B$3&lt;&gt;'A0.Support'!$B$6,'Input data'!E222,'Input data'!E204)</f>
        <v>0.30096563478759114</v>
      </c>
      <c r="H20"/>
      <c r="I20"/>
      <c r="J20"/>
      <c r="K20"/>
      <c r="L20"/>
      <c r="M20"/>
    </row>
    <row r="21" spans="2:13" ht="14.4" customHeight="1">
      <c r="B21" s="36" t="s">
        <v>217</v>
      </c>
      <c r="C21" s="3" t="s">
        <v>14</v>
      </c>
      <c r="D21" s="89">
        <f>IF('RPM &amp; Discounts'!$B$3&lt;&gt;'A0.Support'!$B$6,'Input data'!D223,'Input data'!D205)</f>
        <v>0.98663788917465756</v>
      </c>
      <c r="E21" s="89">
        <f>IF('RPM &amp; Discounts'!$B$3&lt;&gt;'A0.Support'!$B$6,'Input data'!E223,'Input data'!E205)</f>
        <v>0.98663788917465756</v>
      </c>
      <c r="H21"/>
      <c r="I21"/>
      <c r="J21"/>
      <c r="K21"/>
      <c r="L21"/>
      <c r="M21"/>
    </row>
    <row r="22" spans="2:13" ht="14.4" customHeight="1">
      <c r="B22" s="36" t="s">
        <v>218</v>
      </c>
      <c r="C22" s="3" t="s">
        <v>15</v>
      </c>
      <c r="D22" s="89">
        <f>IF('RPM &amp; Discounts'!$B$3&lt;&gt;'A0.Support'!$B$6,'Input data'!D224,'Input data'!D206)</f>
        <v>0.13127867462419943</v>
      </c>
      <c r="E22" s="89">
        <f>IF('RPM &amp; Discounts'!$B$3&lt;&gt;'A0.Support'!$B$6,'Input data'!E224,'Input data'!E206)</f>
        <v>0.13127867462419943</v>
      </c>
      <c r="H22"/>
      <c r="I22"/>
      <c r="J22"/>
      <c r="K22"/>
      <c r="L22"/>
      <c r="M22"/>
    </row>
    <row r="23" spans="2:13" ht="14.4" customHeight="1">
      <c r="B23" s="36" t="s">
        <v>26</v>
      </c>
      <c r="C23" s="3" t="s">
        <v>219</v>
      </c>
      <c r="D23" s="89">
        <f>IF('RPM &amp; Discounts'!$B$3&lt;&gt;'A0.Support'!$B$6,'Input data'!D225,'Input data'!D207)</f>
        <v>0.13127867462419943</v>
      </c>
      <c r="E23" s="89">
        <f>IF('RPM &amp; Discounts'!$B$3&lt;&gt;'A0.Support'!$B$6,'Input data'!E225,'Input data'!E207)</f>
        <v>0.13127867462419943</v>
      </c>
      <c r="H23"/>
      <c r="I23"/>
      <c r="J23"/>
      <c r="K23"/>
      <c r="L23"/>
      <c r="M23"/>
    </row>
    <row r="26" spans="2:13" ht="28.95" customHeight="1">
      <c r="B26" s="32" t="str">
        <f>IF('RPM &amp; Discounts'!$B$3&lt;&gt;'A0.Support'!$B$3,"3. Effective capacity at entry points","3. Forecasted capacity at entry points")&amp;", in kWh/day"</f>
        <v>3. Effective capacity at entry points, in kWh/day</v>
      </c>
      <c r="C26" s="5"/>
      <c r="D26" s="5"/>
      <c r="E26" s="5"/>
      <c r="H26"/>
    </row>
    <row r="27" spans="2:13" ht="14.4" customHeight="1">
      <c r="B27" s="37" t="s">
        <v>291</v>
      </c>
    </row>
    <row r="28" spans="2:13" ht="14.4" customHeight="1">
      <c r="B28" s="9" t="s">
        <v>2</v>
      </c>
      <c r="C28" s="9" t="s">
        <v>214</v>
      </c>
      <c r="D28" s="6"/>
      <c r="E28" s="6"/>
    </row>
    <row r="29" spans="2:13" ht="14.4" customHeight="1">
      <c r="B29" s="25"/>
      <c r="C29" s="25"/>
      <c r="D29" s="23" t="str">
        <f>'Input data'!D$5</f>
        <v>2025-26</v>
      </c>
      <c r="E29" s="23" t="str">
        <f>'Input data'!E$5</f>
        <v>2026-27</v>
      </c>
    </row>
    <row r="30" spans="2:13" ht="14.4" customHeight="1">
      <c r="B30" s="24"/>
      <c r="C30" s="24"/>
      <c r="D30" s="8"/>
      <c r="E30" s="8"/>
    </row>
    <row r="31" spans="2:13" ht="14.4" customHeight="1">
      <c r="B31" s="36" t="s">
        <v>0</v>
      </c>
      <c r="C31" s="3" t="s">
        <v>216</v>
      </c>
      <c r="D31" s="38">
        <f>IF(OR('RPM &amp; Discounts'!$B$3='A0.Support'!$B$3,'RPM &amp; Discounts'!$B$3='A0.Support'!$B$4),D7,D7*D19)</f>
        <v>5535585.1644313065</v>
      </c>
      <c r="E31" s="38">
        <f>IF(OR('RPM &amp; Discounts'!$B$3='A0.Support'!$B$3,'RPM &amp; Discounts'!$B$3='A0.Support'!$B$4),E7,E7*E19)</f>
        <v>5535585.1644313065</v>
      </c>
      <c r="G31"/>
      <c r="H31"/>
      <c r="I31"/>
      <c r="J31"/>
      <c r="K31"/>
      <c r="L31"/>
      <c r="M31"/>
    </row>
    <row r="32" spans="2:13" ht="14.4" customHeight="1">
      <c r="B32" s="36" t="s">
        <v>215</v>
      </c>
      <c r="C32" s="3" t="s">
        <v>216</v>
      </c>
      <c r="D32" s="38">
        <f>IF(OR('RPM &amp; Discounts'!$B$3='A0.Support'!$B$3,'RPM &amp; Discounts'!$B$3='A0.Support'!$B$4),D8,D8*D20)</f>
        <v>413103.37047994829</v>
      </c>
      <c r="E32" s="38">
        <f>IF(OR('RPM &amp; Discounts'!$B$3='A0.Support'!$B$3,'RPM &amp; Discounts'!$B$3='A0.Support'!$B$4),E8,E8*E20)</f>
        <v>413103.37047994829</v>
      </c>
      <c r="H32"/>
      <c r="I32"/>
      <c r="J32"/>
      <c r="K32"/>
      <c r="L32"/>
      <c r="M32"/>
    </row>
    <row r="33" spans="2:13" ht="14.4" customHeight="1">
      <c r="B33" s="36" t="s">
        <v>217</v>
      </c>
      <c r="C33" s="3" t="s">
        <v>14</v>
      </c>
      <c r="D33" s="38">
        <f>IF(OR('RPM &amp; Discounts'!$B$3='A0.Support'!$B$3,'RPM &amp; Discounts'!$B$3='A0.Support'!$B$4),D9,D9*D21)</f>
        <v>179978366.19544995</v>
      </c>
      <c r="E33" s="38">
        <f>IF(OR('RPM &amp; Discounts'!$B$3='A0.Support'!$B$3,'RPM &amp; Discounts'!$B$3='A0.Support'!$B$4),E9,E9*E21)</f>
        <v>179978366.19544995</v>
      </c>
      <c r="H33"/>
      <c r="I33"/>
      <c r="J33"/>
      <c r="K33"/>
      <c r="L33"/>
      <c r="M33"/>
    </row>
    <row r="34" spans="2:13" ht="14.4" customHeight="1">
      <c r="B34" s="36" t="s">
        <v>218</v>
      </c>
      <c r="C34" s="3" t="s">
        <v>15</v>
      </c>
      <c r="D34" s="38">
        <f>IF(OR('RPM &amp; Discounts'!$B$3='A0.Support'!$B$3,'RPM &amp; Discounts'!$B$3='A0.Support'!$B$4),D10,D10*D22)</f>
        <v>926991.68218455371</v>
      </c>
      <c r="E34" s="38">
        <f>IF(OR('RPM &amp; Discounts'!$B$3='A0.Support'!$B$3,'RPM &amp; Discounts'!$B$3='A0.Support'!$B$4),E10,E10*E22)</f>
        <v>926991.68218455371</v>
      </c>
      <c r="H34"/>
      <c r="I34"/>
      <c r="J34"/>
      <c r="K34"/>
      <c r="L34"/>
      <c r="M34"/>
    </row>
    <row r="35" spans="2:13" ht="14.4" customHeight="1">
      <c r="B35" s="36" t="s">
        <v>26</v>
      </c>
      <c r="C35" s="3" t="s">
        <v>219</v>
      </c>
      <c r="D35" s="38">
        <f>IF(OR('RPM &amp; Discounts'!$B$3='A0.Support'!$B$3,'RPM &amp; Discounts'!$B$3='A0.Support'!$B$4),D11,D11*D23)</f>
        <v>0.13127867462419943</v>
      </c>
      <c r="E35" s="38">
        <f>IF(OR('RPM &amp; Discounts'!$B$3='A0.Support'!$B$3,'RPM &amp; Discounts'!$B$3='A0.Support'!$B$4),E11,E11*E23)</f>
        <v>0.13127867462419943</v>
      </c>
      <c r="H35"/>
      <c r="I35"/>
      <c r="J35"/>
      <c r="K35"/>
      <c r="L35"/>
      <c r="M35"/>
    </row>
    <row r="38" spans="2:13" ht="28.95" customHeight="1">
      <c r="B38" s="32" t="s">
        <v>591</v>
      </c>
      <c r="C38" s="5"/>
      <c r="D38" s="5"/>
      <c r="E38" s="5"/>
    </row>
    <row r="39" spans="2:13" ht="14.4" customHeight="1">
      <c r="B39" s="37"/>
    </row>
    <row r="40" spans="2:13" ht="14.4" customHeight="1">
      <c r="B40" s="9" t="s">
        <v>2</v>
      </c>
      <c r="C40" s="9" t="s">
        <v>214</v>
      </c>
      <c r="D40" s="6"/>
      <c r="E40" s="6"/>
    </row>
    <row r="41" spans="2:13" ht="14.4" customHeight="1">
      <c r="B41" s="25"/>
      <c r="C41" s="25"/>
      <c r="D41" s="23" t="str">
        <f>'Input data'!D$5</f>
        <v>2025-26</v>
      </c>
      <c r="E41" s="23" t="str">
        <f>'Input data'!E$5</f>
        <v>2026-27</v>
      </c>
    </row>
    <row r="42" spans="2:13" ht="14.4" customHeight="1">
      <c r="B42" s="24"/>
      <c r="C42" s="24"/>
      <c r="D42" s="8"/>
      <c r="E42" s="8"/>
    </row>
    <row r="43" spans="2:13" ht="14.4" customHeight="1">
      <c r="B43" s="36" t="s">
        <v>0</v>
      </c>
      <c r="C43" s="3" t="s">
        <v>216</v>
      </c>
      <c r="D43" s="55">
        <f>SUMPRODUCT('Exit Tariff_1'!D$199:D$287,'Distance Matrix_Exit'!$C$5:$C$93)/SUMIFS('Exit Tariff_1'!D$199:D$287,'Distance Matrix_Exit'!$C$5:$C$93,"&gt;0")</f>
        <v>838.01946094260245</v>
      </c>
      <c r="E43" s="55">
        <f>SUMPRODUCT('Exit Tariff_1'!E$199:E$287,'Distance Matrix_Exit'!$C$5:$C$93)/SUMIFS('Exit Tariff_1'!E$199:E$287,'Distance Matrix_Exit'!$C$5:$C$93,"&gt;0")</f>
        <v>838.01946094260245</v>
      </c>
      <c r="G43"/>
      <c r="H43"/>
      <c r="I43"/>
      <c r="J43"/>
      <c r="K43"/>
    </row>
    <row r="44" spans="2:13" ht="14.4" customHeight="1">
      <c r="B44" s="36" t="s">
        <v>215</v>
      </c>
      <c r="C44" s="3" t="s">
        <v>216</v>
      </c>
      <c r="D44" s="55">
        <f>SUMPRODUCT('Exit Tariff_1'!D$199:D$287,'Distance Matrix_Exit'!$D$5:$D$93)/SUMIFS('Exit Tariff_1'!D$199:D$287,'Distance Matrix_Exit'!$D$5:$D$93,"&gt;0")</f>
        <v>761.40834052610603</v>
      </c>
      <c r="E44" s="55">
        <f>SUMPRODUCT('Exit Tariff_1'!E$199:E$287,'Distance Matrix_Exit'!$D$5:$D$93)/SUMIFS('Exit Tariff_1'!E$199:E$287,'Distance Matrix_Exit'!$D$5:$D$93,"&gt;0")</f>
        <v>761.40834052610603</v>
      </c>
      <c r="G44"/>
      <c r="H44"/>
      <c r="I44"/>
      <c r="J44"/>
      <c r="K44"/>
    </row>
    <row r="45" spans="2:13" ht="14.4" customHeight="1">
      <c r="B45" s="36" t="s">
        <v>217</v>
      </c>
      <c r="C45" s="3" t="s">
        <v>14</v>
      </c>
      <c r="D45" s="55">
        <f>SUMPRODUCT('Exit Tariff_1'!D$199:D$287,'Distance Matrix_Exit'!$E$5:$E$93)/SUMIFS('Exit Tariff_1'!D$199:D$287,'Distance Matrix_Exit'!$E$5:$E$93,"&gt;0")</f>
        <v>709.73735265661117</v>
      </c>
      <c r="E45" s="55">
        <f>SUMPRODUCT('Exit Tariff_1'!E$199:E$287,'Distance Matrix_Exit'!$E$5:$E$93)/SUMIFS('Exit Tariff_1'!E$199:E$287,'Distance Matrix_Exit'!$E$5:$E$93,"&gt;0")</f>
        <v>709.73735265661117</v>
      </c>
    </row>
    <row r="46" spans="2:13" ht="14.4" customHeight="1">
      <c r="B46" s="36" t="s">
        <v>218</v>
      </c>
      <c r="C46" s="3" t="s">
        <v>15</v>
      </c>
      <c r="D46" s="55">
        <f>SUMPRODUCT('Exit Tariff_1'!D$199:D$287,'Distance Matrix_Exit'!$F$5:$F$93)/SUMIFS('Exit Tariff_1'!D$199:D$287,'Distance Matrix_Exit'!$F$5:$F$93,"&gt;0")</f>
        <v>384.60132843447371</v>
      </c>
      <c r="E46" s="55">
        <f>SUMPRODUCT('Exit Tariff_1'!E$199:E$287,'Distance Matrix_Exit'!$F$5:$F$93)/SUMIFS('Exit Tariff_1'!E$199:E$287,'Distance Matrix_Exit'!$F$5:$F$93,"&gt;0")</f>
        <v>384.60132843447371</v>
      </c>
    </row>
    <row r="47" spans="2:13" ht="14.4" customHeight="1">
      <c r="B47" s="36" t="s">
        <v>26</v>
      </c>
      <c r="C47" s="3" t="s">
        <v>219</v>
      </c>
      <c r="D47" s="55">
        <f>SUMPRODUCT('Exit Tariff_1'!D$199:D$287,'Distance Matrix_Exit'!$G$5:$G$93)/SUMIFS('Exit Tariff_1'!D$199:D$287,'Distance Matrix_Exit'!$G$5:$G$93,"&gt;0")</f>
        <v>374.10623218895421</v>
      </c>
      <c r="E47" s="55">
        <f>SUMPRODUCT('Exit Tariff_1'!E$199:E$287,'Distance Matrix_Exit'!$G$5:$G$93)/SUMIFS('Exit Tariff_1'!E$199:E$287,'Distance Matrix_Exit'!$G$5:$G$93,"&gt;0")</f>
        <v>374.10623218895421</v>
      </c>
    </row>
    <row r="50" spans="2:12" ht="28.95" customHeight="1">
      <c r="B50" s="32" t="s">
        <v>223</v>
      </c>
      <c r="C50" s="5"/>
      <c r="D50" s="5"/>
      <c r="E50" s="5"/>
    </row>
    <row r="51" spans="2:12" ht="14.4" customHeight="1">
      <c r="B51" s="37"/>
    </row>
    <row r="52" spans="2:12" ht="14.4" customHeight="1">
      <c r="B52" s="9" t="s">
        <v>2</v>
      </c>
      <c r="C52" s="9" t="s">
        <v>214</v>
      </c>
      <c r="D52" s="6"/>
      <c r="E52" s="6"/>
    </row>
    <row r="53" spans="2:12" ht="14.4" customHeight="1">
      <c r="B53" s="25"/>
      <c r="C53" s="25"/>
      <c r="D53" s="23" t="str">
        <f>'Input data'!D$5</f>
        <v>2025-26</v>
      </c>
      <c r="E53" s="23" t="str">
        <f>'Input data'!E$5</f>
        <v>2026-27</v>
      </c>
    </row>
    <row r="54" spans="2:12" ht="14.4" customHeight="1">
      <c r="B54" s="24"/>
      <c r="C54" s="24"/>
      <c r="D54" s="8"/>
      <c r="E54" s="8"/>
    </row>
    <row r="55" spans="2:12" ht="14.4" customHeight="1">
      <c r="B55" s="36" t="s">
        <v>0</v>
      </c>
      <c r="C55" s="3" t="s">
        <v>216</v>
      </c>
      <c r="D55" s="56">
        <f t="shared" ref="D55:E55" si="0">D31*D43/SUMPRODUCT(D$31:D$35,D$43:D$47)</f>
        <v>3.4866742935820622E-2</v>
      </c>
      <c r="E55" s="56">
        <f t="shared" si="0"/>
        <v>3.4866742935820622E-2</v>
      </c>
      <c r="G55"/>
      <c r="H55"/>
      <c r="I55"/>
      <c r="J55"/>
      <c r="K55"/>
      <c r="L55"/>
    </row>
    <row r="56" spans="2:12" ht="14.4" customHeight="1">
      <c r="B56" s="36" t="s">
        <v>215</v>
      </c>
      <c r="C56" s="3" t="s">
        <v>216</v>
      </c>
      <c r="D56" s="56">
        <f t="shared" ref="D56:E56" si="1">D32*D44/SUMPRODUCT(D$31:D$35,D$43:D$47)</f>
        <v>2.3641232118251851E-3</v>
      </c>
      <c r="E56" s="56">
        <f t="shared" si="1"/>
        <v>2.3641232118251851E-3</v>
      </c>
      <c r="G56"/>
      <c r="H56"/>
      <c r="I56"/>
      <c r="J56"/>
      <c r="K56"/>
      <c r="L56"/>
    </row>
    <row r="57" spans="2:12" ht="14.4" customHeight="1">
      <c r="B57" s="36" t="s">
        <v>217</v>
      </c>
      <c r="C57" s="3" t="s">
        <v>14</v>
      </c>
      <c r="D57" s="56">
        <f t="shared" ref="D57:E57" si="2">D33*D45/SUMPRODUCT(D$31:D$35,D$43:D$47)</f>
        <v>0.96008946939430984</v>
      </c>
      <c r="E57" s="56">
        <f t="shared" si="2"/>
        <v>0.96008946939430984</v>
      </c>
      <c r="G57"/>
      <c r="H57"/>
      <c r="I57"/>
      <c r="J57"/>
      <c r="K57"/>
      <c r="L57"/>
    </row>
    <row r="58" spans="2:12" ht="14.4" customHeight="1">
      <c r="B58" s="36" t="s">
        <v>218</v>
      </c>
      <c r="C58" s="3" t="s">
        <v>15</v>
      </c>
      <c r="D58" s="56">
        <f t="shared" ref="D58:E58" si="3">D34*D46/SUMPRODUCT(D$31:D$35,D$43:D$47)</f>
        <v>2.679664088911377E-3</v>
      </c>
      <c r="E58" s="56">
        <f t="shared" si="3"/>
        <v>2.679664088911377E-3</v>
      </c>
      <c r="G58"/>
      <c r="H58"/>
      <c r="I58"/>
      <c r="J58"/>
      <c r="K58"/>
      <c r="L58"/>
    </row>
    <row r="59" spans="2:12" ht="14.4" customHeight="1">
      <c r="B59" s="36" t="s">
        <v>26</v>
      </c>
      <c r="C59" s="3" t="s">
        <v>219</v>
      </c>
      <c r="D59" s="56">
        <f t="shared" ref="D59:E59" si="4">D35*D47/SUMPRODUCT(D$31:D$35,D$43:D$47)</f>
        <v>3.6913299423471809E-10</v>
      </c>
      <c r="E59" s="56">
        <f t="shared" si="4"/>
        <v>3.6913299423471809E-10</v>
      </c>
      <c r="G59"/>
      <c r="H59"/>
      <c r="I59"/>
      <c r="J59"/>
      <c r="K59"/>
      <c r="L59"/>
    </row>
    <row r="62" spans="2:12" ht="28.95" customHeight="1">
      <c r="B62" s="32" t="s">
        <v>593</v>
      </c>
      <c r="C62" s="5"/>
      <c r="D62" s="5"/>
      <c r="E62" s="5"/>
    </row>
    <row r="63" spans="2:12" ht="14.4" customHeight="1">
      <c r="B63" s="37"/>
    </row>
    <row r="64" spans="2:12" ht="14.4" customHeight="1">
      <c r="B64" s="9" t="s">
        <v>2</v>
      </c>
      <c r="C64" s="9" t="s">
        <v>214</v>
      </c>
      <c r="D64" s="6"/>
      <c r="E64" s="6"/>
    </row>
    <row r="65" spans="2:13" ht="14.4" customHeight="1">
      <c r="B65" s="25"/>
      <c r="C65" s="25"/>
      <c r="D65" s="23" t="str">
        <f>'Input data'!D$5</f>
        <v>2025-26</v>
      </c>
      <c r="E65" s="23" t="str">
        <f>'Input data'!E$5</f>
        <v>2026-27</v>
      </c>
    </row>
    <row r="66" spans="2:13" ht="14.4" customHeight="1">
      <c r="B66" s="24"/>
      <c r="C66" s="24"/>
      <c r="D66" s="8"/>
      <c r="E66" s="8"/>
    </row>
    <row r="67" spans="2:13" ht="14.4" customHeight="1">
      <c r="B67" s="36" t="s">
        <v>0</v>
      </c>
      <c r="C67" s="3" t="s">
        <v>216</v>
      </c>
      <c r="D67" s="57">
        <f>IF(D7=0,0,'Input data'!D$190*D55*'Input data'!D$7/D7)</f>
        <v>3.75042871472668E-2</v>
      </c>
      <c r="E67" s="57">
        <f>IF(E7=0,0,'Input data'!E$190*E55*'Input data'!E$7/E7)</f>
        <v>3.75042871472668E-2</v>
      </c>
      <c r="G67"/>
      <c r="H67"/>
      <c r="I67"/>
      <c r="J67"/>
      <c r="K67"/>
      <c r="L67"/>
      <c r="M67"/>
    </row>
    <row r="68" spans="2:13" ht="14.4" customHeight="1">
      <c r="B68" s="36" t="s">
        <v>215</v>
      </c>
      <c r="C68" s="3" t="s">
        <v>216</v>
      </c>
      <c r="D68" s="57">
        <f>IF(D8=0,0,'Input data'!D$190*D56*'Input data'!D$7/D8)</f>
        <v>3.4075672905370454E-2</v>
      </c>
      <c r="E68" s="57">
        <f>IF(E8=0,0,'Input data'!E$190*E56*'Input data'!E$7/E8)</f>
        <v>3.4075672905370454E-2</v>
      </c>
      <c r="G68"/>
      <c r="H68"/>
      <c r="I68"/>
      <c r="J68"/>
      <c r="K68"/>
      <c r="L68"/>
      <c r="M68"/>
    </row>
    <row r="69" spans="2:13" ht="14.4" customHeight="1">
      <c r="B69" s="36" t="s">
        <v>217</v>
      </c>
      <c r="C69" s="3" t="s">
        <v>14</v>
      </c>
      <c r="D69" s="57">
        <f>IF(D9=0,0,'Input data'!D$190*D57*'Input data'!D$7/D9)</f>
        <v>0.10412747884022977</v>
      </c>
      <c r="E69" s="57">
        <f>IF(E9=0,0,'Input data'!E$190*E57*'Input data'!E$7/E9)</f>
        <v>0.10412747884022977</v>
      </c>
      <c r="H69"/>
      <c r="I69"/>
      <c r="J69"/>
      <c r="K69"/>
      <c r="L69"/>
      <c r="M69"/>
    </row>
    <row r="70" spans="2:13" ht="14.4" customHeight="1">
      <c r="B70" s="36" t="s">
        <v>218</v>
      </c>
      <c r="C70" s="3" t="s">
        <v>15</v>
      </c>
      <c r="D70" s="57">
        <f>IF(D10=0,0,'Input data'!D$190*D58*'Input data'!D$7/D10)</f>
        <v>7.5078375167306442E-3</v>
      </c>
      <c r="E70" s="57">
        <f>IF(E10=0,0,'Input data'!E$190*E58*'Input data'!E$7/E10)</f>
        <v>7.5078375167306442E-3</v>
      </c>
      <c r="H70"/>
      <c r="I70"/>
      <c r="J70"/>
      <c r="K70"/>
      <c r="L70"/>
      <c r="M70"/>
    </row>
    <row r="71" spans="2:13" ht="14.4" customHeight="1">
      <c r="B71" s="36" t="s">
        <v>26</v>
      </c>
      <c r="C71" s="3" t="s">
        <v>219</v>
      </c>
      <c r="D71" s="57">
        <f>IF(D11=0,0,'Input data'!D$190*D59*'Input data'!D$7/D11)</f>
        <v>7.3029617882599479E-3</v>
      </c>
      <c r="E71" s="57">
        <f>IF(E11=0,0,'Input data'!E$190*E59*'Input data'!E$7/E11)</f>
        <v>7.3029617882599479E-3</v>
      </c>
      <c r="H71"/>
      <c r="I71"/>
      <c r="J71"/>
      <c r="K71"/>
      <c r="L71"/>
      <c r="M71"/>
    </row>
    <row r="74" spans="2:13" ht="28.95" customHeight="1">
      <c r="B74" s="32" t="s">
        <v>594</v>
      </c>
      <c r="C74" s="5"/>
      <c r="D74" s="5"/>
      <c r="E74" s="5"/>
    </row>
    <row r="75" spans="2:13" ht="14.4" customHeight="1">
      <c r="B75" s="37" t="s">
        <v>287</v>
      </c>
    </row>
    <row r="76" spans="2:13" ht="14.4" customHeight="1">
      <c r="B76" s="9" t="s">
        <v>2</v>
      </c>
      <c r="C76" s="9" t="s">
        <v>214</v>
      </c>
      <c r="D76" s="6"/>
      <c r="E76" s="6"/>
    </row>
    <row r="77" spans="2:13" ht="14.4" customHeight="1">
      <c r="B77" s="25"/>
      <c r="C77" s="25"/>
      <c r="D77" s="23" t="str">
        <f>'Input data'!D$5</f>
        <v>2025-26</v>
      </c>
      <c r="E77" s="23" t="str">
        <f>'Input data'!E$5</f>
        <v>2026-27</v>
      </c>
    </row>
    <row r="78" spans="2:13" ht="14.4" customHeight="1">
      <c r="B78" s="24"/>
      <c r="C78" s="24"/>
      <c r="D78" s="8"/>
      <c r="E78" s="8"/>
    </row>
    <row r="79" spans="2:13" ht="14.4" customHeight="1">
      <c r="B79" s="36" t="s">
        <v>225</v>
      </c>
      <c r="C79" s="3" t="s">
        <v>224</v>
      </c>
      <c r="D79" s="57">
        <f>IF('RPM &amp; Discounts'!$B$3='A0.Support'!$B$5,1,SUMPRODUCT(D$67:D$68,D$7:D$8)/SUM(D$7:D$8))</f>
        <v>3.7266188936024E-2</v>
      </c>
      <c r="E79" s="57">
        <f>IF('RPM &amp; Discounts'!$B$3='A0.Support'!$B$5,1,SUMPRODUCT(E$67:E$68,E$7:E$8)/SUM(E$7:E$8))</f>
        <v>3.7266188936024E-2</v>
      </c>
      <c r="G79"/>
      <c r="H79"/>
      <c r="I79"/>
      <c r="J79"/>
      <c r="K79"/>
      <c r="L79"/>
    </row>
    <row r="80" spans="2:13" ht="14.4" customHeight="1">
      <c r="B80" s="36" t="s">
        <v>217</v>
      </c>
      <c r="C80" s="3" t="s">
        <v>14</v>
      </c>
      <c r="D80" s="57">
        <f>IF('RPM &amp; Discounts'!$B$3='A0.Support'!$B$5,1,D69)</f>
        <v>0.10412747884022977</v>
      </c>
      <c r="E80" s="57">
        <f>IF('RPM &amp; Discounts'!$B$3='A0.Support'!$B$5,1,E69)</f>
        <v>0.10412747884022977</v>
      </c>
      <c r="G80"/>
      <c r="H80"/>
      <c r="I80"/>
      <c r="J80"/>
      <c r="K80"/>
      <c r="L80"/>
    </row>
    <row r="81" spans="2:12" ht="14.4" customHeight="1">
      <c r="B81" s="36" t="s">
        <v>218</v>
      </c>
      <c r="C81" s="3" t="s">
        <v>15</v>
      </c>
      <c r="D81" s="57">
        <f>IF('RPM &amp; Discounts'!$B$3='A0.Support'!$B$5,1,D70)</f>
        <v>7.5078375167306442E-3</v>
      </c>
      <c r="E81" s="57">
        <f>IF('RPM &amp; Discounts'!$B$3='A0.Support'!$B$5,1,E70)</f>
        <v>7.5078375167306442E-3</v>
      </c>
      <c r="G81"/>
      <c r="H81"/>
      <c r="I81"/>
      <c r="J81"/>
      <c r="K81"/>
      <c r="L81"/>
    </row>
    <row r="82" spans="2:12" ht="14.4" customHeight="1">
      <c r="B82" s="36" t="s">
        <v>26</v>
      </c>
      <c r="C82" s="3" t="s">
        <v>219</v>
      </c>
      <c r="D82" s="57">
        <f>IF('RPM &amp; Discounts'!$B$3='A0.Support'!$B$5,1,D71)</f>
        <v>7.3029617882599479E-3</v>
      </c>
      <c r="E82" s="57">
        <f>IF('RPM &amp; Discounts'!$B$3='A0.Support'!$B$5,1,E71)</f>
        <v>7.3029617882599479E-3</v>
      </c>
      <c r="G82"/>
      <c r="H82"/>
      <c r="I82"/>
      <c r="J82"/>
      <c r="K82"/>
      <c r="L82"/>
    </row>
    <row r="85" spans="2:12" ht="28.95" customHeight="1">
      <c r="B85" s="32" t="s">
        <v>595</v>
      </c>
      <c r="C85" s="5"/>
      <c r="D85" s="5"/>
      <c r="E85" s="5"/>
    </row>
    <row r="86" spans="2:12" ht="14.4" customHeight="1">
      <c r="B86" s="37"/>
    </row>
    <row r="87" spans="2:12" ht="14.4" customHeight="1">
      <c r="B87" s="9" t="s">
        <v>2</v>
      </c>
      <c r="C87" s="9" t="s">
        <v>238</v>
      </c>
      <c r="D87" s="6"/>
      <c r="E87" s="6"/>
    </row>
    <row r="88" spans="2:12" ht="14.4" customHeight="1">
      <c r="B88" s="25"/>
      <c r="C88" s="25"/>
      <c r="D88" s="23" t="str">
        <f>'Input data'!D$5</f>
        <v>2025-26</v>
      </c>
      <c r="E88" s="23" t="str">
        <f>'Input data'!E$5</f>
        <v>2026-27</v>
      </c>
    </row>
    <row r="89" spans="2:12" ht="14.4" customHeight="1">
      <c r="B89" s="24"/>
      <c r="C89" s="24"/>
      <c r="D89" s="8"/>
      <c r="E89" s="8"/>
    </row>
    <row r="90" spans="2:12" ht="14.4" customHeight="1">
      <c r="B90" s="36" t="s">
        <v>225</v>
      </c>
      <c r="C90" s="3" t="s">
        <v>224</v>
      </c>
      <c r="D90" s="57">
        <f t="shared" ref="D90:E90" si="5">D79</f>
        <v>3.7266188936024E-2</v>
      </c>
      <c r="E90" s="57">
        <f t="shared" si="5"/>
        <v>3.7266188936024E-2</v>
      </c>
    </row>
    <row r="91" spans="2:12" ht="14.4" customHeight="1">
      <c r="B91" s="36" t="s">
        <v>217</v>
      </c>
      <c r="C91" s="3" t="s">
        <v>14</v>
      </c>
      <c r="D91" s="57">
        <f t="shared" ref="D91:E93" si="6">D80</f>
        <v>0.10412747884022977</v>
      </c>
      <c r="E91" s="57">
        <f t="shared" si="6"/>
        <v>0.10412747884022977</v>
      </c>
    </row>
    <row r="92" spans="2:12" ht="14.4" customHeight="1">
      <c r="B92" s="36" t="s">
        <v>218</v>
      </c>
      <c r="C92" s="3" t="s">
        <v>15</v>
      </c>
      <c r="D92" s="57">
        <f t="shared" si="6"/>
        <v>7.5078375167306442E-3</v>
      </c>
      <c r="E92" s="57">
        <f t="shared" si="6"/>
        <v>7.5078375167306442E-3</v>
      </c>
    </row>
    <row r="93" spans="2:12" ht="14.4" customHeight="1">
      <c r="B93" s="36" t="s">
        <v>26</v>
      </c>
      <c r="C93" s="3" t="s">
        <v>219</v>
      </c>
      <c r="D93" s="57">
        <f t="shared" si="6"/>
        <v>7.3029617882599479E-3</v>
      </c>
      <c r="E93" s="57">
        <f t="shared" si="6"/>
        <v>7.3029617882599479E-3</v>
      </c>
    </row>
    <row r="94" spans="2:12" ht="14.4" customHeight="1">
      <c r="B94" s="9" t="s">
        <v>2</v>
      </c>
      <c r="C94" s="9" t="s">
        <v>239</v>
      </c>
      <c r="D94" s="6"/>
      <c r="E94" s="6"/>
    </row>
    <row r="95" spans="2:12" ht="14.4" customHeight="1">
      <c r="B95" s="25"/>
      <c r="C95" s="25"/>
      <c r="D95" s="23" t="str">
        <f>'Input data'!D$5</f>
        <v>2025-26</v>
      </c>
      <c r="E95" s="23" t="str">
        <f>'Input data'!E$5</f>
        <v>2026-27</v>
      </c>
    </row>
    <row r="96" spans="2:12" ht="14.4" customHeight="1">
      <c r="B96" s="24"/>
      <c r="C96" s="24"/>
      <c r="D96" s="8"/>
      <c r="E96" s="8"/>
    </row>
    <row r="97" spans="2:5" ht="14.4" customHeight="1">
      <c r="B97" s="36" t="s">
        <v>225</v>
      </c>
      <c r="C97" s="3" t="s">
        <v>224</v>
      </c>
      <c r="D97" s="57">
        <f t="shared" ref="D97:E97" si="7">D79</f>
        <v>3.7266188936024E-2</v>
      </c>
      <c r="E97" s="57">
        <f t="shared" si="7"/>
        <v>3.7266188936024E-2</v>
      </c>
    </row>
    <row r="98" spans="2:5" ht="14.4" customHeight="1">
      <c r="B98" s="36" t="s">
        <v>217</v>
      </c>
      <c r="C98" s="3" t="s">
        <v>14</v>
      </c>
      <c r="D98" s="57">
        <f t="shared" ref="D98:E99" si="8">D80</f>
        <v>0.10412747884022977</v>
      </c>
      <c r="E98" s="57">
        <f t="shared" si="8"/>
        <v>0.10412747884022977</v>
      </c>
    </row>
    <row r="99" spans="2:5" ht="14.4" customHeight="1">
      <c r="B99" s="36" t="s">
        <v>218</v>
      </c>
      <c r="C99" s="3" t="s">
        <v>15</v>
      </c>
      <c r="D99" s="57">
        <f t="shared" si="8"/>
        <v>7.5078375167306442E-3</v>
      </c>
      <c r="E99" s="57">
        <f t="shared" si="8"/>
        <v>7.5078375167306442E-3</v>
      </c>
    </row>
    <row r="102" spans="2:5" ht="28.95" customHeight="1">
      <c r="B102" s="32" t="s">
        <v>234</v>
      </c>
      <c r="C102" s="5"/>
      <c r="D102" s="5"/>
      <c r="E102" s="5"/>
    </row>
    <row r="103" spans="2:5" ht="14.4" customHeight="1">
      <c r="B103" s="37"/>
    </row>
    <row r="104" spans="2:5" ht="14.4" customHeight="1">
      <c r="B104" s="9" t="s">
        <v>2</v>
      </c>
      <c r="C104" s="9" t="s">
        <v>238</v>
      </c>
      <c r="D104" s="6"/>
      <c r="E104" s="6"/>
    </row>
    <row r="105" spans="2:5" ht="14.4" customHeight="1">
      <c r="B105" s="25"/>
      <c r="C105" s="25"/>
      <c r="D105" s="23" t="str">
        <f>'Input data'!D$5</f>
        <v>2025-26</v>
      </c>
      <c r="E105" s="23" t="str">
        <f>'Input data'!E$5</f>
        <v>2026-27</v>
      </c>
    </row>
    <row r="106" spans="2:5" ht="14.4" customHeight="1">
      <c r="B106" s="24"/>
      <c r="C106" s="24"/>
      <c r="D106" s="8"/>
      <c r="E106" s="8"/>
    </row>
    <row r="107" spans="2:5" ht="14.4" customHeight="1">
      <c r="B107" s="36" t="s">
        <v>225</v>
      </c>
      <c r="C107" s="3" t="s">
        <v>224</v>
      </c>
      <c r="D107" s="54">
        <v>0</v>
      </c>
      <c r="E107" s="54">
        <v>0</v>
      </c>
    </row>
    <row r="108" spans="2:5" ht="14.4" customHeight="1">
      <c r="B108" s="36" t="s">
        <v>217</v>
      </c>
      <c r="C108" s="3" t="s">
        <v>14</v>
      </c>
      <c r="D108" s="54">
        <v>0</v>
      </c>
      <c r="E108" s="54">
        <v>0</v>
      </c>
    </row>
    <row r="109" spans="2:5" ht="14.4" customHeight="1">
      <c r="B109" s="36" t="s">
        <v>218</v>
      </c>
      <c r="C109" s="3" t="s">
        <v>15</v>
      </c>
      <c r="D109" s="54">
        <f>IF('RPM &amp; Discounts'!$B$8='A0.Support'!$B$12,'Input data'!D155,IF('RPM &amp; Discounts'!$B$8='A0.Support'!$B$13,0,"Error"))</f>
        <v>1</v>
      </c>
      <c r="E109" s="54">
        <f>IF('RPM &amp; Discounts'!$B$8='A0.Support'!$B$12,'Input data'!E155,IF('RPM &amp; Discounts'!$B$8='A0.Support'!$B$13,0,"Error"))</f>
        <v>1</v>
      </c>
    </row>
    <row r="110" spans="2:5" ht="14.4" customHeight="1">
      <c r="B110" s="36" t="s">
        <v>26</v>
      </c>
      <c r="C110" s="3" t="s">
        <v>219</v>
      </c>
      <c r="D110" s="54">
        <v>0</v>
      </c>
      <c r="E110" s="54">
        <v>0</v>
      </c>
    </row>
    <row r="111" spans="2:5" ht="14.4" customHeight="1">
      <c r="B111" s="9" t="s">
        <v>2</v>
      </c>
      <c r="C111" s="9" t="s">
        <v>239</v>
      </c>
      <c r="D111" s="6"/>
      <c r="E111" s="6"/>
    </row>
    <row r="112" spans="2:5" ht="14.4" customHeight="1">
      <c r="B112" s="25"/>
      <c r="C112" s="25"/>
      <c r="D112" s="23" t="str">
        <f>'Input data'!D$5</f>
        <v>2025-26</v>
      </c>
      <c r="E112" s="23" t="str">
        <f>'Input data'!E$5</f>
        <v>2026-27</v>
      </c>
    </row>
    <row r="113" spans="2:7" ht="14.4" customHeight="1">
      <c r="B113" s="24"/>
      <c r="C113" s="24"/>
      <c r="D113" s="8"/>
      <c r="E113" s="8"/>
    </row>
    <row r="114" spans="2:7" ht="14.4" customHeight="1">
      <c r="B114" s="36" t="s">
        <v>225</v>
      </c>
      <c r="C114" s="3" t="s">
        <v>224</v>
      </c>
      <c r="D114" s="54">
        <f>IF('RPM &amp; Discounts'!$B$8='A0.Support'!$B$12,1-(1-D107)*(1-'Input data'!D162),IF('RPM &amp; Discounts'!$B$8='A0.Support'!$B$13,0,"Error"))</f>
        <v>4.6000000000000041E-2</v>
      </c>
      <c r="E114" s="54">
        <f>IF('RPM &amp; Discounts'!$B$8='A0.Support'!$B$12,1-(1-E107)*(1-'Input data'!E162),IF('RPM &amp; Discounts'!$B$8='A0.Support'!$B$13,0,"Error"))</f>
        <v>4.6000000000000041E-2</v>
      </c>
      <c r="G114"/>
    </row>
    <row r="115" spans="2:7" ht="14.4" customHeight="1">
      <c r="B115" s="36" t="s">
        <v>217</v>
      </c>
      <c r="C115" s="3" t="s">
        <v>14</v>
      </c>
      <c r="D115" s="54">
        <f>IF('RPM &amp; Discounts'!$B$8='A0.Support'!$B$12,1-(1-D108)*(1-'Input data'!D164),IF('RPM &amp; Discounts'!$B$8='A0.Support'!$B$13,0,"Error"))</f>
        <v>7.5999999999999956E-2</v>
      </c>
      <c r="E115" s="54">
        <f>IF('RPM &amp; Discounts'!$B$8='A0.Support'!$B$12,1-(1-E108)*(1-'Input data'!E164),IF('RPM &amp; Discounts'!$B$8='A0.Support'!$B$13,0,"Error"))</f>
        <v>7.5999999999999956E-2</v>
      </c>
    </row>
    <row r="116" spans="2:7" ht="14.4" customHeight="1">
      <c r="B116" s="36" t="s">
        <v>218</v>
      </c>
      <c r="C116" s="3" t="s">
        <v>15</v>
      </c>
      <c r="D116" s="54">
        <f>IF('RPM &amp; Discounts'!$B$8='A0.Support'!$B$12,1-(1-D109)*(1-'Input data'!D165),IF('RPM &amp; Discounts'!$B$8='A0.Support'!$B$13,0,"Error"))</f>
        <v>1</v>
      </c>
      <c r="E116" s="54">
        <f>IF('RPM &amp; Discounts'!$B$8='A0.Support'!$B$12,1-(1-E109)*(1-'Input data'!E165),IF('RPM &amp; Discounts'!$B$8='A0.Support'!$B$13,0,"Error"))</f>
        <v>1</v>
      </c>
    </row>
    <row r="119" spans="2:7" ht="28.95" customHeight="1">
      <c r="B119" s="32" t="s">
        <v>596</v>
      </c>
      <c r="C119" s="5"/>
      <c r="D119" s="5"/>
      <c r="E119" s="5"/>
    </row>
    <row r="120" spans="2:7" ht="14.4" customHeight="1">
      <c r="B120" s="37" t="s">
        <v>235</v>
      </c>
    </row>
    <row r="121" spans="2:7" ht="14.4" customHeight="1">
      <c r="B121" s="9" t="s">
        <v>2</v>
      </c>
      <c r="C121" s="9" t="s">
        <v>238</v>
      </c>
      <c r="D121" s="6"/>
      <c r="E121" s="6"/>
    </row>
    <row r="122" spans="2:7" ht="14.4" customHeight="1">
      <c r="B122" s="25"/>
      <c r="C122" s="25"/>
      <c r="D122" s="23" t="str">
        <f>'Input data'!D$5</f>
        <v>2025-26</v>
      </c>
      <c r="E122" s="23" t="str">
        <f>'Input data'!E$5</f>
        <v>2026-27</v>
      </c>
    </row>
    <row r="123" spans="2:7" ht="14.4" customHeight="1">
      <c r="B123" s="24"/>
      <c r="C123" s="24"/>
      <c r="D123" s="8"/>
      <c r="E123" s="8"/>
    </row>
    <row r="124" spans="2:7" ht="14.4" customHeight="1">
      <c r="B124" s="36" t="s">
        <v>225</v>
      </c>
      <c r="C124" s="3" t="s">
        <v>224</v>
      </c>
      <c r="D124" s="57">
        <f t="shared" ref="D124:E124" si="9">D90*(1-D107)</f>
        <v>3.7266188936024E-2</v>
      </c>
      <c r="E124" s="57">
        <f t="shared" si="9"/>
        <v>3.7266188936024E-2</v>
      </c>
    </row>
    <row r="125" spans="2:7" ht="14.4" customHeight="1">
      <c r="B125" s="36" t="s">
        <v>217</v>
      </c>
      <c r="C125" s="3" t="s">
        <v>14</v>
      </c>
      <c r="D125" s="57">
        <f t="shared" ref="D125:E127" si="10">D91*(1-D108)</f>
        <v>0.10412747884022977</v>
      </c>
      <c r="E125" s="57">
        <f t="shared" si="10"/>
        <v>0.10412747884022977</v>
      </c>
    </row>
    <row r="126" spans="2:7" ht="14.4" customHeight="1">
      <c r="B126" s="36" t="s">
        <v>218</v>
      </c>
      <c r="C126" s="3" t="s">
        <v>15</v>
      </c>
      <c r="D126" s="57">
        <f t="shared" si="10"/>
        <v>0</v>
      </c>
      <c r="E126" s="57">
        <f t="shared" si="10"/>
        <v>0</v>
      </c>
    </row>
    <row r="127" spans="2:7" ht="14.4" customHeight="1">
      <c r="B127" s="36" t="s">
        <v>26</v>
      </c>
      <c r="C127" s="3" t="s">
        <v>219</v>
      </c>
      <c r="D127" s="57">
        <f t="shared" si="10"/>
        <v>7.3029617882599479E-3</v>
      </c>
      <c r="E127" s="57">
        <f t="shared" si="10"/>
        <v>7.3029617882599479E-3</v>
      </c>
    </row>
    <row r="128" spans="2:7" ht="14.4" customHeight="1">
      <c r="B128" s="9" t="s">
        <v>2</v>
      </c>
      <c r="C128" s="9" t="s">
        <v>239</v>
      </c>
      <c r="D128" s="6"/>
      <c r="E128" s="6"/>
    </row>
    <row r="129" spans="2:5" ht="14.4" customHeight="1">
      <c r="B129" s="25"/>
      <c r="C129" s="25"/>
      <c r="D129" s="23" t="str">
        <f>'Input data'!D$5</f>
        <v>2025-26</v>
      </c>
      <c r="E129" s="23" t="str">
        <f>'Input data'!E$5</f>
        <v>2026-27</v>
      </c>
    </row>
    <row r="130" spans="2:5" ht="14.4" customHeight="1">
      <c r="B130" s="24"/>
      <c r="C130" s="24"/>
      <c r="D130" s="8"/>
      <c r="E130" s="8"/>
    </row>
    <row r="131" spans="2:5" ht="14.4" customHeight="1">
      <c r="B131" s="36" t="s">
        <v>225</v>
      </c>
      <c r="C131" s="3" t="s">
        <v>224</v>
      </c>
      <c r="D131" s="57">
        <f t="shared" ref="D131:E133" si="11">D97*(1-D114)</f>
        <v>3.5551944244966896E-2</v>
      </c>
      <c r="E131" s="57">
        <f t="shared" si="11"/>
        <v>3.5551944244966896E-2</v>
      </c>
    </row>
    <row r="132" spans="2:5" ht="14.4" customHeight="1">
      <c r="B132" s="36" t="s">
        <v>217</v>
      </c>
      <c r="C132" s="3" t="s">
        <v>14</v>
      </c>
      <c r="D132" s="57">
        <f t="shared" si="11"/>
        <v>9.6213790448372319E-2</v>
      </c>
      <c r="E132" s="57">
        <f t="shared" si="11"/>
        <v>9.6213790448372319E-2</v>
      </c>
    </row>
    <row r="133" spans="2:5" ht="14.4" customHeight="1">
      <c r="B133" s="36" t="s">
        <v>218</v>
      </c>
      <c r="C133" s="3" t="s">
        <v>15</v>
      </c>
      <c r="D133" s="57">
        <f t="shared" si="11"/>
        <v>0</v>
      </c>
      <c r="E133" s="57">
        <f t="shared" si="11"/>
        <v>0</v>
      </c>
    </row>
    <row r="136" spans="2:5" ht="28.95" customHeight="1">
      <c r="B136" s="32" t="s">
        <v>597</v>
      </c>
      <c r="C136" s="5"/>
      <c r="D136" s="5"/>
      <c r="E136" s="5"/>
    </row>
    <row r="137" spans="2:5" ht="14.4" customHeight="1">
      <c r="B137" s="37"/>
    </row>
    <row r="138" spans="2:5" ht="14.4" customHeight="1">
      <c r="B138" s="9" t="s">
        <v>2</v>
      </c>
      <c r="C138" s="9" t="s">
        <v>238</v>
      </c>
      <c r="D138" s="6"/>
      <c r="E138" s="6"/>
    </row>
    <row r="139" spans="2:5" ht="14.4" customHeight="1">
      <c r="B139" s="25"/>
      <c r="C139" s="25"/>
      <c r="D139" s="23" t="str">
        <f>'Input data'!D$5</f>
        <v>2025-26</v>
      </c>
      <c r="E139" s="23" t="str">
        <f>'Input data'!E$5</f>
        <v>2026-27</v>
      </c>
    </row>
    <row r="140" spans="2:5" ht="14.4" customHeight="1">
      <c r="B140" s="24"/>
      <c r="C140" s="24"/>
      <c r="D140" s="8"/>
      <c r="E140" s="8"/>
    </row>
    <row r="141" spans="2:5" ht="14.4" customHeight="1">
      <c r="B141" s="36" t="s">
        <v>225</v>
      </c>
      <c r="C141" s="3" t="s">
        <v>224</v>
      </c>
      <c r="D141" s="38">
        <f>SUMPRODUCT('Input data'!D20:D24,'Input data'!D115:D119)</f>
        <v>19765341.445409834</v>
      </c>
      <c r="E141" s="38">
        <f>SUMPRODUCT('Input data'!E20:E24,'Input data'!E115:E119)</f>
        <v>19765341.445409834</v>
      </c>
    </row>
    <row r="142" spans="2:5" ht="14.4" customHeight="1">
      <c r="B142" s="36" t="s">
        <v>217</v>
      </c>
      <c r="C142" s="3" t="s">
        <v>14</v>
      </c>
      <c r="D142" s="38">
        <f>SUMPRODUCT('Input data'!D25:D29,'Input data'!D120:D124)</f>
        <v>182415826.68795082</v>
      </c>
      <c r="E142" s="38">
        <f>SUMPRODUCT('Input data'!E25:E29,'Input data'!E120:E124)</f>
        <v>182415826.68795082</v>
      </c>
    </row>
    <row r="143" spans="2:5" ht="14.4" customHeight="1">
      <c r="B143" s="36" t="s">
        <v>218</v>
      </c>
      <c r="C143" s="3" t="s">
        <v>15</v>
      </c>
      <c r="D143" s="38">
        <f>SUMPRODUCT('Input data'!D30:D31,'Input data'!D125:D126)</f>
        <v>7061251.0740085999</v>
      </c>
      <c r="E143" s="38">
        <f>SUMPRODUCT('Input data'!E30:E31,'Input data'!E125:E126)</f>
        <v>7061251.0740085999</v>
      </c>
    </row>
    <row r="144" spans="2:5" ht="14.4" customHeight="1">
      <c r="B144" s="36" t="s">
        <v>26</v>
      </c>
      <c r="C144" s="3" t="s">
        <v>219</v>
      </c>
      <c r="D144" s="38">
        <f>'Input data'!D32</f>
        <v>1</v>
      </c>
      <c r="E144" s="38">
        <f>'Input data'!E32</f>
        <v>1</v>
      </c>
    </row>
    <row r="145" spans="2:5" ht="14.4" customHeight="1">
      <c r="B145" s="9" t="s">
        <v>2</v>
      </c>
      <c r="C145" s="9" t="s">
        <v>239</v>
      </c>
      <c r="D145" s="6"/>
      <c r="E145" s="6"/>
    </row>
    <row r="146" spans="2:5" ht="14.4" customHeight="1">
      <c r="B146" s="25"/>
      <c r="C146" s="25"/>
      <c r="D146" s="23" t="str">
        <f>'Input data'!D$5</f>
        <v>2025-26</v>
      </c>
      <c r="E146" s="23" t="str">
        <f>'Input data'!E$5</f>
        <v>2026-27</v>
      </c>
    </row>
    <row r="147" spans="2:5" ht="14.4" customHeight="1">
      <c r="B147" s="24"/>
      <c r="C147" s="24"/>
      <c r="D147" s="8"/>
      <c r="E147" s="8"/>
    </row>
    <row r="148" spans="2:5" ht="14.4" customHeight="1">
      <c r="B148" s="36" t="s">
        <v>225</v>
      </c>
      <c r="C148" s="3" t="s">
        <v>224</v>
      </c>
      <c r="D148" s="38">
        <f>'Input data'!D40*'Input data'!D118+'Input data'!D41*'Input data'!D119</f>
        <v>0</v>
      </c>
      <c r="E148" s="38">
        <f>'Input data'!E40*'Input data'!E118+'Input data'!E41*'Input data'!E119</f>
        <v>0</v>
      </c>
    </row>
    <row r="149" spans="2:5" ht="14.4" customHeight="1">
      <c r="B149" s="36" t="s">
        <v>217</v>
      </c>
      <c r="C149" s="3" t="s">
        <v>14</v>
      </c>
      <c r="D149" s="38">
        <f>+'Input data'!D42*'Input data'!D124</f>
        <v>0</v>
      </c>
      <c r="E149" s="38">
        <f>+'Input data'!E42*'Input data'!E124</f>
        <v>0</v>
      </c>
    </row>
    <row r="150" spans="2:5" ht="14.4" customHeight="1">
      <c r="B150" s="36" t="s">
        <v>218</v>
      </c>
      <c r="C150" s="3" t="s">
        <v>15</v>
      </c>
      <c r="D150" s="38">
        <f>+'Input data'!D43*'Input data'!D126</f>
        <v>0</v>
      </c>
      <c r="E150" s="38">
        <f>+'Input data'!E43*'Input data'!E126</f>
        <v>0</v>
      </c>
    </row>
    <row r="153" spans="2:5" ht="28.95" customHeight="1">
      <c r="B153" s="32" t="s">
        <v>598</v>
      </c>
      <c r="C153" s="5"/>
      <c r="D153" s="5"/>
      <c r="E153" s="5"/>
    </row>
    <row r="154" spans="2:5" ht="14.4" customHeight="1">
      <c r="B154" s="37"/>
    </row>
    <row r="155" spans="2:5" ht="14.4" customHeight="1">
      <c r="B155" s="9" t="s">
        <v>2</v>
      </c>
      <c r="C155" s="9" t="s">
        <v>238</v>
      </c>
      <c r="D155" s="6"/>
      <c r="E155" s="6"/>
    </row>
    <row r="156" spans="2:5" ht="14.4" customHeight="1">
      <c r="B156" s="25"/>
      <c r="C156" s="25"/>
      <c r="D156" s="23" t="str">
        <f>'Input data'!D$5</f>
        <v>2025-26</v>
      </c>
      <c r="E156" s="23" t="str">
        <f>'Input data'!E$5</f>
        <v>2026-27</v>
      </c>
    </row>
    <row r="157" spans="2:5" ht="14.4" customHeight="1">
      <c r="B157" s="24"/>
      <c r="C157" s="24"/>
      <c r="D157" s="8"/>
      <c r="E157" s="8"/>
    </row>
    <row r="158" spans="2:5" ht="14.4" customHeight="1">
      <c r="B158" s="36" t="s">
        <v>225</v>
      </c>
      <c r="C158" s="3" t="s">
        <v>224</v>
      </c>
      <c r="D158" s="57">
        <f>D124*'Input data'!D$190*'Input data'!D$7/(SUMPRODUCT(D$124:D$127,D$141:D$144)+SUMPRODUCT(D$131:D$133,D$148:D$150))</f>
        <v>3.7366318116816469E-2</v>
      </c>
      <c r="E158" s="57">
        <f>E124*'Input data'!E$190*'Input data'!E$7/(SUMPRODUCT(E$124:E$127,E$141:E$144)+SUMPRODUCT(E$131:E$133,E$148:E$150))</f>
        <v>3.7366318116816469E-2</v>
      </c>
    </row>
    <row r="159" spans="2:5" ht="14.4" customHeight="1">
      <c r="B159" s="36" t="s">
        <v>217</v>
      </c>
      <c r="C159" s="3" t="s">
        <v>14</v>
      </c>
      <c r="D159" s="57">
        <f>D125*'Input data'!D$190*'Input data'!D$7/(SUMPRODUCT(D$124:D$127,D$141:D$144)+SUMPRODUCT(D$131:D$133,D$148:D$150))</f>
        <v>0.10440725521264489</v>
      </c>
      <c r="E159" s="57">
        <f>E125*'Input data'!E$190*'Input data'!E$7/(SUMPRODUCT(E$124:E$127,E$141:E$144)+SUMPRODUCT(E$131:E$133,E$148:E$150))</f>
        <v>0.10440725521264489</v>
      </c>
    </row>
    <row r="160" spans="2:5" ht="14.4" customHeight="1">
      <c r="B160" s="36" t="s">
        <v>218</v>
      </c>
      <c r="C160" s="3" t="s">
        <v>15</v>
      </c>
      <c r="D160" s="57">
        <f>D126*'Input data'!D$190*'Input data'!D$7/(SUMPRODUCT(D$124:D$127,D$141:D$144)+SUMPRODUCT(D$131:D$133,D$148:D$150))</f>
        <v>0</v>
      </c>
      <c r="E160" s="57">
        <f>E126*'Input data'!E$190*'Input data'!E$7/(SUMPRODUCT(E$124:E$127,E$141:E$144)+SUMPRODUCT(E$131:E$133,E$148:E$150))</f>
        <v>0</v>
      </c>
    </row>
    <row r="161" spans="2:8" ht="14.4" customHeight="1">
      <c r="B161" s="36" t="s">
        <v>26</v>
      </c>
      <c r="C161" s="3" t="s">
        <v>219</v>
      </c>
      <c r="D161" s="57">
        <f>D127*'Input data'!D$190*'Input data'!D$7/(SUMPRODUCT(D$124:D$127,D$141:D$144)+SUMPRODUCT(D$131:D$133,D$148:D$150))</f>
        <v>7.3225838532495419E-3</v>
      </c>
      <c r="E161" s="57">
        <f>E127*'Input data'!E$190*'Input data'!E$7/(SUMPRODUCT(E$124:E$127,E$141:E$144)+SUMPRODUCT(E$131:E$133,E$148:E$150))</f>
        <v>7.3225838532495419E-3</v>
      </c>
    </row>
    <row r="162" spans="2:8" ht="14.4" customHeight="1">
      <c r="B162" s="9" t="s">
        <v>2</v>
      </c>
      <c r="C162" s="9" t="s">
        <v>239</v>
      </c>
      <c r="D162" s="6"/>
      <c r="E162" s="6"/>
    </row>
    <row r="163" spans="2:8" ht="14.4" customHeight="1">
      <c r="B163" s="25"/>
      <c r="C163" s="25"/>
      <c r="D163" s="23" t="str">
        <f>'Input data'!D$5</f>
        <v>2025-26</v>
      </c>
      <c r="E163" s="23" t="str">
        <f>'Input data'!E$5</f>
        <v>2026-27</v>
      </c>
    </row>
    <row r="164" spans="2:8" ht="14.4" customHeight="1">
      <c r="B164" s="24"/>
      <c r="C164" s="24"/>
      <c r="D164" s="8"/>
      <c r="E164" s="8"/>
    </row>
    <row r="165" spans="2:8" ht="14.4" customHeight="1">
      <c r="B165" s="36" t="s">
        <v>225</v>
      </c>
      <c r="C165" s="3" t="s">
        <v>224</v>
      </c>
      <c r="D165" s="57">
        <f>D131*'Input data'!D$190*'Input data'!D$7/(SUMPRODUCT(D$124:D$127,D$141:D$144)+SUMPRODUCT(D$131:D$133,D$148:D$150))</f>
        <v>3.5647467483442913E-2</v>
      </c>
      <c r="E165" s="57">
        <f>E131*'Input data'!E$190*'Input data'!E$7/(SUMPRODUCT(E$124:E$127,E$141:E$144)+SUMPRODUCT(E$131:E$133,E$148:E$150))</f>
        <v>3.5647467483442913E-2</v>
      </c>
    </row>
    <row r="166" spans="2:8" ht="14.4" customHeight="1">
      <c r="B166" s="36" t="s">
        <v>217</v>
      </c>
      <c r="C166" s="3" t="s">
        <v>14</v>
      </c>
      <c r="D166" s="57">
        <f>D132*'Input data'!D$190*'Input data'!D$7/(SUMPRODUCT(D$124:D$127,D$141:D$144)+SUMPRODUCT(D$131:D$133,D$148:D$150))</f>
        <v>9.647230381648389E-2</v>
      </c>
      <c r="E166" s="57">
        <f>E132*'Input data'!E$190*'Input data'!E$7/(SUMPRODUCT(E$124:E$127,E$141:E$144)+SUMPRODUCT(E$131:E$133,E$148:E$150))</f>
        <v>9.647230381648389E-2</v>
      </c>
    </row>
    <row r="167" spans="2:8" ht="14.4" customHeight="1">
      <c r="B167" s="36" t="s">
        <v>218</v>
      </c>
      <c r="C167" s="3" t="s">
        <v>15</v>
      </c>
      <c r="D167" s="57">
        <f>D133*'Input data'!D$190*'Input data'!D$7/(SUMPRODUCT(D$124:D$127,D$141:D$144)+SUMPRODUCT(D$131:D$133,D$148:D$150))</f>
        <v>0</v>
      </c>
      <c r="E167" s="57">
        <f>E133*'Input data'!E$190*'Input data'!E$7/(SUMPRODUCT(E$124:E$127,E$141:E$144)+SUMPRODUCT(E$131:E$133,E$148:E$150))</f>
        <v>0</v>
      </c>
    </row>
    <row r="170" spans="2:8" ht="28.95" customHeight="1">
      <c r="B170" s="32" t="s">
        <v>599</v>
      </c>
      <c r="C170" s="5"/>
      <c r="D170" s="5"/>
      <c r="E170" s="5"/>
    </row>
    <row r="171" spans="2:8" ht="14.4" customHeight="1">
      <c r="B171" s="37"/>
    </row>
    <row r="172" spans="2:8" ht="14.4" customHeight="1">
      <c r="B172" s="9" t="s">
        <v>2</v>
      </c>
      <c r="C172" s="9" t="s">
        <v>238</v>
      </c>
      <c r="D172" s="6"/>
      <c r="E172" s="6"/>
    </row>
    <row r="173" spans="2:8" ht="14.4" customHeight="1">
      <c r="B173" s="25"/>
      <c r="C173" s="25"/>
      <c r="D173" s="23" t="str">
        <f>'Input data'!D$5</f>
        <v>2025-26</v>
      </c>
      <c r="E173" s="23" t="str">
        <f>'Input data'!E$5</f>
        <v>2026-27</v>
      </c>
    </row>
    <row r="174" spans="2:8" ht="14.4" customHeight="1">
      <c r="B174" s="24"/>
      <c r="C174" s="24"/>
      <c r="D174" s="8"/>
      <c r="E174" s="8"/>
    </row>
    <row r="175" spans="2:8" ht="14.4" customHeight="1">
      <c r="B175" s="36" t="s">
        <v>225</v>
      </c>
      <c r="C175" s="3" t="s">
        <v>224</v>
      </c>
      <c r="D175" s="38">
        <f t="shared" ref="D175:E175" si="12">D141*D158</f>
        <v>738558.03613668086</v>
      </c>
      <c r="E175" s="38">
        <f t="shared" si="12"/>
        <v>738558.03613668086</v>
      </c>
    </row>
    <row r="176" spans="2:8" ht="14.4" customHeight="1">
      <c r="B176" s="36" t="s">
        <v>217</v>
      </c>
      <c r="C176" s="3" t="s">
        <v>14</v>
      </c>
      <c r="D176" s="38">
        <f t="shared" ref="D176:E178" si="13">D142*D159</f>
        <v>19045535.771834482</v>
      </c>
      <c r="E176" s="38">
        <f t="shared" si="13"/>
        <v>19045535.771834482</v>
      </c>
      <c r="H176"/>
    </row>
    <row r="177" spans="2:5" ht="14.4" customHeight="1">
      <c r="B177" s="36" t="s">
        <v>218</v>
      </c>
      <c r="C177" s="3" t="s">
        <v>15</v>
      </c>
      <c r="D177" s="38">
        <f t="shared" si="13"/>
        <v>0</v>
      </c>
      <c r="E177" s="38">
        <f t="shared" si="13"/>
        <v>0</v>
      </c>
    </row>
    <row r="178" spans="2:5" ht="14.4" customHeight="1">
      <c r="B178" s="36" t="s">
        <v>26</v>
      </c>
      <c r="C178" s="3" t="s">
        <v>219</v>
      </c>
      <c r="D178" s="38">
        <f t="shared" si="13"/>
        <v>7.3225838532495419E-3</v>
      </c>
      <c r="E178" s="38">
        <f t="shared" si="13"/>
        <v>7.3225838532495419E-3</v>
      </c>
    </row>
    <row r="179" spans="2:5" ht="14.4" customHeight="1">
      <c r="B179" s="9" t="s">
        <v>2</v>
      </c>
      <c r="C179" s="9" t="s">
        <v>239</v>
      </c>
      <c r="D179" s="6"/>
      <c r="E179" s="6"/>
    </row>
    <row r="180" spans="2:5" ht="14.4" customHeight="1">
      <c r="B180" s="25"/>
      <c r="C180" s="25"/>
      <c r="D180" s="23" t="str">
        <f>'Input data'!D$5</f>
        <v>2025-26</v>
      </c>
      <c r="E180" s="23" t="str">
        <f>'Input data'!E$5</f>
        <v>2026-27</v>
      </c>
    </row>
    <row r="181" spans="2:5" ht="14.4" customHeight="1">
      <c r="B181" s="24"/>
      <c r="C181" s="24"/>
      <c r="D181" s="8"/>
      <c r="E181" s="8"/>
    </row>
    <row r="182" spans="2:5" ht="14.4" customHeight="1">
      <c r="B182" s="36" t="s">
        <v>225</v>
      </c>
      <c r="C182" s="3" t="s">
        <v>224</v>
      </c>
      <c r="D182" s="38">
        <f t="shared" ref="D182:E184" si="14">D148*D165</f>
        <v>0</v>
      </c>
      <c r="E182" s="38">
        <f t="shared" si="14"/>
        <v>0</v>
      </c>
    </row>
    <row r="183" spans="2:5" ht="14.4" customHeight="1">
      <c r="B183" s="36" t="s">
        <v>217</v>
      </c>
      <c r="C183" s="3" t="s">
        <v>14</v>
      </c>
      <c r="D183" s="38">
        <f t="shared" si="14"/>
        <v>0</v>
      </c>
      <c r="E183" s="38">
        <f t="shared" si="14"/>
        <v>0</v>
      </c>
    </row>
    <row r="184" spans="2:5" ht="14.4" customHeight="1">
      <c r="B184" s="36" t="s">
        <v>218</v>
      </c>
      <c r="C184" s="3" t="s">
        <v>15</v>
      </c>
      <c r="D184" s="38">
        <f t="shared" si="14"/>
        <v>0</v>
      </c>
      <c r="E184" s="38">
        <f t="shared" si="14"/>
        <v>0</v>
      </c>
    </row>
    <row r="185" spans="2:5" ht="14.4" customHeight="1">
      <c r="B185" s="21" t="s">
        <v>31</v>
      </c>
      <c r="C185" s="22"/>
      <c r="D185" s="20">
        <f t="shared" ref="D185:E185" si="15">SUM(D175:D178,D181:D184)</f>
        <v>19784093.815293744</v>
      </c>
      <c r="E185" s="20">
        <f t="shared" si="15"/>
        <v>19784093.815293744</v>
      </c>
    </row>
    <row r="186" spans="2:5" ht="14.4" customHeight="1">
      <c r="D186" s="61">
        <f>'Input data'!D190*'Input data'!D7-D185</f>
        <v>0</v>
      </c>
      <c r="E186" s="61">
        <f>'Input data'!E190*'Input data'!E7-E185</f>
        <v>0</v>
      </c>
    </row>
  </sheetData>
  <conditionalFormatting sqref="D186:E186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D141:E14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B2:E218"/>
  <sheetViews>
    <sheetView showGridLines="0" workbookViewId="0">
      <selection sqref="A1:A1048576"/>
    </sheetView>
  </sheetViews>
  <sheetFormatPr defaultColWidth="8.88671875" defaultRowHeight="14.4" customHeight="1"/>
  <cols>
    <col min="1" max="1" width="8.88671875" style="1"/>
    <col min="2" max="2" width="35.6640625" style="1" customWidth="1"/>
    <col min="3" max="3" width="28.6640625" style="1" bestFit="1" customWidth="1"/>
    <col min="4" max="5" width="11.6640625" style="1" customWidth="1"/>
    <col min="6" max="6" width="8.88671875" style="1"/>
    <col min="7" max="7" width="12" style="1" bestFit="1" customWidth="1"/>
    <col min="8" max="16384" width="8.88671875" style="1"/>
  </cols>
  <sheetData>
    <row r="2" spans="2:5" ht="28.95" customHeight="1">
      <c r="B2" s="32" t="s">
        <v>600</v>
      </c>
      <c r="C2" s="5"/>
      <c r="D2" s="5"/>
      <c r="E2" s="5"/>
    </row>
    <row r="3" spans="2:5" ht="14.4" customHeight="1">
      <c r="B3" s="37" t="s">
        <v>232</v>
      </c>
    </row>
    <row r="4" spans="2:5" ht="14.4" customHeight="1">
      <c r="B4" s="9" t="s">
        <v>2</v>
      </c>
      <c r="C4" s="9" t="s">
        <v>228</v>
      </c>
      <c r="D4" s="6"/>
      <c r="E4" s="6"/>
    </row>
    <row r="5" spans="2:5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5" ht="14.4" customHeight="1">
      <c r="B6" s="24"/>
      <c r="C6" s="24"/>
      <c r="D6" s="8"/>
      <c r="E6" s="8"/>
    </row>
    <row r="7" spans="2:5" ht="14.4" customHeight="1">
      <c r="B7" s="10" t="s">
        <v>8</v>
      </c>
      <c r="C7" s="3" t="s">
        <v>9</v>
      </c>
      <c r="D7" s="57">
        <f>'Entry Tariff_1'!D$79</f>
        <v>3.7266188936024E-2</v>
      </c>
      <c r="E7" s="57">
        <f>'Entry Tariff_1'!E$79</f>
        <v>3.7266188936024E-2</v>
      </c>
    </row>
    <row r="8" spans="2:5" ht="14.4" customHeight="1">
      <c r="B8" s="11"/>
      <c r="C8" s="3" t="s">
        <v>10</v>
      </c>
      <c r="D8" s="57">
        <f>'Entry Tariff_1'!D$79</f>
        <v>3.7266188936024E-2</v>
      </c>
      <c r="E8" s="57">
        <f>'Entry Tariff_1'!E$79</f>
        <v>3.7266188936024E-2</v>
      </c>
    </row>
    <row r="9" spans="2:5" ht="14.4" customHeight="1">
      <c r="B9" s="11"/>
      <c r="C9" s="3" t="s">
        <v>11</v>
      </c>
      <c r="D9" s="57">
        <f>'Entry Tariff_1'!D$79</f>
        <v>3.7266188936024E-2</v>
      </c>
      <c r="E9" s="57">
        <f>'Entry Tariff_1'!E$79</f>
        <v>3.7266188936024E-2</v>
      </c>
    </row>
    <row r="10" spans="2:5" ht="14.4" customHeight="1">
      <c r="B10" s="11"/>
      <c r="C10" s="3" t="s">
        <v>12</v>
      </c>
      <c r="D10" s="57">
        <f>'Entry Tariff_1'!D$79</f>
        <v>3.7266188936024E-2</v>
      </c>
      <c r="E10" s="57">
        <f>'Entry Tariff_1'!E$79</f>
        <v>3.7266188936024E-2</v>
      </c>
    </row>
    <row r="11" spans="2:5" ht="14.4" customHeight="1">
      <c r="B11" s="12"/>
      <c r="C11" s="3" t="s">
        <v>13</v>
      </c>
      <c r="D11" s="57">
        <f>'Entry Tariff_1'!D$79</f>
        <v>3.7266188936024E-2</v>
      </c>
      <c r="E11" s="57">
        <f>'Entry Tariff_1'!E$79</f>
        <v>3.7266188936024E-2</v>
      </c>
    </row>
    <row r="12" spans="2:5" ht="14.4" customHeight="1">
      <c r="B12" s="10" t="s">
        <v>14</v>
      </c>
      <c r="C12" s="3" t="s">
        <v>9</v>
      </c>
      <c r="D12" s="57">
        <f>'Entry Tariff_1'!D$80</f>
        <v>0.10412747884022977</v>
      </c>
      <c r="E12" s="57">
        <f>'Entry Tariff_1'!E$80</f>
        <v>0.10412747884022977</v>
      </c>
    </row>
    <row r="13" spans="2:5" ht="14.4" customHeight="1">
      <c r="B13" s="13"/>
      <c r="C13" s="3" t="s">
        <v>10</v>
      </c>
      <c r="D13" s="57">
        <f>'Entry Tariff_1'!D$80</f>
        <v>0.10412747884022977</v>
      </c>
      <c r="E13" s="57">
        <f>'Entry Tariff_1'!E$80</f>
        <v>0.10412747884022977</v>
      </c>
    </row>
    <row r="14" spans="2:5" ht="14.4" customHeight="1">
      <c r="B14" s="13"/>
      <c r="C14" s="3" t="s">
        <v>11</v>
      </c>
      <c r="D14" s="57">
        <f>'Entry Tariff_1'!D$80</f>
        <v>0.10412747884022977</v>
      </c>
      <c r="E14" s="57">
        <f>'Entry Tariff_1'!E$80</f>
        <v>0.10412747884022977</v>
      </c>
    </row>
    <row r="15" spans="2:5" ht="14.4" customHeight="1">
      <c r="B15" s="13"/>
      <c r="C15" s="3" t="s">
        <v>12</v>
      </c>
      <c r="D15" s="57">
        <f>'Entry Tariff_1'!D$80</f>
        <v>0.10412747884022977</v>
      </c>
      <c r="E15" s="57">
        <f>'Entry Tariff_1'!E$80</f>
        <v>0.10412747884022977</v>
      </c>
    </row>
    <row r="16" spans="2:5" ht="14.4" customHeight="1">
      <c r="B16" s="14"/>
      <c r="C16" s="3" t="s">
        <v>13</v>
      </c>
      <c r="D16" s="57">
        <f>'Entry Tariff_1'!D$80</f>
        <v>0.10412747884022977</v>
      </c>
      <c r="E16" s="57">
        <f>'Entry Tariff_1'!E$80</f>
        <v>0.10412747884022977</v>
      </c>
    </row>
    <row r="17" spans="2:5" ht="14.4" customHeight="1">
      <c r="B17" s="10" t="s">
        <v>15</v>
      </c>
      <c r="C17" s="3" t="s">
        <v>12</v>
      </c>
      <c r="D17" s="57">
        <f>'Entry Tariff_1'!D$81</f>
        <v>7.5078375167306442E-3</v>
      </c>
      <c r="E17" s="57">
        <f>'Entry Tariff_1'!E$81</f>
        <v>7.5078375167306442E-3</v>
      </c>
    </row>
    <row r="18" spans="2:5" ht="14.4" customHeight="1">
      <c r="B18" s="14"/>
      <c r="C18" s="3" t="s">
        <v>13</v>
      </c>
      <c r="D18" s="57">
        <f>'Entry Tariff_1'!D$81</f>
        <v>7.5078375167306442E-3</v>
      </c>
      <c r="E18" s="57">
        <f>'Entry Tariff_1'!E$81</f>
        <v>7.5078375167306442E-3</v>
      </c>
    </row>
    <row r="19" spans="2:5" ht="14.4" customHeight="1">
      <c r="B19" s="15" t="s">
        <v>26</v>
      </c>
      <c r="C19" s="3" t="s">
        <v>27</v>
      </c>
      <c r="D19" s="57">
        <f>'Entry Tariff_1'!D82</f>
        <v>7.3029617882599479E-3</v>
      </c>
      <c r="E19" s="57">
        <f>'Entry Tariff_1'!E82</f>
        <v>7.3029617882599479E-3</v>
      </c>
    </row>
    <row r="20" spans="2:5" ht="14.4" customHeight="1">
      <c r="B20" s="9" t="s">
        <v>2</v>
      </c>
      <c r="C20" s="9" t="s">
        <v>229</v>
      </c>
      <c r="D20" s="6"/>
      <c r="E20" s="6"/>
    </row>
    <row r="21" spans="2:5" ht="14.4" customHeight="1">
      <c r="B21" s="25"/>
      <c r="C21" s="25"/>
      <c r="D21" s="23" t="str">
        <f>'Input data'!D$5</f>
        <v>2025-26</v>
      </c>
      <c r="E21" s="23" t="str">
        <f>'Input data'!E$5</f>
        <v>2026-27</v>
      </c>
    </row>
    <row r="22" spans="2:5" ht="14.4" customHeight="1">
      <c r="B22" s="24"/>
      <c r="C22" s="24"/>
      <c r="D22" s="8"/>
      <c r="E22" s="8"/>
    </row>
    <row r="23" spans="2:5" ht="14.4" customHeight="1">
      <c r="B23" s="10" t="s">
        <v>8</v>
      </c>
      <c r="C23" s="3" t="s">
        <v>12</v>
      </c>
      <c r="D23" s="57">
        <f>'Entry Tariff_1'!D$79</f>
        <v>3.7266188936024E-2</v>
      </c>
      <c r="E23" s="57">
        <f>'Entry Tariff_1'!E$79</f>
        <v>3.7266188936024E-2</v>
      </c>
    </row>
    <row r="24" spans="2:5" ht="14.4" customHeight="1">
      <c r="B24" s="12"/>
      <c r="C24" s="3" t="s">
        <v>13</v>
      </c>
      <c r="D24" s="57">
        <f>'Entry Tariff_1'!D$79</f>
        <v>3.7266188936024E-2</v>
      </c>
      <c r="E24" s="57">
        <f>'Entry Tariff_1'!E$79</f>
        <v>3.7266188936024E-2</v>
      </c>
    </row>
    <row r="25" spans="2:5" ht="14.4" customHeight="1">
      <c r="B25" s="15" t="s">
        <v>14</v>
      </c>
      <c r="C25" s="3" t="s">
        <v>13</v>
      </c>
      <c r="D25" s="57">
        <f>'Entry Tariff_1'!D$80</f>
        <v>0.10412747884022977</v>
      </c>
      <c r="E25" s="57">
        <f>'Entry Tariff_1'!E$80</f>
        <v>0.10412747884022977</v>
      </c>
    </row>
    <row r="26" spans="2:5" ht="14.4" customHeight="1">
      <c r="B26" s="15" t="s">
        <v>15</v>
      </c>
      <c r="C26" s="3" t="s">
        <v>13</v>
      </c>
      <c r="D26" s="57">
        <f>'Entry Tariff_1'!D$81</f>
        <v>7.5078375167306442E-3</v>
      </c>
      <c r="E26" s="57">
        <f>'Entry Tariff_1'!E$81</f>
        <v>7.5078375167306442E-3</v>
      </c>
    </row>
    <row r="29" spans="2:5" ht="28.95" customHeight="1">
      <c r="B29" s="32" t="s">
        <v>230</v>
      </c>
      <c r="C29" s="5"/>
      <c r="D29" s="5"/>
      <c r="E29" s="5"/>
    </row>
    <row r="30" spans="2:5" ht="14.4" customHeight="1">
      <c r="B30" s="37"/>
    </row>
    <row r="31" spans="2:5" ht="14.4" customHeight="1">
      <c r="B31" s="9" t="s">
        <v>2</v>
      </c>
      <c r="C31" s="9" t="s">
        <v>228</v>
      </c>
      <c r="D31" s="6"/>
      <c r="E31" s="6"/>
    </row>
    <row r="32" spans="2:5" ht="14.4" customHeight="1">
      <c r="B32" s="25"/>
      <c r="C32" s="25"/>
      <c r="D32" s="23" t="str">
        <f>'Input data'!D$5</f>
        <v>2025-26</v>
      </c>
      <c r="E32" s="23" t="str">
        <f>'Input data'!E$5</f>
        <v>2026-27</v>
      </c>
    </row>
    <row r="33" spans="2:5" ht="14.4" customHeight="1">
      <c r="B33" s="24"/>
      <c r="C33" s="24"/>
      <c r="D33" s="8"/>
      <c r="E33" s="8"/>
    </row>
    <row r="34" spans="2:5" ht="14.4" customHeight="1">
      <c r="B34" s="10" t="s">
        <v>8</v>
      </c>
      <c r="C34" s="3" t="s">
        <v>9</v>
      </c>
      <c r="D34" s="58">
        <f>'Input data'!D115</f>
        <v>1</v>
      </c>
      <c r="E34" s="58">
        <f>'Input data'!E115</f>
        <v>1</v>
      </c>
    </row>
    <row r="35" spans="2:5" ht="14.4" customHeight="1">
      <c r="B35" s="11"/>
      <c r="C35" s="3" t="s">
        <v>10</v>
      </c>
      <c r="D35" s="58">
        <f>'Input data'!D116</f>
        <v>1.18</v>
      </c>
      <c r="E35" s="58">
        <f>'Input data'!E116</f>
        <v>1.18</v>
      </c>
    </row>
    <row r="36" spans="2:5" ht="14.4" customHeight="1">
      <c r="B36" s="11"/>
      <c r="C36" s="3" t="s">
        <v>11</v>
      </c>
      <c r="D36" s="58">
        <f>'Input data'!D117</f>
        <v>1.35</v>
      </c>
      <c r="E36" s="58">
        <f>'Input data'!E117</f>
        <v>1.35</v>
      </c>
    </row>
    <row r="37" spans="2:5" ht="14.4" customHeight="1">
      <c r="B37" s="11"/>
      <c r="C37" s="3" t="s">
        <v>12</v>
      </c>
      <c r="D37" s="58">
        <f>'Input data'!D118</f>
        <v>1.94</v>
      </c>
      <c r="E37" s="58">
        <f>'Input data'!E118</f>
        <v>1.94</v>
      </c>
    </row>
    <row r="38" spans="2:5" ht="14.4" customHeight="1">
      <c r="B38" s="12"/>
      <c r="C38" s="3" t="s">
        <v>13</v>
      </c>
      <c r="D38" s="58">
        <f>'Input data'!D119</f>
        <v>2.13</v>
      </c>
      <c r="E38" s="58">
        <f>'Input data'!E119</f>
        <v>2.13</v>
      </c>
    </row>
    <row r="39" spans="2:5" ht="14.4" customHeight="1">
      <c r="B39" s="10" t="s">
        <v>14</v>
      </c>
      <c r="C39" s="3" t="s">
        <v>9</v>
      </c>
      <c r="D39" s="58">
        <f>'Input data'!D120</f>
        <v>1</v>
      </c>
      <c r="E39" s="58">
        <f>'Input data'!E120</f>
        <v>1</v>
      </c>
    </row>
    <row r="40" spans="2:5" ht="14.4" customHeight="1">
      <c r="B40" s="13"/>
      <c r="C40" s="3" t="s">
        <v>10</v>
      </c>
      <c r="D40" s="58">
        <f>'Input data'!D121</f>
        <v>1.18</v>
      </c>
      <c r="E40" s="58">
        <f>'Input data'!E121</f>
        <v>1.18</v>
      </c>
    </row>
    <row r="41" spans="2:5" ht="14.4" customHeight="1">
      <c r="B41" s="13"/>
      <c r="C41" s="3" t="s">
        <v>11</v>
      </c>
      <c r="D41" s="58">
        <f>'Input data'!D122</f>
        <v>1.35</v>
      </c>
      <c r="E41" s="58">
        <f>'Input data'!E122</f>
        <v>1.35</v>
      </c>
    </row>
    <row r="42" spans="2:5" ht="14.4" customHeight="1">
      <c r="B42" s="13"/>
      <c r="C42" s="3" t="s">
        <v>12</v>
      </c>
      <c r="D42" s="58">
        <f>'Input data'!D123</f>
        <v>1.94</v>
      </c>
      <c r="E42" s="58">
        <f>'Input data'!E123</f>
        <v>1.94</v>
      </c>
    </row>
    <row r="43" spans="2:5" ht="14.4" customHeight="1">
      <c r="B43" s="14"/>
      <c r="C43" s="3" t="s">
        <v>13</v>
      </c>
      <c r="D43" s="58">
        <f>'Input data'!D124</f>
        <v>2.13</v>
      </c>
      <c r="E43" s="58">
        <f>'Input data'!E124</f>
        <v>2.13</v>
      </c>
    </row>
    <row r="44" spans="2:5" ht="14.4" customHeight="1">
      <c r="B44" s="10" t="s">
        <v>15</v>
      </c>
      <c r="C44" s="3" t="s">
        <v>12</v>
      </c>
      <c r="D44" s="58">
        <f>'Input data'!D125</f>
        <v>1</v>
      </c>
      <c r="E44" s="58">
        <f>'Input data'!E125</f>
        <v>1</v>
      </c>
    </row>
    <row r="45" spans="2:5" ht="14.4" customHeight="1">
      <c r="B45" s="14"/>
      <c r="C45" s="3" t="s">
        <v>13</v>
      </c>
      <c r="D45" s="58">
        <f>'Input data'!D126</f>
        <v>1.1000000000000001</v>
      </c>
      <c r="E45" s="58">
        <f>'Input data'!E126</f>
        <v>1.1000000000000001</v>
      </c>
    </row>
    <row r="46" spans="2:5" ht="14.4" customHeight="1">
      <c r="B46" s="15" t="s">
        <v>26</v>
      </c>
      <c r="C46" s="3" t="s">
        <v>27</v>
      </c>
      <c r="D46" s="58">
        <f>'Input data'!D127</f>
        <v>1</v>
      </c>
      <c r="E46" s="58">
        <f>'Input data'!E127</f>
        <v>1</v>
      </c>
    </row>
    <row r="47" spans="2:5" ht="14.4" customHeight="1">
      <c r="B47" s="9" t="s">
        <v>2</v>
      </c>
      <c r="C47" s="9" t="s">
        <v>229</v>
      </c>
      <c r="D47" s="6"/>
      <c r="E47" s="6"/>
    </row>
    <row r="48" spans="2:5" ht="14.4" customHeight="1">
      <c r="B48" s="25"/>
      <c r="C48" s="25"/>
      <c r="D48" s="23" t="str">
        <f>'Input data'!D$5</f>
        <v>2025-26</v>
      </c>
      <c r="E48" s="23" t="str">
        <f>'Input data'!E$5</f>
        <v>2026-27</v>
      </c>
    </row>
    <row r="49" spans="2:5" ht="14.4" customHeight="1">
      <c r="B49" s="24"/>
      <c r="C49" s="24"/>
      <c r="D49" s="8"/>
      <c r="E49" s="8"/>
    </row>
    <row r="50" spans="2:5" ht="14.4" customHeight="1">
      <c r="B50" s="10" t="s">
        <v>8</v>
      </c>
      <c r="C50" s="3" t="s">
        <v>12</v>
      </c>
      <c r="D50" s="58">
        <f>'Input data'!D118</f>
        <v>1.94</v>
      </c>
      <c r="E50" s="58">
        <f>'Input data'!E118</f>
        <v>1.94</v>
      </c>
    </row>
    <row r="51" spans="2:5" ht="14.4" customHeight="1">
      <c r="B51" s="12"/>
      <c r="C51" s="3" t="s">
        <v>13</v>
      </c>
      <c r="D51" s="58">
        <f>'Input data'!D119</f>
        <v>2.13</v>
      </c>
      <c r="E51" s="58">
        <f>'Input data'!E119</f>
        <v>2.13</v>
      </c>
    </row>
    <row r="52" spans="2:5" ht="14.4" customHeight="1">
      <c r="B52" s="15" t="s">
        <v>14</v>
      </c>
      <c r="C52" s="3" t="s">
        <v>13</v>
      </c>
      <c r="D52" s="58">
        <f>'Input data'!D124</f>
        <v>2.13</v>
      </c>
      <c r="E52" s="58">
        <f>'Input data'!E124</f>
        <v>2.13</v>
      </c>
    </row>
    <row r="53" spans="2:5" ht="14.4" customHeight="1">
      <c r="B53" s="15" t="s">
        <v>15</v>
      </c>
      <c r="C53" s="3" t="s">
        <v>13</v>
      </c>
      <c r="D53" s="58">
        <f>'Input data'!D126</f>
        <v>1.1000000000000001</v>
      </c>
      <c r="E53" s="58">
        <f>'Input data'!E126</f>
        <v>1.1000000000000001</v>
      </c>
    </row>
    <row r="56" spans="2:5" ht="28.95" customHeight="1">
      <c r="B56" s="32" t="s">
        <v>231</v>
      </c>
      <c r="C56" s="5"/>
      <c r="D56" s="5"/>
      <c r="E56" s="5"/>
    </row>
    <row r="57" spans="2:5" ht="14.4" customHeight="1">
      <c r="B57" s="37"/>
    </row>
    <row r="58" spans="2:5" ht="14.4" customHeight="1">
      <c r="B58" s="9" t="s">
        <v>2</v>
      </c>
      <c r="C58" s="9" t="s">
        <v>228</v>
      </c>
      <c r="D58" s="6"/>
      <c r="E58" s="6"/>
    </row>
    <row r="59" spans="2:5" ht="14.4" customHeight="1">
      <c r="B59" s="25"/>
      <c r="C59" s="25"/>
      <c r="D59" s="23" t="str">
        <f>'Input data'!D$5</f>
        <v>2025-26</v>
      </c>
      <c r="E59" s="23" t="str">
        <f>'Input data'!E$5</f>
        <v>2026-27</v>
      </c>
    </row>
    <row r="60" spans="2:5" ht="14.4" customHeight="1">
      <c r="B60" s="24"/>
      <c r="C60" s="24"/>
      <c r="D60" s="8"/>
      <c r="E60" s="8"/>
    </row>
    <row r="61" spans="2:5" ht="14.4" customHeight="1">
      <c r="B61" s="10" t="s">
        <v>8</v>
      </c>
      <c r="C61" s="3" t="s">
        <v>9</v>
      </c>
      <c r="D61" s="54">
        <f>'Entry Tariff_1'!D$107</f>
        <v>0</v>
      </c>
      <c r="E61" s="54">
        <f>'Entry Tariff_1'!E$107</f>
        <v>0</v>
      </c>
    </row>
    <row r="62" spans="2:5" ht="14.4" customHeight="1">
      <c r="B62" s="11"/>
      <c r="C62" s="3" t="s">
        <v>10</v>
      </c>
      <c r="D62" s="54">
        <f>'Entry Tariff_1'!D$107</f>
        <v>0</v>
      </c>
      <c r="E62" s="54">
        <f>'Entry Tariff_1'!E$107</f>
        <v>0</v>
      </c>
    </row>
    <row r="63" spans="2:5" ht="14.4" customHeight="1">
      <c r="B63" s="11"/>
      <c r="C63" s="3" t="s">
        <v>11</v>
      </c>
      <c r="D63" s="54">
        <f>'Entry Tariff_1'!D$107</f>
        <v>0</v>
      </c>
      <c r="E63" s="54">
        <f>'Entry Tariff_1'!E$107</f>
        <v>0</v>
      </c>
    </row>
    <row r="64" spans="2:5" ht="14.4" customHeight="1">
      <c r="B64" s="11"/>
      <c r="C64" s="3" t="s">
        <v>12</v>
      </c>
      <c r="D64" s="54">
        <f>'Entry Tariff_1'!D$107</f>
        <v>0</v>
      </c>
      <c r="E64" s="54">
        <f>'Entry Tariff_1'!E$107</f>
        <v>0</v>
      </c>
    </row>
    <row r="65" spans="2:5" ht="14.4" customHeight="1">
      <c r="B65" s="12"/>
      <c r="C65" s="3" t="s">
        <v>13</v>
      </c>
      <c r="D65" s="54">
        <f>'Entry Tariff_1'!D$107</f>
        <v>0</v>
      </c>
      <c r="E65" s="54">
        <f>'Entry Tariff_1'!E$107</f>
        <v>0</v>
      </c>
    </row>
    <row r="66" spans="2:5" ht="14.4" customHeight="1">
      <c r="B66" s="10" t="s">
        <v>14</v>
      </c>
      <c r="C66" s="3" t="s">
        <v>9</v>
      </c>
      <c r="D66" s="54">
        <f>'Entry Tariff_1'!D$108</f>
        <v>0</v>
      </c>
      <c r="E66" s="54">
        <f>'Entry Tariff_1'!E$108</f>
        <v>0</v>
      </c>
    </row>
    <row r="67" spans="2:5" ht="14.4" customHeight="1">
      <c r="B67" s="13"/>
      <c r="C67" s="3" t="s">
        <v>10</v>
      </c>
      <c r="D67" s="54">
        <f>'Entry Tariff_1'!D$108</f>
        <v>0</v>
      </c>
      <c r="E67" s="54">
        <f>'Entry Tariff_1'!E$108</f>
        <v>0</v>
      </c>
    </row>
    <row r="68" spans="2:5" ht="14.4" customHeight="1">
      <c r="B68" s="13"/>
      <c r="C68" s="3" t="s">
        <v>11</v>
      </c>
      <c r="D68" s="54">
        <f>'Entry Tariff_1'!D$108</f>
        <v>0</v>
      </c>
      <c r="E68" s="54">
        <f>'Entry Tariff_1'!E$108</f>
        <v>0</v>
      </c>
    </row>
    <row r="69" spans="2:5" ht="14.4" customHeight="1">
      <c r="B69" s="13"/>
      <c r="C69" s="3" t="s">
        <v>12</v>
      </c>
      <c r="D69" s="54">
        <f>'Entry Tariff_1'!D$108</f>
        <v>0</v>
      </c>
      <c r="E69" s="54">
        <f>'Entry Tariff_1'!E$108</f>
        <v>0</v>
      </c>
    </row>
    <row r="70" spans="2:5" ht="14.4" customHeight="1">
      <c r="B70" s="14"/>
      <c r="C70" s="3" t="s">
        <v>13</v>
      </c>
      <c r="D70" s="54">
        <f>'Entry Tariff_1'!D$108</f>
        <v>0</v>
      </c>
      <c r="E70" s="54">
        <f>'Entry Tariff_1'!E$108</f>
        <v>0</v>
      </c>
    </row>
    <row r="71" spans="2:5" ht="14.4" customHeight="1">
      <c r="B71" s="10" t="s">
        <v>15</v>
      </c>
      <c r="C71" s="3" t="s">
        <v>12</v>
      </c>
      <c r="D71" s="54">
        <f>'Entry Tariff_1'!D$109</f>
        <v>1</v>
      </c>
      <c r="E71" s="54">
        <f>'Entry Tariff_1'!E$109</f>
        <v>1</v>
      </c>
    </row>
    <row r="72" spans="2:5" ht="14.4" customHeight="1">
      <c r="B72" s="14"/>
      <c r="C72" s="3" t="s">
        <v>13</v>
      </c>
      <c r="D72" s="54">
        <f>'Entry Tariff_1'!D$109</f>
        <v>1</v>
      </c>
      <c r="E72" s="54">
        <f>'Entry Tariff_1'!E$109</f>
        <v>1</v>
      </c>
    </row>
    <row r="73" spans="2:5" ht="14.4" customHeight="1">
      <c r="B73" s="15" t="s">
        <v>26</v>
      </c>
      <c r="C73" s="3" t="s">
        <v>27</v>
      </c>
      <c r="D73" s="54">
        <f>'Entry Tariff_1'!D$110</f>
        <v>0</v>
      </c>
      <c r="E73" s="54">
        <f>'Entry Tariff_1'!E$110</f>
        <v>0</v>
      </c>
    </row>
    <row r="74" spans="2:5" ht="14.4" customHeight="1">
      <c r="B74" s="9" t="s">
        <v>2</v>
      </c>
      <c r="C74" s="9" t="s">
        <v>229</v>
      </c>
      <c r="D74" s="6"/>
      <c r="E74" s="6"/>
    </row>
    <row r="75" spans="2:5" ht="14.4" customHeight="1">
      <c r="B75" s="25"/>
      <c r="C75" s="25"/>
      <c r="D75" s="23" t="str">
        <f>'Input data'!D$5</f>
        <v>2025-26</v>
      </c>
      <c r="E75" s="23" t="str">
        <f>'Input data'!E$5</f>
        <v>2026-27</v>
      </c>
    </row>
    <row r="76" spans="2:5" ht="14.4" customHeight="1">
      <c r="B76" s="24"/>
      <c r="C76" s="24"/>
      <c r="D76" s="8"/>
      <c r="E76" s="8"/>
    </row>
    <row r="77" spans="2:5" ht="14.4" customHeight="1">
      <c r="B77" s="10" t="s">
        <v>8</v>
      </c>
      <c r="C77" s="3" t="s">
        <v>12</v>
      </c>
      <c r="D77" s="56">
        <f>'Entry Tariff_1'!D$114</f>
        <v>4.6000000000000041E-2</v>
      </c>
      <c r="E77" s="56">
        <f>'Entry Tariff_1'!E$114</f>
        <v>4.6000000000000041E-2</v>
      </c>
    </row>
    <row r="78" spans="2:5" ht="14.4" customHeight="1">
      <c r="B78" s="12"/>
      <c r="C78" s="3" t="s">
        <v>13</v>
      </c>
      <c r="D78" s="56">
        <f>'Entry Tariff_1'!D$114</f>
        <v>4.6000000000000041E-2</v>
      </c>
      <c r="E78" s="56">
        <f>'Entry Tariff_1'!E$114</f>
        <v>4.6000000000000041E-2</v>
      </c>
    </row>
    <row r="79" spans="2:5" ht="14.4" customHeight="1">
      <c r="B79" s="15" t="s">
        <v>14</v>
      </c>
      <c r="C79" s="3" t="s">
        <v>13</v>
      </c>
      <c r="D79" s="56">
        <f>'Entry Tariff_1'!D$115</f>
        <v>7.5999999999999956E-2</v>
      </c>
      <c r="E79" s="56">
        <f>'Entry Tariff_1'!E$115</f>
        <v>7.5999999999999956E-2</v>
      </c>
    </row>
    <row r="80" spans="2:5" ht="14.4" customHeight="1">
      <c r="B80" s="15" t="s">
        <v>15</v>
      </c>
      <c r="C80" s="3" t="s">
        <v>13</v>
      </c>
      <c r="D80" s="56">
        <f>'Entry Tariff_1'!D$116</f>
        <v>1</v>
      </c>
      <c r="E80" s="56">
        <f>'Entry Tariff_1'!E$116</f>
        <v>1</v>
      </c>
    </row>
    <row r="83" spans="2:5" ht="28.95" customHeight="1">
      <c r="B83" s="32" t="s">
        <v>601</v>
      </c>
      <c r="C83" s="5"/>
      <c r="D83" s="5"/>
      <c r="E83" s="5"/>
    </row>
    <row r="84" spans="2:5" ht="14.4" customHeight="1">
      <c r="B84" s="37"/>
    </row>
    <row r="85" spans="2:5" ht="14.4" customHeight="1">
      <c r="B85" s="9" t="s">
        <v>2</v>
      </c>
      <c r="C85" s="9" t="s">
        <v>228</v>
      </c>
      <c r="D85" s="6"/>
      <c r="E85" s="6"/>
    </row>
    <row r="86" spans="2:5" ht="14.4" customHeight="1">
      <c r="B86" s="25"/>
      <c r="C86" s="25"/>
      <c r="D86" s="23" t="str">
        <f>'Input data'!D$5</f>
        <v>2025-26</v>
      </c>
      <c r="E86" s="23" t="str">
        <f>'Input data'!E$5</f>
        <v>2026-27</v>
      </c>
    </row>
    <row r="87" spans="2:5" ht="14.4" customHeight="1">
      <c r="B87" s="24"/>
      <c r="C87" s="24"/>
      <c r="D87" s="8"/>
      <c r="E87" s="8"/>
    </row>
    <row r="88" spans="2:5" ht="14.4" customHeight="1">
      <c r="B88" s="10" t="s">
        <v>8</v>
      </c>
      <c r="C88" s="3" t="s">
        <v>9</v>
      </c>
      <c r="D88" s="57">
        <f t="shared" ref="D88:E88" si="0">D7*D34*(1-D61)</f>
        <v>3.7266188936024E-2</v>
      </c>
      <c r="E88" s="57">
        <f t="shared" si="0"/>
        <v>3.7266188936024E-2</v>
      </c>
    </row>
    <row r="89" spans="2:5" ht="14.4" customHeight="1">
      <c r="B89" s="11"/>
      <c r="C89" s="3" t="s">
        <v>10</v>
      </c>
      <c r="D89" s="57">
        <f t="shared" ref="D89:E100" si="1">D8*D35*(1-D62)</f>
        <v>4.397410294450832E-2</v>
      </c>
      <c r="E89" s="57">
        <f t="shared" si="1"/>
        <v>4.397410294450832E-2</v>
      </c>
    </row>
    <row r="90" spans="2:5" ht="14.4" customHeight="1">
      <c r="B90" s="11"/>
      <c r="C90" s="3" t="s">
        <v>11</v>
      </c>
      <c r="D90" s="57">
        <f t="shared" si="1"/>
        <v>5.0309355063632405E-2</v>
      </c>
      <c r="E90" s="57">
        <f t="shared" si="1"/>
        <v>5.0309355063632405E-2</v>
      </c>
    </row>
    <row r="91" spans="2:5" ht="14.4" customHeight="1">
      <c r="B91" s="11"/>
      <c r="C91" s="3" t="s">
        <v>12</v>
      </c>
      <c r="D91" s="57">
        <f t="shared" si="1"/>
        <v>7.2296406535886565E-2</v>
      </c>
      <c r="E91" s="57">
        <f t="shared" si="1"/>
        <v>7.2296406535886565E-2</v>
      </c>
    </row>
    <row r="92" spans="2:5" ht="14.4" customHeight="1">
      <c r="B92" s="12"/>
      <c r="C92" s="3" t="s">
        <v>13</v>
      </c>
      <c r="D92" s="57">
        <f t="shared" si="1"/>
        <v>7.9376982433731119E-2</v>
      </c>
      <c r="E92" s="57">
        <f t="shared" si="1"/>
        <v>7.9376982433731119E-2</v>
      </c>
    </row>
    <row r="93" spans="2:5" ht="14.4" customHeight="1">
      <c r="B93" s="10" t="s">
        <v>14</v>
      </c>
      <c r="C93" s="3" t="s">
        <v>9</v>
      </c>
      <c r="D93" s="57">
        <f t="shared" si="1"/>
        <v>0.10412747884022977</v>
      </c>
      <c r="E93" s="57">
        <f t="shared" si="1"/>
        <v>0.10412747884022977</v>
      </c>
    </row>
    <row r="94" spans="2:5" ht="14.4" customHeight="1">
      <c r="B94" s="13"/>
      <c r="C94" s="3" t="s">
        <v>10</v>
      </c>
      <c r="D94" s="57">
        <f t="shared" si="1"/>
        <v>0.12287042503147112</v>
      </c>
      <c r="E94" s="57">
        <f t="shared" si="1"/>
        <v>0.12287042503147112</v>
      </c>
    </row>
    <row r="95" spans="2:5" ht="14.4" customHeight="1">
      <c r="B95" s="13"/>
      <c r="C95" s="3" t="s">
        <v>11</v>
      </c>
      <c r="D95" s="57">
        <f t="shared" si="1"/>
        <v>0.14057209643431021</v>
      </c>
      <c r="E95" s="57">
        <f t="shared" si="1"/>
        <v>0.14057209643431021</v>
      </c>
    </row>
    <row r="96" spans="2:5" ht="14.4" customHeight="1">
      <c r="B96" s="13"/>
      <c r="C96" s="3" t="s">
        <v>12</v>
      </c>
      <c r="D96" s="57">
        <f t="shared" si="1"/>
        <v>0.20200730895004576</v>
      </c>
      <c r="E96" s="57">
        <f t="shared" si="1"/>
        <v>0.20200730895004576</v>
      </c>
    </row>
    <row r="97" spans="2:5" ht="14.4" customHeight="1">
      <c r="B97" s="14"/>
      <c r="C97" s="3" t="s">
        <v>13</v>
      </c>
      <c r="D97" s="57">
        <f t="shared" si="1"/>
        <v>0.2217915299296894</v>
      </c>
      <c r="E97" s="57">
        <f t="shared" si="1"/>
        <v>0.2217915299296894</v>
      </c>
    </row>
    <row r="98" spans="2:5" ht="14.4" customHeight="1">
      <c r="B98" s="10" t="s">
        <v>15</v>
      </c>
      <c r="C98" s="3" t="s">
        <v>12</v>
      </c>
      <c r="D98" s="57">
        <f t="shared" si="1"/>
        <v>0</v>
      </c>
      <c r="E98" s="57">
        <f t="shared" si="1"/>
        <v>0</v>
      </c>
    </row>
    <row r="99" spans="2:5" ht="14.4" customHeight="1">
      <c r="B99" s="14"/>
      <c r="C99" s="3" t="s">
        <v>13</v>
      </c>
      <c r="D99" s="57">
        <f t="shared" si="1"/>
        <v>0</v>
      </c>
      <c r="E99" s="57">
        <f t="shared" si="1"/>
        <v>0</v>
      </c>
    </row>
    <row r="100" spans="2:5" ht="14.4" customHeight="1">
      <c r="B100" s="15" t="s">
        <v>26</v>
      </c>
      <c r="C100" s="3" t="s">
        <v>27</v>
      </c>
      <c r="D100" s="57">
        <f t="shared" si="1"/>
        <v>7.3029617882599479E-3</v>
      </c>
      <c r="E100" s="57">
        <f t="shared" si="1"/>
        <v>7.3029617882599479E-3</v>
      </c>
    </row>
    <row r="101" spans="2:5" ht="14.4" customHeight="1">
      <c r="B101" s="9" t="s">
        <v>2</v>
      </c>
      <c r="C101" s="9" t="s">
        <v>229</v>
      </c>
      <c r="D101" s="6"/>
      <c r="E101" s="6"/>
    </row>
    <row r="102" spans="2:5" ht="14.4" customHeight="1">
      <c r="B102" s="25"/>
      <c r="C102" s="25"/>
      <c r="D102" s="23" t="str">
        <f>'Input data'!D$5</f>
        <v>2025-26</v>
      </c>
      <c r="E102" s="23" t="str">
        <f>'Input data'!E$5</f>
        <v>2026-27</v>
      </c>
    </row>
    <row r="103" spans="2:5" ht="14.4" customHeight="1">
      <c r="B103" s="24"/>
      <c r="C103" s="24"/>
      <c r="D103" s="8"/>
      <c r="E103" s="8"/>
    </row>
    <row r="104" spans="2:5" ht="14.4" customHeight="1">
      <c r="B104" s="10" t="s">
        <v>8</v>
      </c>
      <c r="C104" s="3" t="s">
        <v>12</v>
      </c>
      <c r="D104" s="57">
        <f t="shared" ref="D104:E107" si="2">D23*D50*(1-D77)</f>
        <v>6.8970771835235783E-2</v>
      </c>
      <c r="E104" s="57">
        <f t="shared" si="2"/>
        <v>6.8970771835235783E-2</v>
      </c>
    </row>
    <row r="105" spans="2:5" ht="14.4" customHeight="1">
      <c r="B105" s="12"/>
      <c r="C105" s="3" t="s">
        <v>13</v>
      </c>
      <c r="D105" s="57">
        <f t="shared" si="2"/>
        <v>7.5725641241779482E-2</v>
      </c>
      <c r="E105" s="57">
        <f t="shared" si="2"/>
        <v>7.5725641241779482E-2</v>
      </c>
    </row>
    <row r="106" spans="2:5" ht="14.4" customHeight="1">
      <c r="B106" s="15" t="s">
        <v>14</v>
      </c>
      <c r="C106" s="3" t="s">
        <v>13</v>
      </c>
      <c r="D106" s="57">
        <f t="shared" si="2"/>
        <v>0.204935373655033</v>
      </c>
      <c r="E106" s="57">
        <f t="shared" si="2"/>
        <v>0.204935373655033</v>
      </c>
    </row>
    <row r="107" spans="2:5" ht="14.4" customHeight="1">
      <c r="B107" s="15" t="s">
        <v>15</v>
      </c>
      <c r="C107" s="3" t="s">
        <v>13</v>
      </c>
      <c r="D107" s="57">
        <f t="shared" si="2"/>
        <v>0</v>
      </c>
      <c r="E107" s="57">
        <f t="shared" si="2"/>
        <v>0</v>
      </c>
    </row>
    <row r="110" spans="2:5" ht="28.95" customHeight="1">
      <c r="B110" s="32" t="s">
        <v>602</v>
      </c>
      <c r="C110" s="5"/>
      <c r="D110" s="5"/>
      <c r="E110" s="5"/>
    </row>
    <row r="111" spans="2:5" ht="14.4" customHeight="1">
      <c r="B111" s="37"/>
    </row>
    <row r="112" spans="2:5" ht="14.4" customHeight="1">
      <c r="B112" s="9" t="s">
        <v>2</v>
      </c>
      <c r="C112" s="9" t="s">
        <v>228</v>
      </c>
      <c r="D112" s="6"/>
      <c r="E112" s="6"/>
    </row>
    <row r="113" spans="2:5" ht="14.4" customHeight="1">
      <c r="B113" s="25"/>
      <c r="C113" s="25"/>
      <c r="D113" s="23" t="str">
        <f>'Input data'!D$5</f>
        <v>2025-26</v>
      </c>
      <c r="E113" s="23" t="str">
        <f>'Input data'!E$5</f>
        <v>2026-27</v>
      </c>
    </row>
    <row r="114" spans="2:5" ht="14.4" customHeight="1">
      <c r="B114" s="24"/>
      <c r="C114" s="24"/>
      <c r="D114" s="8"/>
      <c r="E114" s="8"/>
    </row>
    <row r="115" spans="2:5" ht="14.4" customHeight="1">
      <c r="B115" s="10" t="s">
        <v>8</v>
      </c>
      <c r="C115" s="3" t="s">
        <v>9</v>
      </c>
      <c r="D115" s="38">
        <f>'Input data'!D20</f>
        <v>8676558</v>
      </c>
      <c r="E115" s="38">
        <f>'Input data'!E20</f>
        <v>8676558</v>
      </c>
    </row>
    <row r="116" spans="2:5" ht="14.4" customHeight="1">
      <c r="B116" s="11"/>
      <c r="C116" s="3" t="s">
        <v>10</v>
      </c>
      <c r="D116" s="38">
        <f>'Input data'!D21</f>
        <v>1596384</v>
      </c>
      <c r="E116" s="38">
        <f>'Input data'!E21</f>
        <v>1596384</v>
      </c>
    </row>
    <row r="117" spans="2:5" ht="14.4" customHeight="1">
      <c r="B117" s="11"/>
      <c r="C117" s="3" t="s">
        <v>11</v>
      </c>
      <c r="D117" s="38">
        <f>'Input data'!D22</f>
        <v>2512022</v>
      </c>
      <c r="E117" s="38">
        <f>'Input data'!E22</f>
        <v>2512022</v>
      </c>
    </row>
    <row r="118" spans="2:5" ht="14.4" customHeight="1">
      <c r="B118" s="11"/>
      <c r="C118" s="3" t="s">
        <v>12</v>
      </c>
      <c r="D118" s="38">
        <f>'Input data'!D23</f>
        <v>2568168.3524590163</v>
      </c>
      <c r="E118" s="38">
        <f>'Input data'!E23</f>
        <v>2568168.3524590163</v>
      </c>
    </row>
    <row r="119" spans="2:5" ht="14.4" customHeight="1">
      <c r="B119" s="12"/>
      <c r="C119" s="3" t="s">
        <v>13</v>
      </c>
      <c r="D119" s="38">
        <f>'Input data'!D24</f>
        <v>390410.33879781421</v>
      </c>
      <c r="E119" s="38">
        <f>'Input data'!E24</f>
        <v>390410.33879781421</v>
      </c>
    </row>
    <row r="120" spans="2:5" ht="14.4" customHeight="1">
      <c r="B120" s="10" t="s">
        <v>14</v>
      </c>
      <c r="C120" s="3" t="s">
        <v>9</v>
      </c>
      <c r="D120" s="38">
        <f>'Input data'!D25</f>
        <v>182000000</v>
      </c>
      <c r="E120" s="38">
        <f>'Input data'!E25</f>
        <v>182000000</v>
      </c>
    </row>
    <row r="121" spans="2:5" ht="14.4" customHeight="1">
      <c r="B121" s="13"/>
      <c r="C121" s="3" t="s">
        <v>10</v>
      </c>
      <c r="D121" s="38">
        <f>'Input data'!D26</f>
        <v>0</v>
      </c>
      <c r="E121" s="38">
        <f>'Input data'!E26</f>
        <v>0</v>
      </c>
    </row>
    <row r="122" spans="2:5" ht="14.4" customHeight="1">
      <c r="B122" s="13"/>
      <c r="C122" s="3" t="s">
        <v>11</v>
      </c>
      <c r="D122" s="38">
        <f>'Input data'!D27</f>
        <v>0</v>
      </c>
      <c r="E122" s="38">
        <f>'Input data'!E27</f>
        <v>0</v>
      </c>
    </row>
    <row r="123" spans="2:5" ht="14.4" customHeight="1">
      <c r="B123" s="13"/>
      <c r="C123" s="3" t="s">
        <v>12</v>
      </c>
      <c r="D123" s="38">
        <f>'Input data'!D28</f>
        <v>16422.295081967215</v>
      </c>
      <c r="E123" s="38">
        <f>'Input data'!E28</f>
        <v>16422.295081967215</v>
      </c>
    </row>
    <row r="124" spans="2:5" ht="14.4" customHeight="1">
      <c r="B124" s="14"/>
      <c r="C124" s="3" t="s">
        <v>13</v>
      </c>
      <c r="D124" s="38">
        <f>'Input data'!D29</f>
        <v>180266.40163934426</v>
      </c>
      <c r="E124" s="38">
        <f>'Input data'!E29</f>
        <v>180266.40163934426</v>
      </c>
    </row>
    <row r="125" spans="2:5" ht="14.4" customHeight="1">
      <c r="B125" s="10" t="s">
        <v>15</v>
      </c>
      <c r="C125" s="3" t="s">
        <v>12</v>
      </c>
      <c r="D125" s="38">
        <f>'Input data'!D30</f>
        <v>4951057.1361363269</v>
      </c>
      <c r="E125" s="38">
        <f>'Input data'!E30</f>
        <v>4951057.1361363269</v>
      </c>
    </row>
    <row r="126" spans="2:5" ht="14.4" customHeight="1">
      <c r="B126" s="14"/>
      <c r="C126" s="3" t="s">
        <v>13</v>
      </c>
      <c r="D126" s="38">
        <f>'Input data'!D31</f>
        <v>1918358.1253384296</v>
      </c>
      <c r="E126" s="38">
        <f>'Input data'!E31</f>
        <v>1918358.1253384296</v>
      </c>
    </row>
    <row r="127" spans="2:5" ht="14.4" customHeight="1">
      <c r="B127" s="15" t="s">
        <v>26</v>
      </c>
      <c r="C127" s="3" t="s">
        <v>27</v>
      </c>
      <c r="D127" s="38">
        <f>'Input data'!D32</f>
        <v>1</v>
      </c>
      <c r="E127" s="38">
        <f>'Input data'!E32</f>
        <v>1</v>
      </c>
    </row>
    <row r="128" spans="2:5" ht="14.4" customHeight="1">
      <c r="B128" s="9" t="s">
        <v>2</v>
      </c>
      <c r="C128" s="9" t="s">
        <v>229</v>
      </c>
      <c r="D128" s="6"/>
      <c r="E128" s="6"/>
    </row>
    <row r="129" spans="2:5" ht="14.4" customHeight="1">
      <c r="B129" s="25"/>
      <c r="C129" s="25"/>
      <c r="D129" s="23" t="str">
        <f>'Input data'!D$5</f>
        <v>2025-26</v>
      </c>
      <c r="E129" s="23" t="str">
        <f>'Input data'!E$5</f>
        <v>2026-27</v>
      </c>
    </row>
    <row r="130" spans="2:5" ht="14.4" customHeight="1">
      <c r="B130" s="24"/>
      <c r="C130" s="24"/>
      <c r="D130" s="8"/>
      <c r="E130" s="8"/>
    </row>
    <row r="131" spans="2:5" ht="14.4" customHeight="1">
      <c r="B131" s="10" t="s">
        <v>8</v>
      </c>
      <c r="C131" s="3" t="s">
        <v>12</v>
      </c>
      <c r="D131" s="38">
        <f>'Input data'!D40</f>
        <v>0</v>
      </c>
      <c r="E131" s="38">
        <f>'Input data'!E40</f>
        <v>0</v>
      </c>
    </row>
    <row r="132" spans="2:5" ht="14.4" customHeight="1">
      <c r="B132" s="12"/>
      <c r="C132" s="3" t="s">
        <v>13</v>
      </c>
      <c r="D132" s="38">
        <f>'Input data'!D41</f>
        <v>0</v>
      </c>
      <c r="E132" s="38">
        <f>'Input data'!E41</f>
        <v>0</v>
      </c>
    </row>
    <row r="133" spans="2:5" ht="14.4" customHeight="1">
      <c r="B133" s="15" t="s">
        <v>14</v>
      </c>
      <c r="C133" s="3" t="s">
        <v>13</v>
      </c>
      <c r="D133" s="38">
        <f>'Input data'!D42</f>
        <v>0</v>
      </c>
      <c r="E133" s="38">
        <f>'Input data'!E42</f>
        <v>0</v>
      </c>
    </row>
    <row r="134" spans="2:5" ht="14.4" customHeight="1">
      <c r="B134" s="15" t="s">
        <v>15</v>
      </c>
      <c r="C134" s="3" t="s">
        <v>13</v>
      </c>
      <c r="D134" s="38">
        <f>'Input data'!D43</f>
        <v>0</v>
      </c>
      <c r="E134" s="38">
        <f>'Input data'!E43</f>
        <v>0</v>
      </c>
    </row>
    <row r="137" spans="2:5" ht="28.95" customHeight="1">
      <c r="B137" s="32" t="s">
        <v>603</v>
      </c>
      <c r="C137" s="5"/>
      <c r="D137" s="5"/>
      <c r="E137" s="5"/>
    </row>
    <row r="138" spans="2:5" ht="14.4" customHeight="1">
      <c r="B138" s="37"/>
    </row>
    <row r="139" spans="2:5" ht="14.4" customHeight="1">
      <c r="B139" s="9" t="s">
        <v>2</v>
      </c>
      <c r="C139" s="9" t="s">
        <v>228</v>
      </c>
      <c r="D139" s="6"/>
      <c r="E139" s="6"/>
    </row>
    <row r="140" spans="2:5" ht="14.4" customHeight="1">
      <c r="B140" s="25"/>
      <c r="C140" s="25"/>
      <c r="D140" s="23" t="str">
        <f>'Input data'!D$5</f>
        <v>2025-26</v>
      </c>
      <c r="E140" s="23" t="str">
        <f>'Input data'!E$5</f>
        <v>2026-27</v>
      </c>
    </row>
    <row r="141" spans="2:5" ht="14.4" customHeight="1">
      <c r="B141" s="24"/>
      <c r="C141" s="24"/>
      <c r="D141" s="8"/>
      <c r="E141" s="8"/>
    </row>
    <row r="142" spans="2:5" ht="14.4" customHeight="1">
      <c r="B142" s="10" t="s">
        <v>8</v>
      </c>
      <c r="C142" s="3" t="s">
        <v>9</v>
      </c>
      <c r="D142" s="38">
        <f t="shared" ref="D142:E142" si="3">D88*D115</f>
        <v>323342.24974237051</v>
      </c>
      <c r="E142" s="38">
        <f t="shared" si="3"/>
        <v>323342.24974237051</v>
      </c>
    </row>
    <row r="143" spans="2:5" ht="14.4" customHeight="1">
      <c r="B143" s="11"/>
      <c r="C143" s="3" t="s">
        <v>10</v>
      </c>
      <c r="D143" s="38">
        <f t="shared" ref="D143:E154" si="4">D89*D116</f>
        <v>70199.554354965963</v>
      </c>
      <c r="E143" s="38">
        <f t="shared" si="4"/>
        <v>70199.554354965963</v>
      </c>
    </row>
    <row r="144" spans="2:5" ht="14.4" customHeight="1">
      <c r="B144" s="11"/>
      <c r="C144" s="3" t="s">
        <v>11</v>
      </c>
      <c r="D144" s="38">
        <f t="shared" si="4"/>
        <v>126378.206725656</v>
      </c>
      <c r="E144" s="38">
        <f t="shared" si="4"/>
        <v>126378.206725656</v>
      </c>
    </row>
    <row r="145" spans="2:5" ht="14.4" customHeight="1">
      <c r="B145" s="11"/>
      <c r="C145" s="3" t="s">
        <v>12</v>
      </c>
      <c r="D145" s="38">
        <f t="shared" si="4"/>
        <v>185669.34326197507</v>
      </c>
      <c r="E145" s="38">
        <f t="shared" si="4"/>
        <v>185669.34326197507</v>
      </c>
    </row>
    <row r="146" spans="2:5" ht="14.4" customHeight="1">
      <c r="B146" s="12"/>
      <c r="C146" s="3" t="s">
        <v>13</v>
      </c>
      <c r="D146" s="38">
        <f t="shared" si="4"/>
        <v>30989.594604701113</v>
      </c>
      <c r="E146" s="38">
        <f t="shared" si="4"/>
        <v>30989.594604701113</v>
      </c>
    </row>
    <row r="147" spans="2:5" ht="14.4" customHeight="1">
      <c r="B147" s="10" t="s">
        <v>14</v>
      </c>
      <c r="C147" s="3" t="s">
        <v>9</v>
      </c>
      <c r="D147" s="38">
        <f t="shared" si="4"/>
        <v>18951201.148921818</v>
      </c>
      <c r="E147" s="38">
        <f t="shared" si="4"/>
        <v>18951201.148921818</v>
      </c>
    </row>
    <row r="148" spans="2:5" ht="14.4" customHeight="1">
      <c r="B148" s="13"/>
      <c r="C148" s="3" t="s">
        <v>10</v>
      </c>
      <c r="D148" s="38">
        <f t="shared" si="4"/>
        <v>0</v>
      </c>
      <c r="E148" s="38">
        <f t="shared" si="4"/>
        <v>0</v>
      </c>
    </row>
    <row r="149" spans="2:5" ht="14.4" customHeight="1">
      <c r="B149" s="13"/>
      <c r="C149" s="3" t="s">
        <v>11</v>
      </c>
      <c r="D149" s="38">
        <f t="shared" si="4"/>
        <v>0</v>
      </c>
      <c r="E149" s="38">
        <f t="shared" si="4"/>
        <v>0</v>
      </c>
    </row>
    <row r="150" spans="2:5" ht="14.4" customHeight="1">
      <c r="B150" s="13"/>
      <c r="C150" s="3" t="s">
        <v>12</v>
      </c>
      <c r="D150" s="38">
        <f t="shared" si="4"/>
        <v>3317.4236362917682</v>
      </c>
      <c r="E150" s="38">
        <f t="shared" si="4"/>
        <v>3317.4236362917682</v>
      </c>
    </row>
    <row r="151" spans="2:5" ht="14.4" customHeight="1">
      <c r="B151" s="14"/>
      <c r="C151" s="3" t="s">
        <v>13</v>
      </c>
      <c r="D151" s="38">
        <f t="shared" si="4"/>
        <v>39981.561014510029</v>
      </c>
      <c r="E151" s="38">
        <f t="shared" si="4"/>
        <v>39981.561014510029</v>
      </c>
    </row>
    <row r="152" spans="2:5" ht="14.4" customHeight="1">
      <c r="B152" s="10" t="s">
        <v>15</v>
      </c>
      <c r="C152" s="3" t="s">
        <v>12</v>
      </c>
      <c r="D152" s="38">
        <f t="shared" si="4"/>
        <v>0</v>
      </c>
      <c r="E152" s="38">
        <f t="shared" si="4"/>
        <v>0</v>
      </c>
    </row>
    <row r="153" spans="2:5" ht="14.4" customHeight="1">
      <c r="B153" s="14"/>
      <c r="C153" s="3" t="s">
        <v>13</v>
      </c>
      <c r="D153" s="38">
        <f t="shared" si="4"/>
        <v>0</v>
      </c>
      <c r="E153" s="38">
        <f t="shared" si="4"/>
        <v>0</v>
      </c>
    </row>
    <row r="154" spans="2:5" ht="14.4" customHeight="1">
      <c r="B154" s="15" t="s">
        <v>26</v>
      </c>
      <c r="C154" s="3" t="s">
        <v>27</v>
      </c>
      <c r="D154" s="38">
        <f t="shared" si="4"/>
        <v>7.3029617882599479E-3</v>
      </c>
      <c r="E154" s="38">
        <f t="shared" si="4"/>
        <v>7.3029617882599479E-3</v>
      </c>
    </row>
    <row r="155" spans="2:5" ht="14.4" customHeight="1">
      <c r="B155" s="9" t="s">
        <v>2</v>
      </c>
      <c r="C155" s="9" t="s">
        <v>229</v>
      </c>
      <c r="D155" s="6"/>
      <c r="E155" s="6"/>
    </row>
    <row r="156" spans="2:5" ht="14.4" customHeight="1">
      <c r="B156" s="25"/>
      <c r="C156" s="25"/>
      <c r="D156" s="23" t="str">
        <f>'Input data'!D$5</f>
        <v>2025-26</v>
      </c>
      <c r="E156" s="23" t="str">
        <f>'Input data'!E$5</f>
        <v>2026-27</v>
      </c>
    </row>
    <row r="157" spans="2:5" ht="14.4" customHeight="1">
      <c r="B157" s="24"/>
      <c r="C157" s="24"/>
      <c r="D157" s="8"/>
      <c r="E157" s="8"/>
    </row>
    <row r="158" spans="2:5" ht="14.4" customHeight="1">
      <c r="B158" s="10" t="s">
        <v>8</v>
      </c>
      <c r="C158" s="3" t="s">
        <v>12</v>
      </c>
      <c r="D158" s="38">
        <f t="shared" ref="D158:E161" si="5">D104*D131</f>
        <v>0</v>
      </c>
      <c r="E158" s="38">
        <f t="shared" si="5"/>
        <v>0</v>
      </c>
    </row>
    <row r="159" spans="2:5" ht="14.4" customHeight="1">
      <c r="B159" s="12"/>
      <c r="C159" s="3" t="s">
        <v>13</v>
      </c>
      <c r="D159" s="38">
        <f t="shared" si="5"/>
        <v>0</v>
      </c>
      <c r="E159" s="38">
        <f t="shared" si="5"/>
        <v>0</v>
      </c>
    </row>
    <row r="160" spans="2:5" ht="14.4" customHeight="1">
      <c r="B160" s="15" t="s">
        <v>14</v>
      </c>
      <c r="C160" s="3" t="s">
        <v>13</v>
      </c>
      <c r="D160" s="38">
        <f t="shared" si="5"/>
        <v>0</v>
      </c>
      <c r="E160" s="38">
        <f t="shared" si="5"/>
        <v>0</v>
      </c>
    </row>
    <row r="161" spans="2:5" ht="14.4" customHeight="1">
      <c r="B161" s="15" t="s">
        <v>15</v>
      </c>
      <c r="C161" s="3" t="s">
        <v>13</v>
      </c>
      <c r="D161" s="38">
        <f t="shared" si="5"/>
        <v>0</v>
      </c>
      <c r="E161" s="38">
        <f t="shared" si="5"/>
        <v>0</v>
      </c>
    </row>
    <row r="162" spans="2:5" ht="14.4" customHeight="1">
      <c r="B162" s="21" t="s">
        <v>31</v>
      </c>
      <c r="C162" s="22"/>
      <c r="D162" s="20">
        <f t="shared" ref="D162:E162" si="6">SUM(D142:D154,D158:D161)</f>
        <v>19731079.089565251</v>
      </c>
      <c r="E162" s="20">
        <f t="shared" si="6"/>
        <v>19731079.089565251</v>
      </c>
    </row>
    <row r="163" spans="2:5" ht="14.4" customHeight="1">
      <c r="C163" s="60"/>
    </row>
    <row r="164" spans="2:5" ht="14.4" customHeight="1">
      <c r="C164" s="60"/>
    </row>
    <row r="165" spans="2:5" ht="28.95" customHeight="1">
      <c r="B165" s="32" t="s">
        <v>604</v>
      </c>
      <c r="C165" s="5"/>
      <c r="D165" s="5"/>
      <c r="E165" s="5"/>
    </row>
    <row r="166" spans="2:5" ht="14.4" customHeight="1">
      <c r="B166" s="37"/>
    </row>
    <row r="167" spans="2:5" ht="14.4" customHeight="1">
      <c r="B167" s="9" t="s">
        <v>2</v>
      </c>
      <c r="C167" s="9" t="s">
        <v>228</v>
      </c>
      <c r="D167" s="6"/>
      <c r="E167" s="6"/>
    </row>
    <row r="168" spans="2:5" ht="14.4" customHeight="1">
      <c r="B168" s="25"/>
      <c r="C168" s="25"/>
      <c r="D168" s="23" t="str">
        <f>'Input data'!D$5</f>
        <v>2025-26</v>
      </c>
      <c r="E168" s="23" t="str">
        <f>'Input data'!E$5</f>
        <v>2026-27</v>
      </c>
    </row>
    <row r="169" spans="2:5" ht="14.4" customHeight="1">
      <c r="B169" s="24"/>
      <c r="C169" s="24"/>
      <c r="D169" s="8"/>
      <c r="E169" s="8"/>
    </row>
    <row r="170" spans="2:5" ht="14.4" customHeight="1">
      <c r="B170" s="10" t="s">
        <v>8</v>
      </c>
      <c r="C170" s="3" t="s">
        <v>9</v>
      </c>
      <c r="D170" s="57">
        <f>D88*('Input data'!D$190*'Input data'!D$7)/D$162</f>
        <v>3.7366318116816469E-2</v>
      </c>
      <c r="E170" s="57">
        <f>E88*('Input data'!E$190*'Input data'!E$7)/E$162</f>
        <v>3.7366318116816469E-2</v>
      </c>
    </row>
    <row r="171" spans="2:5" ht="14.4" customHeight="1">
      <c r="B171" s="11"/>
      <c r="C171" s="3" t="s">
        <v>10</v>
      </c>
      <c r="D171" s="57">
        <f>D89*('Input data'!D$190*'Input data'!D$7)/D$162</f>
        <v>4.4092255377843427E-2</v>
      </c>
      <c r="E171" s="57">
        <f>E89*('Input data'!E$190*'Input data'!E$7)/E$162</f>
        <v>4.4092255377843427E-2</v>
      </c>
    </row>
    <row r="172" spans="2:5" ht="14.4" customHeight="1">
      <c r="B172" s="11"/>
      <c r="C172" s="3" t="s">
        <v>11</v>
      </c>
      <c r="D172" s="57">
        <f>D90*('Input data'!D$190*'Input data'!D$7)/D$162</f>
        <v>5.0444529457702232E-2</v>
      </c>
      <c r="E172" s="57">
        <f>E90*('Input data'!E$190*'Input data'!E$7)/E$162</f>
        <v>5.0444529457702232E-2</v>
      </c>
    </row>
    <row r="173" spans="2:5" ht="14.4" customHeight="1">
      <c r="B173" s="11"/>
      <c r="C173" s="3" t="s">
        <v>12</v>
      </c>
      <c r="D173" s="57">
        <f>D91*('Input data'!D$190*'Input data'!D$7)/D$162</f>
        <v>7.2490657146623949E-2</v>
      </c>
      <c r="E173" s="57">
        <f>E91*('Input data'!E$190*'Input data'!E$7)/E$162</f>
        <v>7.2490657146623949E-2</v>
      </c>
    </row>
    <row r="174" spans="2:5" ht="14.4" customHeight="1">
      <c r="B174" s="12"/>
      <c r="C174" s="3" t="s">
        <v>13</v>
      </c>
      <c r="D174" s="57">
        <f>D92*('Input data'!D$190*'Input data'!D$7)/D$162</f>
        <v>7.9590257588819074E-2</v>
      </c>
      <c r="E174" s="57">
        <f>E92*('Input data'!E$190*'Input data'!E$7)/E$162</f>
        <v>7.9590257588819074E-2</v>
      </c>
    </row>
    <row r="175" spans="2:5" ht="14.4" customHeight="1">
      <c r="B175" s="10" t="s">
        <v>14</v>
      </c>
      <c r="C175" s="3" t="s">
        <v>9</v>
      </c>
      <c r="D175" s="57">
        <f>D93*('Input data'!D$190*'Input data'!D$7)/D$162</f>
        <v>0.10440725521264488</v>
      </c>
      <c r="E175" s="57">
        <f>E93*('Input data'!E$190*'Input data'!E$7)/E$162</f>
        <v>0.10440725521264488</v>
      </c>
    </row>
    <row r="176" spans="2:5" ht="14.4" customHeight="1">
      <c r="B176" s="13"/>
      <c r="C176" s="3" t="s">
        <v>10</v>
      </c>
      <c r="D176" s="57">
        <f>D94*('Input data'!D$190*'Input data'!D$7)/D$162</f>
        <v>0.12320056115092094</v>
      </c>
      <c r="E176" s="57">
        <f>E94*('Input data'!E$190*'Input data'!E$7)/E$162</f>
        <v>0.12320056115092094</v>
      </c>
    </row>
    <row r="177" spans="2:5" ht="14.4" customHeight="1">
      <c r="B177" s="13"/>
      <c r="C177" s="3" t="s">
        <v>11</v>
      </c>
      <c r="D177" s="57">
        <f>D95*('Input data'!D$190*'Input data'!D$7)/D$162</f>
        <v>0.1409497945370706</v>
      </c>
      <c r="E177" s="57">
        <f>E95*('Input data'!E$190*'Input data'!E$7)/E$162</f>
        <v>0.1409497945370706</v>
      </c>
    </row>
    <row r="178" spans="2:5" ht="14.4" customHeight="1">
      <c r="B178" s="13"/>
      <c r="C178" s="3" t="s">
        <v>12</v>
      </c>
      <c r="D178" s="57">
        <f>D96*('Input data'!D$190*'Input data'!D$7)/D$162</f>
        <v>0.20255007511253109</v>
      </c>
      <c r="E178" s="57">
        <f>E96*('Input data'!E$190*'Input data'!E$7)/E$162</f>
        <v>0.20255007511253109</v>
      </c>
    </row>
    <row r="179" spans="2:5" ht="14.4" customHeight="1">
      <c r="B179" s="14"/>
      <c r="C179" s="3" t="s">
        <v>13</v>
      </c>
      <c r="D179" s="57">
        <f>D97*('Input data'!D$190*'Input data'!D$7)/D$162</f>
        <v>0.22238745360293358</v>
      </c>
      <c r="E179" s="57">
        <f>E97*('Input data'!E$190*'Input data'!E$7)/E$162</f>
        <v>0.22238745360293358</v>
      </c>
    </row>
    <row r="180" spans="2:5" ht="14.4" customHeight="1">
      <c r="B180" s="10" t="s">
        <v>15</v>
      </c>
      <c r="C180" s="3" t="s">
        <v>12</v>
      </c>
      <c r="D180" s="57">
        <f>D98*('Input data'!D$190*'Input data'!D$7)/D$162</f>
        <v>0</v>
      </c>
      <c r="E180" s="57">
        <f>E98*('Input data'!E$190*'Input data'!E$7)/E$162</f>
        <v>0</v>
      </c>
    </row>
    <row r="181" spans="2:5" ht="14.4" customHeight="1">
      <c r="B181" s="14"/>
      <c r="C181" s="3" t="s">
        <v>13</v>
      </c>
      <c r="D181" s="57">
        <f>D99*('Input data'!D$190*'Input data'!D$7)/D$162</f>
        <v>0</v>
      </c>
      <c r="E181" s="57">
        <f>E99*('Input data'!E$190*'Input data'!E$7)/E$162</f>
        <v>0</v>
      </c>
    </row>
    <row r="182" spans="2:5" ht="14.4" customHeight="1">
      <c r="B182" s="15" t="s">
        <v>26</v>
      </c>
      <c r="C182" s="3" t="s">
        <v>27</v>
      </c>
      <c r="D182" s="57">
        <f>D100*('Input data'!D$190*'Input data'!D$7)/D$162</f>
        <v>7.3225838532495419E-3</v>
      </c>
      <c r="E182" s="57">
        <f>E100*('Input data'!E$190*'Input data'!E$7)/E$162</f>
        <v>7.3225838532495419E-3</v>
      </c>
    </row>
    <row r="183" spans="2:5" ht="14.4" customHeight="1">
      <c r="B183" s="9" t="s">
        <v>2</v>
      </c>
      <c r="C183" s="9" t="s">
        <v>229</v>
      </c>
      <c r="D183" s="6"/>
      <c r="E183" s="6"/>
    </row>
    <row r="184" spans="2:5" ht="14.4" customHeight="1">
      <c r="B184" s="25"/>
      <c r="C184" s="25"/>
      <c r="D184" s="23" t="str">
        <f>'Input data'!D$5</f>
        <v>2025-26</v>
      </c>
      <c r="E184" s="23" t="str">
        <f>'Input data'!E$5</f>
        <v>2026-27</v>
      </c>
    </row>
    <row r="185" spans="2:5" ht="14.4" customHeight="1">
      <c r="B185" s="24"/>
      <c r="C185" s="24"/>
      <c r="D185" s="8"/>
      <c r="E185" s="8"/>
    </row>
    <row r="186" spans="2:5" ht="14.4" customHeight="1">
      <c r="B186" s="10" t="s">
        <v>8</v>
      </c>
      <c r="C186" s="3" t="s">
        <v>12</v>
      </c>
      <c r="D186" s="57">
        <f>D104*('Input data'!D$190*'Input data'!D$7)/D$162</f>
        <v>6.915608691787925E-2</v>
      </c>
      <c r="E186" s="57">
        <f>E104*('Input data'!E$190*'Input data'!E$7)/E$162</f>
        <v>6.915608691787925E-2</v>
      </c>
    </row>
    <row r="187" spans="2:5" ht="14.4" customHeight="1">
      <c r="B187" s="12"/>
      <c r="C187" s="3" t="s">
        <v>13</v>
      </c>
      <c r="D187" s="57">
        <f>D105*('Input data'!D$190*'Input data'!D$7)/D$162</f>
        <v>7.5929105739733382E-2</v>
      </c>
      <c r="E187" s="57">
        <f>E105*('Input data'!E$190*'Input data'!E$7)/E$162</f>
        <v>7.5929105739733382E-2</v>
      </c>
    </row>
    <row r="188" spans="2:5" ht="14.4" customHeight="1">
      <c r="B188" s="15" t="s">
        <v>14</v>
      </c>
      <c r="C188" s="3" t="s">
        <v>13</v>
      </c>
      <c r="D188" s="57">
        <f>D106*('Input data'!D$190*'Input data'!D$7)/D$162</f>
        <v>0.20548600712911064</v>
      </c>
      <c r="E188" s="57">
        <f>E106*('Input data'!E$190*'Input data'!E$7)/E$162</f>
        <v>0.20548600712911064</v>
      </c>
    </row>
    <row r="189" spans="2:5" ht="14.4" customHeight="1">
      <c r="B189" s="15" t="s">
        <v>15</v>
      </c>
      <c r="C189" s="3" t="s">
        <v>13</v>
      </c>
      <c r="D189" s="57">
        <f>D107*('Input data'!D$190*'Input data'!D$7)/D$162</f>
        <v>0</v>
      </c>
      <c r="E189" s="57">
        <f>E107*('Input data'!E$190*'Input data'!E$7)/E$162</f>
        <v>0</v>
      </c>
    </row>
    <row r="192" spans="2:5" ht="28.95" customHeight="1">
      <c r="B192" s="32" t="s">
        <v>605</v>
      </c>
      <c r="C192" s="5"/>
      <c r="D192" s="5"/>
      <c r="E192" s="5"/>
    </row>
    <row r="193" spans="2:5" ht="14.4" customHeight="1">
      <c r="B193" s="37"/>
    </row>
    <row r="194" spans="2:5" ht="14.4" customHeight="1">
      <c r="B194" s="9" t="s">
        <v>2</v>
      </c>
      <c r="C194" s="9" t="s">
        <v>228</v>
      </c>
      <c r="D194" s="6"/>
      <c r="E194" s="6"/>
    </row>
    <row r="195" spans="2:5" ht="14.4" customHeight="1">
      <c r="B195" s="25"/>
      <c r="C195" s="25"/>
      <c r="D195" s="23" t="str">
        <f>'Input data'!D$5</f>
        <v>2025-26</v>
      </c>
      <c r="E195" s="23" t="str">
        <f>'Input data'!E$5</f>
        <v>2026-27</v>
      </c>
    </row>
    <row r="196" spans="2:5" ht="14.4" customHeight="1">
      <c r="B196" s="24"/>
      <c r="C196" s="24"/>
      <c r="D196" s="8"/>
      <c r="E196" s="8"/>
    </row>
    <row r="197" spans="2:5" ht="14.4" customHeight="1">
      <c r="B197" s="10" t="s">
        <v>8</v>
      </c>
      <c r="C197" s="3" t="s">
        <v>9</v>
      </c>
      <c r="D197" s="38">
        <f t="shared" ref="D197:E197" si="7">D170*D115</f>
        <v>324211.02638700884</v>
      </c>
      <c r="E197" s="38">
        <f t="shared" si="7"/>
        <v>324211.02638700884</v>
      </c>
    </row>
    <row r="198" spans="2:5" ht="14.4" customHeight="1">
      <c r="B198" s="11"/>
      <c r="C198" s="3" t="s">
        <v>10</v>
      </c>
      <c r="D198" s="38">
        <f t="shared" ref="D198:E209" si="8">D171*D116</f>
        <v>70388.1710091032</v>
      </c>
      <c r="E198" s="38">
        <f t="shared" si="8"/>
        <v>70388.1710091032</v>
      </c>
    </row>
    <row r="199" spans="2:5" ht="14.4" customHeight="1">
      <c r="B199" s="11"/>
      <c r="C199" s="3" t="s">
        <v>11</v>
      </c>
      <c r="D199" s="38">
        <f t="shared" si="8"/>
        <v>126717.76777739607</v>
      </c>
      <c r="E199" s="38">
        <f t="shared" si="8"/>
        <v>126717.76777739607</v>
      </c>
    </row>
    <row r="200" spans="2:5" ht="14.4" customHeight="1">
      <c r="B200" s="11"/>
      <c r="C200" s="3" t="s">
        <v>12</v>
      </c>
      <c r="D200" s="38">
        <f t="shared" si="8"/>
        <v>186168.21153291664</v>
      </c>
      <c r="E200" s="38">
        <f t="shared" si="8"/>
        <v>186168.21153291664</v>
      </c>
    </row>
    <row r="201" spans="2:5" ht="14.4" customHeight="1">
      <c r="B201" s="12"/>
      <c r="C201" s="3" t="s">
        <v>13</v>
      </c>
      <c r="D201" s="38">
        <f t="shared" si="8"/>
        <v>31072.859430256158</v>
      </c>
      <c r="E201" s="38">
        <f t="shared" si="8"/>
        <v>31072.859430256158</v>
      </c>
    </row>
    <row r="202" spans="2:5" ht="14.4" customHeight="1">
      <c r="B202" s="10" t="s">
        <v>14</v>
      </c>
      <c r="C202" s="3" t="s">
        <v>9</v>
      </c>
      <c r="D202" s="38">
        <f t="shared" si="8"/>
        <v>19002120.448701367</v>
      </c>
      <c r="E202" s="38">
        <f t="shared" si="8"/>
        <v>19002120.448701367</v>
      </c>
    </row>
    <row r="203" spans="2:5" ht="14.4" customHeight="1">
      <c r="B203" s="13"/>
      <c r="C203" s="3" t="s">
        <v>10</v>
      </c>
      <c r="D203" s="38">
        <f t="shared" si="8"/>
        <v>0</v>
      </c>
      <c r="E203" s="38">
        <f t="shared" si="8"/>
        <v>0</v>
      </c>
    </row>
    <row r="204" spans="2:5" ht="14.4" customHeight="1">
      <c r="B204" s="13"/>
      <c r="C204" s="3" t="s">
        <v>11</v>
      </c>
      <c r="D204" s="38">
        <f t="shared" si="8"/>
        <v>0</v>
      </c>
      <c r="E204" s="38">
        <f t="shared" si="8"/>
        <v>0</v>
      </c>
    </row>
    <row r="205" spans="2:5" ht="14.4" customHeight="1">
      <c r="B205" s="13"/>
      <c r="C205" s="3" t="s">
        <v>12</v>
      </c>
      <c r="D205" s="38">
        <f t="shared" si="8"/>
        <v>3326.3371023726095</v>
      </c>
      <c r="E205" s="38">
        <f t="shared" si="8"/>
        <v>3326.3371023726095</v>
      </c>
    </row>
    <row r="206" spans="2:5" ht="14.4" customHeight="1">
      <c r="B206" s="14"/>
      <c r="C206" s="3" t="s">
        <v>13</v>
      </c>
      <c r="D206" s="38">
        <f t="shared" si="8"/>
        <v>40088.986030737462</v>
      </c>
      <c r="E206" s="38">
        <f t="shared" si="8"/>
        <v>40088.986030737462</v>
      </c>
    </row>
    <row r="207" spans="2:5" ht="14.4" customHeight="1">
      <c r="B207" s="10" t="s">
        <v>15</v>
      </c>
      <c r="C207" s="3" t="s">
        <v>12</v>
      </c>
      <c r="D207" s="38">
        <f t="shared" si="8"/>
        <v>0</v>
      </c>
      <c r="E207" s="38">
        <f t="shared" si="8"/>
        <v>0</v>
      </c>
    </row>
    <row r="208" spans="2:5" ht="14.4" customHeight="1">
      <c r="B208" s="14"/>
      <c r="C208" s="3" t="s">
        <v>13</v>
      </c>
      <c r="D208" s="38">
        <f t="shared" si="8"/>
        <v>0</v>
      </c>
      <c r="E208" s="38">
        <f t="shared" si="8"/>
        <v>0</v>
      </c>
    </row>
    <row r="209" spans="2:5" ht="14.4" customHeight="1">
      <c r="B209" s="15" t="s">
        <v>26</v>
      </c>
      <c r="C209" s="3" t="s">
        <v>27</v>
      </c>
      <c r="D209" s="38">
        <f t="shared" si="8"/>
        <v>7.3225838532495419E-3</v>
      </c>
      <c r="E209" s="38">
        <f t="shared" si="8"/>
        <v>7.3225838532495419E-3</v>
      </c>
    </row>
    <row r="210" spans="2:5" ht="14.4" customHeight="1">
      <c r="B210" s="9" t="s">
        <v>2</v>
      </c>
      <c r="C210" s="9" t="s">
        <v>229</v>
      </c>
      <c r="D210" s="6"/>
      <c r="E210" s="6"/>
    </row>
    <row r="211" spans="2:5" ht="14.4" customHeight="1">
      <c r="B211" s="25"/>
      <c r="C211" s="25"/>
      <c r="D211" s="23" t="str">
        <f>'Input data'!D$5</f>
        <v>2025-26</v>
      </c>
      <c r="E211" s="23" t="str">
        <f>'Input data'!E$5</f>
        <v>2026-27</v>
      </c>
    </row>
    <row r="212" spans="2:5" ht="14.4" customHeight="1">
      <c r="B212" s="24"/>
      <c r="C212" s="24"/>
      <c r="D212" s="8"/>
      <c r="E212" s="8"/>
    </row>
    <row r="213" spans="2:5" ht="14.4" customHeight="1">
      <c r="B213" s="10" t="s">
        <v>8</v>
      </c>
      <c r="C213" s="3" t="s">
        <v>12</v>
      </c>
      <c r="D213" s="38">
        <f t="shared" ref="D213:E216" si="9">D186*D131</f>
        <v>0</v>
      </c>
      <c r="E213" s="38">
        <f t="shared" si="9"/>
        <v>0</v>
      </c>
    </row>
    <row r="214" spans="2:5" ht="14.4" customHeight="1">
      <c r="B214" s="12"/>
      <c r="C214" s="3" t="s">
        <v>13</v>
      </c>
      <c r="D214" s="38">
        <f t="shared" si="9"/>
        <v>0</v>
      </c>
      <c r="E214" s="38">
        <f t="shared" si="9"/>
        <v>0</v>
      </c>
    </row>
    <row r="215" spans="2:5" ht="14.4" customHeight="1">
      <c r="B215" s="15" t="s">
        <v>14</v>
      </c>
      <c r="C215" s="3" t="s">
        <v>13</v>
      </c>
      <c r="D215" s="38">
        <f t="shared" si="9"/>
        <v>0</v>
      </c>
      <c r="E215" s="38">
        <f t="shared" si="9"/>
        <v>0</v>
      </c>
    </row>
    <row r="216" spans="2:5" ht="14.4" customHeight="1">
      <c r="B216" s="15" t="s">
        <v>15</v>
      </c>
      <c r="C216" s="3" t="s">
        <v>13</v>
      </c>
      <c r="D216" s="38">
        <f t="shared" si="9"/>
        <v>0</v>
      </c>
      <c r="E216" s="38">
        <f t="shared" si="9"/>
        <v>0</v>
      </c>
    </row>
    <row r="217" spans="2:5" ht="14.4" customHeight="1">
      <c r="B217" s="21" t="s">
        <v>31</v>
      </c>
      <c r="C217" s="22"/>
      <c r="D217" s="20">
        <f t="shared" ref="D217" si="10">SUM(D197:D209,D213:D216)</f>
        <v>19784093.81529374</v>
      </c>
      <c r="E217" s="20">
        <f t="shared" ref="E217" si="11">SUM(E197:E209,E213:E216)</f>
        <v>19784093.81529374</v>
      </c>
    </row>
    <row r="218" spans="2:5" ht="14.4" customHeight="1">
      <c r="D218" s="61">
        <f>'Input data'!D190*'Input data'!D7-D217</f>
        <v>0</v>
      </c>
      <c r="E218" s="61">
        <f>'Input data'!E190*'Input data'!E7-E217</f>
        <v>0</v>
      </c>
    </row>
  </sheetData>
  <conditionalFormatting sqref="D218:E218">
    <cfRule type="cellIs" dxfId="11" priority="1" operator="equal">
      <formula>0</formula>
    </cfRule>
    <cfRule type="cellIs" dxfId="10" priority="2" operator="lessThan">
      <formula>0</formula>
    </cfRule>
    <cfRule type="cellIs" dxfId="9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B2:S707"/>
  <sheetViews>
    <sheetView showGridLines="0" workbookViewId="0">
      <selection sqref="A1:A1048576"/>
    </sheetView>
  </sheetViews>
  <sheetFormatPr defaultColWidth="8.88671875" defaultRowHeight="14.4" customHeight="1"/>
  <cols>
    <col min="1" max="1" width="8.88671875" style="1"/>
    <col min="2" max="2" width="35.6640625" style="1" customWidth="1"/>
    <col min="3" max="3" width="27.5546875" style="1" customWidth="1"/>
    <col min="4" max="5" width="11.6640625" style="1" customWidth="1"/>
    <col min="6" max="6" width="8.88671875" style="1"/>
    <col min="7" max="8" width="11" style="1" bestFit="1" customWidth="1"/>
    <col min="9" max="13" width="8.88671875" style="1" customWidth="1"/>
    <col min="14" max="16384" width="8.88671875" style="1"/>
  </cols>
  <sheetData>
    <row r="2" spans="2:5" ht="28.95" customHeight="1">
      <c r="B2" s="32" t="s">
        <v>606</v>
      </c>
      <c r="C2" s="5"/>
      <c r="D2" s="5"/>
      <c r="E2" s="5"/>
    </row>
    <row r="3" spans="2:5" ht="14.4" customHeight="1">
      <c r="B3" s="37" t="s">
        <v>233</v>
      </c>
    </row>
    <row r="4" spans="2:5" ht="14.4" customHeight="1">
      <c r="B4" s="9" t="s">
        <v>1</v>
      </c>
      <c r="C4" s="9" t="s">
        <v>214</v>
      </c>
      <c r="D4" s="6"/>
      <c r="E4" s="6"/>
    </row>
    <row r="5" spans="2:5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5" ht="14.4" customHeight="1">
      <c r="B6" s="24"/>
      <c r="C6" s="24"/>
      <c r="D6" s="8"/>
      <c r="E6" s="8"/>
    </row>
    <row r="7" spans="2:5" ht="14.4" customHeight="1">
      <c r="B7" s="36" t="s">
        <v>0</v>
      </c>
      <c r="C7" s="3" t="s">
        <v>216</v>
      </c>
      <c r="D7" s="38">
        <f>'Input capacity'!D19</f>
        <v>53723308.416250005</v>
      </c>
      <c r="E7" s="38">
        <f>'Input capacity'!E19</f>
        <v>53723308.416250005</v>
      </c>
    </row>
    <row r="8" spans="2:5" ht="14.4" customHeight="1">
      <c r="B8" s="36" t="s">
        <v>215</v>
      </c>
      <c r="C8" s="3" t="s">
        <v>216</v>
      </c>
      <c r="D8" s="38">
        <f>'Input capacity'!D20</f>
        <v>24419685.643750001</v>
      </c>
      <c r="E8" s="38">
        <f>'Input capacity'!E20</f>
        <v>24419685.643750001</v>
      </c>
    </row>
    <row r="9" spans="2:5" ht="14.4" customHeight="1">
      <c r="B9" s="36" t="s">
        <v>217</v>
      </c>
      <c r="C9" s="3" t="s">
        <v>14</v>
      </c>
      <c r="D9" s="38">
        <f>'Input capacity'!D21</f>
        <v>1.94</v>
      </c>
      <c r="E9" s="38">
        <f>'Input capacity'!E21</f>
        <v>1.94</v>
      </c>
    </row>
    <row r="10" spans="2:5" ht="14.4" customHeight="1">
      <c r="B10" s="36" t="s">
        <v>218</v>
      </c>
      <c r="C10" s="3" t="s">
        <v>15</v>
      </c>
      <c r="D10" s="38">
        <f>'Input capacity'!D22</f>
        <v>7345604.5458560269</v>
      </c>
      <c r="E10" s="38">
        <f>'Input capacity'!E22</f>
        <v>7345604.5458560269</v>
      </c>
    </row>
    <row r="11" spans="2:5" ht="14.4" customHeight="1">
      <c r="B11" s="36" t="s">
        <v>54</v>
      </c>
      <c r="C11" s="3" t="s">
        <v>220</v>
      </c>
      <c r="D11" s="38">
        <f>'Input capacity'!D23</f>
        <v>666910.5112026704</v>
      </c>
      <c r="E11" s="38">
        <f>'Input capacity'!E23</f>
        <v>666910.5112026704</v>
      </c>
    </row>
    <row r="12" spans="2:5" ht="14.4" customHeight="1">
      <c r="B12" s="36" t="s">
        <v>56</v>
      </c>
      <c r="C12" s="3" t="s">
        <v>220</v>
      </c>
      <c r="D12" s="38">
        <f>'Input capacity'!D24</f>
        <v>2332158.2540969248</v>
      </c>
      <c r="E12" s="38">
        <f>'Input capacity'!E24</f>
        <v>2332158.2540969248</v>
      </c>
    </row>
    <row r="13" spans="2:5" ht="14.4" customHeight="1">
      <c r="B13" s="36" t="s">
        <v>58</v>
      </c>
      <c r="C13" s="3" t="s">
        <v>220</v>
      </c>
      <c r="D13" s="38">
        <f>'Input capacity'!D25</f>
        <v>803267.76100691583</v>
      </c>
      <c r="E13" s="38">
        <f>'Input capacity'!E25</f>
        <v>803267.76100691583</v>
      </c>
    </row>
    <row r="14" spans="2:5" ht="14.4" customHeight="1">
      <c r="B14" s="36" t="s">
        <v>60</v>
      </c>
      <c r="C14" s="3" t="s">
        <v>220</v>
      </c>
      <c r="D14" s="38">
        <f>'Input capacity'!D26</f>
        <v>1329246.8609014102</v>
      </c>
      <c r="E14" s="38">
        <f>'Input capacity'!E26</f>
        <v>1329246.8609014102</v>
      </c>
    </row>
    <row r="15" spans="2:5" ht="14.4" customHeight="1">
      <c r="B15" s="36" t="s">
        <v>61</v>
      </c>
      <c r="C15" s="3" t="s">
        <v>220</v>
      </c>
      <c r="D15" s="38">
        <f>'Input capacity'!D27</f>
        <v>344806.80672130937</v>
      </c>
      <c r="E15" s="38">
        <f>'Input capacity'!E27</f>
        <v>344806.80672130937</v>
      </c>
    </row>
    <row r="16" spans="2:5" ht="14.4" customHeight="1">
      <c r="B16" s="36" t="s">
        <v>63</v>
      </c>
      <c r="C16" s="3" t="s">
        <v>220</v>
      </c>
      <c r="D16" s="38">
        <f>'Input capacity'!D28</f>
        <v>754881.43370667647</v>
      </c>
      <c r="E16" s="38">
        <f>'Input capacity'!E28</f>
        <v>754881.43370667647</v>
      </c>
    </row>
    <row r="17" spans="2:5" ht="14.4" customHeight="1">
      <c r="B17" s="36" t="s">
        <v>65</v>
      </c>
      <c r="C17" s="3" t="s">
        <v>220</v>
      </c>
      <c r="D17" s="38">
        <f>'Input capacity'!D29</f>
        <v>1735374.5441289404</v>
      </c>
      <c r="E17" s="38">
        <f>'Input capacity'!E29</f>
        <v>1735374.5441289404</v>
      </c>
    </row>
    <row r="18" spans="2:5" ht="14.4" customHeight="1">
      <c r="B18" s="36" t="s">
        <v>67</v>
      </c>
      <c r="C18" s="3" t="s">
        <v>220</v>
      </c>
      <c r="D18" s="38">
        <f>'Input capacity'!D30</f>
        <v>2053723.6069065251</v>
      </c>
      <c r="E18" s="38">
        <f>'Input capacity'!E30</f>
        <v>2053723.6069065251</v>
      </c>
    </row>
    <row r="19" spans="2:5" ht="14.4" customHeight="1">
      <c r="B19" s="36" t="s">
        <v>69</v>
      </c>
      <c r="C19" s="3" t="s">
        <v>220</v>
      </c>
      <c r="D19" s="38">
        <f>'Input capacity'!D31</f>
        <v>1464905.3387068885</v>
      </c>
      <c r="E19" s="38">
        <f>'Input capacity'!E31</f>
        <v>1464905.3387068885</v>
      </c>
    </row>
    <row r="20" spans="2:5" ht="14.4" customHeight="1">
      <c r="B20" s="36" t="s">
        <v>71</v>
      </c>
      <c r="C20" s="3" t="s">
        <v>220</v>
      </c>
      <c r="D20" s="38">
        <f>'Input capacity'!D32</f>
        <v>10835067.213507725</v>
      </c>
      <c r="E20" s="38">
        <f>'Input capacity'!E32</f>
        <v>10835067.213507725</v>
      </c>
    </row>
    <row r="21" spans="2:5" ht="14.4" customHeight="1">
      <c r="B21" s="36" t="s">
        <v>73</v>
      </c>
      <c r="C21" s="3" t="s">
        <v>220</v>
      </c>
      <c r="D21" s="38">
        <f>'Input capacity'!D33</f>
        <v>0</v>
      </c>
      <c r="E21" s="38">
        <f>'Input capacity'!E33</f>
        <v>0</v>
      </c>
    </row>
    <row r="22" spans="2:5" ht="14.4" customHeight="1">
      <c r="B22" s="36" t="s">
        <v>75</v>
      </c>
      <c r="C22" s="3" t="s">
        <v>220</v>
      </c>
      <c r="D22" s="38">
        <f>'Input capacity'!D34</f>
        <v>576490.25308858522</v>
      </c>
      <c r="E22" s="38">
        <f>'Input capacity'!E34</f>
        <v>576490.25308858522</v>
      </c>
    </row>
    <row r="23" spans="2:5" ht="14.4" customHeight="1">
      <c r="B23" s="36" t="s">
        <v>77</v>
      </c>
      <c r="C23" s="3" t="s">
        <v>220</v>
      </c>
      <c r="D23" s="38">
        <f>'Input capacity'!D35</f>
        <v>2361795.6901438399</v>
      </c>
      <c r="E23" s="38">
        <f>'Input capacity'!E35</f>
        <v>2361795.6901438399</v>
      </c>
    </row>
    <row r="24" spans="2:5" ht="14.4" customHeight="1">
      <c r="B24" s="36" t="s">
        <v>79</v>
      </c>
      <c r="C24" s="3" t="s">
        <v>220</v>
      </c>
      <c r="D24" s="38">
        <f>'Input capacity'!D36</f>
        <v>1449049.0840196612</v>
      </c>
      <c r="E24" s="38">
        <f>'Input capacity'!E36</f>
        <v>1449049.0840196612</v>
      </c>
    </row>
    <row r="25" spans="2:5" ht="14.4" customHeight="1">
      <c r="B25" s="36" t="s">
        <v>81</v>
      </c>
      <c r="C25" s="3" t="s">
        <v>220</v>
      </c>
      <c r="D25" s="38">
        <f>'Input capacity'!D37</f>
        <v>33383544.906060047</v>
      </c>
      <c r="E25" s="38">
        <f>'Input capacity'!E37</f>
        <v>33383544.906060047</v>
      </c>
    </row>
    <row r="26" spans="2:5" ht="14.4" customHeight="1">
      <c r="B26" s="36" t="s">
        <v>82</v>
      </c>
      <c r="C26" s="3" t="s">
        <v>220</v>
      </c>
      <c r="D26" s="38">
        <f>'Input capacity'!D38</f>
        <v>565428.97185689898</v>
      </c>
      <c r="E26" s="38">
        <f>'Input capacity'!E38</f>
        <v>565428.97185689898</v>
      </c>
    </row>
    <row r="27" spans="2:5" ht="14.4" customHeight="1">
      <c r="B27" s="36" t="s">
        <v>83</v>
      </c>
      <c r="C27" s="3" t="s">
        <v>220</v>
      </c>
      <c r="D27" s="38">
        <f>'Input capacity'!D39</f>
        <v>407175.56171688158</v>
      </c>
      <c r="E27" s="38">
        <f>'Input capacity'!E39</f>
        <v>407175.56171688158</v>
      </c>
    </row>
    <row r="28" spans="2:5" ht="14.4" customHeight="1">
      <c r="B28" s="36" t="s">
        <v>85</v>
      </c>
      <c r="C28" s="3" t="s">
        <v>220</v>
      </c>
      <c r="D28" s="38">
        <f>'Input capacity'!D40</f>
        <v>39812.6743841645</v>
      </c>
      <c r="E28" s="38">
        <f>'Input capacity'!E40</f>
        <v>39812.6743841645</v>
      </c>
    </row>
    <row r="29" spans="2:5" ht="14.4" customHeight="1">
      <c r="B29" s="36" t="s">
        <v>87</v>
      </c>
      <c r="C29" s="3" t="s">
        <v>220</v>
      </c>
      <c r="D29" s="38">
        <f>'Input capacity'!D41</f>
        <v>0</v>
      </c>
      <c r="E29" s="38">
        <f>'Input capacity'!E41</f>
        <v>0</v>
      </c>
    </row>
    <row r="30" spans="2:5" ht="14.4" customHeight="1">
      <c r="B30" s="36" t="s">
        <v>89</v>
      </c>
      <c r="C30" s="3" t="s">
        <v>220</v>
      </c>
      <c r="D30" s="38">
        <f>'Input capacity'!D42</f>
        <v>1311485.7537455433</v>
      </c>
      <c r="E30" s="38">
        <f>'Input capacity'!E42</f>
        <v>1311485.7537455433</v>
      </c>
    </row>
    <row r="31" spans="2:5" ht="14.4" customHeight="1">
      <c r="B31" s="36" t="s">
        <v>90</v>
      </c>
      <c r="C31" s="3" t="s">
        <v>220</v>
      </c>
      <c r="D31" s="38">
        <f>'Input capacity'!D43</f>
        <v>744114.75474967051</v>
      </c>
      <c r="E31" s="38">
        <f>'Input capacity'!E43</f>
        <v>744114.75474967051</v>
      </c>
    </row>
    <row r="32" spans="2:5" ht="14.4" customHeight="1">
      <c r="B32" s="36" t="s">
        <v>92</v>
      </c>
      <c r="C32" s="3" t="s">
        <v>220</v>
      </c>
      <c r="D32" s="38">
        <f>'Input capacity'!D44</f>
        <v>1350349.4957553819</v>
      </c>
      <c r="E32" s="38">
        <f>'Input capacity'!E44</f>
        <v>1350349.4957553819</v>
      </c>
    </row>
    <row r="33" spans="2:5" ht="14.4" customHeight="1">
      <c r="B33" s="36" t="s">
        <v>94</v>
      </c>
      <c r="C33" s="3" t="s">
        <v>220</v>
      </c>
      <c r="D33" s="38">
        <f>'Input capacity'!D45</f>
        <v>1373519.9367081057</v>
      </c>
      <c r="E33" s="38">
        <f>'Input capacity'!E45</f>
        <v>1373519.9367081057</v>
      </c>
    </row>
    <row r="34" spans="2:5" ht="14.4" customHeight="1">
      <c r="B34" s="36" t="s">
        <v>96</v>
      </c>
      <c r="C34" s="3" t="s">
        <v>220</v>
      </c>
      <c r="D34" s="38">
        <f>'Input capacity'!D46</f>
        <v>3525428.5561790178</v>
      </c>
      <c r="E34" s="38">
        <f>'Input capacity'!E46</f>
        <v>3525428.5561790178</v>
      </c>
    </row>
    <row r="35" spans="2:5" ht="14.4" customHeight="1">
      <c r="B35" s="36" t="s">
        <v>98</v>
      </c>
      <c r="C35" s="3" t="s">
        <v>220</v>
      </c>
      <c r="D35" s="38">
        <f>'Input capacity'!D47</f>
        <v>0</v>
      </c>
      <c r="E35" s="38">
        <f>'Input capacity'!E47</f>
        <v>0</v>
      </c>
    </row>
    <row r="36" spans="2:5" ht="14.4" customHeight="1">
      <c r="B36" s="36" t="s">
        <v>100</v>
      </c>
      <c r="C36" s="3" t="s">
        <v>220</v>
      </c>
      <c r="D36" s="38">
        <f>'Input capacity'!D48</f>
        <v>7839231.5264920266</v>
      </c>
      <c r="E36" s="38">
        <f>'Input capacity'!E48</f>
        <v>7839231.5264920266</v>
      </c>
    </row>
    <row r="37" spans="2:5" ht="14.4" customHeight="1">
      <c r="B37" s="36" t="s">
        <v>102</v>
      </c>
      <c r="C37" s="3" t="s">
        <v>220</v>
      </c>
      <c r="D37" s="38">
        <f>'Input capacity'!D49</f>
        <v>0</v>
      </c>
      <c r="E37" s="38">
        <f>'Input capacity'!E49</f>
        <v>0</v>
      </c>
    </row>
    <row r="38" spans="2:5" ht="14.4" customHeight="1">
      <c r="B38" s="36" t="s">
        <v>103</v>
      </c>
      <c r="C38" s="3" t="s">
        <v>220</v>
      </c>
      <c r="D38" s="38">
        <f>'Input capacity'!D50</f>
        <v>28794214.18007151</v>
      </c>
      <c r="E38" s="38">
        <f>'Input capacity'!E50</f>
        <v>28794214.18007151</v>
      </c>
    </row>
    <row r="39" spans="2:5" ht="14.4" customHeight="1">
      <c r="B39" s="36" t="s">
        <v>105</v>
      </c>
      <c r="C39" s="3" t="s">
        <v>220</v>
      </c>
      <c r="D39" s="38">
        <f>'Input capacity'!D51</f>
        <v>1032552.4628568233</v>
      </c>
      <c r="E39" s="38">
        <f>'Input capacity'!E51</f>
        <v>1032552.4628568233</v>
      </c>
    </row>
    <row r="40" spans="2:5" ht="14.4" customHeight="1">
      <c r="B40" s="36" t="s">
        <v>107</v>
      </c>
      <c r="C40" s="3" t="s">
        <v>220</v>
      </c>
      <c r="D40" s="38">
        <f>'Input capacity'!D52</f>
        <v>0</v>
      </c>
      <c r="E40" s="38">
        <f>'Input capacity'!E52</f>
        <v>0</v>
      </c>
    </row>
    <row r="41" spans="2:5" ht="14.4" customHeight="1">
      <c r="B41" s="36" t="s">
        <v>108</v>
      </c>
      <c r="C41" s="3" t="s">
        <v>220</v>
      </c>
      <c r="D41" s="38">
        <f>'Input capacity'!D53</f>
        <v>38182.020047841215</v>
      </c>
      <c r="E41" s="38">
        <f>'Input capacity'!E53</f>
        <v>38182.020047841215</v>
      </c>
    </row>
    <row r="42" spans="2:5" ht="14.4" customHeight="1">
      <c r="B42" s="36" t="s">
        <v>110</v>
      </c>
      <c r="C42" s="3" t="s">
        <v>220</v>
      </c>
      <c r="D42" s="38">
        <f>'Input capacity'!D54</f>
        <v>1347360.1491446556</v>
      </c>
      <c r="E42" s="38">
        <f>'Input capacity'!E54</f>
        <v>1347360.1491446556</v>
      </c>
    </row>
    <row r="43" spans="2:5" ht="14.4" customHeight="1">
      <c r="B43" s="36" t="s">
        <v>112</v>
      </c>
      <c r="C43" s="3" t="s">
        <v>220</v>
      </c>
      <c r="D43" s="38">
        <f>'Input capacity'!D55</f>
        <v>383984.4371129942</v>
      </c>
      <c r="E43" s="38">
        <f>'Input capacity'!E55</f>
        <v>383984.4371129942</v>
      </c>
    </row>
    <row r="44" spans="2:5" ht="14.4" customHeight="1">
      <c r="B44" s="36" t="s">
        <v>114</v>
      </c>
      <c r="C44" s="3" t="s">
        <v>220</v>
      </c>
      <c r="D44" s="38">
        <f>'Input capacity'!D56</f>
        <v>0</v>
      </c>
      <c r="E44" s="38">
        <f>'Input capacity'!E56</f>
        <v>0</v>
      </c>
    </row>
    <row r="45" spans="2:5" ht="14.4" customHeight="1">
      <c r="B45" s="36" t="s">
        <v>116</v>
      </c>
      <c r="C45" s="3" t="s">
        <v>220</v>
      </c>
      <c r="D45" s="38">
        <f>'Input capacity'!D57</f>
        <v>914189.43054723344</v>
      </c>
      <c r="E45" s="38">
        <f>'Input capacity'!E57</f>
        <v>914189.43054723344</v>
      </c>
    </row>
    <row r="46" spans="2:5" ht="14.4" customHeight="1">
      <c r="B46" s="36" t="s">
        <v>118</v>
      </c>
      <c r="C46" s="3" t="s">
        <v>220</v>
      </c>
      <c r="D46" s="38">
        <f>'Input capacity'!D58</f>
        <v>0</v>
      </c>
      <c r="E46" s="38">
        <f>'Input capacity'!E58</f>
        <v>0</v>
      </c>
    </row>
    <row r="47" spans="2:5" ht="14.4" customHeight="1">
      <c r="B47" s="36" t="s">
        <v>120</v>
      </c>
      <c r="C47" s="3" t="s">
        <v>220</v>
      </c>
      <c r="D47" s="38">
        <f>'Input capacity'!D59</f>
        <v>411010.98146371538</v>
      </c>
      <c r="E47" s="38">
        <f>'Input capacity'!E59</f>
        <v>411010.98146371538</v>
      </c>
    </row>
    <row r="48" spans="2:5" ht="14.4" customHeight="1">
      <c r="B48" s="36" t="s">
        <v>122</v>
      </c>
      <c r="C48" s="3" t="s">
        <v>220</v>
      </c>
      <c r="D48" s="38">
        <f>'Input capacity'!D60</f>
        <v>1168923.4085922446</v>
      </c>
      <c r="E48" s="38">
        <f>'Input capacity'!E60</f>
        <v>1168923.4085922446</v>
      </c>
    </row>
    <row r="49" spans="2:5" ht="14.4" customHeight="1">
      <c r="B49" s="36" t="s">
        <v>124</v>
      </c>
      <c r="C49" s="3" t="s">
        <v>220</v>
      </c>
      <c r="D49" s="38">
        <f>'Input capacity'!D61</f>
        <v>2433973.8064581072</v>
      </c>
      <c r="E49" s="38">
        <f>'Input capacity'!E61</f>
        <v>2433973.8064581072</v>
      </c>
    </row>
    <row r="50" spans="2:5" ht="14.4" customHeight="1">
      <c r="B50" s="36" t="s">
        <v>126</v>
      </c>
      <c r="C50" s="3" t="s">
        <v>220</v>
      </c>
      <c r="D50" s="38">
        <f>'Input capacity'!D62</f>
        <v>625683.52229300095</v>
      </c>
      <c r="E50" s="38">
        <f>'Input capacity'!E62</f>
        <v>625683.52229300095</v>
      </c>
    </row>
    <row r="51" spans="2:5" ht="14.4" customHeight="1">
      <c r="B51" s="36" t="s">
        <v>128</v>
      </c>
      <c r="C51" s="3" t="s">
        <v>220</v>
      </c>
      <c r="D51" s="38">
        <f>'Input capacity'!D63</f>
        <v>2321914.5361037962</v>
      </c>
      <c r="E51" s="38">
        <f>'Input capacity'!E63</f>
        <v>2321914.5361037962</v>
      </c>
    </row>
    <row r="52" spans="2:5" ht="14.4" customHeight="1">
      <c r="B52" s="36" t="s">
        <v>130</v>
      </c>
      <c r="C52" s="3" t="s">
        <v>220</v>
      </c>
      <c r="D52" s="38">
        <f>'Input capacity'!D64</f>
        <v>1734226.6014893656</v>
      </c>
      <c r="E52" s="38">
        <f>'Input capacity'!E64</f>
        <v>1734226.6014893656</v>
      </c>
    </row>
    <row r="53" spans="2:5" ht="14.4" customHeight="1">
      <c r="B53" s="36" t="s">
        <v>131</v>
      </c>
      <c r="C53" s="3" t="s">
        <v>220</v>
      </c>
      <c r="D53" s="38">
        <f>'Input capacity'!D65</f>
        <v>55150.719757105908</v>
      </c>
      <c r="E53" s="38">
        <f>'Input capacity'!E65</f>
        <v>55150.719757105908</v>
      </c>
    </row>
    <row r="54" spans="2:5" ht="14.4" customHeight="1">
      <c r="B54" s="36" t="s">
        <v>133</v>
      </c>
      <c r="C54" s="3" t="s">
        <v>220</v>
      </c>
      <c r="D54" s="38">
        <f>'Input capacity'!D66</f>
        <v>2331301.8391352356</v>
      </c>
      <c r="E54" s="38">
        <f>'Input capacity'!E66</f>
        <v>2331301.8391352356</v>
      </c>
    </row>
    <row r="55" spans="2:5" ht="14.4" customHeight="1">
      <c r="B55" s="36" t="s">
        <v>135</v>
      </c>
      <c r="C55" s="3" t="s">
        <v>220</v>
      </c>
      <c r="D55" s="38">
        <f>'Input capacity'!D67</f>
        <v>1811724.0497670483</v>
      </c>
      <c r="E55" s="38">
        <f>'Input capacity'!E67</f>
        <v>1811724.0497670483</v>
      </c>
    </row>
    <row r="56" spans="2:5" ht="14.4" customHeight="1">
      <c r="B56" s="36" t="s">
        <v>136</v>
      </c>
      <c r="C56" s="3" t="s">
        <v>220</v>
      </c>
      <c r="D56" s="38">
        <f>'Input capacity'!D68</f>
        <v>2994680.1976385373</v>
      </c>
      <c r="E56" s="38">
        <f>'Input capacity'!E68</f>
        <v>2994680.1976385373</v>
      </c>
    </row>
    <row r="57" spans="2:5" ht="14.4" customHeight="1">
      <c r="B57" s="36" t="s">
        <v>138</v>
      </c>
      <c r="C57" s="3" t="s">
        <v>220</v>
      </c>
      <c r="D57" s="38">
        <f>'Input capacity'!D69</f>
        <v>676229.89359582961</v>
      </c>
      <c r="E57" s="38">
        <f>'Input capacity'!E69</f>
        <v>676229.89359582961</v>
      </c>
    </row>
    <row r="58" spans="2:5" ht="14.4" customHeight="1">
      <c r="B58" s="36" t="s">
        <v>140</v>
      </c>
      <c r="C58" s="3" t="s">
        <v>220</v>
      </c>
      <c r="D58" s="38">
        <f>'Input capacity'!D70</f>
        <v>1458839.4387399897</v>
      </c>
      <c r="E58" s="38">
        <f>'Input capacity'!E70</f>
        <v>1458839.4387399897</v>
      </c>
    </row>
    <row r="59" spans="2:5" ht="14.4" customHeight="1">
      <c r="B59" s="36" t="s">
        <v>142</v>
      </c>
      <c r="C59" s="3" t="s">
        <v>220</v>
      </c>
      <c r="D59" s="38">
        <f>'Input capacity'!D71</f>
        <v>1277645.6233892427</v>
      </c>
      <c r="E59" s="38">
        <f>'Input capacity'!E71</f>
        <v>1277645.6233892427</v>
      </c>
    </row>
    <row r="60" spans="2:5" ht="14.4" customHeight="1">
      <c r="B60" s="36" t="s">
        <v>144</v>
      </c>
      <c r="C60" s="3" t="s">
        <v>220</v>
      </c>
      <c r="D60" s="38">
        <f>'Input capacity'!D72</f>
        <v>33992041.432271369</v>
      </c>
      <c r="E60" s="38">
        <f>'Input capacity'!E72</f>
        <v>33992041.432271369</v>
      </c>
    </row>
    <row r="61" spans="2:5" ht="14.4" customHeight="1">
      <c r="B61" s="36" t="s">
        <v>146</v>
      </c>
      <c r="C61" s="3" t="s">
        <v>220</v>
      </c>
      <c r="D61" s="38">
        <f>'Input capacity'!D73</f>
        <v>4177722.7137290742</v>
      </c>
      <c r="E61" s="38">
        <f>'Input capacity'!E73</f>
        <v>4177722.7137290742</v>
      </c>
    </row>
    <row r="62" spans="2:5" ht="14.4" customHeight="1">
      <c r="B62" s="36" t="s">
        <v>148</v>
      </c>
      <c r="C62" s="3" t="s">
        <v>220</v>
      </c>
      <c r="D62" s="38">
        <f>'Input capacity'!D74</f>
        <v>3559238.7790937712</v>
      </c>
      <c r="E62" s="38">
        <f>'Input capacity'!E74</f>
        <v>3559238.7790937712</v>
      </c>
    </row>
    <row r="63" spans="2:5" ht="14.4" customHeight="1">
      <c r="B63" s="36" t="s">
        <v>150</v>
      </c>
      <c r="C63" s="3" t="s">
        <v>220</v>
      </c>
      <c r="D63" s="38">
        <f>'Input capacity'!D75</f>
        <v>10014787.149418822</v>
      </c>
      <c r="E63" s="38">
        <f>'Input capacity'!E75</f>
        <v>10014787.149418822</v>
      </c>
    </row>
    <row r="64" spans="2:5" ht="14.4" customHeight="1">
      <c r="B64" s="36" t="s">
        <v>152</v>
      </c>
      <c r="C64" s="3" t="s">
        <v>220</v>
      </c>
      <c r="D64" s="38">
        <f>'Input capacity'!D76</f>
        <v>6964392.1832657726</v>
      </c>
      <c r="E64" s="38">
        <f>'Input capacity'!E76</f>
        <v>6964392.1832657726</v>
      </c>
    </row>
    <row r="65" spans="2:5" ht="14.4" customHeight="1">
      <c r="B65" s="36" t="s">
        <v>154</v>
      </c>
      <c r="C65" s="3" t="s">
        <v>220</v>
      </c>
      <c r="D65" s="38">
        <f>'Input capacity'!D77</f>
        <v>6403653.3690645993</v>
      </c>
      <c r="E65" s="38">
        <f>'Input capacity'!E77</f>
        <v>6403653.3690645993</v>
      </c>
    </row>
    <row r="66" spans="2:5" ht="14.4" customHeight="1">
      <c r="B66" s="36" t="s">
        <v>156</v>
      </c>
      <c r="C66" s="3" t="s">
        <v>220</v>
      </c>
      <c r="D66" s="38">
        <f>'Input capacity'!D78</f>
        <v>803369.50220993639</v>
      </c>
      <c r="E66" s="38">
        <f>'Input capacity'!E78</f>
        <v>803369.50220993639</v>
      </c>
    </row>
    <row r="67" spans="2:5" ht="14.4" customHeight="1">
      <c r="B67" s="36" t="s">
        <v>158</v>
      </c>
      <c r="C67" s="3" t="s">
        <v>220</v>
      </c>
      <c r="D67" s="38">
        <f>'Input capacity'!D79</f>
        <v>3434404.559057998</v>
      </c>
      <c r="E67" s="38">
        <f>'Input capacity'!E79</f>
        <v>3434404.559057998</v>
      </c>
    </row>
    <row r="68" spans="2:5" ht="14.4" customHeight="1">
      <c r="B68" s="36" t="s">
        <v>160</v>
      </c>
      <c r="C68" s="3" t="s">
        <v>220</v>
      </c>
      <c r="D68" s="38">
        <f>'Input capacity'!D80</f>
        <v>4611620.1552052135</v>
      </c>
      <c r="E68" s="38">
        <f>'Input capacity'!E80</f>
        <v>4611620.1552052135</v>
      </c>
    </row>
    <row r="69" spans="2:5" ht="14.4" customHeight="1">
      <c r="B69" s="36" t="s">
        <v>162</v>
      </c>
      <c r="C69" s="3" t="s">
        <v>220</v>
      </c>
      <c r="D69" s="38">
        <f>'Input capacity'!D81</f>
        <v>48718.104245253999</v>
      </c>
      <c r="E69" s="38">
        <f>'Input capacity'!E81</f>
        <v>48718.104245253999</v>
      </c>
    </row>
    <row r="70" spans="2:5" ht="14.4" customHeight="1">
      <c r="B70" s="36" t="s">
        <v>164</v>
      </c>
      <c r="C70" s="3" t="s">
        <v>220</v>
      </c>
      <c r="D70" s="38">
        <f>'Input capacity'!D82</f>
        <v>165127.37004629069</v>
      </c>
      <c r="E70" s="38">
        <f>'Input capacity'!E82</f>
        <v>165127.37004629069</v>
      </c>
    </row>
    <row r="71" spans="2:5" ht="14.4" customHeight="1">
      <c r="B71" s="36" t="s">
        <v>166</v>
      </c>
      <c r="C71" s="3" t="s">
        <v>220</v>
      </c>
      <c r="D71" s="38">
        <f>'Input capacity'!D83</f>
        <v>148489.04973804319</v>
      </c>
      <c r="E71" s="38">
        <f>'Input capacity'!E83</f>
        <v>148489.04973804319</v>
      </c>
    </row>
    <row r="72" spans="2:5" ht="14.4" customHeight="1">
      <c r="B72" s="36" t="s">
        <v>168</v>
      </c>
      <c r="C72" s="3" t="s">
        <v>220</v>
      </c>
      <c r="D72" s="38">
        <f>'Input capacity'!D84</f>
        <v>51921.554596402631</v>
      </c>
      <c r="E72" s="38">
        <f>'Input capacity'!E84</f>
        <v>51921.554596402631</v>
      </c>
    </row>
    <row r="73" spans="2:5" ht="14.4" customHeight="1">
      <c r="B73" s="36" t="s">
        <v>170</v>
      </c>
      <c r="C73" s="3" t="s">
        <v>220</v>
      </c>
      <c r="D73" s="38">
        <f>'Input capacity'!D85</f>
        <v>183498.085893882</v>
      </c>
      <c r="E73" s="38">
        <f>'Input capacity'!E85</f>
        <v>183498.085893882</v>
      </c>
    </row>
    <row r="74" spans="2:5" ht="14.4" customHeight="1">
      <c r="B74" s="36" t="s">
        <v>172</v>
      </c>
      <c r="C74" s="3" t="s">
        <v>220</v>
      </c>
      <c r="D74" s="38">
        <f>'Input capacity'!D86</f>
        <v>26553353.003192723</v>
      </c>
      <c r="E74" s="38">
        <f>'Input capacity'!E86</f>
        <v>26553353.003192723</v>
      </c>
    </row>
    <row r="75" spans="2:5" ht="14.4" customHeight="1">
      <c r="B75" s="36" t="s">
        <v>174</v>
      </c>
      <c r="C75" s="3" t="s">
        <v>220</v>
      </c>
      <c r="D75" s="38">
        <f>'Input capacity'!D87</f>
        <v>420347.41389364447</v>
      </c>
      <c r="E75" s="38">
        <f>'Input capacity'!E87</f>
        <v>420347.41389364447</v>
      </c>
    </row>
    <row r="76" spans="2:5" ht="14.4" customHeight="1">
      <c r="B76" s="36" t="s">
        <v>176</v>
      </c>
      <c r="C76" s="3" t="s">
        <v>220</v>
      </c>
      <c r="D76" s="38">
        <f>'Input capacity'!D88</f>
        <v>2271229.2489276128</v>
      </c>
      <c r="E76" s="38">
        <f>'Input capacity'!E88</f>
        <v>2271229.2489276128</v>
      </c>
    </row>
    <row r="77" spans="2:5" ht="14.4" customHeight="1">
      <c r="B77" s="36" t="s">
        <v>178</v>
      </c>
      <c r="C77" s="3" t="s">
        <v>220</v>
      </c>
      <c r="D77" s="38">
        <f>'Input capacity'!D89</f>
        <v>452075.29625207168</v>
      </c>
      <c r="E77" s="38">
        <f>'Input capacity'!E89</f>
        <v>452075.29625207168</v>
      </c>
    </row>
    <row r="78" spans="2:5" ht="14.4" customHeight="1">
      <c r="B78" s="36" t="s">
        <v>180</v>
      </c>
      <c r="C78" s="3" t="s">
        <v>220</v>
      </c>
      <c r="D78" s="38">
        <f>'Input capacity'!D90</f>
        <v>1295117.15942882</v>
      </c>
      <c r="E78" s="38">
        <f>'Input capacity'!E90</f>
        <v>1295117.15942882</v>
      </c>
    </row>
    <row r="79" spans="2:5" ht="14.4" customHeight="1">
      <c r="B79" s="36" t="s">
        <v>182</v>
      </c>
      <c r="C79" s="3" t="s">
        <v>220</v>
      </c>
      <c r="D79" s="38">
        <f>'Input capacity'!D91</f>
        <v>394330.45532674226</v>
      </c>
      <c r="E79" s="38">
        <f>'Input capacity'!E91</f>
        <v>394330.45532674226</v>
      </c>
    </row>
    <row r="80" spans="2:5" ht="14.4" customHeight="1">
      <c r="B80" s="36" t="s">
        <v>184</v>
      </c>
      <c r="C80" s="3" t="s">
        <v>220</v>
      </c>
      <c r="D80" s="38">
        <f>'Input capacity'!D92</f>
        <v>1497422.8334239228</v>
      </c>
      <c r="E80" s="38">
        <f>'Input capacity'!E92</f>
        <v>1497422.8334239228</v>
      </c>
    </row>
    <row r="81" spans="2:5" ht="14.4" customHeight="1">
      <c r="B81" s="36" t="s">
        <v>186</v>
      </c>
      <c r="C81" s="3" t="s">
        <v>220</v>
      </c>
      <c r="D81" s="38">
        <f>'Input capacity'!D93</f>
        <v>232104.66612813275</v>
      </c>
      <c r="E81" s="38">
        <f>'Input capacity'!E93</f>
        <v>232104.66612813275</v>
      </c>
    </row>
    <row r="82" spans="2:5" ht="14.4" customHeight="1">
      <c r="B82" s="36" t="s">
        <v>188</v>
      </c>
      <c r="C82" s="3" t="s">
        <v>220</v>
      </c>
      <c r="D82" s="38">
        <f>'Input capacity'!D94</f>
        <v>64609.85655001858</v>
      </c>
      <c r="E82" s="38">
        <f>'Input capacity'!E94</f>
        <v>64609.85655001858</v>
      </c>
    </row>
    <row r="83" spans="2:5" ht="14.4" customHeight="1">
      <c r="B83" s="36" t="s">
        <v>190</v>
      </c>
      <c r="C83" s="3" t="s">
        <v>220</v>
      </c>
      <c r="D83" s="38">
        <f>'Input capacity'!D95</f>
        <v>358776.09750306542</v>
      </c>
      <c r="E83" s="38">
        <f>'Input capacity'!E95</f>
        <v>358776.09750306542</v>
      </c>
    </row>
    <row r="84" spans="2:5" ht="14.4" customHeight="1">
      <c r="B84" s="36" t="s">
        <v>192</v>
      </c>
      <c r="C84" s="3" t="s">
        <v>220</v>
      </c>
      <c r="D84" s="38">
        <f>'Input capacity'!D96</f>
        <v>365550.83178551379</v>
      </c>
      <c r="E84" s="38">
        <f>'Input capacity'!E96</f>
        <v>365550.83178551379</v>
      </c>
    </row>
    <row r="85" spans="2:5" ht="14.4" customHeight="1">
      <c r="B85" s="36" t="s">
        <v>194</v>
      </c>
      <c r="C85" s="3" t="s">
        <v>220</v>
      </c>
      <c r="D85" s="38">
        <f>'Input capacity'!D97</f>
        <v>252345.29584442524</v>
      </c>
      <c r="E85" s="38">
        <f>'Input capacity'!E97</f>
        <v>252345.29584442524</v>
      </c>
    </row>
    <row r="86" spans="2:5" ht="14.4" customHeight="1">
      <c r="B86" s="36" t="s">
        <v>196</v>
      </c>
      <c r="C86" s="3" t="s">
        <v>220</v>
      </c>
      <c r="D86" s="38">
        <f>'Input capacity'!D98</f>
        <v>149209.06440557295</v>
      </c>
      <c r="E86" s="38">
        <f>'Input capacity'!E98</f>
        <v>149209.06440557295</v>
      </c>
    </row>
    <row r="87" spans="2:5" ht="14.4" customHeight="1">
      <c r="B87" s="36" t="s">
        <v>198</v>
      </c>
      <c r="C87" s="3" t="s">
        <v>220</v>
      </c>
      <c r="D87" s="38">
        <f>'Input capacity'!D99</f>
        <v>181438.94456791464</v>
      </c>
      <c r="E87" s="38">
        <f>'Input capacity'!E99</f>
        <v>181438.94456791464</v>
      </c>
    </row>
    <row r="88" spans="2:5" ht="14.4" customHeight="1">
      <c r="B88" s="36" t="s">
        <v>200</v>
      </c>
      <c r="C88" s="3" t="s">
        <v>220</v>
      </c>
      <c r="D88" s="38">
        <f>'Input capacity'!D100</f>
        <v>598355.94696521095</v>
      </c>
      <c r="E88" s="38">
        <f>'Input capacity'!E100</f>
        <v>598355.94696521095</v>
      </c>
    </row>
    <row r="89" spans="2:5" ht="14.4" customHeight="1">
      <c r="B89" s="36" t="s">
        <v>202</v>
      </c>
      <c r="C89" s="3" t="s">
        <v>220</v>
      </c>
      <c r="D89" s="38">
        <f>'Input capacity'!D101</f>
        <v>749374.83084759105</v>
      </c>
      <c r="E89" s="38">
        <f>'Input capacity'!E101</f>
        <v>749374.83084759105</v>
      </c>
    </row>
    <row r="90" spans="2:5" ht="14.4" customHeight="1">
      <c r="B90" s="36" t="s">
        <v>204</v>
      </c>
      <c r="C90" s="3" t="s">
        <v>220</v>
      </c>
      <c r="D90" s="38">
        <f>'Input capacity'!D102</f>
        <v>5401382.0510199564</v>
      </c>
      <c r="E90" s="38">
        <f>'Input capacity'!E102</f>
        <v>5401382.0510199564</v>
      </c>
    </row>
    <row r="91" spans="2:5" ht="14.4" customHeight="1">
      <c r="B91" s="36" t="s">
        <v>206</v>
      </c>
      <c r="C91" s="3" t="s">
        <v>220</v>
      </c>
      <c r="D91" s="38">
        <f>'Input capacity'!D103</f>
        <v>11635727.995941641</v>
      </c>
      <c r="E91" s="38">
        <f>'Input capacity'!E103</f>
        <v>11635727.995941641</v>
      </c>
    </row>
    <row r="92" spans="2:5" ht="14.4" customHeight="1">
      <c r="B92" s="36" t="s">
        <v>208</v>
      </c>
      <c r="C92" s="3" t="s">
        <v>220</v>
      </c>
      <c r="D92" s="38">
        <f>'Input capacity'!D104</f>
        <v>4906553.3683041083</v>
      </c>
      <c r="E92" s="38">
        <f>'Input capacity'!E104</f>
        <v>4906553.3683041083</v>
      </c>
    </row>
    <row r="93" spans="2:5" ht="14.4" customHeight="1">
      <c r="B93" s="36" t="s">
        <v>209</v>
      </c>
      <c r="C93" s="3" t="s">
        <v>220</v>
      </c>
      <c r="D93" s="38">
        <f>'Input capacity'!D105</f>
        <v>121161.4744102531</v>
      </c>
      <c r="E93" s="38">
        <f>'Input capacity'!E105</f>
        <v>121161.4744102531</v>
      </c>
    </row>
    <row r="94" spans="2:5" ht="14.4" customHeight="1">
      <c r="B94" s="36" t="s">
        <v>211</v>
      </c>
      <c r="C94" s="3" t="s">
        <v>220</v>
      </c>
      <c r="D94" s="38">
        <f>'Input capacity'!D106</f>
        <v>9527360.139222715</v>
      </c>
      <c r="E94" s="38">
        <f>'Input capacity'!E106</f>
        <v>9527360.139222715</v>
      </c>
    </row>
    <row r="95" spans="2:5" ht="14.4" customHeight="1">
      <c r="B95" s="36" t="s">
        <v>212</v>
      </c>
      <c r="C95" s="3" t="s">
        <v>220</v>
      </c>
      <c r="D95" s="38">
        <f>'Input capacity'!D107</f>
        <v>35532.835646114778</v>
      </c>
      <c r="E95" s="38">
        <f>'Input capacity'!E107</f>
        <v>35532.835646114778</v>
      </c>
    </row>
    <row r="98" spans="2:13" ht="28.95" customHeight="1">
      <c r="B98" s="32" t="str">
        <f>IF('RPM &amp; Discounts'!$B$3&lt;&gt;'A0.Support'!$B$6,"2. "&amp;'Input data'!B228,"2. "&amp;'Input data'!B210)</f>
        <v>2. Commercial utilization factor at exit points</v>
      </c>
      <c r="C98" s="5"/>
      <c r="D98" s="5"/>
      <c r="E98" s="5"/>
    </row>
    <row r="99" spans="2:13" ht="14.4" customHeight="1">
      <c r="B99" s="37" t="str">
        <f>'Entry Tariff_1'!B15</f>
        <v>Commercial utilization factor by default. Physical flow factor in mCWD.</v>
      </c>
    </row>
    <row r="100" spans="2:13" ht="14.4" customHeight="1">
      <c r="B100" s="9" t="s">
        <v>2</v>
      </c>
      <c r="C100" s="9" t="s">
        <v>214</v>
      </c>
      <c r="D100" s="6"/>
      <c r="E100" s="6"/>
    </row>
    <row r="101" spans="2:13" ht="14.4" customHeight="1">
      <c r="B101" s="25"/>
      <c r="C101" s="25"/>
      <c r="D101" s="23" t="str">
        <f>'Input data'!D$5</f>
        <v>2025-26</v>
      </c>
      <c r="E101" s="23" t="str">
        <f>'Input data'!E$5</f>
        <v>2026-27</v>
      </c>
    </row>
    <row r="102" spans="2:13" ht="14.4" customHeight="1">
      <c r="B102" s="24"/>
      <c r="C102" s="24"/>
      <c r="D102" s="8"/>
      <c r="E102" s="8"/>
    </row>
    <row r="103" spans="2:13" ht="14.4" customHeight="1">
      <c r="B103" s="36" t="str">
        <f>B7</f>
        <v>CTS Campo Maior</v>
      </c>
      <c r="C103" s="36" t="str">
        <f t="shared" ref="C103:C167" si="0">C7</f>
        <v>Interconnection point</v>
      </c>
      <c r="D103" s="89">
        <f>IF('RPM &amp; Discounts'!$B$3&lt;&gt;'A0.Support'!$B$6,'Input data'!D$231,'Input data'!D$213)</f>
        <v>0.14452116455577699</v>
      </c>
      <c r="E103" s="89">
        <f>IF('RPM &amp; Discounts'!$B$3&lt;&gt;'A0.Support'!$B$6,'Input data'!E$231,'Input data'!E$213)</f>
        <v>0.14452116455577699</v>
      </c>
      <c r="H103"/>
      <c r="I103"/>
      <c r="J103"/>
      <c r="K103"/>
      <c r="L103"/>
      <c r="M103"/>
    </row>
    <row r="104" spans="2:13" ht="14.4" customHeight="1">
      <c r="B104" s="36" t="str">
        <f t="shared" ref="B104" si="1">B8</f>
        <v>CTS Valença do Minho</v>
      </c>
      <c r="C104" s="36" t="str">
        <f t="shared" si="0"/>
        <v>Interconnection point</v>
      </c>
      <c r="D104" s="89">
        <f>IF('RPM &amp; Discounts'!$B$3&lt;&gt;'A0.Support'!$B$6,'Input data'!D$231,'Input data'!D$213)</f>
        <v>0.14452116455577699</v>
      </c>
      <c r="E104" s="89">
        <f>IF('RPM &amp; Discounts'!$B$3&lt;&gt;'A0.Support'!$B$6,'Input data'!E$231,'Input data'!E$213)</f>
        <v>0.14452116455577699</v>
      </c>
      <c r="H104"/>
      <c r="I104"/>
      <c r="J104"/>
      <c r="K104"/>
      <c r="L104"/>
      <c r="M104"/>
    </row>
    <row r="105" spans="2:13" ht="14.4" customHeight="1">
      <c r="B105" s="36" t="str">
        <f t="shared" ref="B105" si="2">B9</f>
        <v>LNG Terminal Sines</v>
      </c>
      <c r="C105" s="36" t="str">
        <f t="shared" si="0"/>
        <v>LNG terminal</v>
      </c>
      <c r="D105" s="89">
        <f>IF('RPM &amp; Discounts'!$B$3&lt;&gt;'A0.Support'!$B$6,'Input data'!D$232,'Input data'!D$214)</f>
        <v>0</v>
      </c>
      <c r="E105" s="89">
        <f>IF('RPM &amp; Discounts'!$B$3&lt;&gt;'A0.Support'!$B$6,'Input data'!E$232,'Input data'!E$214)</f>
        <v>0</v>
      </c>
      <c r="H105"/>
      <c r="I105"/>
      <c r="J105"/>
      <c r="K105"/>
      <c r="L105"/>
      <c r="M105"/>
    </row>
    <row r="106" spans="2:13" ht="14.4" customHeight="1">
      <c r="B106" s="36" t="str">
        <f t="shared" ref="B106" si="3">B10</f>
        <v>Underground storage Carriço</v>
      </c>
      <c r="C106" s="36" t="str">
        <f t="shared" si="0"/>
        <v>Underground storage</v>
      </c>
      <c r="D106" s="89">
        <f>IF('RPM &amp; Discounts'!$B$3&lt;&gt;'A0.Support'!$B$6,'Input data'!D$233,'Input data'!D$215)</f>
        <v>0.52817585734383188</v>
      </c>
      <c r="E106" s="89">
        <f>IF('RPM &amp; Discounts'!$B$3&lt;&gt;'A0.Support'!$B$6,'Input data'!E$233,'Input data'!E$215)</f>
        <v>0.52817585734383188</v>
      </c>
      <c r="H106"/>
      <c r="I106"/>
      <c r="J106"/>
      <c r="K106"/>
      <c r="L106"/>
      <c r="M106"/>
    </row>
    <row r="107" spans="2:13" ht="14.4" customHeight="1">
      <c r="B107" s="36" t="str">
        <f t="shared" ref="B107" si="4">B11</f>
        <v>GRMS 01059</v>
      </c>
      <c r="C107" s="36" t="str">
        <f t="shared" si="0"/>
        <v>Domestic exit</v>
      </c>
      <c r="D107" s="89">
        <f>IF('RPM &amp; Discounts'!$B$3&lt;&gt;'A0.Support'!$B$6,'Input data'!D$234,'Input data'!D$216)</f>
        <v>0.46838876692920056</v>
      </c>
      <c r="E107" s="89">
        <f>IF('RPM &amp; Discounts'!$B$3&lt;&gt;'A0.Support'!$B$6,'Input data'!E$234,'Input data'!E$216)</f>
        <v>0.46838876692920056</v>
      </c>
      <c r="H107"/>
      <c r="I107"/>
      <c r="J107"/>
      <c r="K107"/>
      <c r="L107"/>
      <c r="M107"/>
    </row>
    <row r="108" spans="2:13" ht="14.4" customHeight="1">
      <c r="B108" s="36" t="str">
        <f t="shared" ref="B108" si="5">B12</f>
        <v>GRMS 01109</v>
      </c>
      <c r="C108" s="36" t="str">
        <f t="shared" si="0"/>
        <v>Domestic exit</v>
      </c>
      <c r="D108" s="89">
        <f>IF('RPM &amp; Discounts'!$B$3&lt;&gt;'A0.Support'!$B$6,'Input data'!D$234,'Input data'!D$216)</f>
        <v>0.46838876692920056</v>
      </c>
      <c r="E108" s="89">
        <f>IF('RPM &amp; Discounts'!$B$3&lt;&gt;'A0.Support'!$B$6,'Input data'!E$234,'Input data'!E$216)</f>
        <v>0.46838876692920056</v>
      </c>
    </row>
    <row r="109" spans="2:13" ht="14.4" customHeight="1">
      <c r="B109" s="36" t="str">
        <f t="shared" ref="B109" si="6">B13</f>
        <v>GRMS 01119</v>
      </c>
      <c r="C109" s="36" t="str">
        <f t="shared" si="0"/>
        <v>Domestic exit</v>
      </c>
      <c r="D109" s="89">
        <f>IF('RPM &amp; Discounts'!$B$3&lt;&gt;'A0.Support'!$B$6,'Input data'!D$234,'Input data'!D$216)</f>
        <v>0.46838876692920056</v>
      </c>
      <c r="E109" s="89">
        <f>IF('RPM &amp; Discounts'!$B$3&lt;&gt;'A0.Support'!$B$6,'Input data'!E$234,'Input data'!E$216)</f>
        <v>0.46838876692920056</v>
      </c>
    </row>
    <row r="110" spans="2:13" ht="14.4" customHeight="1">
      <c r="B110" s="36" t="str">
        <f t="shared" ref="B110" si="7">B14</f>
        <v>GRMS 01129</v>
      </c>
      <c r="C110" s="36" t="str">
        <f t="shared" si="0"/>
        <v>Domestic exit</v>
      </c>
      <c r="D110" s="89">
        <f>IF('RPM &amp; Discounts'!$B$3&lt;&gt;'A0.Support'!$B$6,'Input data'!D$234,'Input data'!D$216)</f>
        <v>0.46838876692920056</v>
      </c>
      <c r="E110" s="89">
        <f>IF('RPM &amp; Discounts'!$B$3&lt;&gt;'A0.Support'!$B$6,'Input data'!E$234,'Input data'!E$216)</f>
        <v>0.46838876692920056</v>
      </c>
    </row>
    <row r="111" spans="2:13" ht="14.4" customHeight="1">
      <c r="B111" s="36" t="str">
        <f t="shared" ref="B111" si="8">B15</f>
        <v>GRMS 01139</v>
      </c>
      <c r="C111" s="36" t="str">
        <f t="shared" si="0"/>
        <v>Domestic exit</v>
      </c>
      <c r="D111" s="89">
        <f>IF('RPM &amp; Discounts'!$B$3&lt;&gt;'A0.Support'!$B$6,'Input data'!D$234,'Input data'!D$216)</f>
        <v>0.46838876692920056</v>
      </c>
      <c r="E111" s="89">
        <f>IF('RPM &amp; Discounts'!$B$3&lt;&gt;'A0.Support'!$B$6,'Input data'!E$234,'Input data'!E$216)</f>
        <v>0.46838876692920056</v>
      </c>
    </row>
    <row r="112" spans="2:13" ht="14.4" customHeight="1">
      <c r="B112" s="36" t="str">
        <f t="shared" ref="B112" si="9">B16</f>
        <v>GRMS 01149</v>
      </c>
      <c r="C112" s="36" t="str">
        <f t="shared" si="0"/>
        <v>Domestic exit</v>
      </c>
      <c r="D112" s="89">
        <f>IF('RPM &amp; Discounts'!$B$3&lt;&gt;'A0.Support'!$B$6,'Input data'!D$234,'Input data'!D$216)</f>
        <v>0.46838876692920056</v>
      </c>
      <c r="E112" s="89">
        <f>IF('RPM &amp; Discounts'!$B$3&lt;&gt;'A0.Support'!$B$6,'Input data'!E$234,'Input data'!E$216)</f>
        <v>0.46838876692920056</v>
      </c>
    </row>
    <row r="113" spans="2:5" ht="14.4" customHeight="1">
      <c r="B113" s="36" t="str">
        <f t="shared" ref="B113" si="10">B17</f>
        <v>GRMS 01159</v>
      </c>
      <c r="C113" s="36" t="str">
        <f t="shared" si="0"/>
        <v>Domestic exit</v>
      </c>
      <c r="D113" s="89">
        <f>IF('RPM &amp; Discounts'!$B$3&lt;&gt;'A0.Support'!$B$6,'Input data'!D$234,'Input data'!D$216)</f>
        <v>0.46838876692920056</v>
      </c>
      <c r="E113" s="89">
        <f>IF('RPM &amp; Discounts'!$B$3&lt;&gt;'A0.Support'!$B$6,'Input data'!E$234,'Input data'!E$216)</f>
        <v>0.46838876692920056</v>
      </c>
    </row>
    <row r="114" spans="2:5" ht="14.4" customHeight="1">
      <c r="B114" s="36" t="str">
        <f t="shared" ref="B114" si="11">B18</f>
        <v>GRMS 01179</v>
      </c>
      <c r="C114" s="36" t="str">
        <f t="shared" si="0"/>
        <v>Domestic exit</v>
      </c>
      <c r="D114" s="89">
        <f>IF('RPM &amp; Discounts'!$B$3&lt;&gt;'A0.Support'!$B$6,'Input data'!D$234,'Input data'!D$216)</f>
        <v>0.46838876692920056</v>
      </c>
      <c r="E114" s="89">
        <f>IF('RPM &amp; Discounts'!$B$3&lt;&gt;'A0.Support'!$B$6,'Input data'!E$234,'Input data'!E$216)</f>
        <v>0.46838876692920056</v>
      </c>
    </row>
    <row r="115" spans="2:5" ht="14.4" customHeight="1">
      <c r="B115" s="36" t="str">
        <f t="shared" ref="B115" si="12">B19</f>
        <v>GRMS 01189</v>
      </c>
      <c r="C115" s="36" t="str">
        <f t="shared" si="0"/>
        <v>Domestic exit</v>
      </c>
      <c r="D115" s="89">
        <f>IF('RPM &amp; Discounts'!$B$3&lt;&gt;'A0.Support'!$B$6,'Input data'!D$234,'Input data'!D$216)</f>
        <v>0.46838876692920056</v>
      </c>
      <c r="E115" s="89">
        <f>IF('RPM &amp; Discounts'!$B$3&lt;&gt;'A0.Support'!$B$6,'Input data'!E$234,'Input data'!E$216)</f>
        <v>0.46838876692920056</v>
      </c>
    </row>
    <row r="116" spans="2:5" ht="14.4" customHeight="1">
      <c r="B116" s="36" t="str">
        <f t="shared" ref="B116" si="13">B20</f>
        <v>GRMS 01209</v>
      </c>
      <c r="C116" s="36" t="str">
        <f t="shared" si="0"/>
        <v>Domestic exit</v>
      </c>
      <c r="D116" s="89">
        <f>IF('RPM &amp; Discounts'!$B$3&lt;&gt;'A0.Support'!$B$6,'Input data'!D$234,'Input data'!D$216)</f>
        <v>0.46838876692920056</v>
      </c>
      <c r="E116" s="89">
        <f>IF('RPM &amp; Discounts'!$B$3&lt;&gt;'A0.Support'!$B$6,'Input data'!E$234,'Input data'!E$216)</f>
        <v>0.46838876692920056</v>
      </c>
    </row>
    <row r="117" spans="2:5" ht="14.4" customHeight="1">
      <c r="B117" s="36" t="str">
        <f t="shared" ref="B117" si="14">B21</f>
        <v>GRMS 01219</v>
      </c>
      <c r="C117" s="36" t="str">
        <f t="shared" si="0"/>
        <v>Domestic exit</v>
      </c>
      <c r="D117" s="89">
        <f>IF('RPM &amp; Discounts'!$B$3&lt;&gt;'A0.Support'!$B$6,'Input data'!D$234,'Input data'!D$216)</f>
        <v>0.46838876692920056</v>
      </c>
      <c r="E117" s="89">
        <f>IF('RPM &amp; Discounts'!$B$3&lt;&gt;'A0.Support'!$B$6,'Input data'!E$234,'Input data'!E$216)</f>
        <v>0.46838876692920056</v>
      </c>
    </row>
    <row r="118" spans="2:5" ht="14.4" customHeight="1">
      <c r="B118" s="36" t="str">
        <f t="shared" ref="B118" si="15">B22</f>
        <v>GRMS 01229</v>
      </c>
      <c r="C118" s="36" t="str">
        <f t="shared" si="0"/>
        <v>Domestic exit</v>
      </c>
      <c r="D118" s="89">
        <f>IF('RPM &amp; Discounts'!$B$3&lt;&gt;'A0.Support'!$B$6,'Input data'!D$234,'Input data'!D$216)</f>
        <v>0.46838876692920056</v>
      </c>
      <c r="E118" s="89">
        <f>IF('RPM &amp; Discounts'!$B$3&lt;&gt;'A0.Support'!$B$6,'Input data'!E$234,'Input data'!E$216)</f>
        <v>0.46838876692920056</v>
      </c>
    </row>
    <row r="119" spans="2:5" ht="14.4" customHeight="1">
      <c r="B119" s="36" t="str">
        <f t="shared" ref="B119" si="16">B23</f>
        <v>GRMS 01239</v>
      </c>
      <c r="C119" s="36" t="str">
        <f t="shared" si="0"/>
        <v>Domestic exit</v>
      </c>
      <c r="D119" s="89">
        <f>IF('RPM &amp; Discounts'!$B$3&lt;&gt;'A0.Support'!$B$6,'Input data'!D$234,'Input data'!D$216)</f>
        <v>0.46838876692920056</v>
      </c>
      <c r="E119" s="89">
        <f>IF('RPM &amp; Discounts'!$B$3&lt;&gt;'A0.Support'!$B$6,'Input data'!E$234,'Input data'!E$216)</f>
        <v>0.46838876692920056</v>
      </c>
    </row>
    <row r="120" spans="2:5" ht="14.4" customHeight="1">
      <c r="B120" s="36" t="str">
        <f t="shared" ref="B120" si="17">B24</f>
        <v>GRMS 01259</v>
      </c>
      <c r="C120" s="36" t="str">
        <f t="shared" si="0"/>
        <v>Domestic exit</v>
      </c>
      <c r="D120" s="89">
        <f>IF('RPM &amp; Discounts'!$B$3&lt;&gt;'A0.Support'!$B$6,'Input data'!D$234,'Input data'!D$216)</f>
        <v>0.46838876692920056</v>
      </c>
      <c r="E120" s="89">
        <f>IF('RPM &amp; Discounts'!$B$3&lt;&gt;'A0.Support'!$B$6,'Input data'!E$234,'Input data'!E$216)</f>
        <v>0.46838876692920056</v>
      </c>
    </row>
    <row r="121" spans="2:5" ht="14.4" customHeight="1">
      <c r="B121" s="36" t="str">
        <f t="shared" ref="B121" si="18">B25</f>
        <v>GRMS 01269</v>
      </c>
      <c r="C121" s="36" t="str">
        <f t="shared" si="0"/>
        <v>Domestic exit</v>
      </c>
      <c r="D121" s="89">
        <f>IF('RPM &amp; Discounts'!$B$3&lt;&gt;'A0.Support'!$B$6,'Input data'!D$234,'Input data'!D$216)</f>
        <v>0.46838876692920056</v>
      </c>
      <c r="E121" s="89">
        <f>IF('RPM &amp; Discounts'!$B$3&lt;&gt;'A0.Support'!$B$6,'Input data'!E$234,'Input data'!E$216)</f>
        <v>0.46838876692920056</v>
      </c>
    </row>
    <row r="122" spans="2:5" ht="14.4" customHeight="1">
      <c r="B122" s="36" t="str">
        <f t="shared" ref="B122" si="19">B26</f>
        <v>GRMS 01279</v>
      </c>
      <c r="C122" s="36" t="str">
        <f t="shared" si="0"/>
        <v>Domestic exit</v>
      </c>
      <c r="D122" s="89">
        <f>IF('RPM &amp; Discounts'!$B$3&lt;&gt;'A0.Support'!$B$6,'Input data'!D$234,'Input data'!D$216)</f>
        <v>0.46838876692920056</v>
      </c>
      <c r="E122" s="89">
        <f>IF('RPM &amp; Discounts'!$B$3&lt;&gt;'A0.Support'!$B$6,'Input data'!E$234,'Input data'!E$216)</f>
        <v>0.46838876692920056</v>
      </c>
    </row>
    <row r="123" spans="2:5" ht="14.4" customHeight="1">
      <c r="B123" s="36" t="str">
        <f t="shared" ref="B123" si="20">B27</f>
        <v>GRMS 01309</v>
      </c>
      <c r="C123" s="36" t="str">
        <f t="shared" si="0"/>
        <v>Domestic exit</v>
      </c>
      <c r="D123" s="89">
        <f>IF('RPM &amp; Discounts'!$B$3&lt;&gt;'A0.Support'!$B$6,'Input data'!D$234,'Input data'!D$216)</f>
        <v>0.46838876692920056</v>
      </c>
      <c r="E123" s="89">
        <f>IF('RPM &amp; Discounts'!$B$3&lt;&gt;'A0.Support'!$B$6,'Input data'!E$234,'Input data'!E$216)</f>
        <v>0.46838876692920056</v>
      </c>
    </row>
    <row r="124" spans="2:5" ht="14.4" customHeight="1">
      <c r="B124" s="36" t="str">
        <f t="shared" ref="B124" si="21">B28</f>
        <v>GRMS 01319</v>
      </c>
      <c r="C124" s="36" t="str">
        <f t="shared" si="0"/>
        <v>Domestic exit</v>
      </c>
      <c r="D124" s="89">
        <f>IF('RPM &amp; Discounts'!$B$3&lt;&gt;'A0.Support'!$B$6,'Input data'!D$234,'Input data'!D$216)</f>
        <v>0.46838876692920056</v>
      </c>
      <c r="E124" s="89">
        <f>IF('RPM &amp; Discounts'!$B$3&lt;&gt;'A0.Support'!$B$6,'Input data'!E$234,'Input data'!E$216)</f>
        <v>0.46838876692920056</v>
      </c>
    </row>
    <row r="125" spans="2:5" ht="14.4" customHeight="1">
      <c r="B125" s="36" t="str">
        <f t="shared" ref="B125" si="22">B29</f>
        <v>GRMS 01359</v>
      </c>
      <c r="C125" s="36" t="str">
        <f t="shared" si="0"/>
        <v>Domestic exit</v>
      </c>
      <c r="D125" s="89">
        <f>IF('RPM &amp; Discounts'!$B$3&lt;&gt;'A0.Support'!$B$6,'Input data'!D$234,'Input data'!D$216)</f>
        <v>0.46838876692920056</v>
      </c>
      <c r="E125" s="89">
        <f>IF('RPM &amp; Discounts'!$B$3&lt;&gt;'A0.Support'!$B$6,'Input data'!E$234,'Input data'!E$216)</f>
        <v>0.46838876692920056</v>
      </c>
    </row>
    <row r="126" spans="2:5" ht="14.4" customHeight="1">
      <c r="B126" s="36" t="str">
        <f t="shared" ref="B126" si="23">B30</f>
        <v>GRMS 01369</v>
      </c>
      <c r="C126" s="36" t="str">
        <f t="shared" si="0"/>
        <v>Domestic exit</v>
      </c>
      <c r="D126" s="89">
        <f>IF('RPM &amp; Discounts'!$B$3&lt;&gt;'A0.Support'!$B$6,'Input data'!D$234,'Input data'!D$216)</f>
        <v>0.46838876692920056</v>
      </c>
      <c r="E126" s="89">
        <f>IF('RPM &amp; Discounts'!$B$3&lt;&gt;'A0.Support'!$B$6,'Input data'!E$234,'Input data'!E$216)</f>
        <v>0.46838876692920056</v>
      </c>
    </row>
    <row r="127" spans="2:5" ht="14.4" customHeight="1">
      <c r="B127" s="36" t="str">
        <f t="shared" ref="B127" si="24">B31</f>
        <v>GRMS 01409</v>
      </c>
      <c r="C127" s="36" t="str">
        <f t="shared" si="0"/>
        <v>Domestic exit</v>
      </c>
      <c r="D127" s="89">
        <f>IF('RPM &amp; Discounts'!$B$3&lt;&gt;'A0.Support'!$B$6,'Input data'!D$234,'Input data'!D$216)</f>
        <v>0.46838876692920056</v>
      </c>
      <c r="E127" s="89">
        <f>IF('RPM &amp; Discounts'!$B$3&lt;&gt;'A0.Support'!$B$6,'Input data'!E$234,'Input data'!E$216)</f>
        <v>0.46838876692920056</v>
      </c>
    </row>
    <row r="128" spans="2:5" ht="14.4" customHeight="1">
      <c r="B128" s="36" t="str">
        <f t="shared" ref="B128" si="25">B32</f>
        <v>GRMS 02069</v>
      </c>
      <c r="C128" s="36" t="str">
        <f t="shared" si="0"/>
        <v>Domestic exit</v>
      </c>
      <c r="D128" s="89">
        <f>IF('RPM &amp; Discounts'!$B$3&lt;&gt;'A0.Support'!$B$6,'Input data'!D$234,'Input data'!D$216)</f>
        <v>0.46838876692920056</v>
      </c>
      <c r="E128" s="89">
        <f>IF('RPM &amp; Discounts'!$B$3&lt;&gt;'A0.Support'!$B$6,'Input data'!E$234,'Input data'!E$216)</f>
        <v>0.46838876692920056</v>
      </c>
    </row>
    <row r="129" spans="2:5" ht="14.4" customHeight="1">
      <c r="B129" s="36" t="str">
        <f t="shared" ref="B129" si="26">B33</f>
        <v>GRMS 02089</v>
      </c>
      <c r="C129" s="36" t="str">
        <f t="shared" si="0"/>
        <v>Domestic exit</v>
      </c>
      <c r="D129" s="89">
        <f>IF('RPM &amp; Discounts'!$B$3&lt;&gt;'A0.Support'!$B$6,'Input data'!D$234,'Input data'!D$216)</f>
        <v>0.46838876692920056</v>
      </c>
      <c r="E129" s="89">
        <f>IF('RPM &amp; Discounts'!$B$3&lt;&gt;'A0.Support'!$B$6,'Input data'!E$234,'Input data'!E$216)</f>
        <v>0.46838876692920056</v>
      </c>
    </row>
    <row r="130" spans="2:5" ht="14.4" customHeight="1">
      <c r="B130" s="36" t="str">
        <f t="shared" ref="B130" si="27">B34</f>
        <v>GRMS 02159</v>
      </c>
      <c r="C130" s="36" t="str">
        <f t="shared" si="0"/>
        <v>Domestic exit</v>
      </c>
      <c r="D130" s="89">
        <f>IF('RPM &amp; Discounts'!$B$3&lt;&gt;'A0.Support'!$B$6,'Input data'!D$234,'Input data'!D$216)</f>
        <v>0.46838876692920056</v>
      </c>
      <c r="E130" s="89">
        <f>IF('RPM &amp; Discounts'!$B$3&lt;&gt;'A0.Support'!$B$6,'Input data'!E$234,'Input data'!E$216)</f>
        <v>0.46838876692920056</v>
      </c>
    </row>
    <row r="131" spans="2:5" ht="14.4" customHeight="1">
      <c r="B131" s="36" t="str">
        <f t="shared" ref="B131" si="28">B35</f>
        <v>GRMS 02509</v>
      </c>
      <c r="C131" s="36" t="str">
        <f t="shared" si="0"/>
        <v>Domestic exit</v>
      </c>
      <c r="D131" s="89">
        <f>IF('RPM &amp; Discounts'!$B$3&lt;&gt;'A0.Support'!$B$6,'Input data'!D$234,'Input data'!D$216)</f>
        <v>0.46838876692920056</v>
      </c>
      <c r="E131" s="89">
        <f>IF('RPM &amp; Discounts'!$B$3&lt;&gt;'A0.Support'!$B$6,'Input data'!E$234,'Input data'!E$216)</f>
        <v>0.46838876692920056</v>
      </c>
    </row>
    <row r="132" spans="2:5" ht="14.4" customHeight="1">
      <c r="B132" s="36" t="str">
        <f t="shared" ref="B132" si="29">B36</f>
        <v>GRMS 02519</v>
      </c>
      <c r="C132" s="36" t="str">
        <f t="shared" si="0"/>
        <v>Domestic exit</v>
      </c>
      <c r="D132" s="89">
        <f>IF('RPM &amp; Discounts'!$B$3&lt;&gt;'A0.Support'!$B$6,'Input data'!D$234,'Input data'!D$216)</f>
        <v>0.46838876692920056</v>
      </c>
      <c r="E132" s="89">
        <f>IF('RPM &amp; Discounts'!$B$3&lt;&gt;'A0.Support'!$B$6,'Input data'!E$234,'Input data'!E$216)</f>
        <v>0.46838876692920056</v>
      </c>
    </row>
    <row r="133" spans="2:5" ht="14.4" customHeight="1">
      <c r="B133" s="36" t="str">
        <f t="shared" ref="B133" si="30">B37</f>
        <v>GRMS 02539</v>
      </c>
      <c r="C133" s="36" t="str">
        <f t="shared" si="0"/>
        <v>Domestic exit</v>
      </c>
      <c r="D133" s="89">
        <f>IF('RPM &amp; Discounts'!$B$3&lt;&gt;'A0.Support'!$B$6,'Input data'!D$234,'Input data'!D$216)</f>
        <v>0.46838876692920056</v>
      </c>
      <c r="E133" s="89">
        <f>IF('RPM &amp; Discounts'!$B$3&lt;&gt;'A0.Support'!$B$6,'Input data'!E$234,'Input data'!E$216)</f>
        <v>0.46838876692920056</v>
      </c>
    </row>
    <row r="134" spans="2:5" ht="14.4" customHeight="1">
      <c r="B134" s="36" t="str">
        <f t="shared" ref="B134" si="31">B38</f>
        <v>GRMS 02549</v>
      </c>
      <c r="C134" s="36" t="str">
        <f t="shared" si="0"/>
        <v>Domestic exit</v>
      </c>
      <c r="D134" s="89">
        <f>IF('RPM &amp; Discounts'!$B$3&lt;&gt;'A0.Support'!$B$6,'Input data'!D$234,'Input data'!D$216)</f>
        <v>0.46838876692920056</v>
      </c>
      <c r="E134" s="89">
        <f>IF('RPM &amp; Discounts'!$B$3&lt;&gt;'A0.Support'!$B$6,'Input data'!E$234,'Input data'!E$216)</f>
        <v>0.46838876692920056</v>
      </c>
    </row>
    <row r="135" spans="2:5" ht="14.4" customHeight="1">
      <c r="B135" s="36" t="str">
        <f t="shared" ref="B135" si="32">B39</f>
        <v>GRMS 02559</v>
      </c>
      <c r="C135" s="36" t="str">
        <f t="shared" si="0"/>
        <v>Domestic exit</v>
      </c>
      <c r="D135" s="89">
        <f>IF('RPM &amp; Discounts'!$B$3&lt;&gt;'A0.Support'!$B$6,'Input data'!D$234,'Input data'!D$216)</f>
        <v>0.46838876692920056</v>
      </c>
      <c r="E135" s="89">
        <f>IF('RPM &amp; Discounts'!$B$3&lt;&gt;'A0.Support'!$B$6,'Input data'!E$234,'Input data'!E$216)</f>
        <v>0.46838876692920056</v>
      </c>
    </row>
    <row r="136" spans="2:5" ht="14.4" customHeight="1">
      <c r="B136" s="36" t="str">
        <f t="shared" ref="B136" si="33">B40</f>
        <v>GRMS 02569</v>
      </c>
      <c r="C136" s="36" t="str">
        <f t="shared" si="0"/>
        <v>Domestic exit</v>
      </c>
      <c r="D136" s="89">
        <f>IF('RPM &amp; Discounts'!$B$3&lt;&gt;'A0.Support'!$B$6,'Input data'!D$234,'Input data'!D$216)</f>
        <v>0.46838876692920056</v>
      </c>
      <c r="E136" s="89">
        <f>IF('RPM &amp; Discounts'!$B$3&lt;&gt;'A0.Support'!$B$6,'Input data'!E$234,'Input data'!E$216)</f>
        <v>0.46838876692920056</v>
      </c>
    </row>
    <row r="137" spans="2:5" ht="14.4" customHeight="1">
      <c r="B137" s="36" t="str">
        <f t="shared" ref="B137" si="34">B41</f>
        <v>GRMS 02709</v>
      </c>
      <c r="C137" s="36" t="str">
        <f t="shared" si="0"/>
        <v>Domestic exit</v>
      </c>
      <c r="D137" s="89">
        <f>IF('RPM &amp; Discounts'!$B$3&lt;&gt;'A0.Support'!$B$6,'Input data'!D$234,'Input data'!D$216)</f>
        <v>0.46838876692920056</v>
      </c>
      <c r="E137" s="89">
        <f>IF('RPM &amp; Discounts'!$B$3&lt;&gt;'A0.Support'!$B$6,'Input data'!E$234,'Input data'!E$216)</f>
        <v>0.46838876692920056</v>
      </c>
    </row>
    <row r="138" spans="2:5" ht="14.4" customHeight="1">
      <c r="B138" s="36" t="str">
        <f t="shared" ref="B138" si="35">B42</f>
        <v>GRMS 02719</v>
      </c>
      <c r="C138" s="36" t="str">
        <f t="shared" si="0"/>
        <v>Domestic exit</v>
      </c>
      <c r="D138" s="89">
        <f>IF('RPM &amp; Discounts'!$B$3&lt;&gt;'A0.Support'!$B$6,'Input data'!D$234,'Input data'!D$216)</f>
        <v>0.46838876692920056</v>
      </c>
      <c r="E138" s="89">
        <f>IF('RPM &amp; Discounts'!$B$3&lt;&gt;'A0.Support'!$B$6,'Input data'!E$234,'Input data'!E$216)</f>
        <v>0.46838876692920056</v>
      </c>
    </row>
    <row r="139" spans="2:5" ht="14.4" customHeight="1">
      <c r="B139" s="36" t="str">
        <f t="shared" ref="B139" si="36">B43</f>
        <v>GRMS 02739</v>
      </c>
      <c r="C139" s="36" t="str">
        <f t="shared" si="0"/>
        <v>Domestic exit</v>
      </c>
      <c r="D139" s="89">
        <f>IF('RPM &amp; Discounts'!$B$3&lt;&gt;'A0.Support'!$B$6,'Input data'!D$234,'Input data'!D$216)</f>
        <v>0.46838876692920056</v>
      </c>
      <c r="E139" s="89">
        <f>IF('RPM &amp; Discounts'!$B$3&lt;&gt;'A0.Support'!$B$6,'Input data'!E$234,'Input data'!E$216)</f>
        <v>0.46838876692920056</v>
      </c>
    </row>
    <row r="140" spans="2:5" ht="14.4" customHeight="1">
      <c r="B140" s="36" t="str">
        <f t="shared" ref="B140" si="37">B44</f>
        <v>GRMS 03009</v>
      </c>
      <c r="C140" s="36" t="str">
        <f t="shared" si="0"/>
        <v>Domestic exit</v>
      </c>
      <c r="D140" s="89">
        <f>IF('RPM &amp; Discounts'!$B$3&lt;&gt;'A0.Support'!$B$6,'Input data'!D$234,'Input data'!D$216)</f>
        <v>0.46838876692920056</v>
      </c>
      <c r="E140" s="89">
        <f>IF('RPM &amp; Discounts'!$B$3&lt;&gt;'A0.Support'!$B$6,'Input data'!E$234,'Input data'!E$216)</f>
        <v>0.46838876692920056</v>
      </c>
    </row>
    <row r="141" spans="2:5" ht="14.4" customHeight="1">
      <c r="B141" s="36" t="str">
        <f t="shared" ref="B141" si="38">B45</f>
        <v>GRMS 03059</v>
      </c>
      <c r="C141" s="36" t="str">
        <f t="shared" si="0"/>
        <v>Domestic exit</v>
      </c>
      <c r="D141" s="89">
        <f>IF('RPM &amp; Discounts'!$B$3&lt;&gt;'A0.Support'!$B$6,'Input data'!D$234,'Input data'!D$216)</f>
        <v>0.46838876692920056</v>
      </c>
      <c r="E141" s="89">
        <f>IF('RPM &amp; Discounts'!$B$3&lt;&gt;'A0.Support'!$B$6,'Input data'!E$234,'Input data'!E$216)</f>
        <v>0.46838876692920056</v>
      </c>
    </row>
    <row r="142" spans="2:5" ht="14.4" customHeight="1">
      <c r="B142" s="36" t="str">
        <f t="shared" ref="B142" si="39">B46</f>
        <v>GRMS 03069</v>
      </c>
      <c r="C142" s="36" t="str">
        <f t="shared" si="0"/>
        <v>Domestic exit</v>
      </c>
      <c r="D142" s="89">
        <f>IF('RPM &amp; Discounts'!$B$3&lt;&gt;'A0.Support'!$B$6,'Input data'!D$234,'Input data'!D$216)</f>
        <v>0.46838876692920056</v>
      </c>
      <c r="E142" s="89">
        <f>IF('RPM &amp; Discounts'!$B$3&lt;&gt;'A0.Support'!$B$6,'Input data'!E$234,'Input data'!E$216)</f>
        <v>0.46838876692920056</v>
      </c>
    </row>
    <row r="143" spans="2:5" ht="14.4" customHeight="1">
      <c r="B143" s="36" t="str">
        <f t="shared" ref="B143" si="40">B47</f>
        <v>GRMS 03109</v>
      </c>
      <c r="C143" s="36" t="str">
        <f t="shared" si="0"/>
        <v>Domestic exit</v>
      </c>
      <c r="D143" s="89">
        <f>IF('RPM &amp; Discounts'!$B$3&lt;&gt;'A0.Support'!$B$6,'Input data'!D$234,'Input data'!D$216)</f>
        <v>0.46838876692920056</v>
      </c>
      <c r="E143" s="89">
        <f>IF('RPM &amp; Discounts'!$B$3&lt;&gt;'A0.Support'!$B$6,'Input data'!E$234,'Input data'!E$216)</f>
        <v>0.46838876692920056</v>
      </c>
    </row>
    <row r="144" spans="2:5" ht="14.4" customHeight="1">
      <c r="B144" s="36" t="str">
        <f t="shared" ref="B144" si="41">B48</f>
        <v>GRMS 03169</v>
      </c>
      <c r="C144" s="36" t="str">
        <f t="shared" si="0"/>
        <v>Domestic exit</v>
      </c>
      <c r="D144" s="89">
        <f>IF('RPM &amp; Discounts'!$B$3&lt;&gt;'A0.Support'!$B$6,'Input data'!D$234,'Input data'!D$216)</f>
        <v>0.46838876692920056</v>
      </c>
      <c r="E144" s="89">
        <f>IF('RPM &amp; Discounts'!$B$3&lt;&gt;'A0.Support'!$B$6,'Input data'!E$234,'Input data'!E$216)</f>
        <v>0.46838876692920056</v>
      </c>
    </row>
    <row r="145" spans="2:5" ht="14.4" customHeight="1">
      <c r="B145" s="36" t="str">
        <f t="shared" ref="B145" si="42">B49</f>
        <v>GRMS 03219</v>
      </c>
      <c r="C145" s="36" t="str">
        <f t="shared" si="0"/>
        <v>Domestic exit</v>
      </c>
      <c r="D145" s="89">
        <f>IF('RPM &amp; Discounts'!$B$3&lt;&gt;'A0.Support'!$B$6,'Input data'!D$234,'Input data'!D$216)</f>
        <v>0.46838876692920056</v>
      </c>
      <c r="E145" s="89">
        <f>IF('RPM &amp; Discounts'!$B$3&lt;&gt;'A0.Support'!$B$6,'Input data'!E$234,'Input data'!E$216)</f>
        <v>0.46838876692920056</v>
      </c>
    </row>
    <row r="146" spans="2:5" ht="14.4" customHeight="1">
      <c r="B146" s="36" t="str">
        <f t="shared" ref="B146" si="43">B50</f>
        <v>GRMS 03229</v>
      </c>
      <c r="C146" s="36" t="str">
        <f t="shared" si="0"/>
        <v>Domestic exit</v>
      </c>
      <c r="D146" s="89">
        <f>IF('RPM &amp; Discounts'!$B$3&lt;&gt;'A0.Support'!$B$6,'Input data'!D$234,'Input data'!D$216)</f>
        <v>0.46838876692920056</v>
      </c>
      <c r="E146" s="89">
        <f>IF('RPM &amp; Discounts'!$B$3&lt;&gt;'A0.Support'!$B$6,'Input data'!E$234,'Input data'!E$216)</f>
        <v>0.46838876692920056</v>
      </c>
    </row>
    <row r="147" spans="2:5" ht="14.4" customHeight="1">
      <c r="B147" s="36" t="str">
        <f t="shared" ref="B147" si="44">B51</f>
        <v>GRMS 03259</v>
      </c>
      <c r="C147" s="36" t="str">
        <f t="shared" si="0"/>
        <v>Domestic exit</v>
      </c>
      <c r="D147" s="89">
        <f>IF('RPM &amp; Discounts'!$B$3&lt;&gt;'A0.Support'!$B$6,'Input data'!D$234,'Input data'!D$216)</f>
        <v>0.46838876692920056</v>
      </c>
      <c r="E147" s="89">
        <f>IF('RPM &amp; Discounts'!$B$3&lt;&gt;'A0.Support'!$B$6,'Input data'!E$234,'Input data'!E$216)</f>
        <v>0.46838876692920056</v>
      </c>
    </row>
    <row r="148" spans="2:5" ht="14.4" customHeight="1">
      <c r="B148" s="36" t="str">
        <f t="shared" ref="B148" si="45">B52</f>
        <v>GRMS 03269</v>
      </c>
      <c r="C148" s="36" t="str">
        <f t="shared" si="0"/>
        <v>Domestic exit</v>
      </c>
      <c r="D148" s="89">
        <f>IF('RPM &amp; Discounts'!$B$3&lt;&gt;'A0.Support'!$B$6,'Input data'!D$234,'Input data'!D$216)</f>
        <v>0.46838876692920056</v>
      </c>
      <c r="E148" s="89">
        <f>IF('RPM &amp; Discounts'!$B$3&lt;&gt;'A0.Support'!$B$6,'Input data'!E$234,'Input data'!E$216)</f>
        <v>0.46838876692920056</v>
      </c>
    </row>
    <row r="149" spans="2:5" ht="14.4" customHeight="1">
      <c r="B149" s="36" t="str">
        <f t="shared" ref="B149" si="46">B53</f>
        <v>GRMS 03309</v>
      </c>
      <c r="C149" s="36" t="str">
        <f t="shared" si="0"/>
        <v>Domestic exit</v>
      </c>
      <c r="D149" s="89">
        <f>IF('RPM &amp; Discounts'!$B$3&lt;&gt;'A0.Support'!$B$6,'Input data'!D$234,'Input data'!D$216)</f>
        <v>0.46838876692920056</v>
      </c>
      <c r="E149" s="89">
        <f>IF('RPM &amp; Discounts'!$B$3&lt;&gt;'A0.Support'!$B$6,'Input data'!E$234,'Input data'!E$216)</f>
        <v>0.46838876692920056</v>
      </c>
    </row>
    <row r="150" spans="2:5" ht="14.4" customHeight="1">
      <c r="B150" s="36" t="str">
        <f t="shared" ref="B150" si="47">B54</f>
        <v>GRMS 03359</v>
      </c>
      <c r="C150" s="36" t="str">
        <f t="shared" si="0"/>
        <v>Domestic exit</v>
      </c>
      <c r="D150" s="89">
        <f>IF('RPM &amp; Discounts'!$B$3&lt;&gt;'A0.Support'!$B$6,'Input data'!D$234,'Input data'!D$216)</f>
        <v>0.46838876692920056</v>
      </c>
      <c r="E150" s="89">
        <f>IF('RPM &amp; Discounts'!$B$3&lt;&gt;'A0.Support'!$B$6,'Input data'!E$234,'Input data'!E$216)</f>
        <v>0.46838876692920056</v>
      </c>
    </row>
    <row r="151" spans="2:5" ht="14.4" customHeight="1">
      <c r="B151" s="36" t="str">
        <f t="shared" ref="B151" si="48">B55</f>
        <v>GRMS 03369</v>
      </c>
      <c r="C151" s="36" t="str">
        <f t="shared" si="0"/>
        <v>Domestic exit</v>
      </c>
      <c r="D151" s="89">
        <f>IF('RPM &amp; Discounts'!$B$3&lt;&gt;'A0.Support'!$B$6,'Input data'!D$234,'Input data'!D$216)</f>
        <v>0.46838876692920056</v>
      </c>
      <c r="E151" s="89">
        <f>IF('RPM &amp; Discounts'!$B$3&lt;&gt;'A0.Support'!$B$6,'Input data'!E$234,'Input data'!E$216)</f>
        <v>0.46838876692920056</v>
      </c>
    </row>
    <row r="152" spans="2:5" ht="14.4" customHeight="1">
      <c r="B152" s="36" t="str">
        <f t="shared" ref="B152" si="49">B56</f>
        <v>GRMS 03459</v>
      </c>
      <c r="C152" s="36" t="str">
        <f t="shared" si="0"/>
        <v>Domestic exit</v>
      </c>
      <c r="D152" s="89">
        <f>IF('RPM &amp; Discounts'!$B$3&lt;&gt;'A0.Support'!$B$6,'Input data'!D$234,'Input data'!D$216)</f>
        <v>0.46838876692920056</v>
      </c>
      <c r="E152" s="89">
        <f>IF('RPM &amp; Discounts'!$B$3&lt;&gt;'A0.Support'!$B$6,'Input data'!E$234,'Input data'!E$216)</f>
        <v>0.46838876692920056</v>
      </c>
    </row>
    <row r="153" spans="2:5" ht="14.4" customHeight="1">
      <c r="B153" s="36" t="str">
        <f t="shared" ref="B153" si="50">B57</f>
        <v>GRMS 03559</v>
      </c>
      <c r="C153" s="36" t="str">
        <f t="shared" si="0"/>
        <v>Domestic exit</v>
      </c>
      <c r="D153" s="89">
        <f>IF('RPM &amp; Discounts'!$B$3&lt;&gt;'A0.Support'!$B$6,'Input data'!D$234,'Input data'!D$216)</f>
        <v>0.46838876692920056</v>
      </c>
      <c r="E153" s="89">
        <f>IF('RPM &amp; Discounts'!$B$3&lt;&gt;'A0.Support'!$B$6,'Input data'!E$234,'Input data'!E$216)</f>
        <v>0.46838876692920056</v>
      </c>
    </row>
    <row r="154" spans="2:5" ht="14.4" customHeight="1">
      <c r="B154" s="36" t="str">
        <f t="shared" ref="B154" si="51">B58</f>
        <v>GRMS 03609</v>
      </c>
      <c r="C154" s="36" t="str">
        <f t="shared" si="0"/>
        <v>Domestic exit</v>
      </c>
      <c r="D154" s="89">
        <f>IF('RPM &amp; Discounts'!$B$3&lt;&gt;'A0.Support'!$B$6,'Input data'!D$234,'Input data'!D$216)</f>
        <v>0.46838876692920056</v>
      </c>
      <c r="E154" s="89">
        <f>IF('RPM &amp; Discounts'!$B$3&lt;&gt;'A0.Support'!$B$6,'Input data'!E$234,'Input data'!E$216)</f>
        <v>0.46838876692920056</v>
      </c>
    </row>
    <row r="155" spans="2:5" ht="14.4" customHeight="1">
      <c r="B155" s="36" t="str">
        <f t="shared" ref="B155" si="52">B59</f>
        <v>GRMS 03619</v>
      </c>
      <c r="C155" s="36" t="str">
        <f t="shared" si="0"/>
        <v>Domestic exit</v>
      </c>
      <c r="D155" s="89">
        <f>IF('RPM &amp; Discounts'!$B$3&lt;&gt;'A0.Support'!$B$6,'Input data'!D$234,'Input data'!D$216)</f>
        <v>0.46838876692920056</v>
      </c>
      <c r="E155" s="89">
        <f>IF('RPM &amp; Discounts'!$B$3&lt;&gt;'A0.Support'!$B$6,'Input data'!E$234,'Input data'!E$216)</f>
        <v>0.46838876692920056</v>
      </c>
    </row>
    <row r="156" spans="2:5" ht="14.4" customHeight="1">
      <c r="B156" s="36" t="str">
        <f t="shared" ref="B156" si="53">B60</f>
        <v>GRMS 03659</v>
      </c>
      <c r="C156" s="36" t="str">
        <f t="shared" si="0"/>
        <v>Domestic exit</v>
      </c>
      <c r="D156" s="89">
        <f>IF('RPM &amp; Discounts'!$B$3&lt;&gt;'A0.Support'!$B$6,'Input data'!D$234,'Input data'!D$216)</f>
        <v>0.46838876692920056</v>
      </c>
      <c r="E156" s="89">
        <f>IF('RPM &amp; Discounts'!$B$3&lt;&gt;'A0.Support'!$B$6,'Input data'!E$234,'Input data'!E$216)</f>
        <v>0.46838876692920056</v>
      </c>
    </row>
    <row r="157" spans="2:5" ht="14.4" customHeight="1">
      <c r="B157" s="36" t="str">
        <f t="shared" ref="B157" si="54">B61</f>
        <v>GRMS 04059</v>
      </c>
      <c r="C157" s="36" t="str">
        <f t="shared" si="0"/>
        <v>Domestic exit</v>
      </c>
      <c r="D157" s="89">
        <f>IF('RPM &amp; Discounts'!$B$3&lt;&gt;'A0.Support'!$B$6,'Input data'!D$234,'Input data'!D$216)</f>
        <v>0.46838876692920056</v>
      </c>
      <c r="E157" s="89">
        <f>IF('RPM &amp; Discounts'!$B$3&lt;&gt;'A0.Support'!$B$6,'Input data'!E$234,'Input data'!E$216)</f>
        <v>0.46838876692920056</v>
      </c>
    </row>
    <row r="158" spans="2:5" ht="14.4" customHeight="1">
      <c r="B158" s="36" t="str">
        <f t="shared" ref="B158" si="55">B62</f>
        <v>GRMS 04109</v>
      </c>
      <c r="C158" s="36" t="str">
        <f t="shared" si="0"/>
        <v>Domestic exit</v>
      </c>
      <c r="D158" s="89">
        <f>IF('RPM &amp; Discounts'!$B$3&lt;&gt;'A0.Support'!$B$6,'Input data'!D$234,'Input data'!D$216)</f>
        <v>0.46838876692920056</v>
      </c>
      <c r="E158" s="89">
        <f>IF('RPM &amp; Discounts'!$B$3&lt;&gt;'A0.Support'!$B$6,'Input data'!E$234,'Input data'!E$216)</f>
        <v>0.46838876692920056</v>
      </c>
    </row>
    <row r="159" spans="2:5" ht="14.4" customHeight="1">
      <c r="B159" s="36" t="str">
        <f t="shared" ref="B159" si="56">B63</f>
        <v>GRMS 04149</v>
      </c>
      <c r="C159" s="36" t="str">
        <f t="shared" si="0"/>
        <v>Domestic exit</v>
      </c>
      <c r="D159" s="89">
        <f>IF('RPM &amp; Discounts'!$B$3&lt;&gt;'A0.Support'!$B$6,'Input data'!D$234,'Input data'!D$216)</f>
        <v>0.46838876692920056</v>
      </c>
      <c r="E159" s="89">
        <f>IF('RPM &amp; Discounts'!$B$3&lt;&gt;'A0.Support'!$B$6,'Input data'!E$234,'Input data'!E$216)</f>
        <v>0.46838876692920056</v>
      </c>
    </row>
    <row r="160" spans="2:5" ht="14.4" customHeight="1">
      <c r="B160" s="36" t="str">
        <f t="shared" ref="B160" si="57">B64</f>
        <v>GRMS 04159</v>
      </c>
      <c r="C160" s="36" t="str">
        <f t="shared" si="0"/>
        <v>Domestic exit</v>
      </c>
      <c r="D160" s="89">
        <f>IF('RPM &amp; Discounts'!$B$3&lt;&gt;'A0.Support'!$B$6,'Input data'!D$234,'Input data'!D$216)</f>
        <v>0.46838876692920056</v>
      </c>
      <c r="E160" s="89">
        <f>IF('RPM &amp; Discounts'!$B$3&lt;&gt;'A0.Support'!$B$6,'Input data'!E$234,'Input data'!E$216)</f>
        <v>0.46838876692920056</v>
      </c>
    </row>
    <row r="161" spans="2:5" ht="14.4" customHeight="1">
      <c r="B161" s="36" t="str">
        <f t="shared" ref="B161" si="58">B65</f>
        <v>GRMS 04209</v>
      </c>
      <c r="C161" s="36" t="str">
        <f t="shared" si="0"/>
        <v>Domestic exit</v>
      </c>
      <c r="D161" s="89">
        <f>IF('RPM &amp; Discounts'!$B$3&lt;&gt;'A0.Support'!$B$6,'Input data'!D$234,'Input data'!D$216)</f>
        <v>0.46838876692920056</v>
      </c>
      <c r="E161" s="89">
        <f>IF('RPM &amp; Discounts'!$B$3&lt;&gt;'A0.Support'!$B$6,'Input data'!E$234,'Input data'!E$216)</f>
        <v>0.46838876692920056</v>
      </c>
    </row>
    <row r="162" spans="2:5" ht="14.4" customHeight="1">
      <c r="B162" s="36" t="str">
        <f t="shared" ref="B162" si="59">B66</f>
        <v>GRMS 05009</v>
      </c>
      <c r="C162" s="36" t="str">
        <f t="shared" si="0"/>
        <v>Domestic exit</v>
      </c>
      <c r="D162" s="89">
        <f>IF('RPM &amp; Discounts'!$B$3&lt;&gt;'A0.Support'!$B$6,'Input data'!D$234,'Input data'!D$216)</f>
        <v>0.46838876692920056</v>
      </c>
      <c r="E162" s="89">
        <f>IF('RPM &amp; Discounts'!$B$3&lt;&gt;'A0.Support'!$B$6,'Input data'!E$234,'Input data'!E$216)</f>
        <v>0.46838876692920056</v>
      </c>
    </row>
    <row r="163" spans="2:5" ht="14.4" customHeight="1">
      <c r="B163" s="36" t="str">
        <f t="shared" ref="B163" si="60">B67</f>
        <v>GRMS 05119</v>
      </c>
      <c r="C163" s="36" t="str">
        <f t="shared" si="0"/>
        <v>Domestic exit</v>
      </c>
      <c r="D163" s="89">
        <f>IF('RPM &amp; Discounts'!$B$3&lt;&gt;'A0.Support'!$B$6,'Input data'!D$234,'Input data'!D$216)</f>
        <v>0.46838876692920056</v>
      </c>
      <c r="E163" s="89">
        <f>IF('RPM &amp; Discounts'!$B$3&lt;&gt;'A0.Support'!$B$6,'Input data'!E$234,'Input data'!E$216)</f>
        <v>0.46838876692920056</v>
      </c>
    </row>
    <row r="164" spans="2:5" ht="14.4" customHeight="1">
      <c r="B164" s="36" t="str">
        <f t="shared" ref="B164" si="61">B68</f>
        <v>GRMS 05179</v>
      </c>
      <c r="C164" s="36" t="str">
        <f t="shared" si="0"/>
        <v>Domestic exit</v>
      </c>
      <c r="D164" s="89">
        <f>IF('RPM &amp; Discounts'!$B$3&lt;&gt;'A0.Support'!$B$6,'Input data'!D$234,'Input data'!D$216)</f>
        <v>0.46838876692920056</v>
      </c>
      <c r="E164" s="89">
        <f>IF('RPM &amp; Discounts'!$B$3&lt;&gt;'A0.Support'!$B$6,'Input data'!E$234,'Input data'!E$216)</f>
        <v>0.46838876692920056</v>
      </c>
    </row>
    <row r="165" spans="2:5" ht="14.4" customHeight="1">
      <c r="B165" s="36" t="str">
        <f t="shared" ref="B165" si="62">B69</f>
        <v>GRMS 05309</v>
      </c>
      <c r="C165" s="36" t="str">
        <f t="shared" si="0"/>
        <v>Domestic exit</v>
      </c>
      <c r="D165" s="89">
        <f>IF('RPM &amp; Discounts'!$B$3&lt;&gt;'A0.Support'!$B$6,'Input data'!D$234,'Input data'!D$216)</f>
        <v>0.46838876692920056</v>
      </c>
      <c r="E165" s="89">
        <f>IF('RPM &amp; Discounts'!$B$3&lt;&gt;'A0.Support'!$B$6,'Input data'!E$234,'Input data'!E$216)</f>
        <v>0.46838876692920056</v>
      </c>
    </row>
    <row r="166" spans="2:5" ht="14.4" customHeight="1">
      <c r="B166" s="36" t="str">
        <f t="shared" ref="B166" si="63">B70</f>
        <v>GRMS 05609</v>
      </c>
      <c r="C166" s="36" t="str">
        <f t="shared" si="0"/>
        <v>Domestic exit</v>
      </c>
      <c r="D166" s="89">
        <f>IF('RPM &amp; Discounts'!$B$3&lt;&gt;'A0.Support'!$B$6,'Input data'!D$234,'Input data'!D$216)</f>
        <v>0.46838876692920056</v>
      </c>
      <c r="E166" s="89">
        <f>IF('RPM &amp; Discounts'!$B$3&lt;&gt;'A0.Support'!$B$6,'Input data'!E$234,'Input data'!E$216)</f>
        <v>0.46838876692920056</v>
      </c>
    </row>
    <row r="167" spans="2:5" ht="14.4" customHeight="1">
      <c r="B167" s="36" t="str">
        <f t="shared" ref="B167" si="64">B71</f>
        <v>GRMS 07009</v>
      </c>
      <c r="C167" s="36" t="str">
        <f t="shared" si="0"/>
        <v>Domestic exit</v>
      </c>
      <c r="D167" s="89">
        <f>IF('RPM &amp; Discounts'!$B$3&lt;&gt;'A0.Support'!$B$6,'Input data'!D$234,'Input data'!D$216)</f>
        <v>0.46838876692920056</v>
      </c>
      <c r="E167" s="89">
        <f>IF('RPM &amp; Discounts'!$B$3&lt;&gt;'A0.Support'!$B$6,'Input data'!E$234,'Input data'!E$216)</f>
        <v>0.46838876692920056</v>
      </c>
    </row>
    <row r="168" spans="2:5" ht="14.4" customHeight="1">
      <c r="B168" s="36" t="str">
        <f t="shared" ref="B168:C183" si="65">B72</f>
        <v>GRMS 08009</v>
      </c>
      <c r="C168" s="36" t="str">
        <f t="shared" si="65"/>
        <v>Domestic exit</v>
      </c>
      <c r="D168" s="89">
        <f>IF('RPM &amp; Discounts'!$B$3&lt;&gt;'A0.Support'!$B$6,'Input data'!D$234,'Input data'!D$216)</f>
        <v>0.46838876692920056</v>
      </c>
      <c r="E168" s="89">
        <f>IF('RPM &amp; Discounts'!$B$3&lt;&gt;'A0.Support'!$B$6,'Input data'!E$234,'Input data'!E$216)</f>
        <v>0.46838876692920056</v>
      </c>
    </row>
    <row r="169" spans="2:5" ht="14.4" customHeight="1">
      <c r="B169" s="36" t="str">
        <f t="shared" ref="B169" si="66">B73</f>
        <v>GRMS 08109</v>
      </c>
      <c r="C169" s="36" t="str">
        <f t="shared" si="65"/>
        <v>Domestic exit</v>
      </c>
      <c r="D169" s="89">
        <f>IF('RPM &amp; Discounts'!$B$3&lt;&gt;'A0.Support'!$B$6,'Input data'!D$234,'Input data'!D$216)</f>
        <v>0.46838876692920056</v>
      </c>
      <c r="E169" s="89">
        <f>IF('RPM &amp; Discounts'!$B$3&lt;&gt;'A0.Support'!$B$6,'Input data'!E$234,'Input data'!E$216)</f>
        <v>0.46838876692920056</v>
      </c>
    </row>
    <row r="170" spans="2:5" ht="14.4" customHeight="1">
      <c r="B170" s="36" t="str">
        <f t="shared" ref="B170" si="67">B74</f>
        <v>GRMS 08119</v>
      </c>
      <c r="C170" s="36" t="str">
        <f t="shared" si="65"/>
        <v>Domestic exit</v>
      </c>
      <c r="D170" s="89">
        <f>IF('RPM &amp; Discounts'!$B$3&lt;&gt;'A0.Support'!$B$6,'Input data'!D$234,'Input data'!D$216)</f>
        <v>0.46838876692920056</v>
      </c>
      <c r="E170" s="89">
        <f>IF('RPM &amp; Discounts'!$B$3&lt;&gt;'A0.Support'!$B$6,'Input data'!E$234,'Input data'!E$216)</f>
        <v>0.46838876692920056</v>
      </c>
    </row>
    <row r="171" spans="2:5" ht="14.4" customHeight="1">
      <c r="B171" s="36" t="str">
        <f t="shared" ref="B171" si="68">B75</f>
        <v>GRMS 08209</v>
      </c>
      <c r="C171" s="36" t="str">
        <f t="shared" si="65"/>
        <v>Domestic exit</v>
      </c>
      <c r="D171" s="89">
        <f>IF('RPM &amp; Discounts'!$B$3&lt;&gt;'A0.Support'!$B$6,'Input data'!D$234,'Input data'!D$216)</f>
        <v>0.46838876692920056</v>
      </c>
      <c r="E171" s="89">
        <f>IF('RPM &amp; Discounts'!$B$3&lt;&gt;'A0.Support'!$B$6,'Input data'!E$234,'Input data'!E$216)</f>
        <v>0.46838876692920056</v>
      </c>
    </row>
    <row r="172" spans="2:5" ht="14.4" customHeight="1">
      <c r="B172" s="36" t="str">
        <f t="shared" ref="B172" si="69">B76</f>
        <v>GRMS 08309</v>
      </c>
      <c r="C172" s="36" t="str">
        <f t="shared" si="65"/>
        <v>Domestic exit</v>
      </c>
      <c r="D172" s="89">
        <f>IF('RPM &amp; Discounts'!$B$3&lt;&gt;'A0.Support'!$B$6,'Input data'!D$234,'Input data'!D$216)</f>
        <v>0.46838876692920056</v>
      </c>
      <c r="E172" s="89">
        <f>IF('RPM &amp; Discounts'!$B$3&lt;&gt;'A0.Support'!$B$6,'Input data'!E$234,'Input data'!E$216)</f>
        <v>0.46838876692920056</v>
      </c>
    </row>
    <row r="173" spans="2:5" ht="14.4" customHeight="1">
      <c r="B173" s="36" t="str">
        <f t="shared" ref="B173" si="70">B77</f>
        <v>GRMS 08409</v>
      </c>
      <c r="C173" s="36" t="str">
        <f t="shared" si="65"/>
        <v>Domestic exit</v>
      </c>
      <c r="D173" s="89">
        <f>IF('RPM &amp; Discounts'!$B$3&lt;&gt;'A0.Support'!$B$6,'Input data'!D$234,'Input data'!D$216)</f>
        <v>0.46838876692920056</v>
      </c>
      <c r="E173" s="89">
        <f>IF('RPM &amp; Discounts'!$B$3&lt;&gt;'A0.Support'!$B$6,'Input data'!E$234,'Input data'!E$216)</f>
        <v>0.46838876692920056</v>
      </c>
    </row>
    <row r="174" spans="2:5" ht="14.4" customHeight="1">
      <c r="B174" s="36" t="str">
        <f t="shared" ref="B174" si="71">B78</f>
        <v>GRMS 08559</v>
      </c>
      <c r="C174" s="36" t="str">
        <f t="shared" si="65"/>
        <v>Domestic exit</v>
      </c>
      <c r="D174" s="89">
        <f>IF('RPM &amp; Discounts'!$B$3&lt;&gt;'A0.Support'!$B$6,'Input data'!D$234,'Input data'!D$216)</f>
        <v>0.46838876692920056</v>
      </c>
      <c r="E174" s="89">
        <f>IF('RPM &amp; Discounts'!$B$3&lt;&gt;'A0.Support'!$B$6,'Input data'!E$234,'Input data'!E$216)</f>
        <v>0.46838876692920056</v>
      </c>
    </row>
    <row r="175" spans="2:5" ht="14.4" customHeight="1">
      <c r="B175" s="36" t="str">
        <f t="shared" ref="B175" si="72">B79</f>
        <v>GRMS 10079</v>
      </c>
      <c r="C175" s="36" t="str">
        <f t="shared" si="65"/>
        <v>Domestic exit</v>
      </c>
      <c r="D175" s="89">
        <f>IF('RPM &amp; Discounts'!$B$3&lt;&gt;'A0.Support'!$B$6,'Input data'!D$234,'Input data'!D$216)</f>
        <v>0.46838876692920056</v>
      </c>
      <c r="E175" s="89">
        <f>IF('RPM &amp; Discounts'!$B$3&lt;&gt;'A0.Support'!$B$6,'Input data'!E$234,'Input data'!E$216)</f>
        <v>0.46838876692920056</v>
      </c>
    </row>
    <row r="176" spans="2:5" ht="14.4" customHeight="1">
      <c r="B176" s="36" t="str">
        <f t="shared" ref="B176" si="73">B80</f>
        <v>GRMS 10159</v>
      </c>
      <c r="C176" s="36" t="str">
        <f t="shared" si="65"/>
        <v>Domestic exit</v>
      </c>
      <c r="D176" s="89">
        <f>IF('RPM &amp; Discounts'!$B$3&lt;&gt;'A0.Support'!$B$6,'Input data'!D$234,'Input data'!D$216)</f>
        <v>0.46838876692920056</v>
      </c>
      <c r="E176" s="89">
        <f>IF('RPM &amp; Discounts'!$B$3&lt;&gt;'A0.Support'!$B$6,'Input data'!E$234,'Input data'!E$216)</f>
        <v>0.46838876692920056</v>
      </c>
    </row>
    <row r="177" spans="2:13" ht="14.4" customHeight="1">
      <c r="B177" s="36" t="str">
        <f t="shared" ref="B177" si="74">B81</f>
        <v>GRMS 10209</v>
      </c>
      <c r="C177" s="36" t="str">
        <f t="shared" si="65"/>
        <v>Domestic exit</v>
      </c>
      <c r="D177" s="89">
        <f>IF('RPM &amp; Discounts'!$B$3&lt;&gt;'A0.Support'!$B$6,'Input data'!D$234,'Input data'!D$216)</f>
        <v>0.46838876692920056</v>
      </c>
      <c r="E177" s="89">
        <f>IF('RPM &amp; Discounts'!$B$3&lt;&gt;'A0.Support'!$B$6,'Input data'!E$234,'Input data'!E$216)</f>
        <v>0.46838876692920056</v>
      </c>
    </row>
    <row r="178" spans="2:13" ht="14.4" customHeight="1">
      <c r="B178" s="36" t="str">
        <f t="shared" ref="B178" si="75">B82</f>
        <v>GRMS 10309</v>
      </c>
      <c r="C178" s="36" t="str">
        <f t="shared" si="65"/>
        <v>Domestic exit</v>
      </c>
      <c r="D178" s="89">
        <f>IF('RPM &amp; Discounts'!$B$3&lt;&gt;'A0.Support'!$B$6,'Input data'!D$234,'Input data'!D$216)</f>
        <v>0.46838876692920056</v>
      </c>
      <c r="E178" s="89">
        <f>IF('RPM &amp; Discounts'!$B$3&lt;&gt;'A0.Support'!$B$6,'Input data'!E$234,'Input data'!E$216)</f>
        <v>0.46838876692920056</v>
      </c>
    </row>
    <row r="179" spans="2:13" ht="14.4" customHeight="1">
      <c r="B179" s="36" t="str">
        <f t="shared" ref="B179" si="76">B83</f>
        <v>GRMS 10359</v>
      </c>
      <c r="C179" s="36" t="str">
        <f t="shared" si="65"/>
        <v>Domestic exit</v>
      </c>
      <c r="D179" s="89">
        <f>IF('RPM &amp; Discounts'!$B$3&lt;&gt;'A0.Support'!$B$6,'Input data'!D$234,'Input data'!D$216)</f>
        <v>0.46838876692920056</v>
      </c>
      <c r="E179" s="89">
        <f>IF('RPM &amp; Discounts'!$B$3&lt;&gt;'A0.Support'!$B$6,'Input data'!E$234,'Input data'!E$216)</f>
        <v>0.46838876692920056</v>
      </c>
    </row>
    <row r="180" spans="2:13" ht="14.4" customHeight="1">
      <c r="B180" s="36" t="str">
        <f t="shared" ref="B180" si="77">B84</f>
        <v>GRMS 10459</v>
      </c>
      <c r="C180" s="36" t="str">
        <f t="shared" si="65"/>
        <v>Domestic exit</v>
      </c>
      <c r="D180" s="89">
        <f>IF('RPM &amp; Discounts'!$B$3&lt;&gt;'A0.Support'!$B$6,'Input data'!D$234,'Input data'!D$216)</f>
        <v>0.46838876692920056</v>
      </c>
      <c r="E180" s="89">
        <f>IF('RPM &amp; Discounts'!$B$3&lt;&gt;'A0.Support'!$B$6,'Input data'!E$234,'Input data'!E$216)</f>
        <v>0.46838876692920056</v>
      </c>
    </row>
    <row r="181" spans="2:13" ht="14.4" customHeight="1">
      <c r="B181" s="36" t="str">
        <f t="shared" ref="B181" si="78">B85</f>
        <v>GRMS 11109</v>
      </c>
      <c r="C181" s="36" t="str">
        <f t="shared" si="65"/>
        <v>Domestic exit</v>
      </c>
      <c r="D181" s="89">
        <f>IF('RPM &amp; Discounts'!$B$3&lt;&gt;'A0.Support'!$B$6,'Input data'!D$234,'Input data'!D$216)</f>
        <v>0.46838876692920056</v>
      </c>
      <c r="E181" s="89">
        <f>IF('RPM &amp; Discounts'!$B$3&lt;&gt;'A0.Support'!$B$6,'Input data'!E$234,'Input data'!E$216)</f>
        <v>0.46838876692920056</v>
      </c>
    </row>
    <row r="182" spans="2:13" ht="14.4" customHeight="1">
      <c r="B182" s="36" t="str">
        <f t="shared" ref="B182" si="79">B86</f>
        <v>GRMS 11159</v>
      </c>
      <c r="C182" s="36" t="str">
        <f t="shared" si="65"/>
        <v>Domestic exit</v>
      </c>
      <c r="D182" s="89">
        <f>IF('RPM &amp; Discounts'!$B$3&lt;&gt;'A0.Support'!$B$6,'Input data'!D$234,'Input data'!D$216)</f>
        <v>0.46838876692920056</v>
      </c>
      <c r="E182" s="89">
        <f>IF('RPM &amp; Discounts'!$B$3&lt;&gt;'A0.Support'!$B$6,'Input data'!E$234,'Input data'!E$216)</f>
        <v>0.46838876692920056</v>
      </c>
    </row>
    <row r="183" spans="2:13" ht="14.4" customHeight="1">
      <c r="B183" s="36" t="str">
        <f t="shared" ref="B183" si="80">B87</f>
        <v>GRMS 11209</v>
      </c>
      <c r="C183" s="36" t="str">
        <f t="shared" si="65"/>
        <v>Domestic exit</v>
      </c>
      <c r="D183" s="89">
        <f>IF('RPM &amp; Discounts'!$B$3&lt;&gt;'A0.Support'!$B$6,'Input data'!D$234,'Input data'!D$216)</f>
        <v>0.46838876692920056</v>
      </c>
      <c r="E183" s="89">
        <f>IF('RPM &amp; Discounts'!$B$3&lt;&gt;'A0.Support'!$B$6,'Input data'!E$234,'Input data'!E$216)</f>
        <v>0.46838876692920056</v>
      </c>
    </row>
    <row r="184" spans="2:13" ht="14.4" customHeight="1">
      <c r="B184" s="36" t="str">
        <f t="shared" ref="B184:C185" si="81">B88</f>
        <v>GRMS 11279</v>
      </c>
      <c r="C184" s="36" t="str">
        <f t="shared" si="81"/>
        <v>Domestic exit</v>
      </c>
      <c r="D184" s="89">
        <f>IF('RPM &amp; Discounts'!$B$3&lt;&gt;'A0.Support'!$B$6,'Input data'!D$234,'Input data'!D$216)</f>
        <v>0.46838876692920056</v>
      </c>
      <c r="E184" s="89">
        <f>IF('RPM &amp; Discounts'!$B$3&lt;&gt;'A0.Support'!$B$6,'Input data'!E$234,'Input data'!E$216)</f>
        <v>0.46838876692920056</v>
      </c>
    </row>
    <row r="185" spans="2:13" ht="14.4" customHeight="1">
      <c r="B185" s="36" t="str">
        <f t="shared" ref="B185" si="82">B89</f>
        <v>GRMS 11309</v>
      </c>
      <c r="C185" s="36" t="str">
        <f t="shared" si="81"/>
        <v>Domestic exit</v>
      </c>
      <c r="D185" s="89">
        <f>IF('RPM &amp; Discounts'!$B$3&lt;&gt;'A0.Support'!$B$6,'Input data'!D$234,'Input data'!D$216)</f>
        <v>0.46838876692920056</v>
      </c>
      <c r="E185" s="89">
        <f>IF('RPM &amp; Discounts'!$B$3&lt;&gt;'A0.Support'!$B$6,'Input data'!E$234,'Input data'!E$216)</f>
        <v>0.46838876692920056</v>
      </c>
    </row>
    <row r="186" spans="2:13" ht="14.4" customHeight="1">
      <c r="B186" s="36" t="str">
        <f t="shared" ref="B186:C186" si="83">B90</f>
        <v>GRMS 12209</v>
      </c>
      <c r="C186" s="36" t="str">
        <f t="shared" si="83"/>
        <v>Domestic exit</v>
      </c>
      <c r="D186" s="89">
        <f>IF('RPM &amp; Discounts'!$B$3&lt;&gt;'A0.Support'!$B$6,'Input data'!D$234,'Input data'!D$216)</f>
        <v>0.46838876692920056</v>
      </c>
      <c r="E186" s="89">
        <f>IF('RPM &amp; Discounts'!$B$3&lt;&gt;'A0.Support'!$B$6,'Input data'!E$234,'Input data'!E$216)</f>
        <v>0.46838876692920056</v>
      </c>
    </row>
    <row r="187" spans="2:13" ht="14.4" customHeight="1">
      <c r="B187" s="36" t="str">
        <f t="shared" ref="B187:C187" si="84">B91</f>
        <v>GRMS 12609</v>
      </c>
      <c r="C187" s="36" t="str">
        <f t="shared" si="84"/>
        <v>Domestic exit</v>
      </c>
      <c r="D187" s="89">
        <f>IF('RPM &amp; Discounts'!$B$3&lt;&gt;'A0.Support'!$B$6,'Input data'!D$234,'Input data'!D$216)</f>
        <v>0.46838876692920056</v>
      </c>
      <c r="E187" s="89">
        <f>IF('RPM &amp; Discounts'!$B$3&lt;&gt;'A0.Support'!$B$6,'Input data'!E$234,'Input data'!E$216)</f>
        <v>0.46838876692920056</v>
      </c>
    </row>
    <row r="188" spans="2:13" ht="14.4" customHeight="1">
      <c r="B188" s="36" t="str">
        <f t="shared" ref="B188:C188" si="85">B92</f>
        <v>GRMS 12619</v>
      </c>
      <c r="C188" s="36" t="str">
        <f t="shared" si="85"/>
        <v>Domestic exit</v>
      </c>
      <c r="D188" s="89">
        <f>IF('RPM &amp; Discounts'!$B$3&lt;&gt;'A0.Support'!$B$6,'Input data'!D$234,'Input data'!D$216)</f>
        <v>0.46838876692920056</v>
      </c>
      <c r="E188" s="89">
        <f>IF('RPM &amp; Discounts'!$B$3&lt;&gt;'A0.Support'!$B$6,'Input data'!E$234,'Input data'!E$216)</f>
        <v>0.46838876692920056</v>
      </c>
    </row>
    <row r="189" spans="2:13" ht="14.4" customHeight="1">
      <c r="B189" s="36" t="str">
        <f t="shared" ref="B189:C189" si="86">B93</f>
        <v>GRMS 12619B</v>
      </c>
      <c r="C189" s="36" t="str">
        <f t="shared" si="86"/>
        <v>Domestic exit</v>
      </c>
      <c r="D189" s="89">
        <f>IF('RPM &amp; Discounts'!$B$3&lt;&gt;'A0.Support'!$B$6,'Input data'!D$234,'Input data'!D$216)</f>
        <v>0.46838876692920056</v>
      </c>
      <c r="E189" s="89">
        <f>IF('RPM &amp; Discounts'!$B$3&lt;&gt;'A0.Support'!$B$6,'Input data'!E$234,'Input data'!E$216)</f>
        <v>0.46838876692920056</v>
      </c>
    </row>
    <row r="190" spans="2:13" ht="14.4" customHeight="1">
      <c r="B190" s="36" t="str">
        <f t="shared" ref="B190:C190" si="87">B94</f>
        <v>GRMS 12629</v>
      </c>
      <c r="C190" s="36" t="str">
        <f t="shared" si="87"/>
        <v>Domestic exit</v>
      </c>
      <c r="D190" s="89">
        <f>IF('RPM &amp; Discounts'!$B$3&lt;&gt;'A0.Support'!$B$6,'Input data'!D$234,'Input data'!D$216)</f>
        <v>0.46838876692920056</v>
      </c>
      <c r="E190" s="89">
        <f>IF('RPM &amp; Discounts'!$B$3&lt;&gt;'A0.Support'!$B$6,'Input data'!E$234,'Input data'!E$216)</f>
        <v>0.46838876692920056</v>
      </c>
      <c r="I190"/>
      <c r="J190"/>
      <c r="K190"/>
      <c r="L190"/>
      <c r="M190"/>
    </row>
    <row r="191" spans="2:13" ht="14.4" customHeight="1">
      <c r="B191" s="36" t="str">
        <f t="shared" ref="B191:C191" si="88">B95</f>
        <v>GRMS 12809</v>
      </c>
      <c r="C191" s="36" t="str">
        <f t="shared" si="88"/>
        <v>Domestic exit</v>
      </c>
      <c r="D191" s="89">
        <f>IF('RPM &amp; Discounts'!$B$3&lt;&gt;'A0.Support'!$B$6,'Input data'!D$234,'Input data'!D$216)</f>
        <v>0.46838876692920056</v>
      </c>
      <c r="E191" s="89">
        <f>IF('RPM &amp; Discounts'!$B$3&lt;&gt;'A0.Support'!$B$6,'Input data'!E$234,'Input data'!E$216)</f>
        <v>0.46838876692920056</v>
      </c>
      <c r="I191"/>
      <c r="J191"/>
      <c r="K191"/>
      <c r="L191"/>
      <c r="M191"/>
    </row>
    <row r="192" spans="2:13" ht="14.4" customHeight="1">
      <c r="B192"/>
      <c r="C192"/>
      <c r="I192"/>
      <c r="J192"/>
      <c r="K192"/>
      <c r="L192"/>
      <c r="M192"/>
    </row>
    <row r="193" spans="2:14" ht="14.4" customHeight="1">
      <c r="I193"/>
      <c r="J193"/>
      <c r="K193"/>
      <c r="L193"/>
      <c r="M193"/>
    </row>
    <row r="194" spans="2:14" ht="28.95" customHeight="1">
      <c r="B194" s="32" t="str">
        <f>IF('RPM &amp; Discounts'!$B$3&lt;&gt;'A0.Support'!$B$3,"3. Effective capacity at exit points","3. Forecasted capacity at exit points")&amp;", in kWh/day"</f>
        <v>3. Effective capacity at exit points, in kWh/day</v>
      </c>
      <c r="C194" s="5"/>
      <c r="D194" s="5"/>
      <c r="E194" s="5"/>
      <c r="I194"/>
      <c r="J194"/>
      <c r="K194"/>
      <c r="L194"/>
      <c r="M194"/>
    </row>
    <row r="195" spans="2:14" ht="14.4" customHeight="1">
      <c r="B195" s="37" t="str">
        <f>'Entry Tariff_1'!B27</f>
        <v>Effective capacity by default. Forecasted capacity in CWD.</v>
      </c>
      <c r="I195"/>
      <c r="J195"/>
      <c r="K195"/>
      <c r="L195"/>
      <c r="M195"/>
    </row>
    <row r="196" spans="2:14" ht="14.4" customHeight="1">
      <c r="B196" s="9" t="s">
        <v>1</v>
      </c>
      <c r="C196" s="9" t="s">
        <v>214</v>
      </c>
      <c r="D196" s="6"/>
      <c r="E196" s="6"/>
      <c r="I196"/>
      <c r="J196"/>
      <c r="K196"/>
      <c r="L196"/>
      <c r="M196"/>
    </row>
    <row r="197" spans="2:14" ht="14.4" customHeight="1">
      <c r="B197" s="25"/>
      <c r="C197" s="25"/>
      <c r="D197" s="23" t="str">
        <f>'Input data'!D$5</f>
        <v>2025-26</v>
      </c>
      <c r="E197" s="23" t="str">
        <f>'Input data'!E$5</f>
        <v>2026-27</v>
      </c>
      <c r="I197"/>
      <c r="J197"/>
      <c r="K197"/>
      <c r="L197"/>
      <c r="M197"/>
    </row>
    <row r="198" spans="2:14" ht="14.4" customHeight="1">
      <c r="B198" s="24"/>
      <c r="C198" s="24"/>
      <c r="D198" s="8"/>
      <c r="E198" s="8"/>
      <c r="I198"/>
      <c r="J198"/>
      <c r="K198"/>
      <c r="L198"/>
      <c r="M198"/>
    </row>
    <row r="199" spans="2:14" ht="14.4" customHeight="1">
      <c r="B199" s="36" t="s">
        <v>0</v>
      </c>
      <c r="C199" s="3" t="s">
        <v>216</v>
      </c>
      <c r="D199" s="38">
        <f>IF(OR('RPM &amp; Discounts'!$B$3='A0.Support'!$B$3,'RPM &amp; Discounts'!$B$3='A0.Support'!$B$4),D7,D7*D103)</f>
        <v>7764155.0961056259</v>
      </c>
      <c r="E199" s="38">
        <f>IF(OR('RPM &amp; Discounts'!$B$3='A0.Support'!$B$3,'RPM &amp; Discounts'!$B$3='A0.Support'!$B$4),E7,E7*E103)</f>
        <v>7764155.0961056259</v>
      </c>
      <c r="G199"/>
      <c r="H199"/>
      <c r="I199"/>
      <c r="J199"/>
      <c r="K199"/>
      <c r="L199"/>
      <c r="M199"/>
      <c r="N199"/>
    </row>
    <row r="200" spans="2:14" ht="14.4" customHeight="1">
      <c r="B200" s="36" t="s">
        <v>215</v>
      </c>
      <c r="C200" s="3" t="s">
        <v>216</v>
      </c>
      <c r="D200" s="38">
        <f>IF(OR('RPM &amp; Discounts'!$B$3='A0.Support'!$B$3,'RPM &amp; Discounts'!$B$3='A0.Support'!$B$4),D8,D8*D104)</f>
        <v>3529161.4073207388</v>
      </c>
      <c r="E200" s="38">
        <f>IF(OR('RPM &amp; Discounts'!$B$3='A0.Support'!$B$3,'RPM &amp; Discounts'!$B$3='A0.Support'!$B$4),E8,E8*E104)</f>
        <v>3529161.4073207388</v>
      </c>
      <c r="H200"/>
      <c r="I200"/>
      <c r="J200"/>
      <c r="K200"/>
      <c r="L200"/>
      <c r="M200"/>
      <c r="N200"/>
    </row>
    <row r="201" spans="2:14" ht="14.4" customHeight="1">
      <c r="B201" s="36" t="s">
        <v>217</v>
      </c>
      <c r="C201" s="3" t="s">
        <v>14</v>
      </c>
      <c r="D201" s="38">
        <f>IF(OR('RPM &amp; Discounts'!$B$3='A0.Support'!$B$3,'RPM &amp; Discounts'!$B$3='A0.Support'!$B$4),D9,D9*D105)</f>
        <v>0</v>
      </c>
      <c r="E201" s="38">
        <f>IF(OR('RPM &amp; Discounts'!$B$3='A0.Support'!$B$3,'RPM &amp; Discounts'!$B$3='A0.Support'!$B$4),E9,E9*E105)</f>
        <v>0</v>
      </c>
      <c r="H201"/>
      <c r="I201"/>
      <c r="J201"/>
      <c r="K201"/>
      <c r="L201"/>
      <c r="M201"/>
      <c r="N201"/>
    </row>
    <row r="202" spans="2:14" ht="14.4" customHeight="1">
      <c r="B202" s="36" t="s">
        <v>218</v>
      </c>
      <c r="C202" s="3" t="s">
        <v>15</v>
      </c>
      <c r="D202" s="38">
        <f>IF(OR('RPM &amp; Discounts'!$B$3='A0.Support'!$B$3,'RPM &amp; Discounts'!$B$3='A0.Support'!$B$4),D10,D10*D106)</f>
        <v>3879770.9787162556</v>
      </c>
      <c r="E202" s="38">
        <f>IF(OR('RPM &amp; Discounts'!$B$3='A0.Support'!$B$3,'RPM &amp; Discounts'!$B$3='A0.Support'!$B$4),E10,E10*E106)</f>
        <v>3879770.9787162556</v>
      </c>
      <c r="H202"/>
      <c r="I202"/>
      <c r="J202"/>
      <c r="K202"/>
      <c r="L202"/>
      <c r="M202"/>
      <c r="N202"/>
    </row>
    <row r="203" spans="2:14" ht="14.4" customHeight="1">
      <c r="B203" s="36" t="s">
        <v>54</v>
      </c>
      <c r="C203" s="3" t="s">
        <v>220</v>
      </c>
      <c r="D203" s="38">
        <f>IF(OR('RPM &amp; Discounts'!$B$3='A0.Support'!$B$3,'RPM &amp; Discounts'!$B$3='A0.Support'!$B$4),D11,D11*D107)</f>
        <v>312373.39199434157</v>
      </c>
      <c r="E203" s="38">
        <f>IF(OR('RPM &amp; Discounts'!$B$3='A0.Support'!$B$3,'RPM &amp; Discounts'!$B$3='A0.Support'!$B$4),E11,E11*E107)</f>
        <v>312373.39199434157</v>
      </c>
      <c r="H203"/>
      <c r="I203"/>
      <c r="J203"/>
      <c r="K203"/>
      <c r="L203"/>
      <c r="M203"/>
      <c r="N203"/>
    </row>
    <row r="204" spans="2:14" ht="14.4" customHeight="1">
      <c r="B204" s="36" t="s">
        <v>56</v>
      </c>
      <c r="C204" s="3" t="s">
        <v>220</v>
      </c>
      <c r="D204" s="38">
        <f>IF(OR('RPM &amp; Discounts'!$B$3='A0.Support'!$B$3,'RPM &amp; Discounts'!$B$3='A0.Support'!$B$4),D12,D12*D108)</f>
        <v>1092356.7289202157</v>
      </c>
      <c r="E204" s="38">
        <f>IF(OR('RPM &amp; Discounts'!$B$3='A0.Support'!$B$3,'RPM &amp; Discounts'!$B$3='A0.Support'!$B$4),E12,E12*E108)</f>
        <v>1092356.7289202157</v>
      </c>
      <c r="H204"/>
      <c r="I204"/>
      <c r="J204"/>
      <c r="K204"/>
      <c r="L204"/>
      <c r="M204"/>
      <c r="N204"/>
    </row>
    <row r="205" spans="2:14" ht="14.4" customHeight="1">
      <c r="B205" s="36" t="s">
        <v>58</v>
      </c>
      <c r="C205" s="3" t="s">
        <v>220</v>
      </c>
      <c r="D205" s="38">
        <f>IF(OR('RPM &amp; Discounts'!$B$3='A0.Support'!$B$3,'RPM &amp; Discounts'!$B$3='A0.Support'!$B$4),D13,D13*D109)</f>
        <v>376241.5960920091</v>
      </c>
      <c r="E205" s="38">
        <f>IF(OR('RPM &amp; Discounts'!$B$3='A0.Support'!$B$3,'RPM &amp; Discounts'!$B$3='A0.Support'!$B$4),E13,E13*E109)</f>
        <v>376241.5960920091</v>
      </c>
      <c r="I205"/>
      <c r="J205"/>
      <c r="K205"/>
      <c r="L205"/>
      <c r="M205"/>
    </row>
    <row r="206" spans="2:14" ht="14.4" customHeight="1">
      <c r="B206" s="36" t="s">
        <v>60</v>
      </c>
      <c r="C206" s="3" t="s">
        <v>220</v>
      </c>
      <c r="D206" s="38">
        <f>IF(OR('RPM &amp; Discounts'!$B$3='A0.Support'!$B$3,'RPM &amp; Discounts'!$B$3='A0.Support'!$B$4),D14,D14*D110)</f>
        <v>622604.29812212207</v>
      </c>
      <c r="E206" s="38">
        <f>IF(OR('RPM &amp; Discounts'!$B$3='A0.Support'!$B$3,'RPM &amp; Discounts'!$B$3='A0.Support'!$B$4),E14,E14*E110)</f>
        <v>622604.29812212207</v>
      </c>
      <c r="I206"/>
      <c r="J206"/>
      <c r="K206"/>
      <c r="L206"/>
      <c r="M206"/>
    </row>
    <row r="207" spans="2:14" ht="14.4" customHeight="1">
      <c r="B207" s="36" t="s">
        <v>61</v>
      </c>
      <c r="C207" s="3" t="s">
        <v>220</v>
      </c>
      <c r="D207" s="38">
        <f>IF(OR('RPM &amp; Discounts'!$B$3='A0.Support'!$B$3,'RPM &amp; Discounts'!$B$3='A0.Support'!$B$4),D15,D15*D111)</f>
        <v>161503.63502898929</v>
      </c>
      <c r="E207" s="38">
        <f>IF(OR('RPM &amp; Discounts'!$B$3='A0.Support'!$B$3,'RPM &amp; Discounts'!$B$3='A0.Support'!$B$4),E15,E15*E111)</f>
        <v>161503.63502898929</v>
      </c>
      <c r="I207"/>
      <c r="J207"/>
      <c r="K207"/>
      <c r="L207"/>
      <c r="M207"/>
    </row>
    <row r="208" spans="2:14" ht="14.4" customHeight="1">
      <c r="B208" s="36" t="s">
        <v>63</v>
      </c>
      <c r="C208" s="3" t="s">
        <v>220</v>
      </c>
      <c r="D208" s="38">
        <f>IF(OR('RPM &amp; Discounts'!$B$3='A0.Support'!$B$3,'RPM &amp; Discounts'!$B$3='A0.Support'!$B$4),D16,D16*D112)</f>
        <v>353577.98391161725</v>
      </c>
      <c r="E208" s="38">
        <f>IF(OR('RPM &amp; Discounts'!$B$3='A0.Support'!$B$3,'RPM &amp; Discounts'!$B$3='A0.Support'!$B$4),E16,E16*E112)</f>
        <v>353577.98391161725</v>
      </c>
      <c r="I208"/>
      <c r="J208"/>
      <c r="K208"/>
      <c r="L208"/>
      <c r="M208"/>
    </row>
    <row r="209" spans="2:13" ht="14.4" customHeight="1">
      <c r="B209" s="36" t="s">
        <v>65</v>
      </c>
      <c r="C209" s="3" t="s">
        <v>220</v>
      </c>
      <c r="D209" s="38">
        <f>IF(OR('RPM &amp; Discounts'!$B$3='A0.Support'!$B$3,'RPM &amp; Discounts'!$B$3='A0.Support'!$B$4),D17,D17*D113)</f>
        <v>812829.94288487791</v>
      </c>
      <c r="E209" s="38">
        <f>IF(OR('RPM &amp; Discounts'!$B$3='A0.Support'!$B$3,'RPM &amp; Discounts'!$B$3='A0.Support'!$B$4),E17,E17*E113)</f>
        <v>812829.94288487791</v>
      </c>
      <c r="I209"/>
      <c r="J209"/>
      <c r="K209"/>
      <c r="L209"/>
      <c r="M209"/>
    </row>
    <row r="210" spans="2:13" ht="14.4" customHeight="1">
      <c r="B210" s="36" t="s">
        <v>67</v>
      </c>
      <c r="C210" s="3" t="s">
        <v>220</v>
      </c>
      <c r="D210" s="38">
        <f>IF(OR('RPM &amp; Discounts'!$B$3='A0.Support'!$B$3,'RPM &amp; Discounts'!$B$3='A0.Support'!$B$4),D18,D18*D114)</f>
        <v>961941.0678523375</v>
      </c>
      <c r="E210" s="38">
        <f>IF(OR('RPM &amp; Discounts'!$B$3='A0.Support'!$B$3,'RPM &amp; Discounts'!$B$3='A0.Support'!$B$4),E18,E18*E114)</f>
        <v>961941.0678523375</v>
      </c>
      <c r="I210"/>
      <c r="J210"/>
      <c r="K210"/>
      <c r="L210"/>
      <c r="M210"/>
    </row>
    <row r="211" spans="2:13" ht="14.4" customHeight="1">
      <c r="B211" s="36" t="s">
        <v>69</v>
      </c>
      <c r="C211" s="3" t="s">
        <v>220</v>
      </c>
      <c r="D211" s="38">
        <f>IF(OR('RPM &amp; Discounts'!$B$3='A0.Support'!$B$3,'RPM &amp; Discounts'!$B$3='A0.Support'!$B$4),D19,D19*D115)</f>
        <v>686145.20526492235</v>
      </c>
      <c r="E211" s="38">
        <f>IF(OR('RPM &amp; Discounts'!$B$3='A0.Support'!$B$3,'RPM &amp; Discounts'!$B$3='A0.Support'!$B$4),E19,E19*E115)</f>
        <v>686145.20526492235</v>
      </c>
      <c r="I211"/>
      <c r="J211"/>
      <c r="K211"/>
      <c r="L211"/>
      <c r="M211"/>
    </row>
    <row r="212" spans="2:13" ht="14.4" customHeight="1">
      <c r="B212" s="36" t="s">
        <v>71</v>
      </c>
      <c r="C212" s="3" t="s">
        <v>220</v>
      </c>
      <c r="D212" s="38">
        <f>IF(OR('RPM &amp; Discounts'!$B$3='A0.Support'!$B$3,'RPM &amp; Discounts'!$B$3='A0.Support'!$B$4),D20,D20*D116)</f>
        <v>5075023.7717298921</v>
      </c>
      <c r="E212" s="38">
        <f>IF(OR('RPM &amp; Discounts'!$B$3='A0.Support'!$B$3,'RPM &amp; Discounts'!$B$3='A0.Support'!$B$4),E20,E20*E116)</f>
        <v>5075023.7717298921</v>
      </c>
      <c r="I212"/>
      <c r="J212"/>
      <c r="K212"/>
      <c r="L212"/>
      <c r="M212"/>
    </row>
    <row r="213" spans="2:13" ht="14.4" customHeight="1">
      <c r="B213" s="36" t="s">
        <v>73</v>
      </c>
      <c r="C213" s="3" t="s">
        <v>220</v>
      </c>
      <c r="D213" s="38">
        <f>IF(OR('RPM &amp; Discounts'!$B$3='A0.Support'!$B$3,'RPM &amp; Discounts'!$B$3='A0.Support'!$B$4),D21,D21*D117)</f>
        <v>0</v>
      </c>
      <c r="E213" s="38">
        <f>IF(OR('RPM &amp; Discounts'!$B$3='A0.Support'!$B$3,'RPM &amp; Discounts'!$B$3='A0.Support'!$B$4),E21,E21*E117)</f>
        <v>0</v>
      </c>
      <c r="I213"/>
      <c r="J213"/>
      <c r="K213"/>
      <c r="L213"/>
      <c r="M213"/>
    </row>
    <row r="214" spans="2:13" ht="14.4" customHeight="1">
      <c r="B214" s="36" t="s">
        <v>75</v>
      </c>
      <c r="C214" s="3" t="s">
        <v>220</v>
      </c>
      <c r="D214" s="38">
        <f>IF(OR('RPM &amp; Discounts'!$B$3='A0.Support'!$B$3,'RPM &amp; Discounts'!$B$3='A0.Support'!$B$4),D22,D22*D118)</f>
        <v>270021.55879086518</v>
      </c>
      <c r="E214" s="38">
        <f>IF(OR('RPM &amp; Discounts'!$B$3='A0.Support'!$B$3,'RPM &amp; Discounts'!$B$3='A0.Support'!$B$4),E22,E22*E118)</f>
        <v>270021.55879086518</v>
      </c>
      <c r="I214"/>
      <c r="J214"/>
      <c r="K214"/>
      <c r="L214"/>
      <c r="M214"/>
    </row>
    <row r="215" spans="2:13" ht="14.4" customHeight="1">
      <c r="B215" s="36" t="s">
        <v>77</v>
      </c>
      <c r="C215" s="3" t="s">
        <v>220</v>
      </c>
      <c r="D215" s="38">
        <f>IF(OR('RPM &amp; Discounts'!$B$3='A0.Support'!$B$3,'RPM &amp; Discounts'!$B$3='A0.Support'!$B$4),D23,D23*D119)</f>
        <v>1106238.5710451733</v>
      </c>
      <c r="E215" s="38">
        <f>IF(OR('RPM &amp; Discounts'!$B$3='A0.Support'!$B$3,'RPM &amp; Discounts'!$B$3='A0.Support'!$B$4),E23,E23*E119)</f>
        <v>1106238.5710451733</v>
      </c>
      <c r="I215"/>
      <c r="J215"/>
      <c r="K215"/>
      <c r="L215"/>
      <c r="M215"/>
    </row>
    <row r="216" spans="2:13" ht="14.4" customHeight="1">
      <c r="B216" s="36" t="s">
        <v>79</v>
      </c>
      <c r="C216" s="3" t="s">
        <v>220</v>
      </c>
      <c r="D216" s="38">
        <f>IF(OR('RPM &amp; Discounts'!$B$3='A0.Support'!$B$3,'RPM &amp; Discounts'!$B$3='A0.Support'!$B$4),D24,D24*D120)</f>
        <v>678718.31368385663</v>
      </c>
      <c r="E216" s="38">
        <f>IF(OR('RPM &amp; Discounts'!$B$3='A0.Support'!$B$3,'RPM &amp; Discounts'!$B$3='A0.Support'!$B$4),E24,E24*E120)</f>
        <v>678718.31368385663</v>
      </c>
      <c r="I216"/>
      <c r="J216"/>
      <c r="K216"/>
      <c r="L216"/>
      <c r="M216"/>
    </row>
    <row r="217" spans="2:13" ht="14.4" customHeight="1">
      <c r="B217" s="36" t="s">
        <v>81</v>
      </c>
      <c r="C217" s="3" t="s">
        <v>220</v>
      </c>
      <c r="D217" s="38">
        <f>IF(OR('RPM &amp; Discounts'!$B$3='A0.Support'!$B$3,'RPM &amp; Discounts'!$B$3='A0.Support'!$B$4),D25,D25*D121)</f>
        <v>15636477.434275061</v>
      </c>
      <c r="E217" s="38">
        <f>IF(OR('RPM &amp; Discounts'!$B$3='A0.Support'!$B$3,'RPM &amp; Discounts'!$B$3='A0.Support'!$B$4),E25,E25*E121)</f>
        <v>15636477.434275061</v>
      </c>
      <c r="I217"/>
      <c r="J217"/>
      <c r="K217"/>
      <c r="L217"/>
      <c r="M217"/>
    </row>
    <row r="218" spans="2:13" ht="14.4" customHeight="1">
      <c r="B218" s="36" t="s">
        <v>82</v>
      </c>
      <c r="C218" s="3" t="s">
        <v>220</v>
      </c>
      <c r="D218" s="38">
        <f>IF(OR('RPM &amp; Discounts'!$B$3='A0.Support'!$B$3,'RPM &amp; Discounts'!$B$3='A0.Support'!$B$4),D26,D26*D122)</f>
        <v>264840.57891409856</v>
      </c>
      <c r="E218" s="38">
        <f>IF(OR('RPM &amp; Discounts'!$B$3='A0.Support'!$B$3,'RPM &amp; Discounts'!$B$3='A0.Support'!$B$4),E26,E26*E122)</f>
        <v>264840.57891409856</v>
      </c>
      <c r="I218"/>
      <c r="J218"/>
      <c r="K218"/>
      <c r="L218"/>
      <c r="M218"/>
    </row>
    <row r="219" spans="2:13" ht="14.4" customHeight="1">
      <c r="B219" s="36" t="s">
        <v>83</v>
      </c>
      <c r="C219" s="3" t="s">
        <v>220</v>
      </c>
      <c r="D219" s="38">
        <f>IF(OR('RPM &amp; Discounts'!$B$3='A0.Support'!$B$3,'RPM &amp; Discounts'!$B$3='A0.Support'!$B$4),D27,D27*D123)</f>
        <v>190716.45927627478</v>
      </c>
      <c r="E219" s="38">
        <f>IF(OR('RPM &amp; Discounts'!$B$3='A0.Support'!$B$3,'RPM &amp; Discounts'!$B$3='A0.Support'!$B$4),E27,E27*E123)</f>
        <v>190716.45927627478</v>
      </c>
      <c r="I219"/>
      <c r="J219"/>
      <c r="K219"/>
      <c r="L219"/>
      <c r="M219"/>
    </row>
    <row r="220" spans="2:13" ht="14.4" customHeight="1">
      <c r="B220" s="36" t="s">
        <v>85</v>
      </c>
      <c r="C220" s="3" t="s">
        <v>220</v>
      </c>
      <c r="D220" s="38">
        <f>IF(OR('RPM &amp; Discounts'!$B$3='A0.Support'!$B$3,'RPM &amp; Discounts'!$B$3='A0.Support'!$B$4),D28,D28*D124)</f>
        <v>18647.80946295258</v>
      </c>
      <c r="E220" s="38">
        <f>IF(OR('RPM &amp; Discounts'!$B$3='A0.Support'!$B$3,'RPM &amp; Discounts'!$B$3='A0.Support'!$B$4),E28,E28*E124)</f>
        <v>18647.80946295258</v>
      </c>
      <c r="I220"/>
      <c r="J220"/>
      <c r="K220"/>
      <c r="L220"/>
      <c r="M220"/>
    </row>
    <row r="221" spans="2:13" ht="14.4" customHeight="1">
      <c r="B221" s="36" t="s">
        <v>87</v>
      </c>
      <c r="C221" s="3" t="s">
        <v>220</v>
      </c>
      <c r="D221" s="38">
        <f>IF(OR('RPM &amp; Discounts'!$B$3='A0.Support'!$B$3,'RPM &amp; Discounts'!$B$3='A0.Support'!$B$4),D29,D29*D125)</f>
        <v>0</v>
      </c>
      <c r="E221" s="38">
        <f>IF(OR('RPM &amp; Discounts'!$B$3='A0.Support'!$B$3,'RPM &amp; Discounts'!$B$3='A0.Support'!$B$4),E29,E29*E125)</f>
        <v>0</v>
      </c>
      <c r="I221"/>
      <c r="J221"/>
      <c r="K221"/>
      <c r="L221"/>
      <c r="M221"/>
    </row>
    <row r="222" spans="2:13" ht="14.4" customHeight="1">
      <c r="B222" s="36" t="s">
        <v>89</v>
      </c>
      <c r="C222" s="3" t="s">
        <v>220</v>
      </c>
      <c r="D222" s="38">
        <f>IF(OR('RPM &amp; Discounts'!$B$3='A0.Support'!$B$3,'RPM &amp; Discounts'!$B$3='A0.Support'!$B$4),D30,D30*D126)</f>
        <v>614285.19504208816</v>
      </c>
      <c r="E222" s="38">
        <f>IF(OR('RPM &amp; Discounts'!$B$3='A0.Support'!$B$3,'RPM &amp; Discounts'!$B$3='A0.Support'!$B$4),E30,E30*E126)</f>
        <v>614285.19504208816</v>
      </c>
      <c r="I222"/>
      <c r="J222"/>
      <c r="K222"/>
      <c r="L222"/>
      <c r="M222"/>
    </row>
    <row r="223" spans="2:13" ht="14.4" customHeight="1">
      <c r="B223" s="36" t="s">
        <v>90</v>
      </c>
      <c r="C223" s="3" t="s">
        <v>220</v>
      </c>
      <c r="D223" s="38">
        <f>IF(OR('RPM &amp; Discounts'!$B$3='A0.Support'!$B$3,'RPM &amp; Discounts'!$B$3='A0.Support'!$B$4),D31,D31*D127)</f>
        <v>348534.99243102263</v>
      </c>
      <c r="E223" s="38">
        <f>IF(OR('RPM &amp; Discounts'!$B$3='A0.Support'!$B$3,'RPM &amp; Discounts'!$B$3='A0.Support'!$B$4),E31,E31*E127)</f>
        <v>348534.99243102263</v>
      </c>
      <c r="I223"/>
      <c r="J223"/>
      <c r="K223"/>
      <c r="L223"/>
      <c r="M223"/>
    </row>
    <row r="224" spans="2:13" ht="14.4" customHeight="1">
      <c r="B224" s="36" t="s">
        <v>92</v>
      </c>
      <c r="C224" s="3" t="s">
        <v>220</v>
      </c>
      <c r="D224" s="38">
        <f>IF(OR('RPM &amp; Discounts'!$B$3='A0.Support'!$B$3,'RPM &amp; Discounts'!$B$3='A0.Support'!$B$4),D32,D32*D128)</f>
        <v>632488.53524033108</v>
      </c>
      <c r="E224" s="38">
        <f>IF(OR('RPM &amp; Discounts'!$B$3='A0.Support'!$B$3,'RPM &amp; Discounts'!$B$3='A0.Support'!$B$4),E32,E32*E128)</f>
        <v>632488.53524033108</v>
      </c>
      <c r="I224"/>
      <c r="J224"/>
      <c r="K224"/>
      <c r="L224"/>
      <c r="M224"/>
    </row>
    <row r="225" spans="2:13" ht="14.4" customHeight="1">
      <c r="B225" s="36" t="s">
        <v>94</v>
      </c>
      <c r="C225" s="3" t="s">
        <v>220</v>
      </c>
      <c r="D225" s="38">
        <f>IF(OR('RPM &amp; Discounts'!$B$3='A0.Support'!$B$3,'RPM &amp; Discounts'!$B$3='A0.Support'!$B$4),D33,D33*D129)</f>
        <v>643341.30950738327</v>
      </c>
      <c r="E225" s="38">
        <f>IF(OR('RPM &amp; Discounts'!$B$3='A0.Support'!$B$3,'RPM &amp; Discounts'!$B$3='A0.Support'!$B$4),E33,E33*E129)</f>
        <v>643341.30950738327</v>
      </c>
      <c r="I225"/>
      <c r="J225"/>
      <c r="K225"/>
      <c r="L225"/>
      <c r="M225"/>
    </row>
    <row r="226" spans="2:13" ht="14.4" customHeight="1">
      <c r="B226" s="36" t="s">
        <v>96</v>
      </c>
      <c r="C226" s="3" t="s">
        <v>220</v>
      </c>
      <c r="D226" s="38">
        <f>IF(OR('RPM &amp; Discounts'!$B$3='A0.Support'!$B$3,'RPM &amp; Discounts'!$B$3='A0.Support'!$B$4),D34,D34*D130)</f>
        <v>1651271.134325682</v>
      </c>
      <c r="E226" s="38">
        <f>IF(OR('RPM &amp; Discounts'!$B$3='A0.Support'!$B$3,'RPM &amp; Discounts'!$B$3='A0.Support'!$B$4),E34,E34*E130)</f>
        <v>1651271.134325682</v>
      </c>
      <c r="I226"/>
      <c r="J226"/>
      <c r="K226"/>
      <c r="L226"/>
      <c r="M226"/>
    </row>
    <row r="227" spans="2:13" ht="14.4" customHeight="1">
      <c r="B227" s="36" t="s">
        <v>98</v>
      </c>
      <c r="C227" s="3" t="s">
        <v>220</v>
      </c>
      <c r="D227" s="38">
        <f>IF(OR('RPM &amp; Discounts'!$B$3='A0.Support'!$B$3,'RPM &amp; Discounts'!$B$3='A0.Support'!$B$4),D35,D35*D131)</f>
        <v>0</v>
      </c>
      <c r="E227" s="38">
        <f>IF(OR('RPM &amp; Discounts'!$B$3='A0.Support'!$B$3,'RPM &amp; Discounts'!$B$3='A0.Support'!$B$4),E35,E35*E131)</f>
        <v>0</v>
      </c>
      <c r="I227"/>
      <c r="J227"/>
      <c r="K227"/>
      <c r="L227"/>
      <c r="M227"/>
    </row>
    <row r="228" spans="2:13" ht="14.4" customHeight="1">
      <c r="B228" s="36" t="s">
        <v>100</v>
      </c>
      <c r="C228" s="3" t="s">
        <v>220</v>
      </c>
      <c r="D228" s="38">
        <f>IF(OR('RPM &amp; Discounts'!$B$3='A0.Support'!$B$3,'RPM &amp; Discounts'!$B$3='A0.Support'!$B$4),D36,D36*D132)</f>
        <v>3671807.9883661149</v>
      </c>
      <c r="E228" s="38">
        <f>IF(OR('RPM &amp; Discounts'!$B$3='A0.Support'!$B$3,'RPM &amp; Discounts'!$B$3='A0.Support'!$B$4),E36,E36*E132)</f>
        <v>3671807.9883661149</v>
      </c>
      <c r="I228"/>
      <c r="J228"/>
      <c r="K228"/>
      <c r="L228"/>
      <c r="M228"/>
    </row>
    <row r="229" spans="2:13" ht="14.4" customHeight="1">
      <c r="B229" s="36" t="s">
        <v>102</v>
      </c>
      <c r="C229" s="3" t="s">
        <v>220</v>
      </c>
      <c r="D229" s="38">
        <f>IF(OR('RPM &amp; Discounts'!$B$3='A0.Support'!$B$3,'RPM &amp; Discounts'!$B$3='A0.Support'!$B$4),D37,D37*D133)</f>
        <v>0</v>
      </c>
      <c r="E229" s="38">
        <f>IF(OR('RPM &amp; Discounts'!$B$3='A0.Support'!$B$3,'RPM &amp; Discounts'!$B$3='A0.Support'!$B$4),E37,E37*E133)</f>
        <v>0</v>
      </c>
      <c r="I229"/>
      <c r="J229"/>
      <c r="K229"/>
      <c r="L229"/>
      <c r="M229"/>
    </row>
    <row r="230" spans="2:13" ht="14.4" customHeight="1">
      <c r="B230" s="36" t="s">
        <v>103</v>
      </c>
      <c r="C230" s="3" t="s">
        <v>220</v>
      </c>
      <c r="D230" s="38">
        <f>IF(OR('RPM &amp; Discounts'!$B$3='A0.Support'!$B$3,'RPM &amp; Discounts'!$B$3='A0.Support'!$B$4),D38,D38*D134)</f>
        <v>13486886.474498997</v>
      </c>
      <c r="E230" s="38">
        <f>IF(OR('RPM &amp; Discounts'!$B$3='A0.Support'!$B$3,'RPM &amp; Discounts'!$B$3='A0.Support'!$B$4),E38,E38*E134)</f>
        <v>13486886.474498997</v>
      </c>
      <c r="I230"/>
      <c r="J230"/>
      <c r="K230"/>
      <c r="L230"/>
      <c r="M230"/>
    </row>
    <row r="231" spans="2:13" ht="14.4" customHeight="1">
      <c r="B231" s="36" t="s">
        <v>105</v>
      </c>
      <c r="C231" s="3" t="s">
        <v>220</v>
      </c>
      <c r="D231" s="38">
        <f>IF(OR('RPM &amp; Discounts'!$B$3='A0.Support'!$B$3,'RPM &amp; Discounts'!$B$3='A0.Support'!$B$4),D39,D39*D135)</f>
        <v>483635.97486721666</v>
      </c>
      <c r="E231" s="38">
        <f>IF(OR('RPM &amp; Discounts'!$B$3='A0.Support'!$B$3,'RPM &amp; Discounts'!$B$3='A0.Support'!$B$4),E39,E39*E135)</f>
        <v>483635.97486721666</v>
      </c>
      <c r="I231"/>
      <c r="J231"/>
      <c r="K231"/>
      <c r="L231"/>
      <c r="M231"/>
    </row>
    <row r="232" spans="2:13" ht="14.4" customHeight="1">
      <c r="B232" s="36" t="s">
        <v>107</v>
      </c>
      <c r="C232" s="3" t="s">
        <v>220</v>
      </c>
      <c r="D232" s="38">
        <f>IF(OR('RPM &amp; Discounts'!$B$3='A0.Support'!$B$3,'RPM &amp; Discounts'!$B$3='A0.Support'!$B$4),D40,D40*D136)</f>
        <v>0</v>
      </c>
      <c r="E232" s="38">
        <f>IF(OR('RPM &amp; Discounts'!$B$3='A0.Support'!$B$3,'RPM &amp; Discounts'!$B$3='A0.Support'!$B$4),E40,E40*E136)</f>
        <v>0</v>
      </c>
      <c r="I232"/>
      <c r="J232"/>
      <c r="K232"/>
      <c r="L232"/>
      <c r="M232"/>
    </row>
    <row r="233" spans="2:13" ht="14.4" customHeight="1">
      <c r="B233" s="36" t="s">
        <v>108</v>
      </c>
      <c r="C233" s="3" t="s">
        <v>220</v>
      </c>
      <c r="D233" s="38">
        <f>IF(OR('RPM &amp; Discounts'!$B$3='A0.Support'!$B$3,'RPM &amp; Discounts'!$B$3='A0.Support'!$B$4),D41,D41*D137)</f>
        <v>17884.029289074362</v>
      </c>
      <c r="E233" s="38">
        <f>IF(OR('RPM &amp; Discounts'!$B$3='A0.Support'!$B$3,'RPM &amp; Discounts'!$B$3='A0.Support'!$B$4),E41,E41*E137)</f>
        <v>17884.029289074362</v>
      </c>
      <c r="I233"/>
      <c r="J233"/>
      <c r="K233"/>
      <c r="L233"/>
      <c r="M233"/>
    </row>
    <row r="234" spans="2:13" ht="14.4" customHeight="1">
      <c r="B234" s="36" t="s">
        <v>110</v>
      </c>
      <c r="C234" s="3" t="s">
        <v>220</v>
      </c>
      <c r="D234" s="38">
        <f>IF(OR('RPM &amp; Discounts'!$B$3='A0.Support'!$B$3,'RPM &amp; Discounts'!$B$3='A0.Support'!$B$4),D42,D42*D138)</f>
        <v>631088.35886740894</v>
      </c>
      <c r="E234" s="38">
        <f>IF(OR('RPM &amp; Discounts'!$B$3='A0.Support'!$B$3,'RPM &amp; Discounts'!$B$3='A0.Support'!$B$4),E42,E42*E138)</f>
        <v>631088.35886740894</v>
      </c>
      <c r="I234"/>
      <c r="J234"/>
      <c r="K234"/>
      <c r="L234"/>
      <c r="M234"/>
    </row>
    <row r="235" spans="2:13" ht="14.4" customHeight="1">
      <c r="B235" s="36" t="s">
        <v>112</v>
      </c>
      <c r="C235" s="3" t="s">
        <v>220</v>
      </c>
      <c r="D235" s="38">
        <f>IF(OR('RPM &amp; Discounts'!$B$3='A0.Support'!$B$3,'RPM &amp; Discounts'!$B$3='A0.Support'!$B$4),D43,D43*D139)</f>
        <v>179853.9970193585</v>
      </c>
      <c r="E235" s="38">
        <f>IF(OR('RPM &amp; Discounts'!$B$3='A0.Support'!$B$3,'RPM &amp; Discounts'!$B$3='A0.Support'!$B$4),E43,E43*E139)</f>
        <v>179853.9970193585</v>
      </c>
      <c r="I235"/>
      <c r="J235"/>
      <c r="K235"/>
      <c r="L235"/>
      <c r="M235"/>
    </row>
    <row r="236" spans="2:13" ht="14.4" customHeight="1">
      <c r="B236" s="36" t="s">
        <v>114</v>
      </c>
      <c r="C236" s="3" t="s">
        <v>220</v>
      </c>
      <c r="D236" s="38">
        <f>IF(OR('RPM &amp; Discounts'!$B$3='A0.Support'!$B$3,'RPM &amp; Discounts'!$B$3='A0.Support'!$B$4),D44,D44*D140)</f>
        <v>0</v>
      </c>
      <c r="E236" s="38">
        <f>IF(OR('RPM &amp; Discounts'!$B$3='A0.Support'!$B$3,'RPM &amp; Discounts'!$B$3='A0.Support'!$B$4),E44,E44*E140)</f>
        <v>0</v>
      </c>
      <c r="I236"/>
      <c r="J236"/>
      <c r="K236"/>
      <c r="L236"/>
      <c r="M236"/>
    </row>
    <row r="237" spans="2:13" ht="14.4" customHeight="1">
      <c r="B237" s="36" t="s">
        <v>116</v>
      </c>
      <c r="C237" s="3" t="s">
        <v>220</v>
      </c>
      <c r="D237" s="38">
        <f>IF(OR('RPM &amp; Discounts'!$B$3='A0.Support'!$B$3,'RPM &amp; Discounts'!$B$3='A0.Support'!$B$4),D45,D45*D141)</f>
        <v>428196.06011372671</v>
      </c>
      <c r="E237" s="38">
        <f>IF(OR('RPM &amp; Discounts'!$B$3='A0.Support'!$B$3,'RPM &amp; Discounts'!$B$3='A0.Support'!$B$4),E45,E45*E141)</f>
        <v>428196.06011372671</v>
      </c>
      <c r="I237"/>
      <c r="J237"/>
      <c r="K237"/>
      <c r="L237"/>
      <c r="M237"/>
    </row>
    <row r="238" spans="2:13" ht="14.4" customHeight="1">
      <c r="B238" s="36" t="s">
        <v>118</v>
      </c>
      <c r="C238" s="3" t="s">
        <v>220</v>
      </c>
      <c r="D238" s="38">
        <f>IF(OR('RPM &amp; Discounts'!$B$3='A0.Support'!$B$3,'RPM &amp; Discounts'!$B$3='A0.Support'!$B$4),D46,D46*D142)</f>
        <v>0</v>
      </c>
      <c r="E238" s="38">
        <f>IF(OR('RPM &amp; Discounts'!$B$3='A0.Support'!$B$3,'RPM &amp; Discounts'!$B$3='A0.Support'!$B$4),E46,E46*E142)</f>
        <v>0</v>
      </c>
      <c r="I238"/>
      <c r="J238"/>
      <c r="K238"/>
      <c r="L238"/>
      <c r="M238"/>
    </row>
    <row r="239" spans="2:13" ht="14.4" customHeight="1">
      <c r="B239" s="36" t="s">
        <v>120</v>
      </c>
      <c r="C239" s="3" t="s">
        <v>220</v>
      </c>
      <c r="D239" s="38">
        <f>IF(OR('RPM &amp; Discounts'!$B$3='A0.Support'!$B$3,'RPM &amp; Discounts'!$B$3='A0.Support'!$B$4),D47,D47*D143)</f>
        <v>192512.92680215015</v>
      </c>
      <c r="E239" s="38">
        <f>IF(OR('RPM &amp; Discounts'!$B$3='A0.Support'!$B$3,'RPM &amp; Discounts'!$B$3='A0.Support'!$B$4),E47,E47*E143)</f>
        <v>192512.92680215015</v>
      </c>
      <c r="I239"/>
      <c r="J239"/>
      <c r="K239"/>
      <c r="L239"/>
      <c r="M239"/>
    </row>
    <row r="240" spans="2:13" ht="14.4" customHeight="1">
      <c r="B240" s="36" t="s">
        <v>122</v>
      </c>
      <c r="C240" s="3" t="s">
        <v>220</v>
      </c>
      <c r="D240" s="38">
        <f>IF(OR('RPM &amp; Discounts'!$B$3='A0.Support'!$B$3,'RPM &amp; Discounts'!$B$3='A0.Support'!$B$4),D48,D48*D144)</f>
        <v>547510.59398519958</v>
      </c>
      <c r="E240" s="38">
        <f>IF(OR('RPM &amp; Discounts'!$B$3='A0.Support'!$B$3,'RPM &amp; Discounts'!$B$3='A0.Support'!$B$4),E48,E48*E144)</f>
        <v>547510.59398519958</v>
      </c>
      <c r="I240"/>
      <c r="J240"/>
      <c r="K240"/>
      <c r="L240"/>
      <c r="M240"/>
    </row>
    <row r="241" spans="2:13" ht="14.4" customHeight="1">
      <c r="B241" s="36" t="s">
        <v>124</v>
      </c>
      <c r="C241" s="3" t="s">
        <v>220</v>
      </c>
      <c r="D241" s="38">
        <f>IF(OR('RPM &amp; Discounts'!$B$3='A0.Support'!$B$3,'RPM &amp; Discounts'!$B$3='A0.Support'!$B$4),D49,D49*D145)</f>
        <v>1140045.9899448855</v>
      </c>
      <c r="E241" s="38">
        <f>IF(OR('RPM &amp; Discounts'!$B$3='A0.Support'!$B$3,'RPM &amp; Discounts'!$B$3='A0.Support'!$B$4),E49,E49*E145)</f>
        <v>1140045.9899448855</v>
      </c>
      <c r="I241"/>
      <c r="J241"/>
      <c r="K241"/>
      <c r="L241"/>
      <c r="M241"/>
    </row>
    <row r="242" spans="2:13" ht="14.4" customHeight="1">
      <c r="B242" s="36" t="s">
        <v>126</v>
      </c>
      <c r="C242" s="3" t="s">
        <v>220</v>
      </c>
      <c r="D242" s="38">
        <f>IF(OR('RPM &amp; Discounts'!$B$3='A0.Support'!$B$3,'RPM &amp; Discounts'!$B$3='A0.Support'!$B$4),D50,D50*D146)</f>
        <v>293063.13349473767</v>
      </c>
      <c r="E242" s="38">
        <f>IF(OR('RPM &amp; Discounts'!$B$3='A0.Support'!$B$3,'RPM &amp; Discounts'!$B$3='A0.Support'!$B$4),E50,E50*E146)</f>
        <v>293063.13349473767</v>
      </c>
      <c r="I242"/>
      <c r="J242"/>
      <c r="K242"/>
      <c r="L242"/>
      <c r="M242"/>
    </row>
    <row r="243" spans="2:13" ht="14.4" customHeight="1">
      <c r="B243" s="36" t="s">
        <v>128</v>
      </c>
      <c r="C243" s="3" t="s">
        <v>220</v>
      </c>
      <c r="D243" s="38">
        <f>IF(OR('RPM &amp; Discounts'!$B$3='A0.Support'!$B$3,'RPM &amp; Discounts'!$B$3='A0.Support'!$B$4),D51,D51*D147)</f>
        <v>1087558.6864806439</v>
      </c>
      <c r="E243" s="38">
        <f>IF(OR('RPM &amp; Discounts'!$B$3='A0.Support'!$B$3,'RPM &amp; Discounts'!$B$3='A0.Support'!$B$4),E51,E51*E147)</f>
        <v>1087558.6864806439</v>
      </c>
      <c r="I243"/>
      <c r="J243"/>
      <c r="K243"/>
      <c r="L243"/>
      <c r="M243"/>
    </row>
    <row r="244" spans="2:13" ht="14.4" customHeight="1">
      <c r="B244" s="36" t="s">
        <v>130</v>
      </c>
      <c r="C244" s="3" t="s">
        <v>220</v>
      </c>
      <c r="D244" s="38">
        <f>IF(OR('RPM &amp; Discounts'!$B$3='A0.Support'!$B$3,'RPM &amp; Discounts'!$B$3='A0.Support'!$B$4),D52,D52*D148)</f>
        <v>812292.25944742199</v>
      </c>
      <c r="E244" s="38">
        <f>IF(OR('RPM &amp; Discounts'!$B$3='A0.Support'!$B$3,'RPM &amp; Discounts'!$B$3='A0.Support'!$B$4),E52,E52*E148)</f>
        <v>812292.25944742199</v>
      </c>
      <c r="I244"/>
      <c r="J244"/>
      <c r="K244"/>
      <c r="L244"/>
      <c r="M244"/>
    </row>
    <row r="245" spans="2:13" ht="14.4" customHeight="1">
      <c r="B245" s="36" t="s">
        <v>131</v>
      </c>
      <c r="C245" s="3" t="s">
        <v>220</v>
      </c>
      <c r="D245" s="38">
        <f>IF(OR('RPM &amp; Discounts'!$B$3='A0.Support'!$B$3,'RPM &amp; Discounts'!$B$3='A0.Support'!$B$4),D53,D53*D149)</f>
        <v>25831.977622288734</v>
      </c>
      <c r="E245" s="38">
        <f>IF(OR('RPM &amp; Discounts'!$B$3='A0.Support'!$B$3,'RPM &amp; Discounts'!$B$3='A0.Support'!$B$4),E53,E53*E149)</f>
        <v>25831.977622288734</v>
      </c>
      <c r="I245"/>
      <c r="J245"/>
      <c r="K245"/>
      <c r="L245"/>
      <c r="M245"/>
    </row>
    <row r="246" spans="2:13" ht="14.4" customHeight="1">
      <c r="B246" s="36" t="s">
        <v>133</v>
      </c>
      <c r="C246" s="3" t="s">
        <v>220</v>
      </c>
      <c r="D246" s="38">
        <f>IF(OR('RPM &amp; Discounts'!$B$3='A0.Support'!$B$3,'RPM &amp; Discounts'!$B$3='A0.Support'!$B$4),D54,D54*D150)</f>
        <v>1091955.5937723306</v>
      </c>
      <c r="E246" s="38">
        <f>IF(OR('RPM &amp; Discounts'!$B$3='A0.Support'!$B$3,'RPM &amp; Discounts'!$B$3='A0.Support'!$B$4),E54,E54*E150)</f>
        <v>1091955.5937723306</v>
      </c>
      <c r="I246"/>
      <c r="J246"/>
      <c r="K246"/>
      <c r="L246"/>
      <c r="M246"/>
    </row>
    <row r="247" spans="2:13" ht="14.4" customHeight="1">
      <c r="B247" s="36" t="s">
        <v>135</v>
      </c>
      <c r="C247" s="3" t="s">
        <v>220</v>
      </c>
      <c r="D247" s="38">
        <f>IF(OR('RPM &amp; Discounts'!$B$3='A0.Support'!$B$3,'RPM &amp; Discounts'!$B$3='A0.Support'!$B$4),D55,D55*D151)</f>
        <v>848591.19368636538</v>
      </c>
      <c r="E247" s="38">
        <f>IF(OR('RPM &amp; Discounts'!$B$3='A0.Support'!$B$3,'RPM &amp; Discounts'!$B$3='A0.Support'!$B$4),E55,E55*E151)</f>
        <v>848591.19368636538</v>
      </c>
      <c r="I247"/>
      <c r="J247"/>
      <c r="K247"/>
      <c r="L247"/>
      <c r="M247"/>
    </row>
    <row r="248" spans="2:13" ht="14.4" customHeight="1">
      <c r="B248" s="36" t="s">
        <v>136</v>
      </c>
      <c r="C248" s="3" t="s">
        <v>220</v>
      </c>
      <c r="D248" s="38">
        <f>IF(OR('RPM &amp; Discounts'!$B$3='A0.Support'!$B$3,'RPM &amp; Discounts'!$B$3='A0.Support'!$B$4),D56,D56*D152)</f>
        <v>1402674.565119209</v>
      </c>
      <c r="E248" s="38">
        <f>IF(OR('RPM &amp; Discounts'!$B$3='A0.Support'!$B$3,'RPM &amp; Discounts'!$B$3='A0.Support'!$B$4),E56,E56*E152)</f>
        <v>1402674.565119209</v>
      </c>
      <c r="I248"/>
      <c r="J248"/>
      <c r="K248"/>
      <c r="L248"/>
      <c r="M248"/>
    </row>
    <row r="249" spans="2:13" ht="14.4" customHeight="1">
      <c r="B249" s="36" t="s">
        <v>138</v>
      </c>
      <c r="C249" s="3" t="s">
        <v>220</v>
      </c>
      <c r="D249" s="38">
        <f>IF(OR('RPM &amp; Discounts'!$B$3='A0.Support'!$B$3,'RPM &amp; Discounts'!$B$3='A0.Support'!$B$4),D57,D57*D153)</f>
        <v>316738.4860220151</v>
      </c>
      <c r="E249" s="38">
        <f>IF(OR('RPM &amp; Discounts'!$B$3='A0.Support'!$B$3,'RPM &amp; Discounts'!$B$3='A0.Support'!$B$4),E57,E57*E153)</f>
        <v>316738.4860220151</v>
      </c>
      <c r="I249"/>
      <c r="J249"/>
      <c r="K249"/>
      <c r="L249"/>
      <c r="M249"/>
    </row>
    <row r="250" spans="2:13" ht="14.4" customHeight="1">
      <c r="B250" s="36" t="s">
        <v>140</v>
      </c>
      <c r="C250" s="3" t="s">
        <v>220</v>
      </c>
      <c r="D250" s="38">
        <f>IF(OR('RPM &amp; Discounts'!$B$3='A0.Support'!$B$3,'RPM &amp; Discounts'!$B$3='A0.Support'!$B$4),D58,D58*D154)</f>
        <v>683304.00585911074</v>
      </c>
      <c r="E250" s="38">
        <f>IF(OR('RPM &amp; Discounts'!$B$3='A0.Support'!$B$3,'RPM &amp; Discounts'!$B$3='A0.Support'!$B$4),E58,E58*E154)</f>
        <v>683304.00585911074</v>
      </c>
      <c r="I250"/>
      <c r="J250"/>
      <c r="K250"/>
      <c r="L250"/>
      <c r="M250"/>
    </row>
    <row r="251" spans="2:13" ht="14.4" customHeight="1">
      <c r="B251" s="36" t="s">
        <v>142</v>
      </c>
      <c r="C251" s="3" t="s">
        <v>220</v>
      </c>
      <c r="D251" s="38">
        <f>IF(OR('RPM &amp; Discounts'!$B$3='A0.Support'!$B$3,'RPM &amp; Discounts'!$B$3='A0.Support'!$B$4),D59,D59*D155)</f>
        <v>598434.85811177711</v>
      </c>
      <c r="E251" s="38">
        <f>IF(OR('RPM &amp; Discounts'!$B$3='A0.Support'!$B$3,'RPM &amp; Discounts'!$B$3='A0.Support'!$B$4),E59,E59*E155)</f>
        <v>598434.85811177711</v>
      </c>
      <c r="I251"/>
      <c r="J251"/>
      <c r="K251"/>
      <c r="L251"/>
      <c r="M251"/>
    </row>
    <row r="252" spans="2:13" ht="14.4" customHeight="1">
      <c r="B252" s="36" t="s">
        <v>144</v>
      </c>
      <c r="C252" s="3" t="s">
        <v>220</v>
      </c>
      <c r="D252" s="38">
        <f>IF(OR('RPM &amp; Discounts'!$B$3='A0.Support'!$B$3,'RPM &amp; Discounts'!$B$3='A0.Support'!$B$4),D60,D60*D156)</f>
        <v>15921490.371867882</v>
      </c>
      <c r="E252" s="38">
        <f>IF(OR('RPM &amp; Discounts'!$B$3='A0.Support'!$B$3,'RPM &amp; Discounts'!$B$3='A0.Support'!$B$4),E60,E60*E156)</f>
        <v>15921490.371867882</v>
      </c>
      <c r="I252"/>
      <c r="J252"/>
      <c r="K252"/>
      <c r="L252"/>
      <c r="M252"/>
    </row>
    <row r="253" spans="2:13" ht="14.4" customHeight="1">
      <c r="B253" s="36" t="s">
        <v>146</v>
      </c>
      <c r="C253" s="3" t="s">
        <v>220</v>
      </c>
      <c r="D253" s="38">
        <f>IF(OR('RPM &amp; Discounts'!$B$3='A0.Support'!$B$3,'RPM &amp; Discounts'!$B$3='A0.Support'!$B$4),D61,D61*D157)</f>
        <v>1956798.3904556746</v>
      </c>
      <c r="E253" s="38">
        <f>IF(OR('RPM &amp; Discounts'!$B$3='A0.Support'!$B$3,'RPM &amp; Discounts'!$B$3='A0.Support'!$B$4),E61,E61*E157)</f>
        <v>1956798.3904556746</v>
      </c>
      <c r="I253"/>
      <c r="J253"/>
      <c r="K253"/>
      <c r="L253"/>
      <c r="M253"/>
    </row>
    <row r="254" spans="2:13" ht="14.4" customHeight="1">
      <c r="B254" s="36" t="s">
        <v>148</v>
      </c>
      <c r="C254" s="3" t="s">
        <v>220</v>
      </c>
      <c r="D254" s="38">
        <f>IF(OR('RPM &amp; Discounts'!$B$3='A0.Support'!$B$3,'RPM &amp; Discounts'!$B$3='A0.Support'!$B$4),D62,D62*D158)</f>
        <v>1667107.4629463248</v>
      </c>
      <c r="E254" s="38">
        <f>IF(OR('RPM &amp; Discounts'!$B$3='A0.Support'!$B$3,'RPM &amp; Discounts'!$B$3='A0.Support'!$B$4),E62,E62*E158)</f>
        <v>1667107.4629463248</v>
      </c>
      <c r="I254"/>
      <c r="J254"/>
      <c r="K254"/>
      <c r="L254"/>
      <c r="M254"/>
    </row>
    <row r="255" spans="2:13" ht="14.4" customHeight="1">
      <c r="B255" s="36" t="s">
        <v>150</v>
      </c>
      <c r="C255" s="3" t="s">
        <v>220</v>
      </c>
      <c r="D255" s="38">
        <f>IF(OR('RPM &amp; Discounts'!$B$3='A0.Support'!$B$3,'RPM &amp; Discounts'!$B$3='A0.Support'!$B$4),D63,D63*D159)</f>
        <v>4690813.8039746853</v>
      </c>
      <c r="E255" s="38">
        <f>IF(OR('RPM &amp; Discounts'!$B$3='A0.Support'!$B$3,'RPM &amp; Discounts'!$B$3='A0.Support'!$B$4),E63,E63*E159)</f>
        <v>4690813.8039746853</v>
      </c>
      <c r="I255"/>
      <c r="J255"/>
      <c r="K255"/>
      <c r="L255"/>
      <c r="M255"/>
    </row>
    <row r="256" spans="2:13" ht="14.4" customHeight="1">
      <c r="B256" s="36" t="s">
        <v>152</v>
      </c>
      <c r="C256" s="3" t="s">
        <v>220</v>
      </c>
      <c r="D256" s="38">
        <f>IF(OR('RPM &amp; Discounts'!$B$3='A0.Support'!$B$3,'RPM &amp; Discounts'!$B$3='A0.Support'!$B$4),D64,D64*D160)</f>
        <v>3262043.067131218</v>
      </c>
      <c r="E256" s="38">
        <f>IF(OR('RPM &amp; Discounts'!$B$3='A0.Support'!$B$3,'RPM &amp; Discounts'!$B$3='A0.Support'!$B$4),E64,E64*E160)</f>
        <v>3262043.067131218</v>
      </c>
      <c r="I256"/>
      <c r="J256"/>
      <c r="K256"/>
      <c r="L256"/>
      <c r="M256"/>
    </row>
    <row r="257" spans="2:13" ht="14.4" customHeight="1">
      <c r="B257" s="36" t="s">
        <v>154</v>
      </c>
      <c r="C257" s="3" t="s">
        <v>220</v>
      </c>
      <c r="D257" s="38">
        <f>IF(OR('RPM &amp; Discounts'!$B$3='A0.Support'!$B$3,'RPM &amp; Discounts'!$B$3='A0.Support'!$B$4),D65,D65*D161)</f>
        <v>2999399.3053781884</v>
      </c>
      <c r="E257" s="38">
        <f>IF(OR('RPM &amp; Discounts'!$B$3='A0.Support'!$B$3,'RPM &amp; Discounts'!$B$3='A0.Support'!$B$4),E65,E65*E161)</f>
        <v>2999399.3053781884</v>
      </c>
      <c r="I257"/>
      <c r="J257"/>
      <c r="K257"/>
      <c r="L257"/>
      <c r="M257"/>
    </row>
    <row r="258" spans="2:13" ht="14.4" customHeight="1">
      <c r="B258" s="36" t="s">
        <v>156</v>
      </c>
      <c r="C258" s="3" t="s">
        <v>220</v>
      </c>
      <c r="D258" s="38">
        <f>IF(OR('RPM &amp; Discounts'!$B$3='A0.Support'!$B$3,'RPM &amp; Discounts'!$B$3='A0.Support'!$B$4),D66,D66*D162)</f>
        <v>376289.25052863779</v>
      </c>
      <c r="E258" s="38">
        <f>IF(OR('RPM &amp; Discounts'!$B$3='A0.Support'!$B$3,'RPM &amp; Discounts'!$B$3='A0.Support'!$B$4),E66,E66*E162)</f>
        <v>376289.25052863779</v>
      </c>
      <c r="I258"/>
      <c r="J258"/>
      <c r="K258"/>
      <c r="L258"/>
      <c r="M258"/>
    </row>
    <row r="259" spans="2:13" ht="14.4" customHeight="1">
      <c r="B259" s="36" t="s">
        <v>158</v>
      </c>
      <c r="C259" s="3" t="s">
        <v>220</v>
      </c>
      <c r="D259" s="38">
        <f>IF(OR('RPM &amp; Discounts'!$B$3='A0.Support'!$B$3,'RPM &amp; Discounts'!$B$3='A0.Support'!$B$4),D67,D67*D163)</f>
        <v>1608636.5165532005</v>
      </c>
      <c r="E259" s="38">
        <f>IF(OR('RPM &amp; Discounts'!$B$3='A0.Support'!$B$3,'RPM &amp; Discounts'!$B$3='A0.Support'!$B$4),E67,E67*E163)</f>
        <v>1608636.5165532005</v>
      </c>
      <c r="I259"/>
      <c r="J259"/>
      <c r="K259"/>
      <c r="L259"/>
      <c r="M259"/>
    </row>
    <row r="260" spans="2:13" ht="14.4" customHeight="1">
      <c r="B260" s="36" t="s">
        <v>160</v>
      </c>
      <c r="C260" s="3" t="s">
        <v>220</v>
      </c>
      <c r="D260" s="38">
        <f>IF(OR('RPM &amp; Discounts'!$B$3='A0.Support'!$B$3,'RPM &amp; Discounts'!$B$3='A0.Support'!$B$4),D68,D68*D164)</f>
        <v>2160031.0780424182</v>
      </c>
      <c r="E260" s="38">
        <f>IF(OR('RPM &amp; Discounts'!$B$3='A0.Support'!$B$3,'RPM &amp; Discounts'!$B$3='A0.Support'!$B$4),E68,E68*E164)</f>
        <v>2160031.0780424182</v>
      </c>
      <c r="I260"/>
      <c r="J260"/>
      <c r="K260"/>
      <c r="L260"/>
      <c r="M260"/>
    </row>
    <row r="261" spans="2:13" ht="14.4" customHeight="1">
      <c r="B261" s="36" t="s">
        <v>162</v>
      </c>
      <c r="C261" s="3" t="s">
        <v>220</v>
      </c>
      <c r="D261" s="38">
        <f>IF(OR('RPM &amp; Discounts'!$B$3='A0.Support'!$B$3,'RPM &amp; Discounts'!$B$3='A0.Support'!$B$4),D69,D69*D165)</f>
        <v>22819.012774562772</v>
      </c>
      <c r="E261" s="38">
        <f>IF(OR('RPM &amp; Discounts'!$B$3='A0.Support'!$B$3,'RPM &amp; Discounts'!$B$3='A0.Support'!$B$4),E69,E69*E165)</f>
        <v>22819.012774562772</v>
      </c>
      <c r="I261"/>
      <c r="J261"/>
      <c r="K261"/>
      <c r="L261"/>
      <c r="M261"/>
    </row>
    <row r="262" spans="2:13" ht="14.4" customHeight="1">
      <c r="B262" s="36" t="s">
        <v>164</v>
      </c>
      <c r="C262" s="3" t="s">
        <v>220</v>
      </c>
      <c r="D262" s="38">
        <f>IF(OR('RPM &amp; Discounts'!$B$3='A0.Support'!$B$3,'RPM &amp; Discounts'!$B$3='A0.Support'!$B$4),D70,D70*D166)</f>
        <v>77343.805242243907</v>
      </c>
      <c r="E262" s="38">
        <f>IF(OR('RPM &amp; Discounts'!$B$3='A0.Support'!$B$3,'RPM &amp; Discounts'!$B$3='A0.Support'!$B$4),E70,E70*E166)</f>
        <v>77343.805242243907</v>
      </c>
      <c r="I262"/>
      <c r="J262"/>
      <c r="K262"/>
      <c r="L262"/>
      <c r="M262"/>
    </row>
    <row r="263" spans="2:13" ht="14.4" customHeight="1">
      <c r="B263" s="36" t="s">
        <v>166</v>
      </c>
      <c r="C263" s="3" t="s">
        <v>220</v>
      </c>
      <c r="D263" s="38">
        <f>IF(OR('RPM &amp; Discounts'!$B$3='A0.Support'!$B$3,'RPM &amp; Discounts'!$B$3='A0.Support'!$B$4),D71,D71*D167)</f>
        <v>69550.602909290785</v>
      </c>
      <c r="E263" s="38">
        <f>IF(OR('RPM &amp; Discounts'!$B$3='A0.Support'!$B$3,'RPM &amp; Discounts'!$B$3='A0.Support'!$B$4),E71,E71*E167)</f>
        <v>69550.602909290785</v>
      </c>
      <c r="I263"/>
      <c r="J263"/>
      <c r="K263"/>
      <c r="L263"/>
      <c r="M263"/>
    </row>
    <row r="264" spans="2:13" ht="14.4" customHeight="1">
      <c r="B264" s="36" t="s">
        <v>168</v>
      </c>
      <c r="C264" s="3" t="s">
        <v>220</v>
      </c>
      <c r="D264" s="38">
        <f>IF(OR('RPM &amp; Discounts'!$B$3='A0.Support'!$B$3,'RPM &amp; Discounts'!$B$3='A0.Support'!$B$4),D72,D72*D168)</f>
        <v>24319.472934456193</v>
      </c>
      <c r="E264" s="38">
        <f>IF(OR('RPM &amp; Discounts'!$B$3='A0.Support'!$B$3,'RPM &amp; Discounts'!$B$3='A0.Support'!$B$4),E72,E72*E168)</f>
        <v>24319.472934456193</v>
      </c>
      <c r="I264"/>
      <c r="J264"/>
      <c r="K264"/>
      <c r="L264"/>
      <c r="M264"/>
    </row>
    <row r="265" spans="2:13" ht="14.4" customHeight="1">
      <c r="B265" s="36" t="s">
        <v>170</v>
      </c>
      <c r="C265" s="3" t="s">
        <v>220</v>
      </c>
      <c r="D265" s="38">
        <f>IF(OR('RPM &amp; Discounts'!$B$3='A0.Support'!$B$3,'RPM &amp; Discounts'!$B$3='A0.Support'!$B$4),D73,D73*D169)</f>
        <v>85948.442185703927</v>
      </c>
      <c r="E265" s="38">
        <f>IF(OR('RPM &amp; Discounts'!$B$3='A0.Support'!$B$3,'RPM &amp; Discounts'!$B$3='A0.Support'!$B$4),E73,E73*E169)</f>
        <v>85948.442185703927</v>
      </c>
      <c r="I265"/>
      <c r="J265"/>
      <c r="K265"/>
      <c r="L265"/>
      <c r="M265"/>
    </row>
    <row r="266" spans="2:13" ht="14.4" customHeight="1">
      <c r="B266" s="36" t="s">
        <v>172</v>
      </c>
      <c r="C266" s="3" t="s">
        <v>220</v>
      </c>
      <c r="D266" s="38">
        <f>IF(OR('RPM &amp; Discounts'!$B$3='A0.Support'!$B$3,'RPM &amp; Discounts'!$B$3='A0.Support'!$B$4),D74,D74*D170)</f>
        <v>12437292.271001223</v>
      </c>
      <c r="E266" s="38">
        <f>IF(OR('RPM &amp; Discounts'!$B$3='A0.Support'!$B$3,'RPM &amp; Discounts'!$B$3='A0.Support'!$B$4),E74,E74*E170)</f>
        <v>12437292.271001223</v>
      </c>
      <c r="I266"/>
      <c r="J266"/>
      <c r="K266"/>
      <c r="L266"/>
      <c r="M266"/>
    </row>
    <row r="267" spans="2:13" ht="14.4" customHeight="1">
      <c r="B267" s="36" t="s">
        <v>174</v>
      </c>
      <c r="C267" s="3" t="s">
        <v>220</v>
      </c>
      <c r="D267" s="38">
        <f>IF(OR('RPM &amp; Discounts'!$B$3='A0.Support'!$B$3,'RPM &amp; Discounts'!$B$3='A0.Support'!$B$4),D75,D75*D171)</f>
        <v>196886.00687552243</v>
      </c>
      <c r="E267" s="38">
        <f>IF(OR('RPM &amp; Discounts'!$B$3='A0.Support'!$B$3,'RPM &amp; Discounts'!$B$3='A0.Support'!$B$4),E75,E75*E171)</f>
        <v>196886.00687552243</v>
      </c>
      <c r="I267"/>
      <c r="J267"/>
      <c r="K267"/>
      <c r="L267"/>
      <c r="M267"/>
    </row>
    <row r="268" spans="2:13" ht="14.4" customHeight="1">
      <c r="B268" s="36" t="s">
        <v>176</v>
      </c>
      <c r="C268" s="3" t="s">
        <v>220</v>
      </c>
      <c r="D268" s="38">
        <f>IF(OR('RPM &amp; Discounts'!$B$3='A0.Support'!$B$3,'RPM &amp; Discounts'!$B$3='A0.Support'!$B$4),D76,D76*D172)</f>
        <v>1063818.2673187389</v>
      </c>
      <c r="E268" s="38">
        <f>IF(OR('RPM &amp; Discounts'!$B$3='A0.Support'!$B$3,'RPM &amp; Discounts'!$B$3='A0.Support'!$B$4),E76,E76*E172)</f>
        <v>1063818.2673187389</v>
      </c>
      <c r="I268"/>
      <c r="J268"/>
      <c r="K268"/>
      <c r="L268"/>
      <c r="M268"/>
    </row>
    <row r="269" spans="2:13" ht="14.4" customHeight="1">
      <c r="B269" s="36" t="s">
        <v>178</v>
      </c>
      <c r="C269" s="3" t="s">
        <v>220</v>
      </c>
      <c r="D269" s="38">
        <f>IF(OR('RPM &amp; Discounts'!$B$3='A0.Support'!$B$3,'RPM &amp; Discounts'!$B$3='A0.Support'!$B$4),D77,D77*D173)</f>
        <v>211746.99057066091</v>
      </c>
      <c r="E269" s="38">
        <f>IF(OR('RPM &amp; Discounts'!$B$3='A0.Support'!$B$3,'RPM &amp; Discounts'!$B$3='A0.Support'!$B$4),E77,E77*E173)</f>
        <v>211746.99057066091</v>
      </c>
      <c r="I269"/>
      <c r="J269"/>
      <c r="K269"/>
      <c r="L269"/>
      <c r="M269"/>
    </row>
    <row r="270" spans="2:13" ht="14.4" customHeight="1">
      <c r="B270" s="36" t="s">
        <v>180</v>
      </c>
      <c r="C270" s="3" t="s">
        <v>220</v>
      </c>
      <c r="D270" s="38">
        <f>IF(OR('RPM &amp; Discounts'!$B$3='A0.Support'!$B$3,'RPM &amp; Discounts'!$B$3='A0.Support'!$B$4),D78,D78*D174)</f>
        <v>606618.32933371386</v>
      </c>
      <c r="E270" s="38">
        <f>IF(OR('RPM &amp; Discounts'!$B$3='A0.Support'!$B$3,'RPM &amp; Discounts'!$B$3='A0.Support'!$B$4),E78,E78*E174)</f>
        <v>606618.32933371386</v>
      </c>
      <c r="I270"/>
      <c r="J270"/>
      <c r="K270"/>
      <c r="L270"/>
      <c r="M270"/>
    </row>
    <row r="271" spans="2:13" ht="14.4" customHeight="1">
      <c r="B271" s="36" t="s">
        <v>182</v>
      </c>
      <c r="C271" s="3" t="s">
        <v>220</v>
      </c>
      <c r="D271" s="38">
        <f>IF(OR('RPM &amp; Discounts'!$B$3='A0.Support'!$B$3,'RPM &amp; Discounts'!$B$3='A0.Support'!$B$4),D79,D79*D175)</f>
        <v>184699.955733123</v>
      </c>
      <c r="E271" s="38">
        <f>IF(OR('RPM &amp; Discounts'!$B$3='A0.Support'!$B$3,'RPM &amp; Discounts'!$B$3='A0.Support'!$B$4),E79,E79*E175)</f>
        <v>184699.955733123</v>
      </c>
      <c r="I271"/>
      <c r="J271"/>
      <c r="K271"/>
      <c r="L271"/>
      <c r="M271"/>
    </row>
    <row r="272" spans="2:13" ht="14.4" customHeight="1">
      <c r="B272" s="36" t="s">
        <v>184</v>
      </c>
      <c r="C272" s="3" t="s">
        <v>220</v>
      </c>
      <c r="D272" s="38">
        <f>IF(OR('RPM &amp; Discounts'!$B$3='A0.Support'!$B$3,'RPM &amp; Discounts'!$B$3='A0.Support'!$B$4),D80,D80*D176)</f>
        <v>701376.03451906086</v>
      </c>
      <c r="E272" s="38">
        <f>IF(OR('RPM &amp; Discounts'!$B$3='A0.Support'!$B$3,'RPM &amp; Discounts'!$B$3='A0.Support'!$B$4),E80,E80*E176)</f>
        <v>701376.03451906086</v>
      </c>
      <c r="I272"/>
      <c r="J272"/>
      <c r="K272"/>
      <c r="L272"/>
      <c r="M272"/>
    </row>
    <row r="273" spans="2:13" ht="14.4" customHeight="1">
      <c r="B273" s="36" t="s">
        <v>186</v>
      </c>
      <c r="C273" s="3" t="s">
        <v>220</v>
      </c>
      <c r="D273" s="38">
        <f>IF(OR('RPM &amp; Discounts'!$B$3='A0.Support'!$B$3,'RPM &amp; Discounts'!$B$3='A0.Support'!$B$4),D81,D81*D177)</f>
        <v>108715.21836626988</v>
      </c>
      <c r="E273" s="38">
        <f>IF(OR('RPM &amp; Discounts'!$B$3='A0.Support'!$B$3,'RPM &amp; Discounts'!$B$3='A0.Support'!$B$4),E81,E81*E177)</f>
        <v>108715.21836626988</v>
      </c>
      <c r="I273"/>
      <c r="J273"/>
      <c r="K273"/>
      <c r="L273"/>
      <c r="M273"/>
    </row>
    <row r="274" spans="2:13" ht="14.4" customHeight="1">
      <c r="B274" s="36" t="s">
        <v>188</v>
      </c>
      <c r="C274" s="3" t="s">
        <v>220</v>
      </c>
      <c r="D274" s="38">
        <f>IF(OR('RPM &amp; Discounts'!$B$3='A0.Support'!$B$3,'RPM &amp; Discounts'!$B$3='A0.Support'!$B$4),D82,D82*D178)</f>
        <v>30262.531040935733</v>
      </c>
      <c r="E274" s="38">
        <f>IF(OR('RPM &amp; Discounts'!$B$3='A0.Support'!$B$3,'RPM &amp; Discounts'!$B$3='A0.Support'!$B$4),E82,E82*E178)</f>
        <v>30262.531040935733</v>
      </c>
      <c r="I274"/>
      <c r="J274"/>
      <c r="K274"/>
      <c r="L274"/>
      <c r="M274"/>
    </row>
    <row r="275" spans="2:13" ht="14.4" customHeight="1">
      <c r="B275" s="36" t="s">
        <v>190</v>
      </c>
      <c r="C275" s="3" t="s">
        <v>220</v>
      </c>
      <c r="D275" s="38">
        <f>IF(OR('RPM &amp; Discounts'!$B$3='A0.Support'!$B$3,'RPM &amp; Discounts'!$B$3='A0.Support'!$B$4),D83,D83*D179)</f>
        <v>168046.69391313146</v>
      </c>
      <c r="E275" s="38">
        <f>IF(OR('RPM &amp; Discounts'!$B$3='A0.Support'!$B$3,'RPM &amp; Discounts'!$B$3='A0.Support'!$B$4),E83,E83*E179)</f>
        <v>168046.69391313146</v>
      </c>
      <c r="I275"/>
      <c r="J275"/>
      <c r="K275"/>
      <c r="L275"/>
      <c r="M275"/>
    </row>
    <row r="276" spans="2:13" ht="14.4" customHeight="1">
      <c r="B276" s="36" t="s">
        <v>192</v>
      </c>
      <c r="C276" s="3" t="s">
        <v>220</v>
      </c>
      <c r="D276" s="38">
        <f>IF(OR('RPM &amp; Discounts'!$B$3='A0.Support'!$B$3,'RPM &amp; Discounts'!$B$3='A0.Support'!$B$4),D84,D84*D180)</f>
        <v>171219.90334996043</v>
      </c>
      <c r="E276" s="38">
        <f>IF(OR('RPM &amp; Discounts'!$B$3='A0.Support'!$B$3,'RPM &amp; Discounts'!$B$3='A0.Support'!$B$4),E84,E84*E180)</f>
        <v>171219.90334996043</v>
      </c>
      <c r="I276"/>
      <c r="J276"/>
      <c r="K276"/>
      <c r="L276"/>
      <c r="M276"/>
    </row>
    <row r="277" spans="2:13" ht="14.4" customHeight="1">
      <c r="B277" s="36" t="s">
        <v>194</v>
      </c>
      <c r="C277" s="3" t="s">
        <v>220</v>
      </c>
      <c r="D277" s="38">
        <f>IF(OR('RPM &amp; Discounts'!$B$3='A0.Support'!$B$3,'RPM &amp; Discounts'!$B$3='A0.Support'!$B$4),D85,D85*D181)</f>
        <v>118195.70196095466</v>
      </c>
      <c r="E277" s="38">
        <f>IF(OR('RPM &amp; Discounts'!$B$3='A0.Support'!$B$3,'RPM &amp; Discounts'!$B$3='A0.Support'!$B$4),E85,E85*E181)</f>
        <v>118195.70196095466</v>
      </c>
      <c r="I277"/>
      <c r="J277"/>
      <c r="K277"/>
      <c r="L277"/>
      <c r="M277"/>
    </row>
    <row r="278" spans="2:13" ht="14.4" customHeight="1">
      <c r="B278" s="36" t="s">
        <v>196</v>
      </c>
      <c r="C278" s="3" t="s">
        <v>220</v>
      </c>
      <c r="D278" s="38">
        <f>IF(OR('RPM &amp; Discounts'!$B$3='A0.Support'!$B$3,'RPM &amp; Discounts'!$B$3='A0.Support'!$B$4),D86,D86*D182)</f>
        <v>69887.849691585987</v>
      </c>
      <c r="E278" s="38">
        <f>IF(OR('RPM &amp; Discounts'!$B$3='A0.Support'!$B$3,'RPM &amp; Discounts'!$B$3='A0.Support'!$B$4),E86,E86*E182)</f>
        <v>69887.849691585987</v>
      </c>
      <c r="I278"/>
      <c r="J278"/>
      <c r="K278"/>
      <c r="L278"/>
      <c r="M278"/>
    </row>
    <row r="279" spans="2:13" ht="14.4" customHeight="1">
      <c r="B279" s="36" t="s">
        <v>198</v>
      </c>
      <c r="C279" s="3" t="s">
        <v>220</v>
      </c>
      <c r="D279" s="38">
        <f>IF(OR('RPM &amp; Discounts'!$B$3='A0.Support'!$B$3,'RPM &amp; Discounts'!$B$3='A0.Support'!$B$4),D87,D87*D183)</f>
        <v>84983.963519101118</v>
      </c>
      <c r="E279" s="38">
        <f>IF(OR('RPM &amp; Discounts'!$B$3='A0.Support'!$B$3,'RPM &amp; Discounts'!$B$3='A0.Support'!$B$4),E87,E87*E183)</f>
        <v>84983.963519101118</v>
      </c>
      <c r="I279"/>
      <c r="J279"/>
      <c r="K279"/>
      <c r="L279"/>
      <c r="M279"/>
    </row>
    <row r="280" spans="2:13" ht="14.4" customHeight="1">
      <c r="B280" s="36" t="s">
        <v>200</v>
      </c>
      <c r="C280" s="3" t="s">
        <v>220</v>
      </c>
      <c r="D280" s="38">
        <f>IF(OR('RPM &amp; Discounts'!$B$3='A0.Support'!$B$3,'RPM &amp; Discounts'!$B$3='A0.Support'!$B$4),D88,D88*D184)</f>
        <v>280263.20418378926</v>
      </c>
      <c r="E280" s="38">
        <f>IF(OR('RPM &amp; Discounts'!$B$3='A0.Support'!$B$3,'RPM &amp; Discounts'!$B$3='A0.Support'!$B$4),E88,E88*E184)</f>
        <v>280263.20418378926</v>
      </c>
      <c r="I280"/>
      <c r="J280"/>
      <c r="K280"/>
      <c r="L280"/>
      <c r="M280"/>
    </row>
    <row r="281" spans="2:13" ht="14.4" customHeight="1">
      <c r="B281" s="36" t="s">
        <v>202</v>
      </c>
      <c r="C281" s="3" t="s">
        <v>220</v>
      </c>
      <c r="D281" s="38">
        <f>IF(OR('RPM &amp; Discounts'!$B$3='A0.Support'!$B$3,'RPM &amp; Discounts'!$B$3='A0.Support'!$B$4),D89,D89*D185)</f>
        <v>350998.75298848143</v>
      </c>
      <c r="E281" s="38">
        <f>IF(OR('RPM &amp; Discounts'!$B$3='A0.Support'!$B$3,'RPM &amp; Discounts'!$B$3='A0.Support'!$B$4),E89,E89*E185)</f>
        <v>350998.75298848143</v>
      </c>
      <c r="I281"/>
      <c r="J281"/>
      <c r="K281"/>
      <c r="L281"/>
      <c r="M281"/>
    </row>
    <row r="282" spans="2:13" ht="14.4" customHeight="1">
      <c r="B282" s="36" t="s">
        <v>204</v>
      </c>
      <c r="C282" s="3" t="s">
        <v>220</v>
      </c>
      <c r="D282" s="38">
        <f>IF(OR('RPM &amp; Discounts'!$B$3='A0.Support'!$B$3,'RPM &amp; Discounts'!$B$3='A0.Support'!$B$4),D90,D90*D186)</f>
        <v>2529946.6785907536</v>
      </c>
      <c r="E282" s="38">
        <f>IF(OR('RPM &amp; Discounts'!$B$3='A0.Support'!$B$3,'RPM &amp; Discounts'!$B$3='A0.Support'!$B$4),E90,E90*E186)</f>
        <v>2529946.6785907536</v>
      </c>
      <c r="I282"/>
      <c r="J282"/>
      <c r="K282"/>
      <c r="L282"/>
      <c r="M282"/>
    </row>
    <row r="283" spans="2:13" ht="14.4" customHeight="1">
      <c r="B283" s="36" t="s">
        <v>206</v>
      </c>
      <c r="C283" s="3" t="s">
        <v>220</v>
      </c>
      <c r="D283" s="38">
        <f>IF(OR('RPM &amp; Discounts'!$B$3='A0.Support'!$B$3,'RPM &amp; Discounts'!$B$3='A0.Support'!$B$4),D91,D91*D187)</f>
        <v>5450044.2883426836</v>
      </c>
      <c r="E283" s="38">
        <f>IF(OR('RPM &amp; Discounts'!$B$3='A0.Support'!$B$3,'RPM &amp; Discounts'!$B$3='A0.Support'!$B$4),E91,E91*E187)</f>
        <v>5450044.2883426836</v>
      </c>
      <c r="I283"/>
      <c r="J283"/>
      <c r="K283"/>
      <c r="L283"/>
      <c r="M283"/>
    </row>
    <row r="284" spans="2:13" ht="14.4" customHeight="1">
      <c r="B284" s="36" t="s">
        <v>208</v>
      </c>
      <c r="C284" s="3" t="s">
        <v>220</v>
      </c>
      <c r="D284" s="38">
        <f>IF(OR('RPM &amp; Discounts'!$B$3='A0.Support'!$B$3,'RPM &amp; Discounts'!$B$3='A0.Support'!$B$4),D92,D92*D188)</f>
        <v>2298174.4820522768</v>
      </c>
      <c r="E284" s="38">
        <f>IF(OR('RPM &amp; Discounts'!$B$3='A0.Support'!$B$3,'RPM &amp; Discounts'!$B$3='A0.Support'!$B$4),E92,E92*E188)</f>
        <v>2298174.4820522768</v>
      </c>
      <c r="I284"/>
      <c r="J284"/>
      <c r="K284"/>
      <c r="L284"/>
      <c r="M284"/>
    </row>
    <row r="285" spans="2:13" ht="14.4" customHeight="1">
      <c r="B285" s="36" t="s">
        <v>209</v>
      </c>
      <c r="C285" s="3" t="s">
        <v>220</v>
      </c>
      <c r="D285" s="38">
        <f>IF(OR('RPM &amp; Discounts'!$B$3='A0.Support'!$B$3,'RPM &amp; Discounts'!$B$3='A0.Support'!$B$4),D93,D93*D189)</f>
        <v>56750.673598342335</v>
      </c>
      <c r="E285" s="38">
        <f>IF(OR('RPM &amp; Discounts'!$B$3='A0.Support'!$B$3,'RPM &amp; Discounts'!$B$3='A0.Support'!$B$4),E93,E93*E189)</f>
        <v>56750.673598342335</v>
      </c>
      <c r="I285"/>
      <c r="J285"/>
      <c r="K285"/>
      <c r="L285"/>
      <c r="M285"/>
    </row>
    <row r="286" spans="2:13" ht="14.4" customHeight="1">
      <c r="B286" s="36" t="s">
        <v>211</v>
      </c>
      <c r="C286" s="3" t="s">
        <v>220</v>
      </c>
      <c r="D286" s="38">
        <f>IF(OR('RPM &amp; Discounts'!$B$3='A0.Support'!$B$3,'RPM &amp; Discounts'!$B$3='A0.Support'!$B$4),D94,D94*D190)</f>
        <v>4462508.4677009443</v>
      </c>
      <c r="E286" s="38">
        <f>IF(OR('RPM &amp; Discounts'!$B$3='A0.Support'!$B$3,'RPM &amp; Discounts'!$B$3='A0.Support'!$B$4),E94,E94*E190)</f>
        <v>4462508.4677009443</v>
      </c>
      <c r="I286"/>
      <c r="J286"/>
      <c r="K286"/>
      <c r="L286"/>
      <c r="M286"/>
    </row>
    <row r="287" spans="2:13" ht="14.4" customHeight="1">
      <c r="B287" s="36" t="s">
        <v>212</v>
      </c>
      <c r="C287" s="3" t="s">
        <v>220</v>
      </c>
      <c r="D287" s="38">
        <f>IF(OR('RPM &amp; Discounts'!$B$3='A0.Support'!$B$3,'RPM &amp; Discounts'!$B$3='A0.Support'!$B$4),D95,D95*D191)</f>
        <v>16643.181073781645</v>
      </c>
      <c r="E287" s="38">
        <f>IF(OR('RPM &amp; Discounts'!$B$3='A0.Support'!$B$3,'RPM &amp; Discounts'!$B$3='A0.Support'!$B$4),E95,E95*E191)</f>
        <v>16643.181073781645</v>
      </c>
      <c r="I287"/>
      <c r="J287"/>
      <c r="K287"/>
      <c r="L287"/>
      <c r="M287"/>
    </row>
    <row r="290" spans="2:19" ht="28.95" customHeight="1">
      <c r="B290" s="32" t="s">
        <v>607</v>
      </c>
      <c r="C290" s="5"/>
      <c r="D290" s="5"/>
      <c r="E290" s="5"/>
    </row>
    <row r="291" spans="2:19" ht="14.4" customHeight="1">
      <c r="B291" s="37"/>
    </row>
    <row r="292" spans="2:19" ht="14.4" customHeight="1">
      <c r="B292" s="9" t="s">
        <v>1</v>
      </c>
      <c r="C292" s="9" t="s">
        <v>214</v>
      </c>
      <c r="D292" s="6"/>
      <c r="E292" s="6"/>
    </row>
    <row r="293" spans="2:19" ht="14.4" customHeight="1">
      <c r="B293" s="25"/>
      <c r="C293" s="25"/>
      <c r="D293" s="23" t="str">
        <f>'Input data'!D$5</f>
        <v>2025-26</v>
      </c>
      <c r="E293" s="23" t="str">
        <f>'Input data'!E$5</f>
        <v>2026-27</v>
      </c>
    </row>
    <row r="294" spans="2:19" ht="14.4" customHeight="1">
      <c r="B294" s="24"/>
      <c r="C294" s="24"/>
      <c r="D294" s="8"/>
      <c r="E294" s="8"/>
    </row>
    <row r="295" spans="2:19" ht="14.4" customHeight="1">
      <c r="B295" s="36" t="s">
        <v>0</v>
      </c>
      <c r="C295" s="3" t="s">
        <v>216</v>
      </c>
      <c r="D295" s="55">
        <f>SUMPRODUCT('Entry Tariff_1'!D$31:D$35,'Distance Matrix_Entry'!$C$5:$C$9)/SUMIFS('Entry Tariff_1'!D$31:D$35,'Distance Matrix_Entry'!$C$5:$C$9,"&gt;0")</f>
        <v>480.41674839268541</v>
      </c>
      <c r="E295" s="55">
        <f>SUMPRODUCT('Entry Tariff_1'!E$31:E$35,'Distance Matrix_Entry'!$C$5:$C$9)/SUMIFS('Entry Tariff_1'!E$31:E$35,'Distance Matrix_Entry'!$C$5:$C$9,"&gt;0")</f>
        <v>480.41674839268541</v>
      </c>
      <c r="G295"/>
      <c r="I295"/>
      <c r="J295"/>
      <c r="K295"/>
      <c r="L295"/>
      <c r="M295"/>
      <c r="N295"/>
      <c r="O295"/>
      <c r="P295"/>
      <c r="Q295"/>
      <c r="R295"/>
      <c r="S295"/>
    </row>
    <row r="296" spans="2:19" ht="14.4" customHeight="1">
      <c r="B296" s="36" t="s">
        <v>215</v>
      </c>
      <c r="C296" s="3" t="s">
        <v>216</v>
      </c>
      <c r="D296" s="55">
        <f>SUMPRODUCT('Entry Tariff_1'!D$31:D$35,'Distance Matrix_Entry'!$D$5:$D$9)/SUMIFS('Entry Tariff_1'!D$31:D$35,'Distance Matrix_Entry'!$D$5:$D$9,"&gt;0")</f>
        <v>547.20989249715717</v>
      </c>
      <c r="E296" s="55">
        <f>SUMPRODUCT('Entry Tariff_1'!E$31:E$35,'Distance Matrix_Entry'!$D$5:$D$9)/SUMIFS('Entry Tariff_1'!E$31:E$35,'Distance Matrix_Entry'!$D$5:$D$9,"&gt;0")</f>
        <v>547.20989249715717</v>
      </c>
      <c r="G296"/>
      <c r="H296"/>
      <c r="I296"/>
    </row>
    <row r="297" spans="2:19" ht="14.4" customHeight="1">
      <c r="B297" s="36" t="s">
        <v>217</v>
      </c>
      <c r="C297" s="3" t="s">
        <v>14</v>
      </c>
      <c r="D297" s="55">
        <f>SUMPRODUCT('Entry Tariff_1'!D$31:D$35,'Distance Matrix_Entry'!$E$5:$E$9)/SUMIFS('Entry Tariff_1'!D$31:D$35,'Distance Matrix_Entry'!$E$5:$E$9,"&gt;0")</f>
        <v>458.52618919940386</v>
      </c>
      <c r="E297" s="55">
        <f>SUMPRODUCT('Entry Tariff_1'!E$31:E$35,'Distance Matrix_Entry'!$E$5:$E$9)/SUMIFS('Entry Tariff_1'!E$31:E$35,'Distance Matrix_Entry'!$E$5:$E$9,"&gt;0")</f>
        <v>458.52618919940386</v>
      </c>
      <c r="G297"/>
      <c r="H297"/>
      <c r="I297"/>
    </row>
    <row r="298" spans="2:19" ht="14.4" customHeight="1">
      <c r="B298" s="36" t="s">
        <v>218</v>
      </c>
      <c r="C298" s="3" t="s">
        <v>15</v>
      </c>
      <c r="D298" s="55">
        <f>SUMPRODUCT('Entry Tariff_1'!D$31:D$35,'Distance Matrix_Entry'!$F$5:$F$9)/SUMIFS('Entry Tariff_1'!D$31:D$35,'Distance Matrix_Entry'!$F$5:$F$9,"&gt;0")</f>
        <v>279.04192428634616</v>
      </c>
      <c r="E298" s="55">
        <f>SUMPRODUCT('Entry Tariff_1'!E$31:E$35,'Distance Matrix_Entry'!$F$5:$F$9)/SUMIFS('Entry Tariff_1'!E$31:E$35,'Distance Matrix_Entry'!$F$5:$F$9,"&gt;0")</f>
        <v>279.04192428634616</v>
      </c>
      <c r="G298"/>
      <c r="H298"/>
      <c r="I298"/>
    </row>
    <row r="299" spans="2:19" ht="14.4" customHeight="1">
      <c r="B299" s="36" t="s">
        <v>54</v>
      </c>
      <c r="C299" s="3" t="s">
        <v>220</v>
      </c>
      <c r="D299" s="55">
        <f>SUMPRODUCT('Entry Tariff_1'!D$31:D$35,'Distance Matrix_Entry'!$G$5:$G$9)/SUMIFS('Entry Tariff_1'!D$31:D$35,'Distance Matrix_Entry'!$G$5:$G$9,"&gt;0")</f>
        <v>251.37730460355229</v>
      </c>
      <c r="E299" s="55">
        <f>SUMPRODUCT('Entry Tariff_1'!E$31:E$35,'Distance Matrix_Entry'!$G$5:$G$9)/SUMIFS('Entry Tariff_1'!E$31:E$35,'Distance Matrix_Entry'!$G$5:$G$9,"&gt;0")</f>
        <v>251.37730460355229</v>
      </c>
      <c r="G299"/>
      <c r="H299"/>
      <c r="I299"/>
    </row>
    <row r="300" spans="2:19" ht="14.4" customHeight="1">
      <c r="B300" s="36" t="s">
        <v>56</v>
      </c>
      <c r="C300" s="3" t="s">
        <v>220</v>
      </c>
      <c r="D300" s="55">
        <f>SUMPRODUCT('Entry Tariff_1'!D$31:D$35,'Distance Matrix_Entry'!$H$5:$H$9)/SUMIFS('Entry Tariff_1'!D$31:D$35,'Distance Matrix_Entry'!$H$5:$H$9,"&gt;0")</f>
        <v>317.45277095884796</v>
      </c>
      <c r="E300" s="55">
        <f>SUMPRODUCT('Entry Tariff_1'!E$31:E$35,'Distance Matrix_Entry'!$H$5:$H$9)/SUMIFS('Entry Tariff_1'!E$31:E$35,'Distance Matrix_Entry'!$H$5:$H$9,"&gt;0")</f>
        <v>317.45277095884796</v>
      </c>
      <c r="G300"/>
      <c r="H300"/>
      <c r="I300"/>
    </row>
    <row r="301" spans="2:19" ht="14.4" customHeight="1">
      <c r="B301" s="36" t="s">
        <v>58</v>
      </c>
      <c r="C301" s="3" t="s">
        <v>220</v>
      </c>
      <c r="D301" s="55">
        <f>SUMPRODUCT('Entry Tariff_1'!D$31:D$35,'Distance Matrix_Entry'!$I$5:$I$9)/SUMIFS('Entry Tariff_1'!D$31:D$35,'Distance Matrix_Entry'!$I$5:$I$9,"&gt;0")</f>
        <v>296.08162810170506</v>
      </c>
      <c r="E301" s="55">
        <f>SUMPRODUCT('Entry Tariff_1'!E$31:E$35,'Distance Matrix_Entry'!$I$5:$I$9)/SUMIFS('Entry Tariff_1'!E$31:E$35,'Distance Matrix_Entry'!$I$5:$I$9,"&gt;0")</f>
        <v>296.08162810170506</v>
      </c>
      <c r="G301"/>
      <c r="H301"/>
      <c r="I301"/>
    </row>
    <row r="302" spans="2:19" ht="14.4" customHeight="1">
      <c r="B302" s="36" t="s">
        <v>60</v>
      </c>
      <c r="C302" s="3" t="s">
        <v>220</v>
      </c>
      <c r="D302" s="55">
        <f>SUMPRODUCT('Entry Tariff_1'!D$31:D$35,'Distance Matrix_Entry'!$J$5:$J$9)/SUMIFS('Entry Tariff_1'!D$31:D$35,'Distance Matrix_Entry'!$J$5:$J$9,"&gt;0")</f>
        <v>317.45019953027645</v>
      </c>
      <c r="E302" s="55">
        <f>SUMPRODUCT('Entry Tariff_1'!E$31:E$35,'Distance Matrix_Entry'!$J$5:$J$9)/SUMIFS('Entry Tariff_1'!E$31:E$35,'Distance Matrix_Entry'!$J$5:$J$9,"&gt;0")</f>
        <v>317.45019953027645</v>
      </c>
      <c r="G302"/>
      <c r="H302"/>
      <c r="I302"/>
    </row>
    <row r="303" spans="2:19" ht="14.4" customHeight="1">
      <c r="B303" s="36" t="s">
        <v>61</v>
      </c>
      <c r="C303" s="3" t="s">
        <v>220</v>
      </c>
      <c r="D303" s="55">
        <f>SUMPRODUCT('Entry Tariff_1'!D$31:D$35,'Distance Matrix_Entry'!$K$5:$K$9)/SUMIFS('Entry Tariff_1'!D$31:D$35,'Distance Matrix_Entry'!$K$5:$K$9,"&gt;0")</f>
        <v>289.3255359774742</v>
      </c>
      <c r="E303" s="55">
        <f>SUMPRODUCT('Entry Tariff_1'!E$31:E$35,'Distance Matrix_Entry'!$K$5:$K$9)/SUMIFS('Entry Tariff_1'!E$31:E$35,'Distance Matrix_Entry'!$K$5:$K$9,"&gt;0")</f>
        <v>289.3255359774742</v>
      </c>
      <c r="G303"/>
      <c r="H303"/>
      <c r="I303"/>
    </row>
    <row r="304" spans="2:19" ht="14.4" customHeight="1">
      <c r="B304" s="36" t="s">
        <v>63</v>
      </c>
      <c r="C304" s="3" t="s">
        <v>220</v>
      </c>
      <c r="D304" s="55">
        <f>SUMPRODUCT('Entry Tariff_1'!D$31:D$35,'Distance Matrix_Entry'!$L$5:$L$9)/SUMIFS('Entry Tariff_1'!D$31:D$35,'Distance Matrix_Entry'!$L$5:$L$9,"&gt;0")</f>
        <v>318.84082704608022</v>
      </c>
      <c r="E304" s="55">
        <f>SUMPRODUCT('Entry Tariff_1'!E$31:E$35,'Distance Matrix_Entry'!$L$5:$L$9)/SUMIFS('Entry Tariff_1'!E$31:E$35,'Distance Matrix_Entry'!$L$5:$L$9,"&gt;0")</f>
        <v>318.84082704608022</v>
      </c>
      <c r="G304"/>
      <c r="H304"/>
      <c r="I304"/>
    </row>
    <row r="305" spans="2:9" ht="14.4" customHeight="1">
      <c r="B305" s="36" t="s">
        <v>65</v>
      </c>
      <c r="C305" s="3" t="s">
        <v>220</v>
      </c>
      <c r="D305" s="55">
        <f>SUMPRODUCT('Entry Tariff_1'!D$31:D$35,'Distance Matrix_Entry'!$M$5:$M$9)/SUMIFS('Entry Tariff_1'!D$31:D$35,'Distance Matrix_Entry'!$M$5:$M$9,"&gt;0")</f>
        <v>333.54734238741935</v>
      </c>
      <c r="E305" s="55">
        <f>SUMPRODUCT('Entry Tariff_1'!E$31:E$35,'Distance Matrix_Entry'!$M$5:$M$9)/SUMIFS('Entry Tariff_1'!E$31:E$35,'Distance Matrix_Entry'!$M$5:$M$9,"&gt;0")</f>
        <v>333.54734238741935</v>
      </c>
      <c r="G305"/>
      <c r="H305"/>
      <c r="I305"/>
    </row>
    <row r="306" spans="2:9" ht="14.4" customHeight="1">
      <c r="B306" s="36" t="s">
        <v>67</v>
      </c>
      <c r="C306" s="3" t="s">
        <v>220</v>
      </c>
      <c r="D306" s="55">
        <f>SUMPRODUCT('Entry Tariff_1'!D$31:D$35,'Distance Matrix_Entry'!$N$5:$N$9)/SUMIFS('Entry Tariff_1'!D$31:D$35,'Distance Matrix_Entry'!$N$5:$N$9,"&gt;0")</f>
        <v>358.62334204573472</v>
      </c>
      <c r="E306" s="55">
        <f>SUMPRODUCT('Entry Tariff_1'!E$31:E$35,'Distance Matrix_Entry'!$N$5:$N$9)/SUMIFS('Entry Tariff_1'!E$31:E$35,'Distance Matrix_Entry'!$N$5:$N$9,"&gt;0")</f>
        <v>358.62334204573472</v>
      </c>
      <c r="G306"/>
      <c r="H306"/>
      <c r="I306"/>
    </row>
    <row r="307" spans="2:9" ht="14.4" customHeight="1">
      <c r="B307" s="36" t="s">
        <v>69</v>
      </c>
      <c r="C307" s="3" t="s">
        <v>220</v>
      </c>
      <c r="D307" s="55">
        <f>SUMPRODUCT('Entry Tariff_1'!D$31:D$35,'Distance Matrix_Entry'!$O$5:$O$9)/SUMIFS('Entry Tariff_1'!D$31:D$35,'Distance Matrix_Entry'!$O$5:$O$9,"&gt;0")</f>
        <v>388.30538617122545</v>
      </c>
      <c r="E307" s="55">
        <f>SUMPRODUCT('Entry Tariff_1'!E$31:E$35,'Distance Matrix_Entry'!$O$5:$O$9)/SUMIFS('Entry Tariff_1'!E$31:E$35,'Distance Matrix_Entry'!$O$5:$O$9,"&gt;0")</f>
        <v>388.30538617122545</v>
      </c>
      <c r="G307"/>
      <c r="H307"/>
      <c r="I307"/>
    </row>
    <row r="308" spans="2:9" ht="14.4" customHeight="1">
      <c r="B308" s="36" t="s">
        <v>71</v>
      </c>
      <c r="C308" s="3" t="s">
        <v>220</v>
      </c>
      <c r="D308" s="55">
        <f>SUMPRODUCT('Entry Tariff_1'!D$31:D$35,'Distance Matrix_Entry'!$P$5:$P$9)/SUMIFS('Entry Tariff_1'!D$31:D$35,'Distance Matrix_Entry'!$P$5:$P$9,"&gt;0")</f>
        <v>482.22308652059144</v>
      </c>
      <c r="E308" s="55">
        <f>SUMPRODUCT('Entry Tariff_1'!E$31:E$35,'Distance Matrix_Entry'!$P$5:$P$9)/SUMIFS('Entry Tariff_1'!E$31:E$35,'Distance Matrix_Entry'!$P$5:$P$9,"&gt;0")</f>
        <v>482.22308652059144</v>
      </c>
      <c r="G308"/>
      <c r="H308"/>
      <c r="I308"/>
    </row>
    <row r="309" spans="2:9" ht="14.4" customHeight="1">
      <c r="B309" s="36" t="s">
        <v>73</v>
      </c>
      <c r="C309" s="3" t="s">
        <v>220</v>
      </c>
      <c r="D309" s="55">
        <f>SUMPRODUCT('Entry Tariff_1'!D$31:D$35,'Distance Matrix_Entry'!$Q$5:$Q$9)/SUMIFS('Entry Tariff_1'!D$31:D$35,'Distance Matrix_Entry'!$Q$5:$Q$9,"&gt;0")</f>
        <v>397.6462293777343</v>
      </c>
      <c r="E309" s="55">
        <f>SUMPRODUCT('Entry Tariff_1'!E$31:E$35,'Distance Matrix_Entry'!$Q$5:$Q$9)/SUMIFS('Entry Tariff_1'!E$31:E$35,'Distance Matrix_Entry'!$Q$5:$Q$9,"&gt;0")</f>
        <v>397.6462293777343</v>
      </c>
      <c r="G309"/>
      <c r="H309"/>
      <c r="I309"/>
    </row>
    <row r="310" spans="2:9" ht="14.4" customHeight="1">
      <c r="B310" s="36" t="s">
        <v>75</v>
      </c>
      <c r="C310" s="3" t="s">
        <v>220</v>
      </c>
      <c r="D310" s="55">
        <f>SUMPRODUCT('Entry Tariff_1'!D$31:D$35,'Distance Matrix_Entry'!$R$5:$R$9)/SUMIFS('Entry Tariff_1'!D$31:D$35,'Distance Matrix_Entry'!$R$5:$R$9,"&gt;0")</f>
        <v>451.08308652059139</v>
      </c>
      <c r="E310" s="55">
        <f>SUMPRODUCT('Entry Tariff_1'!E$31:E$35,'Distance Matrix_Entry'!$R$5:$R$9)/SUMIFS('Entry Tariff_1'!E$31:E$35,'Distance Matrix_Entry'!$R$5:$R$9,"&gt;0")</f>
        <v>451.08308652059139</v>
      </c>
      <c r="G310"/>
      <c r="H310"/>
      <c r="I310"/>
    </row>
    <row r="311" spans="2:9" ht="14.4" customHeight="1">
      <c r="B311" s="36" t="s">
        <v>77</v>
      </c>
      <c r="C311" s="3" t="s">
        <v>220</v>
      </c>
      <c r="D311" s="55">
        <f>SUMPRODUCT('Entry Tariff_1'!D$31:D$35,'Distance Matrix_Entry'!$S$5:$S$9)/SUMIFS('Entry Tariff_1'!D$31:D$35,'Distance Matrix_Entry'!$S$5:$S$9,"&gt;0")</f>
        <v>468.49422937773431</v>
      </c>
      <c r="E311" s="55">
        <f>SUMPRODUCT('Entry Tariff_1'!E$31:E$35,'Distance Matrix_Entry'!$S$5:$S$9)/SUMIFS('Entry Tariff_1'!E$31:E$35,'Distance Matrix_Entry'!$S$5:$S$9,"&gt;0")</f>
        <v>468.49422937773431</v>
      </c>
      <c r="G311"/>
      <c r="H311"/>
      <c r="I311"/>
    </row>
    <row r="312" spans="2:9" ht="14.4" customHeight="1">
      <c r="B312" s="36" t="s">
        <v>79</v>
      </c>
      <c r="C312" s="3" t="s">
        <v>220</v>
      </c>
      <c r="D312" s="55">
        <f>SUMPRODUCT('Entry Tariff_1'!D$31:D$35,'Distance Matrix_Entry'!$T$5:$T$9)/SUMIFS('Entry Tariff_1'!D$31:D$35,'Distance Matrix_Entry'!$T$5:$T$9,"&gt;0")</f>
        <v>403.07494263816312</v>
      </c>
      <c r="E312" s="55">
        <f>SUMPRODUCT('Entry Tariff_1'!E$31:E$35,'Distance Matrix_Entry'!$T$5:$T$9)/SUMIFS('Entry Tariff_1'!E$31:E$35,'Distance Matrix_Entry'!$T$5:$T$9,"&gt;0")</f>
        <v>403.07494263816312</v>
      </c>
      <c r="G312"/>
      <c r="H312"/>
      <c r="I312"/>
    </row>
    <row r="313" spans="2:9" ht="14.4" customHeight="1">
      <c r="B313" s="36" t="s">
        <v>81</v>
      </c>
      <c r="C313" s="3" t="s">
        <v>220</v>
      </c>
      <c r="D313" s="55">
        <f>SUMPRODUCT('Entry Tariff_1'!D$31:D$35,'Distance Matrix_Entry'!$U$5:$U$9)/SUMIFS('Entry Tariff_1'!D$31:D$35,'Distance Matrix_Entry'!$U$5:$U$9,"&gt;0")</f>
        <v>397.64880080630576</v>
      </c>
      <c r="E313" s="55">
        <f>SUMPRODUCT('Entry Tariff_1'!E$31:E$35,'Distance Matrix_Entry'!$U$5:$U$9)/SUMIFS('Entry Tariff_1'!E$31:E$35,'Distance Matrix_Entry'!$U$5:$U$9,"&gt;0")</f>
        <v>397.64880080630576</v>
      </c>
      <c r="G313"/>
      <c r="H313"/>
      <c r="I313"/>
    </row>
    <row r="314" spans="2:9" ht="14.4" customHeight="1">
      <c r="B314" s="36" t="s">
        <v>82</v>
      </c>
      <c r="C314" s="3" t="s">
        <v>220</v>
      </c>
      <c r="D314" s="55">
        <f>SUMPRODUCT('Entry Tariff_1'!D$31:D$35,'Distance Matrix_Entry'!$V$5:$V$9)/SUMIFS('Entry Tariff_1'!D$31:D$35,'Distance Matrix_Entry'!$V$5:$V$9,"&gt;0")</f>
        <v>468.49165794916297</v>
      </c>
      <c r="E314" s="55">
        <f>SUMPRODUCT('Entry Tariff_1'!E$31:E$35,'Distance Matrix_Entry'!$V$5:$V$9)/SUMIFS('Entry Tariff_1'!E$31:E$35,'Distance Matrix_Entry'!$V$5:$V$9,"&gt;0")</f>
        <v>468.49165794916297</v>
      </c>
      <c r="G314"/>
      <c r="H314"/>
      <c r="I314"/>
    </row>
    <row r="315" spans="2:9" ht="14.4" customHeight="1">
      <c r="B315" s="36" t="s">
        <v>83</v>
      </c>
      <c r="C315" s="3" t="s">
        <v>220</v>
      </c>
      <c r="D315" s="55">
        <f>SUMPRODUCT('Entry Tariff_1'!D$31:D$35,'Distance Matrix_Entry'!$W$5:$W$9)/SUMIFS('Entry Tariff_1'!D$31:D$35,'Distance Matrix_Entry'!$W$5:$W$9,"&gt;0")</f>
        <v>464.95939543685444</v>
      </c>
      <c r="E315" s="55">
        <f>SUMPRODUCT('Entry Tariff_1'!E$31:E$35,'Distance Matrix_Entry'!$W$5:$W$9)/SUMIFS('Entry Tariff_1'!E$31:E$35,'Distance Matrix_Entry'!$W$5:$W$9,"&gt;0")</f>
        <v>464.95939543685444</v>
      </c>
      <c r="G315"/>
      <c r="H315"/>
      <c r="I315"/>
    </row>
    <row r="316" spans="2:9" ht="14.4" customHeight="1">
      <c r="B316" s="36" t="s">
        <v>85</v>
      </c>
      <c r="C316" s="3" t="s">
        <v>220</v>
      </c>
      <c r="D316" s="55">
        <f>SUMPRODUCT('Entry Tariff_1'!D$31:D$35,'Distance Matrix_Entry'!$X$5:$X$9)/SUMIFS('Entry Tariff_1'!D$31:D$35,'Distance Matrix_Entry'!$X$5:$X$9,"&gt;0")</f>
        <v>435.56796686542577</v>
      </c>
      <c r="E316" s="55">
        <f>SUMPRODUCT('Entry Tariff_1'!E$31:E$35,'Distance Matrix_Entry'!$X$5:$X$9)/SUMIFS('Entry Tariff_1'!E$31:E$35,'Distance Matrix_Entry'!$X$5:$X$9,"&gt;0")</f>
        <v>435.56796686542577</v>
      </c>
      <c r="G316"/>
      <c r="H316"/>
      <c r="I316"/>
    </row>
    <row r="317" spans="2:9" ht="14.4" customHeight="1">
      <c r="B317" s="36" t="s">
        <v>87</v>
      </c>
      <c r="C317" s="3" t="s">
        <v>220</v>
      </c>
      <c r="D317" s="55">
        <f>SUMPRODUCT('Entry Tariff_1'!D$31:D$35,'Distance Matrix_Entry'!$Y$5:$Y$9)/SUMIFS('Entry Tariff_1'!D$31:D$35,'Distance Matrix_Entry'!$Y$5:$Y$9,"&gt;0")</f>
        <v>496.59053829399721</v>
      </c>
      <c r="E317" s="55">
        <f>SUMPRODUCT('Entry Tariff_1'!E$31:E$35,'Distance Matrix_Entry'!$Y$5:$Y$9)/SUMIFS('Entry Tariff_1'!E$31:E$35,'Distance Matrix_Entry'!$Y$5:$Y$9,"&gt;0")</f>
        <v>496.59053829399721</v>
      </c>
      <c r="G317"/>
      <c r="H317"/>
      <c r="I317"/>
    </row>
    <row r="318" spans="2:9" ht="14.4" customHeight="1">
      <c r="B318" s="36" t="s">
        <v>89</v>
      </c>
      <c r="C318" s="3" t="s">
        <v>220</v>
      </c>
      <c r="D318" s="55">
        <f>SUMPRODUCT('Entry Tariff_1'!D$31:D$35,'Distance Matrix_Entry'!$Z$5:$Z$9)/SUMIFS('Entry Tariff_1'!D$31:D$35,'Distance Matrix_Entry'!$Z$5:$Z$9,"&gt;0")</f>
        <v>496.58796686542576</v>
      </c>
      <c r="E318" s="55">
        <f>SUMPRODUCT('Entry Tariff_1'!E$31:E$35,'Distance Matrix_Entry'!$Z$5:$Z$9)/SUMIFS('Entry Tariff_1'!E$31:E$35,'Distance Matrix_Entry'!$Z$5:$Z$9,"&gt;0")</f>
        <v>496.58796686542576</v>
      </c>
      <c r="G318"/>
      <c r="H318"/>
      <c r="I318"/>
    </row>
    <row r="319" spans="2:9" ht="14.4" customHeight="1">
      <c r="B319" s="36" t="s">
        <v>90</v>
      </c>
      <c r="C319" s="3" t="s">
        <v>220</v>
      </c>
      <c r="D319" s="55">
        <f>SUMPRODUCT('Entry Tariff_1'!D$31:D$35,'Distance Matrix_Entry'!$AA$5:$AA$9)/SUMIFS('Entry Tariff_1'!D$31:D$35,'Distance Matrix_Entry'!$AA$5:$AA$9,"&gt;0")</f>
        <v>494.16975542779107</v>
      </c>
      <c r="E319" s="55">
        <f>SUMPRODUCT('Entry Tariff_1'!E$31:E$35,'Distance Matrix_Entry'!$AA$5:$AA$9)/SUMIFS('Entry Tariff_1'!E$31:E$35,'Distance Matrix_Entry'!$AA$5:$AA$9,"&gt;0")</f>
        <v>494.16975542779107</v>
      </c>
      <c r="G319"/>
      <c r="H319"/>
      <c r="I319"/>
    </row>
    <row r="320" spans="2:9" ht="14.4" customHeight="1">
      <c r="B320" s="36" t="s">
        <v>92</v>
      </c>
      <c r="C320" s="3" t="s">
        <v>220</v>
      </c>
      <c r="D320" s="55">
        <f>SUMPRODUCT('Entry Tariff_1'!D$31:D$35,'Distance Matrix_Entry'!$AB$5:$AB$9)/SUMIFS('Entry Tariff_1'!D$31:D$35,'Distance Matrix_Entry'!$AB$5:$AB$9,"&gt;0")</f>
        <v>575.02116615163993</v>
      </c>
      <c r="E320" s="55">
        <f>SUMPRODUCT('Entry Tariff_1'!E$31:E$35,'Distance Matrix_Entry'!$AB$5:$AB$9)/SUMIFS('Entry Tariff_1'!E$31:E$35,'Distance Matrix_Entry'!$AB$5:$AB$9,"&gt;0")</f>
        <v>575.02116615163993</v>
      </c>
      <c r="G320"/>
      <c r="H320"/>
      <c r="I320"/>
    </row>
    <row r="321" spans="2:9" ht="14.4" customHeight="1">
      <c r="B321" s="36" t="s">
        <v>94</v>
      </c>
      <c r="C321" s="3" t="s">
        <v>220</v>
      </c>
      <c r="D321" s="55">
        <f>SUMPRODUCT('Entry Tariff_1'!D$31:D$35,'Distance Matrix_Entry'!$AC$5:$AC$9)/SUMIFS('Entry Tariff_1'!D$31:D$35,'Distance Matrix_Entry'!$AC$5:$AC$9,"&gt;0")</f>
        <v>605.22729131305425</v>
      </c>
      <c r="E321" s="55">
        <f>SUMPRODUCT('Entry Tariff_1'!E$31:E$35,'Distance Matrix_Entry'!$AC$5:$AC$9)/SUMIFS('Entry Tariff_1'!E$31:E$35,'Distance Matrix_Entry'!$AC$5:$AC$9,"&gt;0")</f>
        <v>605.22729131305425</v>
      </c>
      <c r="G321"/>
      <c r="H321"/>
      <c r="I321"/>
    </row>
    <row r="322" spans="2:9" ht="14.4" customHeight="1">
      <c r="B322" s="36" t="s">
        <v>96</v>
      </c>
      <c r="C322" s="3" t="s">
        <v>220</v>
      </c>
      <c r="D322" s="55">
        <f>SUMPRODUCT('Entry Tariff_1'!D$31:D$35,'Distance Matrix_Entry'!$AD$5:$AD$9)/SUMIFS('Entry Tariff_1'!D$31:D$35,'Distance Matrix_Entry'!$AD$5:$AD$9,"&gt;0")</f>
        <v>620.87825679495427</v>
      </c>
      <c r="E322" s="55">
        <f>SUMPRODUCT('Entry Tariff_1'!E$31:E$35,'Distance Matrix_Entry'!$AD$5:$AD$9)/SUMIFS('Entry Tariff_1'!E$31:E$35,'Distance Matrix_Entry'!$AD$5:$AD$9,"&gt;0")</f>
        <v>620.87825679495427</v>
      </c>
      <c r="G322"/>
      <c r="H322"/>
      <c r="I322"/>
    </row>
    <row r="323" spans="2:9" ht="14.4" customHeight="1">
      <c r="B323" s="36" t="s">
        <v>98</v>
      </c>
      <c r="C323" s="3" t="s">
        <v>220</v>
      </c>
      <c r="D323" s="55">
        <f>SUMPRODUCT('Entry Tariff_1'!D$31:D$35,'Distance Matrix_Entry'!$AE$5:$AE$9)/SUMIFS('Entry Tariff_1'!D$31:D$35,'Distance Matrix_Entry'!$AE$5:$AE$9,"&gt;0")</f>
        <v>713.97409922797033</v>
      </c>
      <c r="E323" s="55">
        <f>SUMPRODUCT('Entry Tariff_1'!E$31:E$35,'Distance Matrix_Entry'!$AE$5:$AE$9)/SUMIFS('Entry Tariff_1'!E$31:E$35,'Distance Matrix_Entry'!$AE$5:$AE$9,"&gt;0")</f>
        <v>713.97409922797033</v>
      </c>
      <c r="G323"/>
      <c r="H323"/>
      <c r="I323"/>
    </row>
    <row r="324" spans="2:9" ht="14.4" customHeight="1">
      <c r="B324" s="36" t="s">
        <v>100</v>
      </c>
      <c r="C324" s="3" t="s">
        <v>220</v>
      </c>
      <c r="D324" s="55">
        <f>SUMPRODUCT('Entry Tariff_1'!D$31:D$35,'Distance Matrix_Entry'!$AF$5:$AF$9)/SUMIFS('Entry Tariff_1'!D$31:D$35,'Distance Matrix_Entry'!$AF$5:$AF$9,"&gt;0")</f>
        <v>739.45695637082758</v>
      </c>
      <c r="E324" s="55">
        <f>SUMPRODUCT('Entry Tariff_1'!E$31:E$35,'Distance Matrix_Entry'!$AF$5:$AF$9)/SUMIFS('Entry Tariff_1'!E$31:E$35,'Distance Matrix_Entry'!$AF$5:$AF$9,"&gt;0")</f>
        <v>739.45695637082758</v>
      </c>
      <c r="G324"/>
      <c r="H324"/>
      <c r="I324"/>
    </row>
    <row r="325" spans="2:9" ht="14.4" customHeight="1">
      <c r="B325" s="36" t="s">
        <v>102</v>
      </c>
      <c r="C325" s="3" t="s">
        <v>220</v>
      </c>
      <c r="D325" s="55">
        <f>SUMPRODUCT('Entry Tariff_1'!D$31:D$35,'Distance Matrix_Entry'!$AG$5:$AG$9)/SUMIFS('Entry Tariff_1'!D$31:D$35,'Distance Matrix_Entry'!$AG$5:$AG$9,"&gt;0")</f>
        <v>739.73981351368479</v>
      </c>
      <c r="E325" s="55">
        <f>SUMPRODUCT('Entry Tariff_1'!E$31:E$35,'Distance Matrix_Entry'!$AG$5:$AG$9)/SUMIFS('Entry Tariff_1'!E$31:E$35,'Distance Matrix_Entry'!$AG$5:$AG$9,"&gt;0")</f>
        <v>739.73981351368479</v>
      </c>
      <c r="G325"/>
      <c r="H325"/>
      <c r="I325"/>
    </row>
    <row r="326" spans="2:9" ht="14.4" customHeight="1">
      <c r="B326" s="36" t="s">
        <v>103</v>
      </c>
      <c r="C326" s="3" t="s">
        <v>220</v>
      </c>
      <c r="D326" s="55">
        <f>SUMPRODUCT('Entry Tariff_1'!D$31:D$35,'Distance Matrix_Entry'!$AH$5:$AH$9)/SUMIFS('Entry Tariff_1'!D$31:D$35,'Distance Matrix_Entry'!$AH$5:$AH$9,"&gt;0")</f>
        <v>773.34838494225619</v>
      </c>
      <c r="E326" s="55">
        <f>SUMPRODUCT('Entry Tariff_1'!E$31:E$35,'Distance Matrix_Entry'!$AH$5:$AH$9)/SUMIFS('Entry Tariff_1'!E$31:E$35,'Distance Matrix_Entry'!$AH$5:$AH$9,"&gt;0")</f>
        <v>773.34838494225619</v>
      </c>
      <c r="G326"/>
      <c r="H326"/>
      <c r="I326"/>
    </row>
    <row r="327" spans="2:9" ht="14.4" customHeight="1">
      <c r="B327" s="36" t="s">
        <v>105</v>
      </c>
      <c r="C327" s="3" t="s">
        <v>220</v>
      </c>
      <c r="D327" s="55">
        <f>SUMPRODUCT('Entry Tariff_1'!D$31:D$35,'Distance Matrix_Entry'!$AI$5:$AI$9)/SUMIFS('Entry Tariff_1'!D$31:D$35,'Distance Matrix_Entry'!$AI$5:$AI$9,"&gt;0")</f>
        <v>689.10390785881884</v>
      </c>
      <c r="E327" s="55">
        <f>SUMPRODUCT('Entry Tariff_1'!E$31:E$35,'Distance Matrix_Entry'!$AI$5:$AI$9)/SUMIFS('Entry Tariff_1'!E$31:E$35,'Distance Matrix_Entry'!$AI$5:$AI$9,"&gt;0")</f>
        <v>689.10390785881884</v>
      </c>
      <c r="G327"/>
      <c r="H327"/>
      <c r="I327"/>
    </row>
    <row r="328" spans="2:9" ht="14.4" customHeight="1">
      <c r="B328" s="36" t="s">
        <v>107</v>
      </c>
      <c r="C328" s="3" t="s">
        <v>220</v>
      </c>
      <c r="D328" s="55">
        <f>SUMPRODUCT('Entry Tariff_1'!D$31:D$35,'Distance Matrix_Entry'!$AJ$5:$AJ$9)/SUMIFS('Entry Tariff_1'!D$31:D$35,'Distance Matrix_Entry'!$AJ$5:$AJ$9,"&gt;0")</f>
        <v>773.3509563708277</v>
      </c>
      <c r="E328" s="55">
        <f>SUMPRODUCT('Entry Tariff_1'!E$31:E$35,'Distance Matrix_Entry'!$AJ$5:$AJ$9)/SUMIFS('Entry Tariff_1'!E$31:E$35,'Distance Matrix_Entry'!$AJ$5:$AJ$9,"&gt;0")</f>
        <v>773.3509563708277</v>
      </c>
      <c r="G328"/>
      <c r="H328"/>
      <c r="I328"/>
    </row>
    <row r="329" spans="2:9" ht="14.4" customHeight="1">
      <c r="B329" s="36" t="s">
        <v>108</v>
      </c>
      <c r="C329" s="3" t="s">
        <v>220</v>
      </c>
      <c r="D329" s="55">
        <f>SUMPRODUCT('Entry Tariff_1'!D$31:D$35,'Distance Matrix_Entry'!$AK$5:$AK$9)/SUMIFS('Entry Tariff_1'!D$31:D$35,'Distance Matrix_Entry'!$AK$5:$AK$9,"&gt;0")</f>
        <v>748.7284316048341</v>
      </c>
      <c r="E329" s="55">
        <f>SUMPRODUCT('Entry Tariff_1'!E$31:E$35,'Distance Matrix_Entry'!$AK$5:$AK$9)/SUMIFS('Entry Tariff_1'!E$31:E$35,'Distance Matrix_Entry'!$AK$5:$AK$9,"&gt;0")</f>
        <v>748.7284316048341</v>
      </c>
      <c r="G329"/>
      <c r="H329"/>
      <c r="I329"/>
    </row>
    <row r="330" spans="2:9" ht="14.4" customHeight="1">
      <c r="B330" s="36" t="s">
        <v>110</v>
      </c>
      <c r="C330" s="3" t="s">
        <v>220</v>
      </c>
      <c r="D330" s="55">
        <f>SUMPRODUCT('Entry Tariff_1'!D$31:D$35,'Distance Matrix_Entry'!$AL$5:$AL$9)/SUMIFS('Entry Tariff_1'!D$31:D$35,'Distance Matrix_Entry'!$AL$5:$AL$9,"&gt;0")</f>
        <v>774.2370030334057</v>
      </c>
      <c r="E330" s="55">
        <f>SUMPRODUCT('Entry Tariff_1'!E$31:E$35,'Distance Matrix_Entry'!$AL$5:$AL$9)/SUMIFS('Entry Tariff_1'!E$31:E$35,'Distance Matrix_Entry'!$AL$5:$AL$9,"&gt;0")</f>
        <v>774.2370030334057</v>
      </c>
      <c r="G330"/>
      <c r="H330"/>
      <c r="I330"/>
    </row>
    <row r="331" spans="2:9" ht="14.4" customHeight="1">
      <c r="B331" s="36" t="s">
        <v>112</v>
      </c>
      <c r="C331" s="3" t="s">
        <v>220</v>
      </c>
      <c r="D331" s="55">
        <f>SUMPRODUCT('Entry Tariff_1'!D$31:D$35,'Distance Matrix_Entry'!$AM$5:$AM$9)/SUMIFS('Entry Tariff_1'!D$31:D$35,'Distance Matrix_Entry'!$AM$5:$AM$9,"&gt;0")</f>
        <v>763.60161211445904</v>
      </c>
      <c r="E331" s="55">
        <f>SUMPRODUCT('Entry Tariff_1'!E$31:E$35,'Distance Matrix_Entry'!$AM$5:$AM$9)/SUMIFS('Entry Tariff_1'!E$31:E$35,'Distance Matrix_Entry'!$AM$5:$AM$9,"&gt;0")</f>
        <v>763.60161211445904</v>
      </c>
      <c r="G331"/>
      <c r="H331"/>
      <c r="I331"/>
    </row>
    <row r="332" spans="2:9" ht="14.4" customHeight="1">
      <c r="B332" s="36" t="s">
        <v>114</v>
      </c>
      <c r="C332" s="3" t="s">
        <v>220</v>
      </c>
      <c r="D332" s="55">
        <f>SUMPRODUCT('Entry Tariff_1'!D$31:D$35,'Distance Matrix_Entry'!$AN$5:$AN$9)/SUMIFS('Entry Tariff_1'!D$31:D$35,'Distance Matrix_Entry'!$AN$5:$AN$9,"&gt;0")</f>
        <v>778.0659430094546</v>
      </c>
      <c r="E332" s="55">
        <f>SUMPRODUCT('Entry Tariff_1'!E$31:E$35,'Distance Matrix_Entry'!$AN$5:$AN$9)/SUMIFS('Entry Tariff_1'!E$31:E$35,'Distance Matrix_Entry'!$AN$5:$AN$9,"&gt;0")</f>
        <v>778.0659430094546</v>
      </c>
      <c r="G332"/>
      <c r="H332"/>
      <c r="I332"/>
    </row>
    <row r="333" spans="2:9" ht="14.4" customHeight="1">
      <c r="B333" s="36" t="s">
        <v>116</v>
      </c>
      <c r="C333" s="3" t="s">
        <v>220</v>
      </c>
      <c r="D333" s="55">
        <f>SUMPRODUCT('Entry Tariff_1'!D$31:D$35,'Distance Matrix_Entry'!$AO$5:$AO$9)/SUMIFS('Entry Tariff_1'!D$31:D$35,'Distance Matrix_Entry'!$AO$5:$AO$9,"&gt;0")</f>
        <v>813.03634301399234</v>
      </c>
      <c r="E333" s="55">
        <f>SUMPRODUCT('Entry Tariff_1'!E$31:E$35,'Distance Matrix_Entry'!$AO$5:$AO$9)/SUMIFS('Entry Tariff_1'!E$31:E$35,'Distance Matrix_Entry'!$AO$5:$AO$9,"&gt;0")</f>
        <v>813.03634301399234</v>
      </c>
      <c r="G333"/>
      <c r="H333"/>
      <c r="I333"/>
    </row>
    <row r="334" spans="2:9" ht="14.4" customHeight="1">
      <c r="B334" s="36" t="s">
        <v>118</v>
      </c>
      <c r="C334" s="3" t="s">
        <v>220</v>
      </c>
      <c r="D334" s="55">
        <f>SUMPRODUCT('Entry Tariff_1'!D$31:D$35,'Distance Matrix_Entry'!$AP$5:$AP$9)/SUMIFS('Entry Tariff_1'!D$31:D$35,'Distance Matrix_Entry'!$AP$5:$AP$9,"&gt;0")</f>
        <v>831.21275882894236</v>
      </c>
      <c r="E334" s="55">
        <f>SUMPRODUCT('Entry Tariff_1'!E$31:E$35,'Distance Matrix_Entry'!$AP$5:$AP$9)/SUMIFS('Entry Tariff_1'!E$31:E$35,'Distance Matrix_Entry'!$AP$5:$AP$9,"&gt;0")</f>
        <v>831.21275882894236</v>
      </c>
      <c r="G334"/>
      <c r="H334"/>
      <c r="I334"/>
    </row>
    <row r="335" spans="2:9" ht="14.4" customHeight="1">
      <c r="B335" s="36" t="s">
        <v>120</v>
      </c>
      <c r="C335" s="3" t="s">
        <v>220</v>
      </c>
      <c r="D335" s="55">
        <f>SUMPRODUCT('Entry Tariff_1'!D$31:D$35,'Distance Matrix_Entry'!$AQ$5:$AQ$9)/SUMIFS('Entry Tariff_1'!D$31:D$35,'Distance Matrix_Entry'!$AQ$5:$AQ$9,"&gt;0")</f>
        <v>843.60344228589429</v>
      </c>
      <c r="E335" s="55">
        <f>SUMPRODUCT('Entry Tariff_1'!E$31:E$35,'Distance Matrix_Entry'!$AQ$5:$AQ$9)/SUMIFS('Entry Tariff_1'!E$31:E$35,'Distance Matrix_Entry'!$AQ$5:$AQ$9,"&gt;0")</f>
        <v>843.60344228589429</v>
      </c>
      <c r="G335"/>
      <c r="H335"/>
      <c r="I335"/>
    </row>
    <row r="336" spans="2:9" ht="14.4" customHeight="1">
      <c r="B336" s="36" t="s">
        <v>122</v>
      </c>
      <c r="C336" s="3" t="s">
        <v>220</v>
      </c>
      <c r="D336" s="55">
        <f>SUMPRODUCT('Entry Tariff_1'!D$31:D$35,'Distance Matrix_Entry'!$AR$5:$AR$9)/SUMIFS('Entry Tariff_1'!D$31:D$35,'Distance Matrix_Entry'!$AR$5:$AR$9,"&gt;0")</f>
        <v>856.37813452766932</v>
      </c>
      <c r="E336" s="55">
        <f>SUMPRODUCT('Entry Tariff_1'!E$31:E$35,'Distance Matrix_Entry'!$AR$5:$AR$9)/SUMIFS('Entry Tariff_1'!E$31:E$35,'Distance Matrix_Entry'!$AR$5:$AR$9,"&gt;0")</f>
        <v>856.37813452766932</v>
      </c>
      <c r="G336"/>
      <c r="H336"/>
      <c r="I336"/>
    </row>
    <row r="337" spans="2:9" ht="14.4" customHeight="1">
      <c r="B337" s="36" t="s">
        <v>124</v>
      </c>
      <c r="C337" s="3" t="s">
        <v>220</v>
      </c>
      <c r="D337" s="55">
        <f>SUMPRODUCT('Entry Tariff_1'!D$31:D$35,'Distance Matrix_Entry'!$AS$5:$AS$9)/SUMIFS('Entry Tariff_1'!D$31:D$35,'Distance Matrix_Entry'!$AS$5:$AS$9,"&gt;0")</f>
        <v>898.18389090205426</v>
      </c>
      <c r="E337" s="55">
        <f>SUMPRODUCT('Entry Tariff_1'!E$31:E$35,'Distance Matrix_Entry'!$AS$5:$AS$9)/SUMIFS('Entry Tariff_1'!E$31:E$35,'Distance Matrix_Entry'!$AS$5:$AS$9,"&gt;0")</f>
        <v>898.18389090205426</v>
      </c>
      <c r="G337"/>
      <c r="H337"/>
      <c r="I337"/>
    </row>
    <row r="338" spans="2:9" ht="14.4" customHeight="1">
      <c r="B338" s="36" t="s">
        <v>126</v>
      </c>
      <c r="C338" s="3" t="s">
        <v>220</v>
      </c>
      <c r="D338" s="55">
        <f>SUMPRODUCT('Entry Tariff_1'!D$31:D$35,'Distance Matrix_Entry'!$AT$5:$AT$9)/SUMIFS('Entry Tariff_1'!D$31:D$35,'Distance Matrix_Entry'!$AT$5:$AT$9,"&gt;0")</f>
        <v>916.30910554569448</v>
      </c>
      <c r="E338" s="55">
        <f>SUMPRODUCT('Entry Tariff_1'!E$31:E$35,'Distance Matrix_Entry'!$AT$5:$AT$9)/SUMIFS('Entry Tariff_1'!E$31:E$35,'Distance Matrix_Entry'!$AT$5:$AT$9,"&gt;0")</f>
        <v>916.30910554569448</v>
      </c>
      <c r="G338"/>
      <c r="H338"/>
      <c r="I338"/>
    </row>
    <row r="339" spans="2:9" ht="14.4" customHeight="1">
      <c r="B339" s="36" t="s">
        <v>128</v>
      </c>
      <c r="C339" s="3" t="s">
        <v>220</v>
      </c>
      <c r="D339" s="55">
        <f>SUMPRODUCT('Entry Tariff_1'!D$31:D$35,'Distance Matrix_Entry'!$AU$5:$AU$9)/SUMIFS('Entry Tariff_1'!D$31:D$35,'Distance Matrix_Entry'!$AU$5:$AU$9,"&gt;0")</f>
        <v>949.21280962622609</v>
      </c>
      <c r="E339" s="55">
        <f>SUMPRODUCT('Entry Tariff_1'!E$31:E$35,'Distance Matrix_Entry'!$AU$5:$AU$9)/SUMIFS('Entry Tariff_1'!E$31:E$35,'Distance Matrix_Entry'!$AU$5:$AU$9,"&gt;0")</f>
        <v>949.21280962622609</v>
      </c>
      <c r="G339"/>
      <c r="H339"/>
      <c r="I339"/>
    </row>
    <row r="340" spans="2:9" ht="14.4" customHeight="1">
      <c r="B340" s="36" t="s">
        <v>130</v>
      </c>
      <c r="C340" s="3" t="s">
        <v>220</v>
      </c>
      <c r="D340" s="55">
        <f>SUMPRODUCT('Entry Tariff_1'!D$31:D$35,'Distance Matrix_Entry'!$AV$5:$AV$9)/SUMIFS('Entry Tariff_1'!D$31:D$35,'Distance Matrix_Entry'!$AV$5:$AV$9,"&gt;0")</f>
        <v>949.21023819765458</v>
      </c>
      <c r="E340" s="55">
        <f>SUMPRODUCT('Entry Tariff_1'!E$31:E$35,'Distance Matrix_Entry'!$AV$5:$AV$9)/SUMIFS('Entry Tariff_1'!E$31:E$35,'Distance Matrix_Entry'!$AV$5:$AV$9,"&gt;0")</f>
        <v>949.21023819765458</v>
      </c>
      <c r="G340"/>
      <c r="H340"/>
      <c r="I340"/>
    </row>
    <row r="341" spans="2:9" ht="14.4" customHeight="1">
      <c r="B341" s="36" t="s">
        <v>131</v>
      </c>
      <c r="C341" s="3" t="s">
        <v>220</v>
      </c>
      <c r="D341" s="55">
        <f>SUMPRODUCT('Entry Tariff_1'!D$31:D$35,'Distance Matrix_Entry'!$AW$5:$AW$9)/SUMIFS('Entry Tariff_1'!D$31:D$35,'Distance Matrix_Entry'!$AW$5:$AW$9,"&gt;0")</f>
        <v>960.70052107122058</v>
      </c>
      <c r="E341" s="55">
        <f>SUMPRODUCT('Entry Tariff_1'!E$31:E$35,'Distance Matrix_Entry'!$AW$5:$AW$9)/SUMIFS('Entry Tariff_1'!E$31:E$35,'Distance Matrix_Entry'!$AW$5:$AW$9,"&gt;0")</f>
        <v>960.70052107122058</v>
      </c>
      <c r="G341"/>
      <c r="H341"/>
      <c r="I341"/>
    </row>
    <row r="342" spans="2:9" ht="14.4" customHeight="1">
      <c r="B342" s="36" t="s">
        <v>133</v>
      </c>
      <c r="C342" s="3" t="s">
        <v>220</v>
      </c>
      <c r="D342" s="55">
        <f>SUMPRODUCT('Entry Tariff_1'!D$31:D$35,'Distance Matrix_Entry'!$AX$5:$AX$9)/SUMIFS('Entry Tariff_1'!D$31:D$35,'Distance Matrix_Entry'!$AX$5:$AX$9,"&gt;0")</f>
        <v>983.12920553344861</v>
      </c>
      <c r="E342" s="55">
        <f>SUMPRODUCT('Entry Tariff_1'!E$31:E$35,'Distance Matrix_Entry'!$AX$5:$AX$9)/SUMIFS('Entry Tariff_1'!E$31:E$35,'Distance Matrix_Entry'!$AX$5:$AX$9,"&gt;0")</f>
        <v>983.12920553344861</v>
      </c>
      <c r="G342"/>
      <c r="H342"/>
      <c r="I342"/>
    </row>
    <row r="343" spans="2:9" ht="14.4" customHeight="1">
      <c r="B343" s="36" t="s">
        <v>135</v>
      </c>
      <c r="C343" s="3" t="s">
        <v>220</v>
      </c>
      <c r="D343" s="55">
        <f>SUMPRODUCT('Entry Tariff_1'!D$31:D$35,'Distance Matrix_Entry'!$AY$5:$AY$9)/SUMIFS('Entry Tariff_1'!D$31:D$35,'Distance Matrix_Entry'!$AY$5:$AY$9,"&gt;0")</f>
        <v>983.1266341048771</v>
      </c>
      <c r="E343" s="55">
        <f>SUMPRODUCT('Entry Tariff_1'!E$31:E$35,'Distance Matrix_Entry'!$AY$5:$AY$9)/SUMIFS('Entry Tariff_1'!E$31:E$35,'Distance Matrix_Entry'!$AY$5:$AY$9,"&gt;0")</f>
        <v>983.1266341048771</v>
      </c>
      <c r="G343"/>
      <c r="H343"/>
      <c r="I343"/>
    </row>
    <row r="344" spans="2:9" ht="14.4" customHeight="1">
      <c r="B344" s="36" t="s">
        <v>136</v>
      </c>
      <c r="C344" s="3" t="s">
        <v>220</v>
      </c>
      <c r="D344" s="55">
        <f>SUMPRODUCT('Entry Tariff_1'!D$31:D$35,'Distance Matrix_Entry'!$AZ$5:$AZ$9)/SUMIFS('Entry Tariff_1'!D$31:D$35,'Distance Matrix_Entry'!$AZ$5:$AZ$9,"&gt;0")</f>
        <v>1016.8170048266717</v>
      </c>
      <c r="E344" s="55">
        <f>SUMPRODUCT('Entry Tariff_1'!E$31:E$35,'Distance Matrix_Entry'!$AZ$5:$AZ$9)/SUMIFS('Entry Tariff_1'!E$31:E$35,'Distance Matrix_Entry'!$AZ$5:$AZ$9,"&gt;0")</f>
        <v>1016.8170048266717</v>
      </c>
      <c r="G344"/>
      <c r="H344"/>
      <c r="I344"/>
    </row>
    <row r="345" spans="2:9" ht="14.4" customHeight="1">
      <c r="B345" s="36" t="s">
        <v>138</v>
      </c>
      <c r="C345" s="3" t="s">
        <v>220</v>
      </c>
      <c r="D345" s="55">
        <f>SUMPRODUCT('Entry Tariff_1'!D$31:D$35,'Distance Matrix_Entry'!$BA$5:$BA$9)/SUMIFS('Entry Tariff_1'!D$31:D$35,'Distance Matrix_Entry'!$BA$5:$BA$9,"&gt;0")</f>
        <v>1061.7716332366044</v>
      </c>
      <c r="E345" s="55">
        <f>SUMPRODUCT('Entry Tariff_1'!E$31:E$35,'Distance Matrix_Entry'!$BA$5:$BA$9)/SUMIFS('Entry Tariff_1'!E$31:E$35,'Distance Matrix_Entry'!$BA$5:$BA$9,"&gt;0")</f>
        <v>1061.7716332366044</v>
      </c>
      <c r="G345"/>
      <c r="H345"/>
      <c r="I345"/>
    </row>
    <row r="346" spans="2:9" ht="14.4" customHeight="1">
      <c r="B346" s="36" t="s">
        <v>140</v>
      </c>
      <c r="C346" s="3" t="s">
        <v>220</v>
      </c>
      <c r="D346" s="55">
        <f>SUMPRODUCT('Entry Tariff_1'!D$31:D$35,'Distance Matrix_Entry'!$BB$5:$BB$9)/SUMIFS('Entry Tariff_1'!D$31:D$35,'Distance Matrix_Entry'!$BB$5:$BB$9,"&gt;0")</f>
        <v>1098.7068388441032</v>
      </c>
      <c r="E346" s="55">
        <f>SUMPRODUCT('Entry Tariff_1'!E$31:E$35,'Distance Matrix_Entry'!$BB$5:$BB$9)/SUMIFS('Entry Tariff_1'!E$31:E$35,'Distance Matrix_Entry'!$BB$5:$BB$9,"&gt;0")</f>
        <v>1098.7068388441032</v>
      </c>
      <c r="G346"/>
      <c r="H346"/>
      <c r="I346"/>
    </row>
    <row r="347" spans="2:9" ht="14.4" customHeight="1">
      <c r="B347" s="36" t="s">
        <v>142</v>
      </c>
      <c r="C347" s="3" t="s">
        <v>220</v>
      </c>
      <c r="D347" s="55">
        <f>SUMPRODUCT('Entry Tariff_1'!D$31:D$35,'Distance Matrix_Entry'!$BC$5:$BC$9)/SUMIFS('Entry Tariff_1'!D$31:D$35,'Distance Matrix_Entry'!$BC$5:$BC$9,"&gt;0")</f>
        <v>1091.6611245583888</v>
      </c>
      <c r="E347" s="55">
        <f>SUMPRODUCT('Entry Tariff_1'!E$31:E$35,'Distance Matrix_Entry'!$BC$5:$BC$9)/SUMIFS('Entry Tariff_1'!E$31:E$35,'Distance Matrix_Entry'!$BC$5:$BC$9,"&gt;0")</f>
        <v>1091.6611245583888</v>
      </c>
      <c r="G347"/>
      <c r="H347"/>
      <c r="I347"/>
    </row>
    <row r="348" spans="2:9" ht="14.4" customHeight="1">
      <c r="B348" s="36" t="s">
        <v>144</v>
      </c>
      <c r="C348" s="3" t="s">
        <v>220</v>
      </c>
      <c r="D348" s="55">
        <f>SUMPRODUCT('Entry Tariff_1'!D$31:D$35,'Distance Matrix_Entry'!$BD$5:$BD$9)/SUMIFS('Entry Tariff_1'!D$31:D$35,'Distance Matrix_Entry'!$BD$5:$BD$9,"&gt;0")</f>
        <v>1103.6826939383027</v>
      </c>
      <c r="E348" s="55">
        <f>SUMPRODUCT('Entry Tariff_1'!E$31:E$35,'Distance Matrix_Entry'!$BD$5:$BD$9)/SUMIFS('Entry Tariff_1'!E$31:E$35,'Distance Matrix_Entry'!$BD$5:$BD$9,"&gt;0")</f>
        <v>1103.6826939383027</v>
      </c>
      <c r="G348"/>
      <c r="H348"/>
      <c r="I348"/>
    </row>
    <row r="349" spans="2:9" ht="14.4" customHeight="1">
      <c r="B349" s="36" t="s">
        <v>146</v>
      </c>
      <c r="C349" s="3" t="s">
        <v>220</v>
      </c>
      <c r="D349" s="55">
        <f>SUMPRODUCT('Entry Tariff_1'!D$31:D$35,'Distance Matrix_Entry'!$BE$5:$BE$9)/SUMIFS('Entry Tariff_1'!D$31:D$35,'Distance Matrix_Entry'!$BE$5:$BE$9,"&gt;0")</f>
        <v>1119.8849626731353</v>
      </c>
      <c r="E349" s="55">
        <f>SUMPRODUCT('Entry Tariff_1'!E$31:E$35,'Distance Matrix_Entry'!$BE$5:$BE$9)/SUMIFS('Entry Tariff_1'!E$31:E$35,'Distance Matrix_Entry'!$BE$5:$BE$9,"&gt;0")</f>
        <v>1119.8849626731353</v>
      </c>
      <c r="G349"/>
      <c r="H349"/>
      <c r="I349"/>
    </row>
    <row r="350" spans="2:9" ht="14.4" customHeight="1">
      <c r="B350" s="36" t="s">
        <v>148</v>
      </c>
      <c r="C350" s="3" t="s">
        <v>220</v>
      </c>
      <c r="D350" s="55">
        <f>SUMPRODUCT('Entry Tariff_1'!D$31:D$35,'Distance Matrix_Entry'!$BF$5:$BF$9)/SUMIFS('Entry Tariff_1'!D$31:D$35,'Distance Matrix_Entry'!$BF$5:$BF$9,"&gt;0")</f>
        <v>1144.1799184595964</v>
      </c>
      <c r="E350" s="55">
        <f>SUMPRODUCT('Entry Tariff_1'!E$31:E$35,'Distance Matrix_Entry'!$BF$5:$BF$9)/SUMIFS('Entry Tariff_1'!E$31:E$35,'Distance Matrix_Entry'!$BF$5:$BF$9,"&gt;0")</f>
        <v>1144.1799184595964</v>
      </c>
      <c r="G350"/>
      <c r="H350"/>
      <c r="I350"/>
    </row>
    <row r="351" spans="2:9" ht="14.4" customHeight="1">
      <c r="B351" s="36" t="s">
        <v>150</v>
      </c>
      <c r="C351" s="3" t="s">
        <v>220</v>
      </c>
      <c r="D351" s="55">
        <f>SUMPRODUCT('Entry Tariff_1'!D$31:D$35,'Distance Matrix_Entry'!$BG$5:$BG$9)/SUMIFS('Entry Tariff_1'!D$31:D$35,'Distance Matrix_Entry'!$BG$5:$BG$9,"&gt;0")</f>
        <v>1224.6052760860393</v>
      </c>
      <c r="E351" s="55">
        <f>SUMPRODUCT('Entry Tariff_1'!E$31:E$35,'Distance Matrix_Entry'!$BG$5:$BG$9)/SUMIFS('Entry Tariff_1'!E$31:E$35,'Distance Matrix_Entry'!$BG$5:$BG$9,"&gt;0")</f>
        <v>1224.6052760860393</v>
      </c>
      <c r="G351"/>
      <c r="H351"/>
      <c r="I351"/>
    </row>
    <row r="352" spans="2:9" ht="14.4" customHeight="1">
      <c r="B352" s="36" t="s">
        <v>152</v>
      </c>
      <c r="C352" s="3" t="s">
        <v>220</v>
      </c>
      <c r="D352" s="55">
        <f>SUMPRODUCT('Entry Tariff_1'!D$31:D$35,'Distance Matrix_Entry'!$BH$5:$BH$9)/SUMIFS('Entry Tariff_1'!D$31:D$35,'Distance Matrix_Entry'!$BH$5:$BH$9,"&gt;0")</f>
        <v>1170.5485216841014</v>
      </c>
      <c r="E352" s="55">
        <f>SUMPRODUCT('Entry Tariff_1'!E$31:E$35,'Distance Matrix_Entry'!$BH$5:$BH$9)/SUMIFS('Entry Tariff_1'!E$31:E$35,'Distance Matrix_Entry'!$BH$5:$BH$9,"&gt;0")</f>
        <v>1170.5485216841014</v>
      </c>
      <c r="G352"/>
      <c r="H352"/>
      <c r="I352"/>
    </row>
    <row r="353" spans="2:9" ht="14.4" customHeight="1">
      <c r="B353" s="36" t="s">
        <v>154</v>
      </c>
      <c r="C353" s="3" t="s">
        <v>220</v>
      </c>
      <c r="D353" s="55">
        <f>SUMPRODUCT('Entry Tariff_1'!D$31:D$35,'Distance Matrix_Entry'!$BI$5:$BI$9)/SUMIFS('Entry Tariff_1'!D$31:D$35,'Distance Matrix_Entry'!$BI$5:$BI$9,"&gt;0")</f>
        <v>1193.8194540443683</v>
      </c>
      <c r="E353" s="55">
        <f>SUMPRODUCT('Entry Tariff_1'!E$31:E$35,'Distance Matrix_Entry'!$BI$5:$BI$9)/SUMIFS('Entry Tariff_1'!E$31:E$35,'Distance Matrix_Entry'!$BI$5:$BI$9,"&gt;0")</f>
        <v>1193.8194540443683</v>
      </c>
      <c r="G353"/>
      <c r="H353"/>
      <c r="I353"/>
    </row>
    <row r="354" spans="2:9" ht="14.4" customHeight="1">
      <c r="B354" s="36" t="s">
        <v>156</v>
      </c>
      <c r="C354" s="3" t="s">
        <v>220</v>
      </c>
      <c r="D354" s="55">
        <f>SUMPRODUCT('Entry Tariff_1'!D$31:D$35,'Distance Matrix_Entry'!$BJ$5:$BJ$9)/SUMIFS('Entry Tariff_1'!D$31:D$35,'Distance Matrix_Entry'!$BJ$5:$BJ$9,"&gt;0")</f>
        <v>1230.0669866133119</v>
      </c>
      <c r="E354" s="55">
        <f>SUMPRODUCT('Entry Tariff_1'!E$31:E$35,'Distance Matrix_Entry'!$BJ$5:$BJ$9)/SUMIFS('Entry Tariff_1'!E$31:E$35,'Distance Matrix_Entry'!$BJ$5:$BJ$9,"&gt;0")</f>
        <v>1230.0669866133119</v>
      </c>
      <c r="G354"/>
      <c r="H354"/>
      <c r="I354"/>
    </row>
    <row r="355" spans="2:9" ht="14.4" customHeight="1">
      <c r="B355" s="36" t="s">
        <v>158</v>
      </c>
      <c r="C355" s="3" t="s">
        <v>220</v>
      </c>
      <c r="D355" s="55">
        <f>SUMPRODUCT('Entry Tariff_1'!D$31:D$35,'Distance Matrix_Entry'!$BK$5:$BK$9)/SUMIFS('Entry Tariff_1'!D$31:D$35,'Distance Matrix_Entry'!$BK$5:$BK$9,"&gt;0")</f>
        <v>1250.166343070714</v>
      </c>
      <c r="E355" s="55">
        <f>SUMPRODUCT('Entry Tariff_1'!E$31:E$35,'Distance Matrix_Entry'!$BK$5:$BK$9)/SUMIFS('Entry Tariff_1'!E$31:E$35,'Distance Matrix_Entry'!$BK$5:$BK$9,"&gt;0")</f>
        <v>1250.166343070714</v>
      </c>
      <c r="G355"/>
      <c r="H355"/>
      <c r="I355"/>
    </row>
    <row r="356" spans="2:9" ht="14.4" customHeight="1">
      <c r="B356" s="36" t="s">
        <v>160</v>
      </c>
      <c r="C356" s="3" t="s">
        <v>220</v>
      </c>
      <c r="D356" s="55">
        <f>SUMPRODUCT('Entry Tariff_1'!D$31:D$35,'Distance Matrix_Entry'!$BL$5:$BL$9)/SUMIFS('Entry Tariff_1'!D$31:D$35,'Distance Matrix_Entry'!$BL$5:$BL$9,"&gt;0")</f>
        <v>1320.9697824375176</v>
      </c>
      <c r="E356" s="55">
        <f>SUMPRODUCT('Entry Tariff_1'!E$31:E$35,'Distance Matrix_Entry'!$BL$5:$BL$9)/SUMIFS('Entry Tariff_1'!E$31:E$35,'Distance Matrix_Entry'!$BL$5:$BL$9,"&gt;0")</f>
        <v>1320.9697824375176</v>
      </c>
      <c r="G356"/>
      <c r="H356"/>
      <c r="I356"/>
    </row>
    <row r="357" spans="2:9" ht="14.4" customHeight="1">
      <c r="B357" s="36" t="s">
        <v>162</v>
      </c>
      <c r="C357" s="3" t="s">
        <v>220</v>
      </c>
      <c r="D357" s="55">
        <f>SUMPRODUCT('Entry Tariff_1'!D$31:D$35,'Distance Matrix_Entry'!$BM$5:$BM$9)/SUMIFS('Entry Tariff_1'!D$31:D$35,'Distance Matrix_Entry'!$BM$5:$BM$9,"&gt;0")</f>
        <v>1315.3710347336403</v>
      </c>
      <c r="E357" s="55">
        <f>SUMPRODUCT('Entry Tariff_1'!E$31:E$35,'Distance Matrix_Entry'!$BM$5:$BM$9)/SUMIFS('Entry Tariff_1'!E$31:E$35,'Distance Matrix_Entry'!$BM$5:$BM$9,"&gt;0")</f>
        <v>1315.3710347336403</v>
      </c>
      <c r="G357"/>
      <c r="H357"/>
      <c r="I357"/>
    </row>
    <row r="358" spans="2:9" ht="14.4" customHeight="1">
      <c r="B358" s="36" t="s">
        <v>164</v>
      </c>
      <c r="C358" s="3" t="s">
        <v>220</v>
      </c>
      <c r="D358" s="55">
        <f>SUMPRODUCT('Entry Tariff_1'!D$31:D$35,'Distance Matrix_Entry'!$BN$5:$BN$9)/SUMIFS('Entry Tariff_1'!D$31:D$35,'Distance Matrix_Entry'!$BN$5:$BN$9,"&gt;0")</f>
        <v>1391.7631823277402</v>
      </c>
      <c r="E358" s="55">
        <f>SUMPRODUCT('Entry Tariff_1'!E$31:E$35,'Distance Matrix_Entry'!$BN$5:$BN$9)/SUMIFS('Entry Tariff_1'!E$31:E$35,'Distance Matrix_Entry'!$BN$5:$BN$9,"&gt;0")</f>
        <v>1391.7631823277402</v>
      </c>
      <c r="G358"/>
      <c r="H358"/>
      <c r="I358"/>
    </row>
    <row r="359" spans="2:9" ht="14.4" customHeight="1">
      <c r="B359" s="36" t="s">
        <v>166</v>
      </c>
      <c r="C359" s="3" t="s">
        <v>220</v>
      </c>
      <c r="D359" s="55">
        <f>SUMPRODUCT('Entry Tariff_1'!D$31:D$35,'Distance Matrix_Entry'!$BO$5:$BO$9)/SUMIFS('Entry Tariff_1'!D$31:D$35,'Distance Matrix_Entry'!$BO$5:$BO$9,"&gt;0")</f>
        <v>1198.1766704172828</v>
      </c>
      <c r="E359" s="55">
        <f>SUMPRODUCT('Entry Tariff_1'!E$31:E$35,'Distance Matrix_Entry'!$BO$5:$BO$9)/SUMIFS('Entry Tariff_1'!E$31:E$35,'Distance Matrix_Entry'!$BO$5:$BO$9,"&gt;0")</f>
        <v>1198.1766704172828</v>
      </c>
      <c r="G359"/>
      <c r="H359"/>
      <c r="I359"/>
    </row>
    <row r="360" spans="2:9" ht="14.4" customHeight="1">
      <c r="B360" s="36" t="s">
        <v>168</v>
      </c>
      <c r="C360" s="3" t="s">
        <v>220</v>
      </c>
      <c r="D360" s="55">
        <f>SUMPRODUCT('Entry Tariff_1'!D$31:D$35,'Distance Matrix_Entry'!$BP$5:$BP$9)/SUMIFS('Entry Tariff_1'!D$31:D$35,'Distance Matrix_Entry'!$BP$5:$BP$9,"&gt;0")</f>
        <v>948.0931629753004</v>
      </c>
      <c r="E360" s="55">
        <f>SUMPRODUCT('Entry Tariff_1'!E$31:E$35,'Distance Matrix_Entry'!$BP$5:$BP$9)/SUMIFS('Entry Tariff_1'!E$31:E$35,'Distance Matrix_Entry'!$BP$5:$BP$9,"&gt;0")</f>
        <v>948.0931629753004</v>
      </c>
      <c r="G360"/>
      <c r="H360"/>
      <c r="I360"/>
    </row>
    <row r="361" spans="2:9" ht="14.4" customHeight="1">
      <c r="B361" s="36" t="s">
        <v>170</v>
      </c>
      <c r="C361" s="3" t="s">
        <v>220</v>
      </c>
      <c r="D361" s="55">
        <f>SUMPRODUCT('Entry Tariff_1'!D$31:D$35,'Distance Matrix_Entry'!$BQ$5:$BQ$9)/SUMIFS('Entry Tariff_1'!D$31:D$35,'Distance Matrix_Entry'!$BQ$5:$BQ$9,"&gt;0")</f>
        <v>893.4463605656041</v>
      </c>
      <c r="E361" s="55">
        <f>SUMPRODUCT('Entry Tariff_1'!E$31:E$35,'Distance Matrix_Entry'!$BQ$5:$BQ$9)/SUMIFS('Entry Tariff_1'!E$31:E$35,'Distance Matrix_Entry'!$BQ$5:$BQ$9,"&gt;0")</f>
        <v>893.4463605656041</v>
      </c>
      <c r="G361"/>
      <c r="H361"/>
      <c r="I361"/>
    </row>
    <row r="362" spans="2:9" ht="14.4" customHeight="1">
      <c r="B362" s="36" t="s">
        <v>172</v>
      </c>
      <c r="C362" s="3" t="s">
        <v>220</v>
      </c>
      <c r="D362" s="55">
        <f>SUMPRODUCT('Entry Tariff_1'!D$31:D$35,'Distance Matrix_Entry'!$BR$5:$BR$9)/SUMIFS('Entry Tariff_1'!D$31:D$35,'Distance Matrix_Entry'!$BR$5:$BR$9,"&gt;0")</f>
        <v>906.45778913703271</v>
      </c>
      <c r="E362" s="55">
        <f>SUMPRODUCT('Entry Tariff_1'!E$31:E$35,'Distance Matrix_Entry'!$BR$5:$BR$9)/SUMIFS('Entry Tariff_1'!E$31:E$35,'Distance Matrix_Entry'!$BR$5:$BR$9,"&gt;0")</f>
        <v>906.45778913703271</v>
      </c>
      <c r="G362"/>
      <c r="H362"/>
      <c r="I362"/>
    </row>
    <row r="363" spans="2:9" ht="14.4" customHeight="1">
      <c r="B363" s="36" t="s">
        <v>174</v>
      </c>
      <c r="C363" s="3" t="s">
        <v>220</v>
      </c>
      <c r="D363" s="55">
        <f>SUMPRODUCT('Entry Tariff_1'!D$31:D$35,'Distance Matrix_Entry'!$BS$5:$BS$9)/SUMIFS('Entry Tariff_1'!D$31:D$35,'Distance Matrix_Entry'!$BS$5:$BS$9,"&gt;0")</f>
        <v>845.33104848376013</v>
      </c>
      <c r="E363" s="55">
        <f>SUMPRODUCT('Entry Tariff_1'!E$31:E$35,'Distance Matrix_Entry'!$BS$5:$BS$9)/SUMIFS('Entry Tariff_1'!E$31:E$35,'Distance Matrix_Entry'!$BS$5:$BS$9,"&gt;0")</f>
        <v>845.33104848376013</v>
      </c>
      <c r="G363"/>
      <c r="H363"/>
      <c r="I363"/>
    </row>
    <row r="364" spans="2:9" ht="14.4" customHeight="1">
      <c r="B364" s="36" t="s">
        <v>176</v>
      </c>
      <c r="C364" s="3" t="s">
        <v>220</v>
      </c>
      <c r="D364" s="55">
        <f>SUMPRODUCT('Entry Tariff_1'!D$31:D$35,'Distance Matrix_Entry'!$BT$5:$BT$9)/SUMIFS('Entry Tariff_1'!D$31:D$35,'Distance Matrix_Entry'!$BT$5:$BT$9,"&gt;0")</f>
        <v>801.35234694288908</v>
      </c>
      <c r="E364" s="55">
        <f>SUMPRODUCT('Entry Tariff_1'!E$31:E$35,'Distance Matrix_Entry'!$BT$5:$BT$9)/SUMIFS('Entry Tariff_1'!E$31:E$35,'Distance Matrix_Entry'!$BT$5:$BT$9,"&gt;0")</f>
        <v>801.35234694288908</v>
      </c>
      <c r="G364"/>
      <c r="H364"/>
      <c r="I364"/>
    </row>
    <row r="365" spans="2:9" ht="14.4" customHeight="1">
      <c r="B365" s="36" t="s">
        <v>178</v>
      </c>
      <c r="C365" s="3" t="s">
        <v>220</v>
      </c>
      <c r="D365" s="55">
        <f>SUMPRODUCT('Entry Tariff_1'!D$31:D$35,'Distance Matrix_Entry'!$BU$5:$BU$9)/SUMIFS('Entry Tariff_1'!D$31:D$35,'Distance Matrix_Entry'!$BU$5:$BU$9,"&gt;0")</f>
        <v>755.29324477907278</v>
      </c>
      <c r="E365" s="55">
        <f>SUMPRODUCT('Entry Tariff_1'!E$31:E$35,'Distance Matrix_Entry'!$BU$5:$BU$9)/SUMIFS('Entry Tariff_1'!E$31:E$35,'Distance Matrix_Entry'!$BU$5:$BU$9,"&gt;0")</f>
        <v>755.29324477907278</v>
      </c>
      <c r="G365"/>
      <c r="H365"/>
      <c r="I365"/>
    </row>
    <row r="366" spans="2:9" ht="14.4" customHeight="1">
      <c r="B366" s="36" t="s">
        <v>180</v>
      </c>
      <c r="C366" s="3" t="s">
        <v>220</v>
      </c>
      <c r="D366" s="55">
        <f>SUMPRODUCT('Entry Tariff_1'!D$31:D$35,'Distance Matrix_Entry'!$BV$5:$BV$9)/SUMIFS('Entry Tariff_1'!D$31:D$35,'Distance Matrix_Entry'!$BV$5:$BV$9,"&gt;0")</f>
        <v>674.90753233665544</v>
      </c>
      <c r="E366" s="55">
        <f>SUMPRODUCT('Entry Tariff_1'!E$31:E$35,'Distance Matrix_Entry'!$BV$5:$BV$9)/SUMIFS('Entry Tariff_1'!E$31:E$35,'Distance Matrix_Entry'!$BV$5:$BV$9,"&gt;0")</f>
        <v>674.90753233665544</v>
      </c>
      <c r="G366"/>
      <c r="H366"/>
      <c r="I366"/>
    </row>
    <row r="367" spans="2:9" ht="14.4" customHeight="1">
      <c r="B367" s="36" t="s">
        <v>182</v>
      </c>
      <c r="C367" s="3" t="s">
        <v>220</v>
      </c>
      <c r="D367" s="55">
        <f>SUMPRODUCT('Entry Tariff_1'!D$31:D$35,'Distance Matrix_Entry'!$BW$5:$BW$9)/SUMIFS('Entry Tariff_1'!D$31:D$35,'Distance Matrix_Entry'!$BW$5:$BW$9,"&gt;0")</f>
        <v>1135.1884937993213</v>
      </c>
      <c r="E367" s="55">
        <f>SUMPRODUCT('Entry Tariff_1'!E$31:E$35,'Distance Matrix_Entry'!$BW$5:$BW$9)/SUMIFS('Entry Tariff_1'!E$31:E$35,'Distance Matrix_Entry'!$BW$5:$BW$9,"&gt;0")</f>
        <v>1135.1884937993213</v>
      </c>
      <c r="G367"/>
      <c r="H367"/>
      <c r="I367"/>
    </row>
    <row r="368" spans="2:9" ht="14.4" customHeight="1">
      <c r="B368" s="36" t="s">
        <v>184</v>
      </c>
      <c r="C368" s="3" t="s">
        <v>220</v>
      </c>
      <c r="D368" s="55">
        <f>SUMPRODUCT('Entry Tariff_1'!D$31:D$35,'Distance Matrix_Entry'!$BX$5:$BX$9)/SUMIFS('Entry Tariff_1'!D$31:D$35,'Distance Matrix_Entry'!$BX$5:$BX$9,"&gt;0")</f>
        <v>1237.4543707355908</v>
      </c>
      <c r="E368" s="55">
        <f>SUMPRODUCT('Entry Tariff_1'!E$31:E$35,'Distance Matrix_Entry'!$BX$5:$BX$9)/SUMIFS('Entry Tariff_1'!E$31:E$35,'Distance Matrix_Entry'!$BX$5:$BX$9,"&gt;0")</f>
        <v>1237.4543707355908</v>
      </c>
      <c r="G368"/>
      <c r="H368"/>
      <c r="I368"/>
    </row>
    <row r="369" spans="2:9" ht="14.4" customHeight="1">
      <c r="B369" s="36" t="s">
        <v>186</v>
      </c>
      <c r="C369" s="3" t="s">
        <v>220</v>
      </c>
      <c r="D369" s="55">
        <f>SUMPRODUCT('Entry Tariff_1'!D$31:D$35,'Distance Matrix_Entry'!$BY$5:$BY$9)/SUMIFS('Entry Tariff_1'!D$31:D$35,'Distance Matrix_Entry'!$BY$5:$BY$9,"&gt;0")</f>
        <v>1301.1230272592259</v>
      </c>
      <c r="E369" s="55">
        <f>SUMPRODUCT('Entry Tariff_1'!E$31:E$35,'Distance Matrix_Entry'!$BY$5:$BY$9)/SUMIFS('Entry Tariff_1'!E$31:E$35,'Distance Matrix_Entry'!$BY$5:$BY$9,"&gt;0")</f>
        <v>1301.1230272592259</v>
      </c>
      <c r="G369"/>
      <c r="H369"/>
      <c r="I369"/>
    </row>
    <row r="370" spans="2:9" ht="14.4" customHeight="1">
      <c r="B370" s="36" t="s">
        <v>188</v>
      </c>
      <c r="C370" s="3" t="s">
        <v>220</v>
      </c>
      <c r="D370" s="55">
        <f>SUMPRODUCT('Entry Tariff_1'!D$31:D$35,'Distance Matrix_Entry'!$BZ$5:$BZ$9)/SUMIFS('Entry Tariff_1'!D$31:D$35,'Distance Matrix_Entry'!$BZ$5:$BZ$9,"&gt;0")</f>
        <v>1333.4218275079854</v>
      </c>
      <c r="E370" s="55">
        <f>SUMPRODUCT('Entry Tariff_1'!E$31:E$35,'Distance Matrix_Entry'!$BZ$5:$BZ$9)/SUMIFS('Entry Tariff_1'!E$31:E$35,'Distance Matrix_Entry'!$BZ$5:$BZ$9,"&gt;0")</f>
        <v>1333.4218275079854</v>
      </c>
      <c r="G370"/>
      <c r="H370"/>
      <c r="I370"/>
    </row>
    <row r="371" spans="2:9" ht="14.4" customHeight="1">
      <c r="B371" s="36" t="s">
        <v>190</v>
      </c>
      <c r="C371" s="3" t="s">
        <v>220</v>
      </c>
      <c r="D371" s="55">
        <f>SUMPRODUCT('Entry Tariff_1'!D$31:D$35,'Distance Matrix_Entry'!$CA$5:$CA$9)/SUMIFS('Entry Tariff_1'!D$31:D$35,'Distance Matrix_Entry'!$CA$5:$CA$9,"&gt;0")</f>
        <v>1307.3442476064126</v>
      </c>
      <c r="E371" s="55">
        <f>SUMPRODUCT('Entry Tariff_1'!E$31:E$35,'Distance Matrix_Entry'!$CA$5:$CA$9)/SUMIFS('Entry Tariff_1'!E$31:E$35,'Distance Matrix_Entry'!$CA$5:$CA$9,"&gt;0")</f>
        <v>1307.3442476064126</v>
      </c>
      <c r="G371"/>
      <c r="H371"/>
      <c r="I371"/>
    </row>
    <row r="372" spans="2:9" ht="14.4" customHeight="1">
      <c r="B372" s="36" t="s">
        <v>192</v>
      </c>
      <c r="C372" s="3" t="s">
        <v>220</v>
      </c>
      <c r="D372" s="55">
        <f>SUMPRODUCT('Entry Tariff_1'!D$31:D$35,'Distance Matrix_Entry'!$CB$5:$CB$9)/SUMIFS('Entry Tariff_1'!D$31:D$35,'Distance Matrix_Entry'!$CB$5:$CB$9,"&gt;0")</f>
        <v>1211.7183910656738</v>
      </c>
      <c r="E372" s="55">
        <f>SUMPRODUCT('Entry Tariff_1'!E$31:E$35,'Distance Matrix_Entry'!$CB$5:$CB$9)/SUMIFS('Entry Tariff_1'!E$31:E$35,'Distance Matrix_Entry'!$CB$5:$CB$9,"&gt;0")</f>
        <v>1211.7183910656738</v>
      </c>
      <c r="G372"/>
      <c r="H372"/>
      <c r="I372"/>
    </row>
    <row r="373" spans="2:9" ht="14.4" customHeight="1">
      <c r="B373" s="36" t="s">
        <v>194</v>
      </c>
      <c r="C373" s="3" t="s">
        <v>220</v>
      </c>
      <c r="D373" s="55">
        <f>SUMPRODUCT('Entry Tariff_1'!D$31:D$35,'Distance Matrix_Entry'!$CC$5:$CC$9)/SUMIFS('Entry Tariff_1'!D$31:D$35,'Distance Matrix_Entry'!$CC$5:$CC$9,"&gt;0")</f>
        <v>914.87813452766909</v>
      </c>
      <c r="E373" s="55">
        <f>SUMPRODUCT('Entry Tariff_1'!E$31:E$35,'Distance Matrix_Entry'!$CC$5:$CC$9)/SUMIFS('Entry Tariff_1'!E$31:E$35,'Distance Matrix_Entry'!$CC$5:$CC$9,"&gt;0")</f>
        <v>914.87813452766909</v>
      </c>
      <c r="G373"/>
      <c r="H373"/>
      <c r="I373"/>
    </row>
    <row r="374" spans="2:9" ht="14.4" customHeight="1">
      <c r="B374" s="36" t="s">
        <v>196</v>
      </c>
      <c r="C374" s="3" t="s">
        <v>220</v>
      </c>
      <c r="D374" s="55">
        <f>SUMPRODUCT('Entry Tariff_1'!D$31:D$35,'Distance Matrix_Entry'!$CD$5:$CD$9)/SUMIFS('Entry Tariff_1'!D$31:D$35,'Distance Matrix_Entry'!$CD$5:$CD$9,"&gt;0")</f>
        <v>939.40956309909745</v>
      </c>
      <c r="E374" s="55">
        <f>SUMPRODUCT('Entry Tariff_1'!E$31:E$35,'Distance Matrix_Entry'!$CD$5:$CD$9)/SUMIFS('Entry Tariff_1'!E$31:E$35,'Distance Matrix_Entry'!$CD$5:$CD$9,"&gt;0")</f>
        <v>939.40956309909745</v>
      </c>
      <c r="G374"/>
      <c r="H374"/>
      <c r="I374"/>
    </row>
    <row r="375" spans="2:9" ht="14.4" customHeight="1">
      <c r="B375" s="36" t="s">
        <v>198</v>
      </c>
      <c r="C375" s="3" t="s">
        <v>220</v>
      </c>
      <c r="D375" s="55">
        <f>SUMPRODUCT('Entry Tariff_1'!D$31:D$35,'Distance Matrix_Entry'!$CE$5:$CE$9)/SUMIFS('Entry Tariff_1'!D$31:D$35,'Distance Matrix_Entry'!$CE$5:$CE$9,"&gt;0")</f>
        <v>968.14218324662556</v>
      </c>
      <c r="E375" s="55">
        <f>SUMPRODUCT('Entry Tariff_1'!E$31:E$35,'Distance Matrix_Entry'!$CE$5:$CE$9)/SUMIFS('Entry Tariff_1'!E$31:E$35,'Distance Matrix_Entry'!$CE$5:$CE$9,"&gt;0")</f>
        <v>968.14218324662556</v>
      </c>
      <c r="G375"/>
      <c r="H375"/>
      <c r="I375"/>
    </row>
    <row r="376" spans="2:9" ht="14.4" customHeight="1">
      <c r="B376" s="36" t="s">
        <v>200</v>
      </c>
      <c r="C376" s="3" t="s">
        <v>220</v>
      </c>
      <c r="D376" s="55">
        <f>SUMPRODUCT('Entry Tariff_1'!D$31:D$35,'Distance Matrix_Entry'!$CF$5:$CF$9)/SUMIFS('Entry Tariff_1'!D$31:D$35,'Distance Matrix_Entry'!$CF$5:$CF$9,"&gt;0")</f>
        <v>1023.1386950849461</v>
      </c>
      <c r="E376" s="55">
        <f>SUMPRODUCT('Entry Tariff_1'!E$31:E$35,'Distance Matrix_Entry'!$CF$5:$CF$9)/SUMIFS('Entry Tariff_1'!E$31:E$35,'Distance Matrix_Entry'!$CF$5:$CF$9,"&gt;0")</f>
        <v>1023.1386950849461</v>
      </c>
      <c r="G376"/>
      <c r="H376"/>
      <c r="I376"/>
    </row>
    <row r="377" spans="2:9" ht="14.4" customHeight="1">
      <c r="B377" s="36" t="s">
        <v>202</v>
      </c>
      <c r="C377" s="3" t="s">
        <v>220</v>
      </c>
      <c r="D377" s="55">
        <f>SUMPRODUCT('Entry Tariff_1'!D$31:D$35,'Distance Matrix_Entry'!$CG$5:$CG$9)/SUMIFS('Entry Tariff_1'!D$31:D$35,'Distance Matrix_Entry'!$CG$5:$CG$9,"&gt;0")</f>
        <v>1027.0707404268023</v>
      </c>
      <c r="E377" s="55">
        <f>SUMPRODUCT('Entry Tariff_1'!E$31:E$35,'Distance Matrix_Entry'!$CG$5:$CG$9)/SUMIFS('Entry Tariff_1'!E$31:E$35,'Distance Matrix_Entry'!$CG$5:$CG$9,"&gt;0")</f>
        <v>1027.0707404268023</v>
      </c>
      <c r="G377"/>
      <c r="H377"/>
      <c r="I377"/>
    </row>
    <row r="378" spans="2:9" ht="14.4" customHeight="1">
      <c r="B378" s="36" t="s">
        <v>204</v>
      </c>
      <c r="C378" s="3" t="s">
        <v>220</v>
      </c>
      <c r="D378" s="55">
        <f>SUMPRODUCT('Entry Tariff_1'!D$31:D$35,'Distance Matrix_Entry'!$CH$5:$CH$9)/SUMIFS('Entry Tariff_1'!D$31:D$35,'Distance Matrix_Entry'!$CH$5:$CH$9,"&gt;0")</f>
        <v>238.65642854977057</v>
      </c>
      <c r="E378" s="55">
        <f>SUMPRODUCT('Entry Tariff_1'!E$31:E$35,'Distance Matrix_Entry'!$CH$5:$CH$9)/SUMIFS('Entry Tariff_1'!E$31:E$35,'Distance Matrix_Entry'!$CH$5:$CH$9,"&gt;0")</f>
        <v>238.65642854977057</v>
      </c>
      <c r="G378"/>
      <c r="H378"/>
      <c r="I378"/>
    </row>
    <row r="379" spans="2:9" ht="14.4" customHeight="1">
      <c r="B379" s="36" t="s">
        <v>206</v>
      </c>
      <c r="C379" s="3" t="s">
        <v>220</v>
      </c>
      <c r="D379" s="55">
        <f>SUMPRODUCT('Entry Tariff_1'!D$31:D$35,'Distance Matrix_Entry'!$CI$5:$CI$9)/SUMIFS('Entry Tariff_1'!D$31:D$35,'Distance Matrix_Entry'!$CI$5:$CI$9,"&gt;0")</f>
        <v>60.278301413594988</v>
      </c>
      <c r="E379" s="55">
        <f>SUMPRODUCT('Entry Tariff_1'!E$31:E$35,'Distance Matrix_Entry'!$CI$5:$CI$9)/SUMIFS('Entry Tariff_1'!E$31:E$35,'Distance Matrix_Entry'!$CI$5:$CI$9,"&gt;0")</f>
        <v>60.278301413594988</v>
      </c>
      <c r="G379"/>
      <c r="H379"/>
      <c r="I379"/>
    </row>
    <row r="380" spans="2:9" ht="14.4" customHeight="1">
      <c r="B380" s="36" t="s">
        <v>208</v>
      </c>
      <c r="C380" s="3" t="s">
        <v>220</v>
      </c>
      <c r="D380" s="55">
        <f>SUMPRODUCT('Entry Tariff_1'!D$31:D$35,'Distance Matrix_Entry'!$CJ$5:$CJ$9)/SUMIFS('Entry Tariff_1'!D$31:D$35,'Distance Matrix_Entry'!$CJ$5:$CJ$9,"&gt;0")</f>
        <v>60.280872842166424</v>
      </c>
      <c r="E380" s="55">
        <f>SUMPRODUCT('Entry Tariff_1'!E$31:E$35,'Distance Matrix_Entry'!$CJ$5:$CJ$9)/SUMIFS('Entry Tariff_1'!E$31:E$35,'Distance Matrix_Entry'!$CJ$5:$CJ$9,"&gt;0")</f>
        <v>60.280872842166424</v>
      </c>
      <c r="G380"/>
      <c r="H380"/>
      <c r="I380"/>
    </row>
    <row r="381" spans="2:9" ht="14.4" customHeight="1">
      <c r="B381" s="36" t="s">
        <v>209</v>
      </c>
      <c r="C381" s="3" t="s">
        <v>220</v>
      </c>
      <c r="D381" s="55">
        <f>SUMPRODUCT('Entry Tariff_1'!D$31:D$35,'Distance Matrix_Entry'!$CK$5:$CK$9)/SUMIFS('Entry Tariff_1'!D$31:D$35,'Distance Matrix_Entry'!$CK$5:$CK$9,"&gt;0")</f>
        <v>63.675158556452125</v>
      </c>
      <c r="E381" s="55">
        <f>SUMPRODUCT('Entry Tariff_1'!E$31:E$35,'Distance Matrix_Entry'!$CK$5:$CK$9)/SUMIFS('Entry Tariff_1'!E$31:E$35,'Distance Matrix_Entry'!$CK$5:$CK$9,"&gt;0")</f>
        <v>63.675158556452125</v>
      </c>
      <c r="G381"/>
      <c r="H381"/>
      <c r="I381"/>
    </row>
    <row r="382" spans="2:9" ht="14.4" customHeight="1">
      <c r="B382" s="36" t="s">
        <v>211</v>
      </c>
      <c r="C382" s="3" t="s">
        <v>220</v>
      </c>
      <c r="D382" s="55">
        <f>SUMPRODUCT('Entry Tariff_1'!D$31:D$35,'Distance Matrix_Entry'!$CL$5:$CL$9)/SUMIFS('Entry Tariff_1'!D$31:D$35,'Distance Matrix_Entry'!$CL$5:$CL$9,"&gt;0")</f>
        <v>60.280872842166424</v>
      </c>
      <c r="E382" s="55">
        <f>SUMPRODUCT('Entry Tariff_1'!E$31:E$35,'Distance Matrix_Entry'!$CL$5:$CL$9)/SUMIFS('Entry Tariff_1'!E$31:E$35,'Distance Matrix_Entry'!$CL$5:$CL$9,"&gt;0")</f>
        <v>60.280872842166424</v>
      </c>
      <c r="G382"/>
      <c r="H382"/>
      <c r="I382"/>
    </row>
    <row r="383" spans="2:9" ht="14.4" customHeight="1">
      <c r="B383" s="36" t="s">
        <v>212</v>
      </c>
      <c r="C383" s="3" t="s">
        <v>220</v>
      </c>
      <c r="D383" s="55">
        <f>SUMPRODUCT('Entry Tariff_1'!D$31:D$35,'Distance Matrix_Entry'!$CM$5:$CM$9)/SUMIFS('Entry Tariff_1'!D$31:D$35,'Distance Matrix_Entry'!$CM$5:$CM$9,"&gt;0")</f>
        <v>43.38859893769375</v>
      </c>
      <c r="E383" s="55">
        <f>SUMPRODUCT('Entry Tariff_1'!E$31:E$35,'Distance Matrix_Entry'!$CM$5:$CM$9)/SUMIFS('Entry Tariff_1'!E$31:E$35,'Distance Matrix_Entry'!$CM$5:$CM$9,"&gt;0")</f>
        <v>43.38859893769375</v>
      </c>
      <c r="G383"/>
      <c r="H383"/>
      <c r="I383"/>
    </row>
    <row r="386" spans="2:12" ht="28.95" customHeight="1">
      <c r="B386" s="32" t="s">
        <v>226</v>
      </c>
      <c r="C386" s="5"/>
      <c r="D386" s="5"/>
      <c r="E386" s="5"/>
    </row>
    <row r="387" spans="2:12" ht="14.4" customHeight="1">
      <c r="B387" s="37"/>
    </row>
    <row r="388" spans="2:12" ht="14.4" customHeight="1">
      <c r="B388" s="9" t="s">
        <v>1</v>
      </c>
      <c r="C388" s="9" t="s">
        <v>214</v>
      </c>
      <c r="D388" s="6"/>
      <c r="E388" s="6"/>
    </row>
    <row r="389" spans="2:12" ht="14.4" customHeight="1">
      <c r="B389" s="25"/>
      <c r="C389" s="25"/>
      <c r="D389" s="23" t="str">
        <f>'Input data'!D$5</f>
        <v>2025-26</v>
      </c>
      <c r="E389" s="23" t="str">
        <f>'Input data'!E$5</f>
        <v>2026-27</v>
      </c>
    </row>
    <row r="390" spans="2:12" ht="14.4" customHeight="1">
      <c r="B390" s="24"/>
      <c r="C390" s="24"/>
      <c r="D390" s="8"/>
      <c r="E390" s="8"/>
    </row>
    <row r="391" spans="2:12" ht="14.4" customHeight="1">
      <c r="B391" s="36" t="s">
        <v>0</v>
      </c>
      <c r="C391" s="3" t="s">
        <v>216</v>
      </c>
      <c r="D391" s="56">
        <f t="shared" ref="D391:E391" si="89">D199*D295/SUMPRODUCT(D$199:D$287,D$295:D$383)</f>
        <v>3.6884728279135949E-2</v>
      </c>
      <c r="E391" s="56">
        <f t="shared" si="89"/>
        <v>3.6884728279135949E-2</v>
      </c>
      <c r="G391"/>
      <c r="H391"/>
      <c r="I391"/>
      <c r="J391"/>
      <c r="K391"/>
      <c r="L391"/>
    </row>
    <row r="392" spans="2:12" ht="14.4" customHeight="1">
      <c r="B392" s="36" t="s">
        <v>215</v>
      </c>
      <c r="C392" s="3" t="s">
        <v>216</v>
      </c>
      <c r="D392" s="56">
        <f t="shared" ref="D392:E392" si="90">D200*D296/SUMPRODUCT(D$199:D$287,D$295:D$383)</f>
        <v>1.9096760794324298E-2</v>
      </c>
      <c r="E392" s="56">
        <f t="shared" si="90"/>
        <v>1.9096760794324298E-2</v>
      </c>
      <c r="G392"/>
      <c r="H392"/>
      <c r="I392"/>
      <c r="J392"/>
      <c r="K392"/>
      <c r="L392"/>
    </row>
    <row r="393" spans="2:12" ht="14.4" customHeight="1">
      <c r="B393" s="36" t="s">
        <v>217</v>
      </c>
      <c r="C393" s="3" t="s">
        <v>14</v>
      </c>
      <c r="D393" s="56">
        <f t="shared" ref="D393:E393" si="91">D201*D297/SUMPRODUCT(D$199:D$287,D$295:D$383)</f>
        <v>0</v>
      </c>
      <c r="E393" s="56">
        <f t="shared" si="91"/>
        <v>0</v>
      </c>
      <c r="G393"/>
      <c r="H393"/>
      <c r="I393"/>
      <c r="J393"/>
      <c r="K393"/>
      <c r="L393"/>
    </row>
    <row r="394" spans="2:12" ht="14.4" customHeight="1">
      <c r="B394" s="36" t="s">
        <v>218</v>
      </c>
      <c r="C394" s="3" t="s">
        <v>15</v>
      </c>
      <c r="D394" s="56">
        <f t="shared" ref="D394:E394" si="92">D202*D298/SUMPRODUCT(D$199:D$287,D$295:D$383)</f>
        <v>1.0705569988906998E-2</v>
      </c>
      <c r="E394" s="56">
        <f t="shared" si="92"/>
        <v>1.0705569988906998E-2</v>
      </c>
      <c r="G394"/>
      <c r="H394"/>
      <c r="I394"/>
      <c r="J394"/>
      <c r="K394"/>
      <c r="L394"/>
    </row>
    <row r="395" spans="2:12" ht="14.4" customHeight="1">
      <c r="B395" s="36" t="s">
        <v>54</v>
      </c>
      <c r="C395" s="3" t="s">
        <v>220</v>
      </c>
      <c r="D395" s="56">
        <f t="shared" ref="D395:E395" si="93">D203*D299/SUMPRODUCT(D$199:D$287,D$295:D$383)</f>
        <v>7.7648727953612978E-4</v>
      </c>
      <c r="E395" s="56">
        <f t="shared" si="93"/>
        <v>7.7648727953612978E-4</v>
      </c>
      <c r="G395"/>
      <c r="H395"/>
      <c r="I395"/>
      <c r="J395"/>
      <c r="K395"/>
      <c r="L395"/>
    </row>
    <row r="396" spans="2:12" ht="14.4" customHeight="1">
      <c r="B396" s="36" t="s">
        <v>56</v>
      </c>
      <c r="C396" s="3" t="s">
        <v>220</v>
      </c>
      <c r="D396" s="56">
        <f t="shared" ref="D396:E396" si="94">D204*D300/SUMPRODUCT(D$199:D$287,D$295:D$383)</f>
        <v>3.4290818953283892E-3</v>
      </c>
      <c r="E396" s="56">
        <f t="shared" si="94"/>
        <v>3.4290818953283892E-3</v>
      </c>
      <c r="G396"/>
      <c r="H396"/>
      <c r="I396"/>
      <c r="J396"/>
      <c r="K396"/>
      <c r="L396"/>
    </row>
    <row r="397" spans="2:12" ht="14.4" customHeight="1">
      <c r="B397" s="36" t="s">
        <v>58</v>
      </c>
      <c r="C397" s="3" t="s">
        <v>220</v>
      </c>
      <c r="D397" s="56">
        <f t="shared" ref="D397:E397" si="95">D205*D301/SUMPRODUCT(D$199:D$287,D$295:D$383)</f>
        <v>1.1015710530918993E-3</v>
      </c>
      <c r="E397" s="56">
        <f t="shared" si="95"/>
        <v>1.1015710530918993E-3</v>
      </c>
      <c r="G397"/>
      <c r="H397"/>
      <c r="I397"/>
      <c r="J397"/>
      <c r="K397"/>
      <c r="L397"/>
    </row>
    <row r="398" spans="2:12" ht="14.4" customHeight="1">
      <c r="B398" s="36" t="s">
        <v>60</v>
      </c>
      <c r="C398" s="3" t="s">
        <v>220</v>
      </c>
      <c r="D398" s="56">
        <f t="shared" ref="D398:E398" si="96">D206*D302/SUMPRODUCT(D$199:D$287,D$295:D$383)</f>
        <v>1.9544383043791553E-3</v>
      </c>
      <c r="E398" s="56">
        <f t="shared" si="96"/>
        <v>1.9544383043791553E-3</v>
      </c>
      <c r="G398"/>
      <c r="H398"/>
      <c r="I398"/>
      <c r="J398"/>
      <c r="K398"/>
      <c r="L398"/>
    </row>
    <row r="399" spans="2:12" ht="14.4" customHeight="1">
      <c r="B399" s="36" t="s">
        <v>61</v>
      </c>
      <c r="C399" s="3" t="s">
        <v>220</v>
      </c>
      <c r="D399" s="56">
        <f t="shared" ref="D399:E399" si="97">D207*D303/SUMPRODUCT(D$199:D$287,D$295:D$383)</f>
        <v>4.6206525686151405E-4</v>
      </c>
      <c r="E399" s="56">
        <f t="shared" si="97"/>
        <v>4.6206525686151405E-4</v>
      </c>
      <c r="G399"/>
      <c r="H399"/>
      <c r="I399"/>
      <c r="J399"/>
      <c r="K399"/>
      <c r="L399"/>
    </row>
    <row r="400" spans="2:12" ht="14.4" customHeight="1">
      <c r="B400" s="36" t="s">
        <v>63</v>
      </c>
      <c r="C400" s="3" t="s">
        <v>220</v>
      </c>
      <c r="D400" s="56">
        <f t="shared" ref="D400:E400" si="98">D208*D304/SUMPRODUCT(D$199:D$287,D$295:D$383)</f>
        <v>1.1147908332111726E-3</v>
      </c>
      <c r="E400" s="56">
        <f t="shared" si="98"/>
        <v>1.1147908332111726E-3</v>
      </c>
      <c r="G400"/>
      <c r="H400"/>
      <c r="I400"/>
      <c r="J400"/>
      <c r="K400"/>
      <c r="L400"/>
    </row>
    <row r="401" spans="2:5" ht="14.4" customHeight="1">
      <c r="B401" s="36" t="s">
        <v>65</v>
      </c>
      <c r="C401" s="3" t="s">
        <v>220</v>
      </c>
      <c r="D401" s="56">
        <f t="shared" ref="D401:E401" si="99">D209*D305/SUMPRODUCT(D$199:D$287,D$295:D$383)</f>
        <v>2.6809667335747586E-3</v>
      </c>
      <c r="E401" s="56">
        <f t="shared" si="99"/>
        <v>2.6809667335747586E-3</v>
      </c>
    </row>
    <row r="402" spans="2:5" ht="14.4" customHeight="1">
      <c r="B402" s="36" t="s">
        <v>67</v>
      </c>
      <c r="C402" s="3" t="s">
        <v>220</v>
      </c>
      <c r="D402" s="56">
        <f t="shared" ref="D402:E402" si="100">D210*D306/SUMPRODUCT(D$199:D$287,D$295:D$383)</f>
        <v>3.4113106221912081E-3</v>
      </c>
      <c r="E402" s="56">
        <f t="shared" si="100"/>
        <v>3.4113106221912081E-3</v>
      </c>
    </row>
    <row r="403" spans="2:5" ht="14.4" customHeight="1">
      <c r="B403" s="36" t="s">
        <v>69</v>
      </c>
      <c r="C403" s="3" t="s">
        <v>220</v>
      </c>
      <c r="D403" s="56">
        <f t="shared" ref="D403:E403" si="101">D211*D307/SUMPRODUCT(D$199:D$287,D$295:D$383)</f>
        <v>2.6346546394526568E-3</v>
      </c>
      <c r="E403" s="56">
        <f t="shared" si="101"/>
        <v>2.6346546394526568E-3</v>
      </c>
    </row>
    <row r="404" spans="2:5" ht="14.4" customHeight="1">
      <c r="B404" s="36" t="s">
        <v>71</v>
      </c>
      <c r="C404" s="3" t="s">
        <v>220</v>
      </c>
      <c r="D404" s="56">
        <f t="shared" ref="D404:E404" si="102">D212*D308/SUMPRODUCT(D$199:D$287,D$295:D$383)</f>
        <v>2.4200276391548051E-2</v>
      </c>
      <c r="E404" s="56">
        <f t="shared" si="102"/>
        <v>2.4200276391548051E-2</v>
      </c>
    </row>
    <row r="405" spans="2:5" ht="14.4" customHeight="1">
      <c r="B405" s="36" t="s">
        <v>73</v>
      </c>
      <c r="C405" s="3" t="s">
        <v>220</v>
      </c>
      <c r="D405" s="56">
        <f t="shared" ref="D405:E405" si="103">D213*D309/SUMPRODUCT(D$199:D$287,D$295:D$383)</f>
        <v>0</v>
      </c>
      <c r="E405" s="56">
        <f t="shared" si="103"/>
        <v>0</v>
      </c>
    </row>
    <row r="406" spans="2:5" ht="14.4" customHeight="1">
      <c r="B406" s="36" t="s">
        <v>75</v>
      </c>
      <c r="C406" s="3" t="s">
        <v>220</v>
      </c>
      <c r="D406" s="56">
        <f t="shared" ref="D406:E406" si="104">D214*D310/SUMPRODUCT(D$199:D$287,D$295:D$383)</f>
        <v>1.2044512598534979E-3</v>
      </c>
      <c r="E406" s="56">
        <f t="shared" si="104"/>
        <v>1.2044512598534979E-3</v>
      </c>
    </row>
    <row r="407" spans="2:5" ht="14.4" customHeight="1">
      <c r="B407" s="36" t="s">
        <v>77</v>
      </c>
      <c r="C407" s="3" t="s">
        <v>220</v>
      </c>
      <c r="D407" s="56">
        <f t="shared" ref="D407:E407" si="105">D215*D311/SUMPRODUCT(D$199:D$287,D$295:D$383)</f>
        <v>5.1249223493040359E-3</v>
      </c>
      <c r="E407" s="56">
        <f t="shared" si="105"/>
        <v>5.1249223493040359E-3</v>
      </c>
    </row>
    <row r="408" spans="2:5" ht="14.4" customHeight="1">
      <c r="B408" s="36" t="s">
        <v>79</v>
      </c>
      <c r="C408" s="3" t="s">
        <v>220</v>
      </c>
      <c r="D408" s="56">
        <f t="shared" ref="D408:E408" si="106">D216*D312/SUMPRODUCT(D$199:D$287,D$295:D$383)</f>
        <v>2.7052637645118946E-3</v>
      </c>
      <c r="E408" s="56">
        <f t="shared" si="106"/>
        <v>2.7052637645118946E-3</v>
      </c>
    </row>
    <row r="409" spans="2:5" ht="14.4" customHeight="1">
      <c r="B409" s="36" t="s">
        <v>81</v>
      </c>
      <c r="C409" s="3" t="s">
        <v>220</v>
      </c>
      <c r="D409" s="56">
        <f t="shared" ref="D409:E409" si="107">D217*D313/SUMPRODUCT(D$199:D$287,D$295:D$383)</f>
        <v>6.1485519426764383E-2</v>
      </c>
      <c r="E409" s="56">
        <f t="shared" si="107"/>
        <v>6.1485519426764383E-2</v>
      </c>
    </row>
    <row r="410" spans="2:5" ht="14.4" customHeight="1">
      <c r="B410" s="36" t="s">
        <v>82</v>
      </c>
      <c r="C410" s="3" t="s">
        <v>220</v>
      </c>
      <c r="D410" s="56">
        <f t="shared" ref="D410:E410" si="108">D218*D314/SUMPRODUCT(D$199:D$287,D$295:D$383)</f>
        <v>1.2269324064892453E-3</v>
      </c>
      <c r="E410" s="56">
        <f t="shared" si="108"/>
        <v>1.2269324064892453E-3</v>
      </c>
    </row>
    <row r="411" spans="2:5" ht="14.4" customHeight="1">
      <c r="B411" s="36" t="s">
        <v>83</v>
      </c>
      <c r="C411" s="3" t="s">
        <v>220</v>
      </c>
      <c r="D411" s="56">
        <f t="shared" ref="D411:E411" si="109">D219*D315/SUMPRODUCT(D$199:D$287,D$295:D$383)</f>
        <v>8.7687451868238462E-4</v>
      </c>
      <c r="E411" s="56">
        <f t="shared" si="109"/>
        <v>8.7687451868238462E-4</v>
      </c>
    </row>
    <row r="412" spans="2:5" ht="14.4" customHeight="1">
      <c r="B412" s="36" t="s">
        <v>85</v>
      </c>
      <c r="C412" s="3" t="s">
        <v>220</v>
      </c>
      <c r="D412" s="56">
        <f t="shared" ref="D412:E412" si="110">D220*D316/SUMPRODUCT(D$199:D$287,D$295:D$383)</f>
        <v>8.0318946347368131E-5</v>
      </c>
      <c r="E412" s="56">
        <f t="shared" si="110"/>
        <v>8.0318946347368131E-5</v>
      </c>
    </row>
    <row r="413" spans="2:5" ht="14.4" customHeight="1">
      <c r="B413" s="36" t="s">
        <v>87</v>
      </c>
      <c r="C413" s="3" t="s">
        <v>220</v>
      </c>
      <c r="D413" s="56">
        <f t="shared" ref="D413:E413" si="111">D221*D317/SUMPRODUCT(D$199:D$287,D$295:D$383)</f>
        <v>0</v>
      </c>
      <c r="E413" s="56">
        <f t="shared" si="111"/>
        <v>0</v>
      </c>
    </row>
    <row r="414" spans="2:5" ht="14.4" customHeight="1">
      <c r="B414" s="36" t="s">
        <v>89</v>
      </c>
      <c r="C414" s="3" t="s">
        <v>220</v>
      </c>
      <c r="D414" s="56">
        <f t="shared" ref="D414:E414" si="112">D222*D318/SUMPRODUCT(D$199:D$287,D$295:D$383)</f>
        <v>3.016480255138127E-3</v>
      </c>
      <c r="E414" s="56">
        <f t="shared" si="112"/>
        <v>3.016480255138127E-3</v>
      </c>
    </row>
    <row r="415" spans="2:5" ht="14.4" customHeight="1">
      <c r="B415" s="36" t="s">
        <v>90</v>
      </c>
      <c r="C415" s="3" t="s">
        <v>220</v>
      </c>
      <c r="D415" s="56">
        <f t="shared" ref="D415:E415" si="113">D223*D319/SUMPRODUCT(D$199:D$287,D$295:D$383)</f>
        <v>1.7031652824274278E-3</v>
      </c>
      <c r="E415" s="56">
        <f t="shared" si="113"/>
        <v>1.7031652824274278E-3</v>
      </c>
    </row>
    <row r="416" spans="2:5" ht="14.4" customHeight="1">
      <c r="B416" s="36" t="s">
        <v>92</v>
      </c>
      <c r="C416" s="3" t="s">
        <v>220</v>
      </c>
      <c r="D416" s="56">
        <f t="shared" ref="D416:E416" si="114">D224*D320/SUMPRODUCT(D$199:D$287,D$295:D$383)</f>
        <v>3.5964227444127174E-3</v>
      </c>
      <c r="E416" s="56">
        <f t="shared" si="114"/>
        <v>3.5964227444127174E-3</v>
      </c>
    </row>
    <row r="417" spans="2:5" ht="14.4" customHeight="1">
      <c r="B417" s="36" t="s">
        <v>94</v>
      </c>
      <c r="C417" s="3" t="s">
        <v>220</v>
      </c>
      <c r="D417" s="56">
        <f t="shared" ref="D417:E417" si="115">D225*D321/SUMPRODUCT(D$199:D$287,D$295:D$383)</f>
        <v>3.8502966262924355E-3</v>
      </c>
      <c r="E417" s="56">
        <f t="shared" si="115"/>
        <v>3.8502966262924355E-3</v>
      </c>
    </row>
    <row r="418" spans="2:5" ht="14.4" customHeight="1">
      <c r="B418" s="36" t="s">
        <v>96</v>
      </c>
      <c r="C418" s="3" t="s">
        <v>220</v>
      </c>
      <c r="D418" s="56">
        <f t="shared" ref="D418:E418" si="116">D226*D322/SUMPRODUCT(D$199:D$287,D$295:D$383)</f>
        <v>1.0138158739695188E-2</v>
      </c>
      <c r="E418" s="56">
        <f t="shared" si="116"/>
        <v>1.0138158739695188E-2</v>
      </c>
    </row>
    <row r="419" spans="2:5" ht="14.4" customHeight="1">
      <c r="B419" s="36" t="s">
        <v>98</v>
      </c>
      <c r="C419" s="3" t="s">
        <v>220</v>
      </c>
      <c r="D419" s="56">
        <f t="shared" ref="D419:E419" si="117">D227*D323/SUMPRODUCT(D$199:D$287,D$295:D$383)</f>
        <v>0</v>
      </c>
      <c r="E419" s="56">
        <f t="shared" si="117"/>
        <v>0</v>
      </c>
    </row>
    <row r="420" spans="2:5" ht="14.4" customHeight="1">
      <c r="B420" s="36" t="s">
        <v>100</v>
      </c>
      <c r="C420" s="3" t="s">
        <v>220</v>
      </c>
      <c r="D420" s="56">
        <f t="shared" ref="D420:E420" si="118">D228*D324/SUMPRODUCT(D$199:D$287,D$295:D$383)</f>
        <v>2.6848937751822174E-2</v>
      </c>
      <c r="E420" s="56">
        <f t="shared" si="118"/>
        <v>2.6848937751822174E-2</v>
      </c>
    </row>
    <row r="421" spans="2:5" ht="14.4" customHeight="1">
      <c r="B421" s="36" t="s">
        <v>102</v>
      </c>
      <c r="C421" s="3" t="s">
        <v>220</v>
      </c>
      <c r="D421" s="56">
        <f t="shared" ref="D421:E421" si="119">D229*D325/SUMPRODUCT(D$199:D$287,D$295:D$383)</f>
        <v>0</v>
      </c>
      <c r="E421" s="56">
        <f t="shared" si="119"/>
        <v>0</v>
      </c>
    </row>
    <row r="422" spans="2:5" ht="14.4" customHeight="1">
      <c r="B422" s="36" t="s">
        <v>103</v>
      </c>
      <c r="C422" s="3" t="s">
        <v>220</v>
      </c>
      <c r="D422" s="56">
        <f t="shared" ref="D422:E422" si="120">D230*D326/SUMPRODUCT(D$199:D$287,D$295:D$383)</f>
        <v>0.10313857613308954</v>
      </c>
      <c r="E422" s="56">
        <f t="shared" si="120"/>
        <v>0.10313857613308954</v>
      </c>
    </row>
    <row r="423" spans="2:5" ht="14.4" customHeight="1">
      <c r="B423" s="36" t="s">
        <v>105</v>
      </c>
      <c r="C423" s="3" t="s">
        <v>220</v>
      </c>
      <c r="D423" s="56">
        <f t="shared" ref="D423:E423" si="121">D231*D327/SUMPRODUCT(D$199:D$287,D$295:D$383)</f>
        <v>3.295623246291372E-3</v>
      </c>
      <c r="E423" s="56">
        <f t="shared" si="121"/>
        <v>3.295623246291372E-3</v>
      </c>
    </row>
    <row r="424" spans="2:5" ht="14.4" customHeight="1">
      <c r="B424" s="36" t="s">
        <v>107</v>
      </c>
      <c r="C424" s="3" t="s">
        <v>220</v>
      </c>
      <c r="D424" s="56">
        <f t="shared" ref="D424:E424" si="122">D232*D328/SUMPRODUCT(D$199:D$287,D$295:D$383)</f>
        <v>0</v>
      </c>
      <c r="E424" s="56">
        <f t="shared" si="122"/>
        <v>0</v>
      </c>
    </row>
    <row r="425" spans="2:5" ht="14.4" customHeight="1">
      <c r="B425" s="36" t="s">
        <v>108</v>
      </c>
      <c r="C425" s="3" t="s">
        <v>220</v>
      </c>
      <c r="D425" s="56">
        <f t="shared" ref="D425:E425" si="123">D233*D329/SUMPRODUCT(D$199:D$287,D$295:D$383)</f>
        <v>1.3241096302702763E-4</v>
      </c>
      <c r="E425" s="56">
        <f t="shared" si="123"/>
        <v>1.3241096302702763E-4</v>
      </c>
    </row>
    <row r="426" spans="2:5" ht="14.4" customHeight="1">
      <c r="B426" s="36" t="s">
        <v>110</v>
      </c>
      <c r="C426" s="3" t="s">
        <v>220</v>
      </c>
      <c r="D426" s="56">
        <f t="shared" ref="D426:E426" si="124">D234*D330/SUMPRODUCT(D$199:D$287,D$295:D$383)</f>
        <v>4.8316819603304246E-3</v>
      </c>
      <c r="E426" s="56">
        <f t="shared" si="124"/>
        <v>4.8316819603304246E-3</v>
      </c>
    </row>
    <row r="427" spans="2:5" ht="14.4" customHeight="1">
      <c r="B427" s="36" t="s">
        <v>112</v>
      </c>
      <c r="C427" s="3" t="s">
        <v>220</v>
      </c>
      <c r="D427" s="56">
        <f t="shared" ref="D427:E427" si="125">D235*D331/SUMPRODUCT(D$199:D$287,D$295:D$383)</f>
        <v>1.3580669404101569E-3</v>
      </c>
      <c r="E427" s="56">
        <f t="shared" si="125"/>
        <v>1.3580669404101569E-3</v>
      </c>
    </row>
    <row r="428" spans="2:5" ht="14.4" customHeight="1">
      <c r="B428" s="36" t="s">
        <v>114</v>
      </c>
      <c r="C428" s="3" t="s">
        <v>220</v>
      </c>
      <c r="D428" s="56">
        <f t="shared" ref="D428:E428" si="126">D236*D332/SUMPRODUCT(D$199:D$287,D$295:D$383)</f>
        <v>0</v>
      </c>
      <c r="E428" s="56">
        <f t="shared" si="126"/>
        <v>0</v>
      </c>
    </row>
    <row r="429" spans="2:5" ht="14.4" customHeight="1">
      <c r="B429" s="36" t="s">
        <v>116</v>
      </c>
      <c r="C429" s="3" t="s">
        <v>220</v>
      </c>
      <c r="D429" s="56">
        <f t="shared" ref="D429:E429" si="127">D237*D333/SUMPRODUCT(D$199:D$287,D$295:D$383)</f>
        <v>3.4426024452462976E-3</v>
      </c>
      <c r="E429" s="56">
        <f t="shared" si="127"/>
        <v>3.4426024452462976E-3</v>
      </c>
    </row>
    <row r="430" spans="2:5" ht="14.4" customHeight="1">
      <c r="B430" s="36" t="s">
        <v>118</v>
      </c>
      <c r="C430" s="3" t="s">
        <v>220</v>
      </c>
      <c r="D430" s="56">
        <f t="shared" ref="D430:E430" si="128">D238*D334/SUMPRODUCT(D$199:D$287,D$295:D$383)</f>
        <v>0</v>
      </c>
      <c r="E430" s="56">
        <f t="shared" si="128"/>
        <v>0</v>
      </c>
    </row>
    <row r="431" spans="2:5" ht="14.4" customHeight="1">
      <c r="B431" s="36" t="s">
        <v>120</v>
      </c>
      <c r="C431" s="3" t="s">
        <v>220</v>
      </c>
      <c r="D431" s="56">
        <f t="shared" ref="D431:E431" si="129">D239*D335/SUMPRODUCT(D$199:D$287,D$295:D$383)</f>
        <v>1.6059517266254651E-3</v>
      </c>
      <c r="E431" s="56">
        <f t="shared" si="129"/>
        <v>1.6059517266254651E-3</v>
      </c>
    </row>
    <row r="432" spans="2:5" ht="14.4" customHeight="1">
      <c r="B432" s="36" t="s">
        <v>122</v>
      </c>
      <c r="C432" s="3" t="s">
        <v>220</v>
      </c>
      <c r="D432" s="56">
        <f t="shared" ref="D432:E432" si="130">D240*D336/SUMPRODUCT(D$199:D$287,D$295:D$383)</f>
        <v>4.6365222028878017E-3</v>
      </c>
      <c r="E432" s="56">
        <f t="shared" si="130"/>
        <v>4.6365222028878017E-3</v>
      </c>
    </row>
    <row r="433" spans="2:5" ht="14.4" customHeight="1">
      <c r="B433" s="36" t="s">
        <v>124</v>
      </c>
      <c r="C433" s="3" t="s">
        <v>220</v>
      </c>
      <c r="D433" s="56">
        <f t="shared" ref="D433:E433" si="131">D241*D337/SUMPRODUCT(D$199:D$287,D$295:D$383)</f>
        <v>1.0125625941137993E-2</v>
      </c>
      <c r="E433" s="56">
        <f t="shared" si="131"/>
        <v>1.0125625941137993E-2</v>
      </c>
    </row>
    <row r="434" spans="2:5" ht="14.4" customHeight="1">
      <c r="B434" s="36" t="s">
        <v>126</v>
      </c>
      <c r="C434" s="3" t="s">
        <v>220</v>
      </c>
      <c r="D434" s="56">
        <f t="shared" ref="D434:E434" si="132">D242*D338/SUMPRODUCT(D$199:D$287,D$295:D$383)</f>
        <v>2.65544577788589E-3</v>
      </c>
      <c r="E434" s="56">
        <f t="shared" si="132"/>
        <v>2.65544577788589E-3</v>
      </c>
    </row>
    <row r="435" spans="2:5" ht="14.4" customHeight="1">
      <c r="B435" s="36" t="s">
        <v>128</v>
      </c>
      <c r="C435" s="3" t="s">
        <v>220</v>
      </c>
      <c r="D435" s="56">
        <f t="shared" ref="D435:E435" si="133">D243*D339/SUMPRODUCT(D$199:D$287,D$295:D$383)</f>
        <v>1.0208232166326905E-2</v>
      </c>
      <c r="E435" s="56">
        <f t="shared" si="133"/>
        <v>1.0208232166326905E-2</v>
      </c>
    </row>
    <row r="436" spans="2:5" ht="14.4" customHeight="1">
      <c r="B436" s="36" t="s">
        <v>130</v>
      </c>
      <c r="C436" s="3" t="s">
        <v>220</v>
      </c>
      <c r="D436" s="56">
        <f t="shared" ref="D436:E436" si="134">D244*D340/SUMPRODUCT(D$199:D$287,D$295:D$383)</f>
        <v>7.6244579820091132E-3</v>
      </c>
      <c r="E436" s="56">
        <f t="shared" si="134"/>
        <v>7.6244579820091132E-3</v>
      </c>
    </row>
    <row r="437" spans="2:5" ht="14.4" customHeight="1">
      <c r="B437" s="36" t="s">
        <v>131</v>
      </c>
      <c r="C437" s="3" t="s">
        <v>220</v>
      </c>
      <c r="D437" s="56">
        <f t="shared" ref="D437:E437" si="135">D245*D341/SUMPRODUCT(D$199:D$287,D$295:D$383)</f>
        <v>2.4540303459992746E-4</v>
      </c>
      <c r="E437" s="56">
        <f t="shared" si="135"/>
        <v>2.4540303459992746E-4</v>
      </c>
    </row>
    <row r="438" spans="2:5" ht="14.4" customHeight="1">
      <c r="B438" s="36" t="s">
        <v>133</v>
      </c>
      <c r="C438" s="3" t="s">
        <v>220</v>
      </c>
      <c r="D438" s="56">
        <f t="shared" ref="D438:E438" si="136">D246*D342/SUMPRODUCT(D$199:D$287,D$295:D$383)</f>
        <v>1.061572896741934E-2</v>
      </c>
      <c r="E438" s="56">
        <f t="shared" si="136"/>
        <v>1.061572896741934E-2</v>
      </c>
    </row>
    <row r="439" spans="2:5" ht="14.4" customHeight="1">
      <c r="B439" s="36" t="s">
        <v>135</v>
      </c>
      <c r="C439" s="3" t="s">
        <v>220</v>
      </c>
      <c r="D439" s="56">
        <f t="shared" ref="D439:E439" si="137">D247*D343/SUMPRODUCT(D$199:D$287,D$295:D$383)</f>
        <v>8.249777377108589E-3</v>
      </c>
      <c r="E439" s="56">
        <f t="shared" si="137"/>
        <v>8.249777377108589E-3</v>
      </c>
    </row>
    <row r="440" spans="2:5" ht="14.4" customHeight="1">
      <c r="B440" s="36" t="s">
        <v>136</v>
      </c>
      <c r="C440" s="3" t="s">
        <v>220</v>
      </c>
      <c r="D440" s="56">
        <f t="shared" ref="D440:E440" si="138">D248*D344/SUMPRODUCT(D$199:D$287,D$295:D$383)</f>
        <v>1.410372947993108E-2</v>
      </c>
      <c r="E440" s="56">
        <f t="shared" si="138"/>
        <v>1.410372947993108E-2</v>
      </c>
    </row>
    <row r="441" spans="2:5" ht="14.4" customHeight="1">
      <c r="B441" s="36" t="s">
        <v>138</v>
      </c>
      <c r="C441" s="3" t="s">
        <v>220</v>
      </c>
      <c r="D441" s="56">
        <f t="shared" ref="D441:E441" si="139">D249*D345/SUMPRODUCT(D$199:D$287,D$295:D$383)</f>
        <v>3.3255708261449237E-3</v>
      </c>
      <c r="E441" s="56">
        <f t="shared" si="139"/>
        <v>3.3255708261449237E-3</v>
      </c>
    </row>
    <row r="442" spans="2:5" ht="14.4" customHeight="1">
      <c r="B442" s="36" t="s">
        <v>140</v>
      </c>
      <c r="C442" s="3" t="s">
        <v>220</v>
      </c>
      <c r="D442" s="56">
        <f t="shared" ref="D442:E442" si="140">D250*D346/SUMPRODUCT(D$199:D$287,D$295:D$383)</f>
        <v>7.4238645811703224E-3</v>
      </c>
      <c r="E442" s="56">
        <f t="shared" si="140"/>
        <v>7.4238645811703224E-3</v>
      </c>
    </row>
    <row r="443" spans="2:5" ht="14.4" customHeight="1">
      <c r="B443" s="36" t="s">
        <v>142</v>
      </c>
      <c r="C443" s="3" t="s">
        <v>220</v>
      </c>
      <c r="D443" s="56">
        <f t="shared" ref="D443:E443" si="141">D251*D347/SUMPRODUCT(D$199:D$287,D$295:D$383)</f>
        <v>6.4600960362422325E-3</v>
      </c>
      <c r="E443" s="56">
        <f t="shared" si="141"/>
        <v>6.4600960362422325E-3</v>
      </c>
    </row>
    <row r="444" spans="2:5" ht="14.4" customHeight="1">
      <c r="B444" s="36" t="s">
        <v>144</v>
      </c>
      <c r="C444" s="3" t="s">
        <v>220</v>
      </c>
      <c r="D444" s="56">
        <f t="shared" ref="D444:E444" si="142">D252*D348/SUMPRODUCT(D$199:D$287,D$295:D$383)</f>
        <v>0.17376495733587735</v>
      </c>
      <c r="E444" s="56">
        <f t="shared" si="142"/>
        <v>0.17376495733587735</v>
      </c>
    </row>
    <row r="445" spans="2:5" ht="14.4" customHeight="1">
      <c r="B445" s="36" t="s">
        <v>146</v>
      </c>
      <c r="C445" s="3" t="s">
        <v>220</v>
      </c>
      <c r="D445" s="56">
        <f t="shared" ref="D445:E445" si="143">D253*D349/SUMPRODUCT(D$199:D$287,D$295:D$383)</f>
        <v>2.1669742088051655E-2</v>
      </c>
      <c r="E445" s="56">
        <f t="shared" si="143"/>
        <v>2.1669742088051655E-2</v>
      </c>
    </row>
    <row r="446" spans="2:5" ht="14.4" customHeight="1">
      <c r="B446" s="36" t="s">
        <v>148</v>
      </c>
      <c r="C446" s="3" t="s">
        <v>220</v>
      </c>
      <c r="D446" s="56">
        <f t="shared" ref="D446:E446" si="144">D254*D350/SUMPRODUCT(D$199:D$287,D$295:D$383)</f>
        <v>1.8862192102006053E-2</v>
      </c>
      <c r="E446" s="56">
        <f t="shared" si="144"/>
        <v>1.8862192102006053E-2</v>
      </c>
    </row>
    <row r="447" spans="2:5" ht="14.4" customHeight="1">
      <c r="B447" s="36" t="s">
        <v>150</v>
      </c>
      <c r="C447" s="3" t="s">
        <v>220</v>
      </c>
      <c r="D447" s="56">
        <f t="shared" ref="D447:E447" si="145">D255*D351/SUMPRODUCT(D$199:D$287,D$295:D$383)</f>
        <v>5.6803954056833007E-2</v>
      </c>
      <c r="E447" s="56">
        <f t="shared" si="145"/>
        <v>5.6803954056833007E-2</v>
      </c>
    </row>
    <row r="448" spans="2:5" ht="14.4" customHeight="1">
      <c r="B448" s="36" t="s">
        <v>152</v>
      </c>
      <c r="C448" s="3" t="s">
        <v>220</v>
      </c>
      <c r="D448" s="56">
        <f t="shared" ref="D448:E448" si="146">D256*D352/SUMPRODUCT(D$199:D$287,D$295:D$383)</f>
        <v>3.7758380453433771E-2</v>
      </c>
      <c r="E448" s="56">
        <f t="shared" si="146"/>
        <v>3.7758380453433771E-2</v>
      </c>
    </row>
    <row r="449" spans="2:5" ht="14.4" customHeight="1">
      <c r="B449" s="36" t="s">
        <v>154</v>
      </c>
      <c r="C449" s="3" t="s">
        <v>220</v>
      </c>
      <c r="D449" s="56">
        <f t="shared" ref="D449:E449" si="147">D257*D353/SUMPRODUCT(D$199:D$287,D$295:D$383)</f>
        <v>3.5408471935997679E-2</v>
      </c>
      <c r="E449" s="56">
        <f t="shared" si="147"/>
        <v>3.5408471935997679E-2</v>
      </c>
    </row>
    <row r="450" spans="2:5" ht="14.4" customHeight="1">
      <c r="B450" s="36" t="s">
        <v>156</v>
      </c>
      <c r="C450" s="3" t="s">
        <v>220</v>
      </c>
      <c r="D450" s="56">
        <f t="shared" ref="D450:E450" si="148">D258*D354/SUMPRODUCT(D$199:D$287,D$295:D$383)</f>
        <v>4.5770411978029732E-3</v>
      </c>
      <c r="E450" s="56">
        <f t="shared" si="148"/>
        <v>4.5770411978029732E-3</v>
      </c>
    </row>
    <row r="451" spans="2:5" ht="14.4" customHeight="1">
      <c r="B451" s="36" t="s">
        <v>158</v>
      </c>
      <c r="C451" s="3" t="s">
        <v>220</v>
      </c>
      <c r="D451" s="56">
        <f t="shared" ref="D451:E451" si="149">D259*D355/SUMPRODUCT(D$199:D$287,D$295:D$383)</f>
        <v>1.9886574088353974E-2</v>
      </c>
      <c r="E451" s="56">
        <f t="shared" si="149"/>
        <v>1.9886574088353974E-2</v>
      </c>
    </row>
    <row r="452" spans="2:5" ht="14.4" customHeight="1">
      <c r="B452" s="36" t="s">
        <v>160</v>
      </c>
      <c r="C452" s="3" t="s">
        <v>220</v>
      </c>
      <c r="D452" s="56">
        <f t="shared" ref="D452:E452" si="150">D260*D356/SUMPRODUCT(D$199:D$287,D$295:D$383)</f>
        <v>2.8215459648809463E-2</v>
      </c>
      <c r="E452" s="56">
        <f t="shared" si="150"/>
        <v>2.8215459648809463E-2</v>
      </c>
    </row>
    <row r="453" spans="2:5" ht="14.4" customHeight="1">
      <c r="B453" s="36" t="s">
        <v>162</v>
      </c>
      <c r="C453" s="3" t="s">
        <v>220</v>
      </c>
      <c r="D453" s="56">
        <f t="shared" ref="D453:E453" si="151">D261*D357/SUMPRODUCT(D$199:D$287,D$295:D$383)</f>
        <v>2.968105764933189E-4</v>
      </c>
      <c r="E453" s="56">
        <f t="shared" si="151"/>
        <v>2.968105764933189E-4</v>
      </c>
    </row>
    <row r="454" spans="2:5" ht="14.4" customHeight="1">
      <c r="B454" s="36" t="s">
        <v>164</v>
      </c>
      <c r="C454" s="3" t="s">
        <v>220</v>
      </c>
      <c r="D454" s="56">
        <f t="shared" ref="D454:E454" si="152">D262*D358/SUMPRODUCT(D$199:D$287,D$295:D$383)</f>
        <v>1.0644496546508165E-3</v>
      </c>
      <c r="E454" s="56">
        <f t="shared" si="152"/>
        <v>1.0644496546508165E-3</v>
      </c>
    </row>
    <row r="455" spans="2:5" ht="14.4" customHeight="1">
      <c r="B455" s="36" t="s">
        <v>166</v>
      </c>
      <c r="C455" s="3" t="s">
        <v>220</v>
      </c>
      <c r="D455" s="56">
        <f t="shared" ref="D455:E455" si="153">D263*D359/SUMPRODUCT(D$199:D$287,D$295:D$383)</f>
        <v>8.2405463237575599E-4</v>
      </c>
      <c r="E455" s="56">
        <f t="shared" si="153"/>
        <v>8.2405463237575599E-4</v>
      </c>
    </row>
    <row r="456" spans="2:5" ht="14.4" customHeight="1">
      <c r="B456" s="36" t="s">
        <v>168</v>
      </c>
      <c r="C456" s="3" t="s">
        <v>220</v>
      </c>
      <c r="D456" s="56">
        <f t="shared" ref="D456:E456" si="154">D264*D360/SUMPRODUCT(D$199:D$287,D$295:D$383)</f>
        <v>2.2800240075384788E-4</v>
      </c>
      <c r="E456" s="56">
        <f t="shared" si="154"/>
        <v>2.2800240075384788E-4</v>
      </c>
    </row>
    <row r="457" spans="2:5" ht="14.4" customHeight="1">
      <c r="B457" s="36" t="s">
        <v>170</v>
      </c>
      <c r="C457" s="3" t="s">
        <v>220</v>
      </c>
      <c r="D457" s="56">
        <f t="shared" ref="D457:E457" si="155">D265*D361/SUMPRODUCT(D$199:D$287,D$295:D$383)</f>
        <v>7.5934780232232084E-4</v>
      </c>
      <c r="E457" s="56">
        <f t="shared" si="155"/>
        <v>7.5934780232232084E-4</v>
      </c>
    </row>
    <row r="458" spans="2:5" ht="14.4" customHeight="1">
      <c r="B458" s="36" t="s">
        <v>172</v>
      </c>
      <c r="C458" s="3" t="s">
        <v>220</v>
      </c>
      <c r="D458" s="56">
        <f t="shared" ref="D458:E458" si="156">D266*D362/SUMPRODUCT(D$199:D$287,D$295:D$383)</f>
        <v>0.11148274974478657</v>
      </c>
      <c r="E458" s="56">
        <f t="shared" si="156"/>
        <v>0.11148274974478657</v>
      </c>
    </row>
    <row r="459" spans="2:5" ht="14.4" customHeight="1">
      <c r="B459" s="36" t="s">
        <v>174</v>
      </c>
      <c r="C459" s="3" t="s">
        <v>220</v>
      </c>
      <c r="D459" s="56">
        <f t="shared" ref="D459:E459" si="157">D267*D363/SUMPRODUCT(D$199:D$287,D$295:D$383)</f>
        <v>1.6457956813046742E-3</v>
      </c>
      <c r="E459" s="56">
        <f t="shared" si="157"/>
        <v>1.6457956813046742E-3</v>
      </c>
    </row>
    <row r="460" spans="2:5" ht="14.4" customHeight="1">
      <c r="B460" s="36" t="s">
        <v>176</v>
      </c>
      <c r="C460" s="3" t="s">
        <v>220</v>
      </c>
      <c r="D460" s="56">
        <f t="shared" ref="D460:E460" si="158">D268*D364/SUMPRODUCT(D$199:D$287,D$295:D$383)</f>
        <v>8.4299539744392121E-3</v>
      </c>
      <c r="E460" s="56">
        <f t="shared" si="158"/>
        <v>8.4299539744392121E-3</v>
      </c>
    </row>
    <row r="461" spans="2:5" ht="14.4" customHeight="1">
      <c r="B461" s="36" t="s">
        <v>178</v>
      </c>
      <c r="C461" s="3" t="s">
        <v>220</v>
      </c>
      <c r="D461" s="56">
        <f t="shared" ref="D461:E461" si="159">D269*D365/SUMPRODUCT(D$199:D$287,D$295:D$383)</f>
        <v>1.5814923442599416E-3</v>
      </c>
      <c r="E461" s="56">
        <f t="shared" si="159"/>
        <v>1.5814923442599416E-3</v>
      </c>
    </row>
    <row r="462" spans="2:5" ht="14.4" customHeight="1">
      <c r="B462" s="36" t="s">
        <v>180</v>
      </c>
      <c r="C462" s="3" t="s">
        <v>220</v>
      </c>
      <c r="D462" s="56">
        <f t="shared" ref="D462:E462" si="160">D270*D366/SUMPRODUCT(D$199:D$287,D$295:D$383)</f>
        <v>4.0484991323711901E-3</v>
      </c>
      <c r="E462" s="56">
        <f t="shared" si="160"/>
        <v>4.0484991323711901E-3</v>
      </c>
    </row>
    <row r="463" spans="2:5" ht="14.4" customHeight="1">
      <c r="B463" s="36" t="s">
        <v>182</v>
      </c>
      <c r="C463" s="3" t="s">
        <v>220</v>
      </c>
      <c r="D463" s="56">
        <f t="shared" ref="D463:E463" si="161">D271*D367/SUMPRODUCT(D$199:D$287,D$295:D$383)</f>
        <v>2.0733328016965284E-3</v>
      </c>
      <c r="E463" s="56">
        <f t="shared" si="161"/>
        <v>2.0733328016965284E-3</v>
      </c>
    </row>
    <row r="464" spans="2:5" ht="14.4" customHeight="1">
      <c r="B464" s="36" t="s">
        <v>184</v>
      </c>
      <c r="C464" s="3" t="s">
        <v>220</v>
      </c>
      <c r="D464" s="56">
        <f t="shared" ref="D464:E464" si="162">D272*D368/SUMPRODUCT(D$199:D$287,D$295:D$383)</f>
        <v>8.5825108869873028E-3</v>
      </c>
      <c r="E464" s="56">
        <f t="shared" si="162"/>
        <v>8.5825108869873028E-3</v>
      </c>
    </row>
    <row r="465" spans="2:5" ht="14.4" customHeight="1">
      <c r="B465" s="36" t="s">
        <v>186</v>
      </c>
      <c r="C465" s="3" t="s">
        <v>220</v>
      </c>
      <c r="D465" s="56">
        <f t="shared" ref="D465:E465" si="163">D273*D369/SUMPRODUCT(D$199:D$287,D$295:D$383)</f>
        <v>1.398759188248879E-3</v>
      </c>
      <c r="E465" s="56">
        <f t="shared" si="163"/>
        <v>1.398759188248879E-3</v>
      </c>
    </row>
    <row r="466" spans="2:5" ht="14.4" customHeight="1">
      <c r="B466" s="36" t="s">
        <v>188</v>
      </c>
      <c r="C466" s="3" t="s">
        <v>220</v>
      </c>
      <c r="D466" s="56">
        <f t="shared" ref="D466:E466" si="164">D274*D370/SUMPRODUCT(D$199:D$287,D$295:D$383)</f>
        <v>3.9903138422523761E-4</v>
      </c>
      <c r="E466" s="56">
        <f t="shared" si="164"/>
        <v>3.9903138422523761E-4</v>
      </c>
    </row>
    <row r="467" spans="2:5" ht="14.4" customHeight="1">
      <c r="B467" s="36" t="s">
        <v>190</v>
      </c>
      <c r="C467" s="3" t="s">
        <v>220</v>
      </c>
      <c r="D467" s="56">
        <f t="shared" ref="D467:E467" si="165">D275*D371/SUMPRODUCT(D$199:D$287,D$295:D$383)</f>
        <v>2.1724719604019759E-3</v>
      </c>
      <c r="E467" s="56">
        <f t="shared" si="165"/>
        <v>2.1724719604019759E-3</v>
      </c>
    </row>
    <row r="468" spans="2:5" ht="14.4" customHeight="1">
      <c r="B468" s="36" t="s">
        <v>192</v>
      </c>
      <c r="C468" s="3" t="s">
        <v>220</v>
      </c>
      <c r="D468" s="56">
        <f t="shared" ref="D468:E468" si="166">D276*D372/SUMPRODUCT(D$199:D$287,D$295:D$383)</f>
        <v>2.0515882064111573E-3</v>
      </c>
      <c r="E468" s="56">
        <f t="shared" si="166"/>
        <v>2.0515882064111573E-3</v>
      </c>
    </row>
    <row r="469" spans="2:5" ht="14.4" customHeight="1">
      <c r="B469" s="36" t="s">
        <v>194</v>
      </c>
      <c r="C469" s="3" t="s">
        <v>220</v>
      </c>
      <c r="D469" s="56">
        <f t="shared" ref="D469:E469" si="167">D277*D373/SUMPRODUCT(D$199:D$287,D$295:D$383)</f>
        <v>1.0692990455116091E-3</v>
      </c>
      <c r="E469" s="56">
        <f t="shared" si="167"/>
        <v>1.0692990455116091E-3</v>
      </c>
    </row>
    <row r="470" spans="2:5" ht="14.4" customHeight="1">
      <c r="B470" s="36" t="s">
        <v>196</v>
      </c>
      <c r="C470" s="3" t="s">
        <v>220</v>
      </c>
      <c r="D470" s="56">
        <f t="shared" ref="D470:E470" si="168">D278*D374/SUMPRODUCT(D$199:D$287,D$295:D$383)</f>
        <v>6.4921852261399582E-4</v>
      </c>
      <c r="E470" s="56">
        <f t="shared" si="168"/>
        <v>6.4921852261399582E-4</v>
      </c>
    </row>
    <row r="471" spans="2:5" ht="14.4" customHeight="1">
      <c r="B471" s="36" t="s">
        <v>198</v>
      </c>
      <c r="C471" s="3" t="s">
        <v>220</v>
      </c>
      <c r="D471" s="56">
        <f t="shared" ref="D471:E471" si="169">D279*D375/SUMPRODUCT(D$199:D$287,D$295:D$383)</f>
        <v>8.1359893633150898E-4</v>
      </c>
      <c r="E471" s="56">
        <f t="shared" si="169"/>
        <v>8.1359893633150898E-4</v>
      </c>
    </row>
    <row r="472" spans="2:5" ht="14.4" customHeight="1">
      <c r="B472" s="36" t="s">
        <v>200</v>
      </c>
      <c r="C472" s="3" t="s">
        <v>220</v>
      </c>
      <c r="D472" s="56">
        <f t="shared" ref="D472:E472" si="170">D280*D376/SUMPRODUCT(D$199:D$287,D$295:D$383)</f>
        <v>2.8355338726704935E-3</v>
      </c>
      <c r="E472" s="56">
        <f t="shared" si="170"/>
        <v>2.8355338726704935E-3</v>
      </c>
    </row>
    <row r="473" spans="2:5" ht="14.4" customHeight="1">
      <c r="B473" s="36" t="s">
        <v>202</v>
      </c>
      <c r="C473" s="3" t="s">
        <v>220</v>
      </c>
      <c r="D473" s="56">
        <f t="shared" ref="D473:E473" si="171">D281*D377/SUMPRODUCT(D$199:D$287,D$295:D$383)</f>
        <v>3.5648411087502246E-3</v>
      </c>
      <c r="E473" s="56">
        <f t="shared" si="171"/>
        <v>3.5648411087502246E-3</v>
      </c>
    </row>
    <row r="474" spans="2:5" ht="14.4" customHeight="1">
      <c r="B474" s="36" t="s">
        <v>204</v>
      </c>
      <c r="C474" s="3" t="s">
        <v>220</v>
      </c>
      <c r="D474" s="56">
        <f t="shared" ref="D474:E474" si="172">D282*D378/SUMPRODUCT(D$199:D$287,D$295:D$383)</f>
        <v>5.9706106598161465E-3</v>
      </c>
      <c r="E474" s="56">
        <f t="shared" si="172"/>
        <v>5.9706106598161465E-3</v>
      </c>
    </row>
    <row r="475" spans="2:5" ht="14.4" customHeight="1">
      <c r="B475" s="36" t="s">
        <v>206</v>
      </c>
      <c r="C475" s="3" t="s">
        <v>220</v>
      </c>
      <c r="D475" s="56">
        <f t="shared" ref="D475:E475" si="173">D283*D379/SUMPRODUCT(D$199:D$287,D$295:D$383)</f>
        <v>3.2485928494514287E-3</v>
      </c>
      <c r="E475" s="56">
        <f t="shared" si="173"/>
        <v>3.2485928494514287E-3</v>
      </c>
    </row>
    <row r="476" spans="2:5" ht="14.4" customHeight="1">
      <c r="B476" s="36" t="s">
        <v>208</v>
      </c>
      <c r="C476" s="3" t="s">
        <v>220</v>
      </c>
      <c r="D476" s="56">
        <f t="shared" ref="D476:E476" si="174">D284*D380/SUMPRODUCT(D$199:D$287,D$295:D$383)</f>
        <v>1.3699249549548572E-3</v>
      </c>
      <c r="E476" s="56">
        <f t="shared" si="174"/>
        <v>1.3699249549548572E-3</v>
      </c>
    </row>
    <row r="477" spans="2:5" ht="14.4" customHeight="1">
      <c r="B477" s="36" t="s">
        <v>209</v>
      </c>
      <c r="C477" s="3" t="s">
        <v>220</v>
      </c>
      <c r="D477" s="56">
        <f t="shared" ref="D477:E477" si="175">D285*D381/SUMPRODUCT(D$199:D$287,D$295:D$383)</f>
        <v>3.5733479125720474E-5</v>
      </c>
      <c r="E477" s="56">
        <f t="shared" si="175"/>
        <v>3.5733479125720474E-5</v>
      </c>
    </row>
    <row r="478" spans="2:5" ht="14.4" customHeight="1">
      <c r="B478" s="36" t="s">
        <v>211</v>
      </c>
      <c r="C478" s="3" t="s">
        <v>220</v>
      </c>
      <c r="D478" s="56">
        <f t="shared" ref="D478:E478" si="176">D286*D382/SUMPRODUCT(D$199:D$287,D$295:D$383)</f>
        <v>2.6600685715306035E-3</v>
      </c>
      <c r="E478" s="56">
        <f t="shared" si="176"/>
        <v>2.6600685715306035E-3</v>
      </c>
    </row>
    <row r="479" spans="2:5" ht="14.4" customHeight="1">
      <c r="B479" s="36" t="s">
        <v>212</v>
      </c>
      <c r="C479" s="3" t="s">
        <v>220</v>
      </c>
      <c r="D479" s="56">
        <f t="shared" ref="D479:E479" si="177">D287*D383/SUMPRODUCT(D$199:D$287,D$295:D$383)</f>
        <v>7.1407891816235525E-6</v>
      </c>
      <c r="E479" s="56">
        <f t="shared" si="177"/>
        <v>7.1407891816235525E-6</v>
      </c>
    </row>
    <row r="482" spans="2:13" ht="28.95" customHeight="1">
      <c r="B482" s="32" t="s">
        <v>608</v>
      </c>
      <c r="C482" s="5"/>
      <c r="D482" s="5"/>
      <c r="E482" s="5"/>
    </row>
    <row r="483" spans="2:13" ht="14.4" customHeight="1">
      <c r="B483" s="37"/>
    </row>
    <row r="484" spans="2:13" ht="14.4" customHeight="1">
      <c r="B484" s="9" t="s">
        <v>1</v>
      </c>
      <c r="C484" s="9" t="s">
        <v>214</v>
      </c>
      <c r="D484" s="6"/>
      <c r="E484" s="6"/>
    </row>
    <row r="485" spans="2:13" ht="14.4" customHeight="1">
      <c r="B485" s="25"/>
      <c r="C485" s="25"/>
      <c r="D485" s="23" t="str">
        <f>'Input data'!D$5</f>
        <v>2025-26</v>
      </c>
      <c r="E485" s="23" t="str">
        <f>'Input data'!E$5</f>
        <v>2026-27</v>
      </c>
    </row>
    <row r="486" spans="2:13" ht="14.4" customHeight="1">
      <c r="B486" s="24"/>
      <c r="C486" s="24"/>
      <c r="D486" s="8"/>
      <c r="E486" s="8"/>
    </row>
    <row r="487" spans="2:13" ht="14.4" customHeight="1">
      <c r="B487" s="36" t="s">
        <v>0</v>
      </c>
      <c r="C487" s="3" t="s">
        <v>216</v>
      </c>
      <c r="D487" s="57">
        <f>IF(D7=0,0,'Input data'!D$191*D391*'Input data'!D$7/D7)</f>
        <v>3.4928060172683205E-2</v>
      </c>
      <c r="E487" s="57">
        <f>IF(E7=0,0,'Input data'!E$191*E391*'Input data'!E$7/E7)</f>
        <v>3.4928060172683205E-2</v>
      </c>
      <c r="G487"/>
      <c r="H487"/>
      <c r="I487"/>
      <c r="J487"/>
      <c r="K487"/>
      <c r="L487"/>
      <c r="M487"/>
    </row>
    <row r="488" spans="2:13" ht="14.4" customHeight="1">
      <c r="B488" s="36" t="s">
        <v>215</v>
      </c>
      <c r="C488" s="3" t="s">
        <v>216</v>
      </c>
      <c r="D488" s="57">
        <f>IF(D8=0,0,'Input data'!D$191*D392*'Input data'!D$7/D8)</f>
        <v>3.9784166801373762E-2</v>
      </c>
      <c r="E488" s="57">
        <f>IF(E8=0,0,'Input data'!E$191*E392*'Input data'!E$7/E8)</f>
        <v>3.9784166801373762E-2</v>
      </c>
      <c r="H488"/>
      <c r="I488"/>
      <c r="J488"/>
      <c r="K488"/>
      <c r="L488"/>
      <c r="M488"/>
    </row>
    <row r="489" spans="2:13" ht="14.4" customHeight="1">
      <c r="B489" s="36" t="s">
        <v>217</v>
      </c>
      <c r="C489" s="3" t="s">
        <v>14</v>
      </c>
      <c r="D489" s="57">
        <f>IF(D9=0,0,'Input data'!D$191*D393*'Input data'!D$7/D9)</f>
        <v>0</v>
      </c>
      <c r="E489" s="57">
        <f>IF(E9=0,0,'Input data'!E$191*E393*'Input data'!E$7/E9)</f>
        <v>0</v>
      </c>
      <c r="H489"/>
      <c r="I489"/>
      <c r="J489"/>
      <c r="K489"/>
      <c r="L489"/>
      <c r="M489"/>
    </row>
    <row r="490" spans="2:13" ht="14.4" customHeight="1">
      <c r="B490" s="36" t="s">
        <v>218</v>
      </c>
      <c r="C490" s="3" t="s">
        <v>15</v>
      </c>
      <c r="D490" s="57">
        <f>IF(D10=0,0,'Input data'!D$191*D394*'Input data'!D$7/D10)</f>
        <v>7.4143465063682509E-2</v>
      </c>
      <c r="E490" s="57">
        <f>IF(E10=0,0,'Input data'!E$191*E394*'Input data'!E$7/E10)</f>
        <v>7.4143465063682509E-2</v>
      </c>
      <c r="H490"/>
      <c r="I490"/>
      <c r="J490"/>
      <c r="K490"/>
      <c r="L490"/>
      <c r="M490"/>
    </row>
    <row r="491" spans="2:13" ht="14.4" customHeight="1">
      <c r="B491" s="36" t="s">
        <v>54</v>
      </c>
      <c r="C491" s="3" t="s">
        <v>220</v>
      </c>
      <c r="D491" s="57">
        <f>IF(D11=0,0,'Input data'!D$191*D395*'Input data'!D$7/D11)</f>
        <v>5.9232138276884505E-2</v>
      </c>
      <c r="E491" s="57">
        <f>IF(E11=0,0,'Input data'!E$191*E395*'Input data'!E$7/E11)</f>
        <v>5.9232138276884505E-2</v>
      </c>
      <c r="H491"/>
      <c r="I491"/>
      <c r="J491"/>
      <c r="K491"/>
      <c r="L491"/>
      <c r="M491"/>
    </row>
    <row r="492" spans="2:13" ht="14.4" customHeight="1">
      <c r="B492" s="36" t="s">
        <v>56</v>
      </c>
      <c r="C492" s="3" t="s">
        <v>220</v>
      </c>
      <c r="D492" s="57">
        <f>IF(D12=0,0,'Input data'!D$191*D396*'Input data'!D$7/D12)</f>
        <v>7.4801527749171801E-2</v>
      </c>
      <c r="E492" s="57">
        <f>IF(E12=0,0,'Input data'!E$191*E396*'Input data'!E$7/E12)</f>
        <v>7.4801527749171801E-2</v>
      </c>
      <c r="H492"/>
      <c r="I492"/>
      <c r="J492"/>
      <c r="K492"/>
      <c r="L492"/>
      <c r="M492"/>
    </row>
    <row r="493" spans="2:13" ht="14.4" customHeight="1">
      <c r="B493" s="36" t="s">
        <v>58</v>
      </c>
      <c r="C493" s="3" t="s">
        <v>220</v>
      </c>
      <c r="D493" s="57">
        <f>IF(D13=0,0,'Input data'!D$191*D397*'Input data'!D$7/D13)</f>
        <v>6.9765836516640992E-2</v>
      </c>
      <c r="E493" s="57">
        <f>IF(E13=0,0,'Input data'!E$191*E397*'Input data'!E$7/E13)</f>
        <v>6.9765836516640992E-2</v>
      </c>
      <c r="H493"/>
      <c r="I493"/>
      <c r="J493"/>
      <c r="K493"/>
      <c r="L493"/>
      <c r="M493"/>
    </row>
    <row r="494" spans="2:13" ht="14.4" customHeight="1">
      <c r="B494" s="36" t="s">
        <v>60</v>
      </c>
      <c r="C494" s="3" t="s">
        <v>220</v>
      </c>
      <c r="D494" s="57">
        <f>IF(D14=0,0,'Input data'!D$191*D398*'Input data'!D$7/D14)</f>
        <v>7.4800921842393717E-2</v>
      </c>
      <c r="E494" s="57">
        <f>IF(E14=0,0,'Input data'!E$191*E398*'Input data'!E$7/E14)</f>
        <v>7.4800921842393717E-2</v>
      </c>
      <c r="H494"/>
      <c r="I494"/>
      <c r="J494"/>
      <c r="K494"/>
      <c r="L494"/>
      <c r="M494"/>
    </row>
    <row r="495" spans="2:13" ht="14.4" customHeight="1">
      <c r="B495" s="36" t="s">
        <v>61</v>
      </c>
      <c r="C495" s="3" t="s">
        <v>220</v>
      </c>
      <c r="D495" s="57">
        <f>IF(D15=0,0,'Input data'!D$191*D399*'Input data'!D$7/D15)</f>
        <v>6.8173895734457243E-2</v>
      </c>
      <c r="E495" s="57">
        <f>IF(E15=0,0,'Input data'!E$191*E399*'Input data'!E$7/E15)</f>
        <v>6.8173895734457243E-2</v>
      </c>
    </row>
    <row r="496" spans="2:13" ht="14.4" customHeight="1">
      <c r="B496" s="36" t="s">
        <v>63</v>
      </c>
      <c r="C496" s="3" t="s">
        <v>220</v>
      </c>
      <c r="D496" s="57">
        <f>IF(D16=0,0,'Input data'!D$191*D400*'Input data'!D$7/D16)</f>
        <v>7.5128595979236087E-2</v>
      </c>
      <c r="E496" s="57">
        <f>IF(E16=0,0,'Input data'!E$191*E400*'Input data'!E$7/E16)</f>
        <v>7.5128595979236087E-2</v>
      </c>
    </row>
    <row r="497" spans="2:5" ht="14.4" customHeight="1">
      <c r="B497" s="36" t="s">
        <v>65</v>
      </c>
      <c r="C497" s="3" t="s">
        <v>220</v>
      </c>
      <c r="D497" s="57">
        <f>IF(D17=0,0,'Input data'!D$191*D401*'Input data'!D$7/D17)</f>
        <v>7.8593898273105187E-2</v>
      </c>
      <c r="E497" s="57">
        <f>IF(E17=0,0,'Input data'!E$191*E401*'Input data'!E$7/E17)</f>
        <v>7.8593898273105187E-2</v>
      </c>
    </row>
    <row r="498" spans="2:5" ht="14.4" customHeight="1">
      <c r="B498" s="36" t="s">
        <v>67</v>
      </c>
      <c r="C498" s="3" t="s">
        <v>220</v>
      </c>
      <c r="D498" s="57">
        <f>IF(D18=0,0,'Input data'!D$191*D402*'Input data'!D$7/D18)</f>
        <v>8.4502566446371372E-2</v>
      </c>
      <c r="E498" s="57">
        <f>IF(E18=0,0,'Input data'!E$191*E402*'Input data'!E$7/E18)</f>
        <v>8.4502566446371372E-2</v>
      </c>
    </row>
    <row r="499" spans="2:5" ht="14.4" customHeight="1">
      <c r="B499" s="36" t="s">
        <v>69</v>
      </c>
      <c r="C499" s="3" t="s">
        <v>220</v>
      </c>
      <c r="D499" s="57">
        <f>IF(D19=0,0,'Input data'!D$191*D403*'Input data'!D$7/D19)</f>
        <v>9.1496558782928561E-2</v>
      </c>
      <c r="E499" s="57">
        <f>IF(E19=0,0,'Input data'!E$191*E403*'Input data'!E$7/E19)</f>
        <v>9.1496558782928561E-2</v>
      </c>
    </row>
    <row r="500" spans="2:5" ht="14.4" customHeight="1">
      <c r="B500" s="36" t="s">
        <v>71</v>
      </c>
      <c r="C500" s="3" t="s">
        <v>220</v>
      </c>
      <c r="D500" s="57">
        <f>IF(D20=0,0,'Input data'!D$191*D404*'Input data'!D$7/D20)</f>
        <v>0.11362642536938906</v>
      </c>
      <c r="E500" s="57">
        <f>IF(E20=0,0,'Input data'!E$191*E404*'Input data'!E$7/E20)</f>
        <v>0.11362642536938906</v>
      </c>
    </row>
    <row r="501" spans="2:5" ht="14.4" customHeight="1">
      <c r="B501" s="36" t="s">
        <v>73</v>
      </c>
      <c r="C501" s="3" t="s">
        <v>220</v>
      </c>
      <c r="D501" s="57">
        <f>IF(D21=0,0,'Input data'!D$191*D405*'Input data'!D$7/D21)</f>
        <v>0</v>
      </c>
      <c r="E501" s="57">
        <f>IF(E21=0,0,'Input data'!E$191*E405*'Input data'!E$7/E21)</f>
        <v>0</v>
      </c>
    </row>
    <row r="502" spans="2:5" ht="14.4" customHeight="1">
      <c r="B502" s="36" t="s">
        <v>75</v>
      </c>
      <c r="C502" s="3" t="s">
        <v>220</v>
      </c>
      <c r="D502" s="57">
        <f>IF(D22=0,0,'Input data'!D$191*D406*'Input data'!D$7/D22)</f>
        <v>0.10628889428697438</v>
      </c>
      <c r="E502" s="57">
        <f>IF(E22=0,0,'Input data'!E$191*E406*'Input data'!E$7/E22)</f>
        <v>0.10628889428697438</v>
      </c>
    </row>
    <row r="503" spans="2:5" ht="14.4" customHeight="1">
      <c r="B503" s="36" t="s">
        <v>77</v>
      </c>
      <c r="C503" s="3" t="s">
        <v>220</v>
      </c>
      <c r="D503" s="57">
        <f>IF(D23=0,0,'Input data'!D$191*D407*'Input data'!D$7/D23)</f>
        <v>0.11039148908127909</v>
      </c>
      <c r="E503" s="57">
        <f>IF(E23=0,0,'Input data'!E$191*E407*'Input data'!E$7/E23)</f>
        <v>0.11039148908127909</v>
      </c>
    </row>
    <row r="504" spans="2:5" ht="14.4" customHeight="1">
      <c r="B504" s="36" t="s">
        <v>79</v>
      </c>
      <c r="C504" s="3" t="s">
        <v>220</v>
      </c>
      <c r="D504" s="57">
        <f>IF(D24=0,0,'Input data'!D$191*D408*'Input data'!D$7/D24)</f>
        <v>9.4976715483302165E-2</v>
      </c>
      <c r="E504" s="57">
        <f>IF(E24=0,0,'Input data'!E$191*E408*'Input data'!E$7/E24)</f>
        <v>9.4976715483302165E-2</v>
      </c>
    </row>
    <row r="505" spans="2:5" ht="14.4" customHeight="1">
      <c r="B505" s="36" t="s">
        <v>81</v>
      </c>
      <c r="C505" s="3" t="s">
        <v>220</v>
      </c>
      <c r="D505" s="57">
        <f>IF(D25=0,0,'Input data'!D$191*D409*'Input data'!D$7/D25)</f>
        <v>9.3698151438702193E-2</v>
      </c>
      <c r="E505" s="57">
        <f>IF(E25=0,0,'Input data'!E$191*E409*'Input data'!E$7/E25)</f>
        <v>9.3698151438702193E-2</v>
      </c>
    </row>
    <row r="506" spans="2:5" ht="14.4" customHeight="1">
      <c r="B506" s="36" t="s">
        <v>82</v>
      </c>
      <c r="C506" s="3" t="s">
        <v>220</v>
      </c>
      <c r="D506" s="57">
        <f>IF(D26=0,0,'Input data'!D$191*D410*'Input data'!D$7/D26)</f>
        <v>0.11039088317450105</v>
      </c>
      <c r="E506" s="57">
        <f>IF(E26=0,0,'Input data'!E$191*E410*'Input data'!E$7/E26)</f>
        <v>0.11039088317450105</v>
      </c>
    </row>
    <row r="507" spans="2:5" ht="14.4" customHeight="1">
      <c r="B507" s="36" t="s">
        <v>83</v>
      </c>
      <c r="C507" s="3" t="s">
        <v>220</v>
      </c>
      <c r="D507" s="57">
        <f>IF(D27=0,0,'Input data'!D$191*D411*'Input data'!D$7/D27)</f>
        <v>0.10955857469745185</v>
      </c>
      <c r="E507" s="57">
        <f>IF(E27=0,0,'Input data'!E$191*E411*'Input data'!E$7/E27)</f>
        <v>0.10955857469745185</v>
      </c>
    </row>
    <row r="508" spans="2:5" ht="14.4" customHeight="1">
      <c r="B508" s="36" t="s">
        <v>85</v>
      </c>
      <c r="C508" s="3" t="s">
        <v>220</v>
      </c>
      <c r="D508" s="57">
        <f>IF(D28=0,0,'Input data'!D$191*D412*'Input data'!D$7/D28)</f>
        <v>0.10263306022412402</v>
      </c>
      <c r="E508" s="57">
        <f>IF(E28=0,0,'Input data'!E$191*E412*'Input data'!E$7/E28)</f>
        <v>0.10263306022412402</v>
      </c>
    </row>
    <row r="509" spans="2:5" ht="14.4" customHeight="1">
      <c r="B509" s="36" t="s">
        <v>87</v>
      </c>
      <c r="C509" s="3" t="s">
        <v>220</v>
      </c>
      <c r="D509" s="57">
        <f>IF(D29=0,0,'Input data'!D$191*D413*'Input data'!D$7/D29)</f>
        <v>0</v>
      </c>
      <c r="E509" s="57">
        <f>IF(E29=0,0,'Input data'!E$191*E413*'Input data'!E$7/E29)</f>
        <v>0</v>
      </c>
    </row>
    <row r="510" spans="2:5" ht="14.4" customHeight="1">
      <c r="B510" s="36" t="s">
        <v>89</v>
      </c>
      <c r="C510" s="3" t="s">
        <v>220</v>
      </c>
      <c r="D510" s="57">
        <f>IF(D30=0,0,'Input data'!D$191*D414*'Input data'!D$7/D30)</f>
        <v>0.11701122806769956</v>
      </c>
      <c r="E510" s="57">
        <f>IF(E30=0,0,'Input data'!E$191*E414*'Input data'!E$7/E30)</f>
        <v>0.11701122806769956</v>
      </c>
    </row>
    <row r="511" spans="2:5" ht="14.4" customHeight="1">
      <c r="B511" s="36" t="s">
        <v>90</v>
      </c>
      <c r="C511" s="3" t="s">
        <v>220</v>
      </c>
      <c r="D511" s="57">
        <f>IF(D31=0,0,'Input data'!D$191*D415*'Input data'!D$7/D31)</f>
        <v>0.11644142390625142</v>
      </c>
      <c r="E511" s="57">
        <f>IF(E31=0,0,'Input data'!E$191*E415*'Input data'!E$7/E31)</f>
        <v>0.11644142390625142</v>
      </c>
    </row>
    <row r="512" spans="2:5" ht="14.4" customHeight="1">
      <c r="B512" s="36" t="s">
        <v>92</v>
      </c>
      <c r="C512" s="3" t="s">
        <v>220</v>
      </c>
      <c r="D512" s="57">
        <f>IF(D32=0,0,'Input data'!D$191*D416*'Input data'!D$7/D32)</f>
        <v>0.13549247526281263</v>
      </c>
      <c r="E512" s="57">
        <f>IF(E32=0,0,'Input data'!E$191*E416*'Input data'!E$7/E32)</f>
        <v>0.13549247526281263</v>
      </c>
    </row>
    <row r="513" spans="2:5" ht="14.4" customHeight="1">
      <c r="B513" s="36" t="s">
        <v>94</v>
      </c>
      <c r="C513" s="3" t="s">
        <v>220</v>
      </c>
      <c r="D513" s="57">
        <f>IF(D33=0,0,'Input data'!D$191*D417*'Input data'!D$7/D33)</f>
        <v>0.14260995703067345</v>
      </c>
      <c r="E513" s="57">
        <f>IF(E33=0,0,'Input data'!E$191*E417*'Input data'!E$7/E33)</f>
        <v>0.14260995703067345</v>
      </c>
    </row>
    <row r="514" spans="2:5" ht="14.4" customHeight="1">
      <c r="B514" s="36" t="s">
        <v>96</v>
      </c>
      <c r="C514" s="3" t="s">
        <v>220</v>
      </c>
      <c r="D514" s="57">
        <f>IF(D34=0,0,'Input data'!D$191*D418*'Input data'!D$7/D34)</f>
        <v>0.14629780050187574</v>
      </c>
      <c r="E514" s="57">
        <f>IF(E34=0,0,'Input data'!E$191*E418*'Input data'!E$7/E34)</f>
        <v>0.14629780050187574</v>
      </c>
    </row>
    <row r="515" spans="2:5" ht="14.4" customHeight="1">
      <c r="B515" s="36" t="s">
        <v>98</v>
      </c>
      <c r="C515" s="3" t="s">
        <v>220</v>
      </c>
      <c r="D515" s="57">
        <f>IF(D35=0,0,'Input data'!D$191*D419*'Input data'!D$7/D35)</f>
        <v>0</v>
      </c>
      <c r="E515" s="57">
        <f>IF(E35=0,0,'Input data'!E$191*E419*'Input data'!E$7/E35)</f>
        <v>0</v>
      </c>
    </row>
    <row r="516" spans="2:5" ht="14.4" customHeight="1">
      <c r="B516" s="36" t="s">
        <v>100</v>
      </c>
      <c r="C516" s="3" t="s">
        <v>220</v>
      </c>
      <c r="D516" s="57">
        <f>IF(D36=0,0,'Input data'!D$191*D420*'Input data'!D$7/D36)</f>
        <v>0.1742385485381725</v>
      </c>
      <c r="E516" s="57">
        <f>IF(E36=0,0,'Input data'!E$191*E420*'Input data'!E$7/E36)</f>
        <v>0.1742385485381725</v>
      </c>
    </row>
    <row r="517" spans="2:5" ht="14.4" customHeight="1">
      <c r="B517" s="36" t="s">
        <v>102</v>
      </c>
      <c r="C517" s="3" t="s">
        <v>220</v>
      </c>
      <c r="D517" s="57">
        <f>IF(D37=0,0,'Input data'!D$191*D421*'Input data'!D$7/D37)</f>
        <v>0</v>
      </c>
      <c r="E517" s="57">
        <f>IF(E37=0,0,'Input data'!E$191*E421*'Input data'!E$7/E37)</f>
        <v>0</v>
      </c>
    </row>
    <row r="518" spans="2:5" ht="14.4" customHeight="1">
      <c r="B518" s="36" t="s">
        <v>103</v>
      </c>
      <c r="C518" s="3" t="s">
        <v>220</v>
      </c>
      <c r="D518" s="57">
        <f>IF(D38=0,0,'Input data'!D$191*D422*'Input data'!D$7/D38)</f>
        <v>0.18222439987312089</v>
      </c>
      <c r="E518" s="57">
        <f>IF(E38=0,0,'Input data'!E$191*E422*'Input data'!E$7/E38)</f>
        <v>0.18222439987312089</v>
      </c>
    </row>
    <row r="519" spans="2:5" ht="14.4" customHeight="1">
      <c r="B519" s="36" t="s">
        <v>105</v>
      </c>
      <c r="C519" s="3" t="s">
        <v>220</v>
      </c>
      <c r="D519" s="57">
        <f>IF(D39=0,0,'Input data'!D$191*D423*'Input data'!D$7/D39)</f>
        <v>0.16237383888656051</v>
      </c>
      <c r="E519" s="57">
        <f>IF(E39=0,0,'Input data'!E$191*E423*'Input data'!E$7/E39)</f>
        <v>0.16237383888656051</v>
      </c>
    </row>
    <row r="520" spans="2:5" ht="14.4" customHeight="1">
      <c r="B520" s="36" t="s">
        <v>107</v>
      </c>
      <c r="C520" s="3" t="s">
        <v>220</v>
      </c>
      <c r="D520" s="57">
        <f>IF(D40=0,0,'Input data'!D$191*D424*'Input data'!D$7/D40)</f>
        <v>0</v>
      </c>
      <c r="E520" s="57">
        <f>IF(E40=0,0,'Input data'!E$191*E424*'Input data'!E$7/E40)</f>
        <v>0</v>
      </c>
    </row>
    <row r="521" spans="2:5" ht="14.4" customHeight="1">
      <c r="B521" s="36" t="s">
        <v>108</v>
      </c>
      <c r="C521" s="3" t="s">
        <v>220</v>
      </c>
      <c r="D521" s="57">
        <f>IF(D41=0,0,'Input data'!D$191*D425*'Input data'!D$7/D41)</f>
        <v>0.17642319008311019</v>
      </c>
      <c r="E521" s="57">
        <f>IF(E41=0,0,'Input data'!E$191*E425*'Input data'!E$7/E41)</f>
        <v>0.17642319008311019</v>
      </c>
    </row>
    <row r="522" spans="2:5" ht="14.4" customHeight="1">
      <c r="B522" s="36" t="s">
        <v>110</v>
      </c>
      <c r="C522" s="3" t="s">
        <v>220</v>
      </c>
      <c r="D522" s="57">
        <f>IF(D42=0,0,'Input data'!D$191*D426*'Input data'!D$7/D42)</f>
        <v>0.18243378532155394</v>
      </c>
      <c r="E522" s="57">
        <f>IF(E42=0,0,'Input data'!E$191*E426*'Input data'!E$7/E42)</f>
        <v>0.18243378532155394</v>
      </c>
    </row>
    <row r="523" spans="2:5" ht="14.4" customHeight="1">
      <c r="B523" s="36" t="s">
        <v>112</v>
      </c>
      <c r="C523" s="3" t="s">
        <v>220</v>
      </c>
      <c r="D523" s="57">
        <f>IF(D43=0,0,'Input data'!D$191*D427*'Input data'!D$7/D43)</f>
        <v>0.17992776375953079</v>
      </c>
      <c r="E523" s="57">
        <f>IF(E43=0,0,'Input data'!E$191*E427*'Input data'!E$7/E43)</f>
        <v>0.17992776375953079</v>
      </c>
    </row>
    <row r="524" spans="2:5" ht="14.4" customHeight="1">
      <c r="B524" s="36" t="s">
        <v>114</v>
      </c>
      <c r="C524" s="3" t="s">
        <v>220</v>
      </c>
      <c r="D524" s="57">
        <f>IF(D44=0,0,'Input data'!D$191*D428*'Input data'!D$7/D44)</f>
        <v>0</v>
      </c>
      <c r="E524" s="57">
        <f>IF(E44=0,0,'Input data'!E$191*E428*'Input data'!E$7/E44)</f>
        <v>0</v>
      </c>
    </row>
    <row r="525" spans="2:5" ht="14.4" customHeight="1">
      <c r="B525" s="36" t="s">
        <v>116</v>
      </c>
      <c r="C525" s="3" t="s">
        <v>220</v>
      </c>
      <c r="D525" s="57">
        <f>IF(D45=0,0,'Input data'!D$191*D429*'Input data'!D$7/D45)</f>
        <v>0.19157608985221322</v>
      </c>
      <c r="E525" s="57">
        <f>IF(E45=0,0,'Input data'!E$191*E429*'Input data'!E$7/E45)</f>
        <v>0.19157608985221322</v>
      </c>
    </row>
    <row r="526" spans="2:5" ht="14.4" customHeight="1">
      <c r="B526" s="36" t="s">
        <v>118</v>
      </c>
      <c r="C526" s="3" t="s">
        <v>220</v>
      </c>
      <c r="D526" s="57">
        <f>IF(D46=0,0,'Input data'!D$191*D430*'Input data'!D$7/D46)</f>
        <v>0</v>
      </c>
      <c r="E526" s="57">
        <f>IF(E46=0,0,'Input data'!E$191*E430*'Input data'!E$7/E46)</f>
        <v>0</v>
      </c>
    </row>
    <row r="527" spans="2:5" ht="14.4" customHeight="1">
      <c r="B527" s="36" t="s">
        <v>120</v>
      </c>
      <c r="C527" s="3" t="s">
        <v>220</v>
      </c>
      <c r="D527" s="57">
        <f>IF(D47=0,0,'Input data'!D$191*D431*'Input data'!D$7/D47)</f>
        <v>0.19877862809906083</v>
      </c>
      <c r="E527" s="57">
        <f>IF(E47=0,0,'Input data'!E$191*E431*'Input data'!E$7/E47)</f>
        <v>0.19877862809906083</v>
      </c>
    </row>
    <row r="528" spans="2:5" ht="14.4" customHeight="1">
      <c r="B528" s="36" t="s">
        <v>122</v>
      </c>
      <c r="C528" s="3" t="s">
        <v>220</v>
      </c>
      <c r="D528" s="57">
        <f>IF(D48=0,0,'Input data'!D$191*D432*'Input data'!D$7/D48)</f>
        <v>0.2017887341167971</v>
      </c>
      <c r="E528" s="57">
        <f>IF(E48=0,0,'Input data'!E$191*E432*'Input data'!E$7/E48)</f>
        <v>0.2017887341167971</v>
      </c>
    </row>
    <row r="529" spans="2:5" ht="14.4" customHeight="1">
      <c r="B529" s="36" t="s">
        <v>124</v>
      </c>
      <c r="C529" s="3" t="s">
        <v>220</v>
      </c>
      <c r="D529" s="57">
        <f>IF(D49=0,0,'Input data'!D$191*D433*'Input data'!D$7/D49)</f>
        <v>0.21163944178606184</v>
      </c>
      <c r="E529" s="57">
        <f>IF(E49=0,0,'Input data'!E$191*E433*'Input data'!E$7/E49)</f>
        <v>0.21163944178606184</v>
      </c>
    </row>
    <row r="530" spans="2:5" ht="14.4" customHeight="1">
      <c r="B530" s="36" t="s">
        <v>126</v>
      </c>
      <c r="C530" s="3" t="s">
        <v>220</v>
      </c>
      <c r="D530" s="57">
        <f>IF(D50=0,0,'Input data'!D$191*D434*'Input data'!D$7/D50)</f>
        <v>0.2159102936108257</v>
      </c>
      <c r="E530" s="57">
        <f>IF(E50=0,0,'Input data'!E$191*E434*'Input data'!E$7/E50)</f>
        <v>0.2159102936108257</v>
      </c>
    </row>
    <row r="531" spans="2:5" ht="14.4" customHeight="1">
      <c r="B531" s="36" t="s">
        <v>128</v>
      </c>
      <c r="C531" s="3" t="s">
        <v>220</v>
      </c>
      <c r="D531" s="57">
        <f>IF(D51=0,0,'Input data'!D$191*D435*'Input data'!D$7/D51)</f>
        <v>0.22366340701536891</v>
      </c>
      <c r="E531" s="57">
        <f>IF(E51=0,0,'Input data'!E$191*E435*'Input data'!E$7/E51)</f>
        <v>0.22366340701536891</v>
      </c>
    </row>
    <row r="532" spans="2:5" ht="14.4" customHeight="1">
      <c r="B532" s="36" t="s">
        <v>130</v>
      </c>
      <c r="C532" s="3" t="s">
        <v>220</v>
      </c>
      <c r="D532" s="57">
        <f>IF(D52=0,0,'Input data'!D$191*D436*'Input data'!D$7/D52)</f>
        <v>0.2236628011085908</v>
      </c>
      <c r="E532" s="57">
        <f>IF(E52=0,0,'Input data'!E$191*E436*'Input data'!E$7/E52)</f>
        <v>0.2236628011085908</v>
      </c>
    </row>
    <row r="533" spans="2:5" ht="14.4" customHeight="1">
      <c r="B533" s="36" t="s">
        <v>131</v>
      </c>
      <c r="C533" s="3" t="s">
        <v>220</v>
      </c>
      <c r="D533" s="57">
        <f>IF(D53=0,0,'Input data'!D$191*D437*'Input data'!D$7/D53)</f>
        <v>0.22637026121554413</v>
      </c>
      <c r="E533" s="57">
        <f>IF(E53=0,0,'Input data'!E$191*E437*'Input data'!E$7/E53)</f>
        <v>0.22637026121554413</v>
      </c>
    </row>
    <row r="534" spans="2:5" ht="14.4" customHeight="1">
      <c r="B534" s="36" t="s">
        <v>133</v>
      </c>
      <c r="C534" s="3" t="s">
        <v>220</v>
      </c>
      <c r="D534" s="57">
        <f>IF(D54=0,0,'Input data'!D$191*D438*'Input data'!D$7/D54)</f>
        <v>0.23165514141397925</v>
      </c>
      <c r="E534" s="57">
        <f>IF(E54=0,0,'Input data'!E$191*E438*'Input data'!E$7/E54)</f>
        <v>0.23165514141397925</v>
      </c>
    </row>
    <row r="535" spans="2:5" ht="14.4" customHeight="1">
      <c r="B535" s="36" t="s">
        <v>135</v>
      </c>
      <c r="C535" s="3" t="s">
        <v>220</v>
      </c>
      <c r="D535" s="57">
        <f>IF(D55=0,0,'Input data'!D$191*D439*'Input data'!D$7/D55)</f>
        <v>0.23165453550720114</v>
      </c>
      <c r="E535" s="57">
        <f>IF(E55=0,0,'Input data'!E$191*E439*'Input data'!E$7/E55)</f>
        <v>0.23165453550720114</v>
      </c>
    </row>
    <row r="536" spans="2:5" ht="14.4" customHeight="1">
      <c r="B536" s="36" t="s">
        <v>136</v>
      </c>
      <c r="C536" s="3" t="s">
        <v>220</v>
      </c>
      <c r="D536" s="57">
        <f>IF(D56=0,0,'Input data'!D$191*D440*'Input data'!D$7/D56)</f>
        <v>0.23959301149786397</v>
      </c>
      <c r="E536" s="57">
        <f>IF(E56=0,0,'Input data'!E$191*E440*'Input data'!E$7/E56)</f>
        <v>0.23959301149786397</v>
      </c>
    </row>
    <row r="537" spans="2:5" ht="14.4" customHeight="1">
      <c r="B537" s="36" t="s">
        <v>138</v>
      </c>
      <c r="C537" s="3" t="s">
        <v>220</v>
      </c>
      <c r="D537" s="57">
        <f>IF(D57=0,0,'Input data'!D$191*D441*'Input data'!D$7/D57)</f>
        <v>0.25018568918753264</v>
      </c>
      <c r="E537" s="57">
        <f>IF(E57=0,0,'Input data'!E$191*E441*'Input data'!E$7/E57)</f>
        <v>0.25018568918753264</v>
      </c>
    </row>
    <row r="538" spans="2:5" ht="14.4" customHeight="1">
      <c r="B538" s="36" t="s">
        <v>140</v>
      </c>
      <c r="C538" s="3" t="s">
        <v>220</v>
      </c>
      <c r="D538" s="57">
        <f>IF(D58=0,0,'Input data'!D$191*D442*'Input data'!D$7/D58)</f>
        <v>0.258888746964681</v>
      </c>
      <c r="E538" s="57">
        <f>IF(E58=0,0,'Input data'!E$191*E442*'Input data'!E$7/E58)</f>
        <v>0.258888746964681</v>
      </c>
    </row>
    <row r="539" spans="2:5" ht="14.4" customHeight="1">
      <c r="B539" s="36" t="s">
        <v>142</v>
      </c>
      <c r="C539" s="3" t="s">
        <v>220</v>
      </c>
      <c r="D539" s="57">
        <f>IF(D59=0,0,'Input data'!D$191*D443*'Input data'!D$7/D59)</f>
        <v>0.25722856239277214</v>
      </c>
      <c r="E539" s="57">
        <f>IF(E59=0,0,'Input data'!E$191*E443*'Input data'!E$7/E59)</f>
        <v>0.25722856239277214</v>
      </c>
    </row>
    <row r="540" spans="2:5" ht="14.4" customHeight="1">
      <c r="B540" s="36" t="s">
        <v>144</v>
      </c>
      <c r="C540" s="3" t="s">
        <v>220</v>
      </c>
      <c r="D540" s="57">
        <f>IF(D60=0,0,'Input data'!D$191*D444*'Input data'!D$7/D60)</f>
        <v>0.26006120975900593</v>
      </c>
      <c r="E540" s="57">
        <f>IF(E60=0,0,'Input data'!E$191*E444*'Input data'!E$7/E60)</f>
        <v>0.26006120975900593</v>
      </c>
    </row>
    <row r="541" spans="2:5" ht="14.4" customHeight="1">
      <c r="B541" s="36" t="s">
        <v>146</v>
      </c>
      <c r="C541" s="3" t="s">
        <v>220</v>
      </c>
      <c r="D541" s="57">
        <f>IF(D61=0,0,'Input data'!D$191*D445*'Input data'!D$7/D61)</f>
        <v>0.26387895704376735</v>
      </c>
      <c r="E541" s="57">
        <f>IF(E61=0,0,'Input data'!E$191*E445*'Input data'!E$7/E61)</f>
        <v>0.26387895704376735</v>
      </c>
    </row>
    <row r="542" spans="2:5" ht="14.4" customHeight="1">
      <c r="B542" s="36" t="s">
        <v>148</v>
      </c>
      <c r="C542" s="3" t="s">
        <v>220</v>
      </c>
      <c r="D542" s="57">
        <f>IF(D62=0,0,'Input data'!D$191*D446*'Input data'!D$7/D62)</f>
        <v>0.26960358752639579</v>
      </c>
      <c r="E542" s="57">
        <f>IF(E62=0,0,'Input data'!E$191*E446*'Input data'!E$7/E62)</f>
        <v>0.26960358752639579</v>
      </c>
    </row>
    <row r="543" spans="2:5" ht="14.4" customHeight="1">
      <c r="B543" s="36" t="s">
        <v>150</v>
      </c>
      <c r="C543" s="3" t="s">
        <v>220</v>
      </c>
      <c r="D543" s="57">
        <f>IF(D63=0,0,'Input data'!D$191*D447*'Input data'!D$7/D63)</f>
        <v>0.28855424781535988</v>
      </c>
      <c r="E543" s="57">
        <f>IF(E63=0,0,'Input data'!E$191*E447*'Input data'!E$7/E63)</f>
        <v>0.28855424781535988</v>
      </c>
    </row>
    <row r="544" spans="2:5" ht="14.4" customHeight="1">
      <c r="B544" s="36" t="s">
        <v>152</v>
      </c>
      <c r="C544" s="3" t="s">
        <v>220</v>
      </c>
      <c r="D544" s="57">
        <f>IF(D64=0,0,'Input data'!D$191*D448*'Input data'!D$7/D64)</f>
        <v>0.27581683241270483</v>
      </c>
      <c r="E544" s="57">
        <f>IF(E64=0,0,'Input data'!E$191*E448*'Input data'!E$7/E64)</f>
        <v>0.27581683241270483</v>
      </c>
    </row>
    <row r="545" spans="2:5" ht="14.4" customHeight="1">
      <c r="B545" s="36" t="s">
        <v>154</v>
      </c>
      <c r="C545" s="3" t="s">
        <v>220</v>
      </c>
      <c r="D545" s="57">
        <f>IF(D65=0,0,'Input data'!D$191*D449*'Input data'!D$7/D65)</f>
        <v>0.28130017183178729</v>
      </c>
      <c r="E545" s="57">
        <f>IF(E65=0,0,'Input data'!E$191*E449*'Input data'!E$7/E65)</f>
        <v>0.28130017183178729</v>
      </c>
    </row>
    <row r="546" spans="2:5" ht="14.4" customHeight="1">
      <c r="B546" s="36" t="s">
        <v>156</v>
      </c>
      <c r="C546" s="3" t="s">
        <v>220</v>
      </c>
      <c r="D546" s="57">
        <f>IF(D66=0,0,'Input data'!D$191*D450*'Input data'!D$7/D66)</f>
        <v>0.28984119292637506</v>
      </c>
      <c r="E546" s="57">
        <f>IF(E66=0,0,'Input data'!E$191*E450*'Input data'!E$7/E66)</f>
        <v>0.28984119292637506</v>
      </c>
    </row>
    <row r="547" spans="2:5" ht="14.4" customHeight="1">
      <c r="B547" s="36" t="s">
        <v>158</v>
      </c>
      <c r="C547" s="3" t="s">
        <v>220</v>
      </c>
      <c r="D547" s="57">
        <f>IF(D67=0,0,'Input data'!D$191*D451*'Input data'!D$7/D67)</f>
        <v>0.29457721260340519</v>
      </c>
      <c r="E547" s="57">
        <f>IF(E67=0,0,'Input data'!E$191*E451*'Input data'!E$7/E67)</f>
        <v>0.29457721260340519</v>
      </c>
    </row>
    <row r="548" spans="2:5" ht="14.4" customHeight="1">
      <c r="B548" s="36" t="s">
        <v>160</v>
      </c>
      <c r="C548" s="3" t="s">
        <v>220</v>
      </c>
      <c r="D548" s="57">
        <f>IF(D68=0,0,'Input data'!D$191*D452*'Input data'!D$7/D68)</f>
        <v>0.31126065631232563</v>
      </c>
      <c r="E548" s="57">
        <f>IF(E68=0,0,'Input data'!E$191*E452*'Input data'!E$7/E68)</f>
        <v>0.31126065631232563</v>
      </c>
    </row>
    <row r="549" spans="2:5" ht="14.4" customHeight="1">
      <c r="B549" s="36" t="s">
        <v>162</v>
      </c>
      <c r="C549" s="3" t="s">
        <v>220</v>
      </c>
      <c r="D549" s="57">
        <f>IF(D69=0,0,'Input data'!D$191*D453*'Input data'!D$7/D69)</f>
        <v>0.30994142107469569</v>
      </c>
      <c r="E549" s="57">
        <f>IF(E69=0,0,'Input data'!E$191*E453*'Input data'!E$7/E69)</f>
        <v>0.30994142107469569</v>
      </c>
    </row>
    <row r="550" spans="2:5" ht="14.4" customHeight="1">
      <c r="B550" s="36" t="s">
        <v>164</v>
      </c>
      <c r="C550" s="3" t="s">
        <v>220</v>
      </c>
      <c r="D550" s="57">
        <f>IF(D70=0,0,'Input data'!D$191*D454*'Input data'!D$7/D70)</f>
        <v>0.32794173441522617</v>
      </c>
      <c r="E550" s="57">
        <f>IF(E70=0,0,'Input data'!E$191*E454*'Input data'!E$7/E70)</f>
        <v>0.32794173441522617</v>
      </c>
    </row>
    <row r="551" spans="2:5" ht="14.4" customHeight="1">
      <c r="B551" s="36" t="s">
        <v>166</v>
      </c>
      <c r="C551" s="3" t="s">
        <v>220</v>
      </c>
      <c r="D551" s="57">
        <f>IF(D71=0,0,'Input data'!D$191*D455*'Input data'!D$7/D71)</f>
        <v>0.28232686452828915</v>
      </c>
      <c r="E551" s="57">
        <f>IF(E71=0,0,'Input data'!E$191*E455*'Input data'!E$7/E71)</f>
        <v>0.28232686452828915</v>
      </c>
    </row>
    <row r="552" spans="2:5" ht="14.4" customHeight="1">
      <c r="B552" s="36" t="s">
        <v>168</v>
      </c>
      <c r="C552" s="3" t="s">
        <v>220</v>
      </c>
      <c r="D552" s="57">
        <f>IF(D72=0,0,'Input data'!D$191*D456*'Input data'!D$7/D72)</f>
        <v>0.22339958421182071</v>
      </c>
      <c r="E552" s="57">
        <f>IF(E72=0,0,'Input data'!E$191*E456*'Input data'!E$7/E72)</f>
        <v>0.22339958421182071</v>
      </c>
    </row>
    <row r="553" spans="2:5" ht="14.4" customHeight="1">
      <c r="B553" s="36" t="s">
        <v>170</v>
      </c>
      <c r="C553" s="3" t="s">
        <v>220</v>
      </c>
      <c r="D553" s="57">
        <f>IF(D73=0,0,'Input data'!D$191*D457*'Input data'!D$7/D73)</f>
        <v>0.2105231355529987</v>
      </c>
      <c r="E553" s="57">
        <f>IF(E73=0,0,'Input data'!E$191*E457*'Input data'!E$7/E73)</f>
        <v>0.2105231355529987</v>
      </c>
    </row>
    <row r="554" spans="2:5" ht="14.4" customHeight="1">
      <c r="B554" s="36" t="s">
        <v>172</v>
      </c>
      <c r="C554" s="3" t="s">
        <v>220</v>
      </c>
      <c r="D554" s="57">
        <f>IF(D74=0,0,'Input data'!D$191*D458*'Input data'!D$7/D74)</f>
        <v>0.21358902385002743</v>
      </c>
      <c r="E554" s="57">
        <f>IF(E74=0,0,'Input data'!E$191*E458*'Input data'!E$7/E74)</f>
        <v>0.21358902385002743</v>
      </c>
    </row>
    <row r="555" spans="2:5" ht="14.4" customHeight="1">
      <c r="B555" s="36" t="s">
        <v>174</v>
      </c>
      <c r="C555" s="3" t="s">
        <v>220</v>
      </c>
      <c r="D555" s="57">
        <f>IF(D75=0,0,'Input data'!D$191*D459*'Input data'!D$7/D75)</f>
        <v>0.19918570466216334</v>
      </c>
      <c r="E555" s="57">
        <f>IF(E75=0,0,'Input data'!E$191*E459*'Input data'!E$7/E75)</f>
        <v>0.19918570466216334</v>
      </c>
    </row>
    <row r="556" spans="2:5" ht="14.4" customHeight="1">
      <c r="B556" s="36" t="s">
        <v>176</v>
      </c>
      <c r="C556" s="3" t="s">
        <v>220</v>
      </c>
      <c r="D556" s="57">
        <f>IF(D76=0,0,'Input data'!D$191*D460*'Input data'!D$7/D76)</f>
        <v>0.18882298502438627</v>
      </c>
      <c r="E556" s="57">
        <f>IF(E76=0,0,'Input data'!E$191*E460*'Input data'!E$7/E76)</f>
        <v>0.18882298502438627</v>
      </c>
    </row>
    <row r="557" spans="2:5" ht="14.4" customHeight="1">
      <c r="B557" s="36" t="s">
        <v>178</v>
      </c>
      <c r="C557" s="3" t="s">
        <v>220</v>
      </c>
      <c r="D557" s="57">
        <f>IF(D77=0,0,'Input data'!D$191*D461*'Input data'!D$7/D77)</f>
        <v>0.17797005972717644</v>
      </c>
      <c r="E557" s="57">
        <f>IF(E77=0,0,'Input data'!E$191*E461*'Input data'!E$7/E77)</f>
        <v>0.17797005972717644</v>
      </c>
    </row>
    <row r="558" spans="2:5" ht="14.4" customHeight="1">
      <c r="B558" s="36" t="s">
        <v>180</v>
      </c>
      <c r="C558" s="3" t="s">
        <v>220</v>
      </c>
      <c r="D558" s="57">
        <f>IF(D78=0,0,'Input data'!D$191*D462*'Input data'!D$7/D78)</f>
        <v>0.1590287410493253</v>
      </c>
      <c r="E558" s="57">
        <f>IF(E78=0,0,'Input data'!E$191*E462*'Input data'!E$7/E78)</f>
        <v>0.1590287410493253</v>
      </c>
    </row>
    <row r="559" spans="2:5" ht="14.4" customHeight="1">
      <c r="B559" s="36" t="s">
        <v>182</v>
      </c>
      <c r="C559" s="3" t="s">
        <v>220</v>
      </c>
      <c r="D559" s="57">
        <f>IF(D79=0,0,'Input data'!D$191*D463*'Input data'!D$7/D79)</f>
        <v>0.26748493441400145</v>
      </c>
      <c r="E559" s="57">
        <f>IF(E79=0,0,'Input data'!E$191*E463*'Input data'!E$7/E79)</f>
        <v>0.26748493441400145</v>
      </c>
    </row>
    <row r="560" spans="2:5" ht="14.4" customHeight="1">
      <c r="B560" s="36" t="s">
        <v>184</v>
      </c>
      <c r="C560" s="3" t="s">
        <v>220</v>
      </c>
      <c r="D560" s="57">
        <f>IF(D80=0,0,'Input data'!D$191*D464*'Input data'!D$7/D80)</f>
        <v>0.29158188530322021</v>
      </c>
      <c r="E560" s="57">
        <f>IF(E80=0,0,'Input data'!E$191*E464*'Input data'!E$7/E80)</f>
        <v>0.29158188530322021</v>
      </c>
    </row>
    <row r="561" spans="2:5" ht="14.4" customHeight="1">
      <c r="B561" s="36" t="s">
        <v>186</v>
      </c>
      <c r="C561" s="3" t="s">
        <v>220</v>
      </c>
      <c r="D561" s="57">
        <f>IF(D81=0,0,'Input data'!D$191*D465*'Input data'!D$7/D81)</f>
        <v>0.3065841571791918</v>
      </c>
      <c r="E561" s="57">
        <f>IF(E81=0,0,'Input data'!E$191*E465*'Input data'!E$7/E81)</f>
        <v>0.3065841571791918</v>
      </c>
    </row>
    <row r="562" spans="2:5" ht="14.4" customHeight="1">
      <c r="B562" s="36" t="s">
        <v>188</v>
      </c>
      <c r="C562" s="3" t="s">
        <v>220</v>
      </c>
      <c r="D562" s="57">
        <f>IF(D82=0,0,'Input data'!D$191*D466*'Input data'!D$7/D82)</f>
        <v>0.31419473684360977</v>
      </c>
      <c r="E562" s="57">
        <f>IF(E82=0,0,'Input data'!E$191*E466*'Input data'!E$7/E82)</f>
        <v>0.31419473684360977</v>
      </c>
    </row>
    <row r="563" spans="2:5" ht="14.4" customHeight="1">
      <c r="B563" s="36" t="s">
        <v>190</v>
      </c>
      <c r="C563" s="3" t="s">
        <v>220</v>
      </c>
      <c r="D563" s="57">
        <f>IF(D83=0,0,'Input data'!D$191*D467*'Input data'!D$7/D83)</f>
        <v>0.30805006590327766</v>
      </c>
      <c r="E563" s="57">
        <f>IF(E83=0,0,'Input data'!E$191*E467*'Input data'!E$7/E83)</f>
        <v>0.30805006590327766</v>
      </c>
    </row>
    <row r="564" spans="2:5" ht="14.4" customHeight="1">
      <c r="B564" s="36" t="s">
        <v>192</v>
      </c>
      <c r="C564" s="3" t="s">
        <v>220</v>
      </c>
      <c r="D564" s="57">
        <f>IF(D84=0,0,'Input data'!D$191*D468*'Input data'!D$7/D84)</f>
        <v>0.28551770576679092</v>
      </c>
      <c r="E564" s="57">
        <f>IF(E84=0,0,'Input data'!E$191*E468*'Input data'!E$7/E84)</f>
        <v>0.28551770576679092</v>
      </c>
    </row>
    <row r="565" spans="2:5" ht="14.4" customHeight="1">
      <c r="B565" s="36" t="s">
        <v>194</v>
      </c>
      <c r="C565" s="3" t="s">
        <v>220</v>
      </c>
      <c r="D565" s="57">
        <f>IF(D85=0,0,'Input data'!D$191*D469*'Input data'!D$7/D85)</f>
        <v>0.21557311331786499</v>
      </c>
      <c r="E565" s="57">
        <f>IF(E85=0,0,'Input data'!E$191*E469*'Input data'!E$7/E85)</f>
        <v>0.21557311331786499</v>
      </c>
    </row>
    <row r="566" spans="2:5" ht="14.4" customHeight="1">
      <c r="B566" s="36" t="s">
        <v>196</v>
      </c>
      <c r="C566" s="3" t="s">
        <v>220</v>
      </c>
      <c r="D566" s="57">
        <f>IF(D86=0,0,'Input data'!D$191*D470*'Input data'!D$7/D86)</f>
        <v>0.22135346398064251</v>
      </c>
      <c r="E566" s="57">
        <f>IF(E86=0,0,'Input data'!E$191*E470*'Input data'!E$7/E86)</f>
        <v>0.22135346398064251</v>
      </c>
    </row>
    <row r="567" spans="2:5" ht="14.4" customHeight="1">
      <c r="B567" s="36" t="s">
        <v>198</v>
      </c>
      <c r="C567" s="3" t="s">
        <v>220</v>
      </c>
      <c r="D567" s="57">
        <f>IF(D87=0,0,'Input data'!D$191*D471*'Input data'!D$7/D87)</f>
        <v>0.22812374315250192</v>
      </c>
      <c r="E567" s="57">
        <f>IF(E87=0,0,'Input data'!E$191*E471*'Input data'!E$7/E87)</f>
        <v>0.22812374315250192</v>
      </c>
    </row>
    <row r="568" spans="2:5" ht="14.4" customHeight="1">
      <c r="B568" s="36" t="s">
        <v>200</v>
      </c>
      <c r="C568" s="3" t="s">
        <v>220</v>
      </c>
      <c r="D568" s="57">
        <f>IF(D88=0,0,'Input data'!D$191*D472*'Input data'!D$7/D88)</f>
        <v>0.24108259398866316</v>
      </c>
      <c r="E568" s="57">
        <f>IF(E88=0,0,'Input data'!E$191*E472*'Input data'!E$7/E88)</f>
        <v>0.24108259398866316</v>
      </c>
    </row>
    <row r="569" spans="2:5" ht="14.4" customHeight="1">
      <c r="B569" s="36" t="s">
        <v>202</v>
      </c>
      <c r="C569" s="3" t="s">
        <v>220</v>
      </c>
      <c r="D569" s="57">
        <f>IF(D89=0,0,'Input data'!D$191*D473*'Input data'!D$7/D89)</f>
        <v>0.24200910345922624</v>
      </c>
      <c r="E569" s="57">
        <f>IF(E89=0,0,'Input data'!E$191*E473*'Input data'!E$7/E89)</f>
        <v>0.24200910345922624</v>
      </c>
    </row>
    <row r="570" spans="2:5" ht="14.4" customHeight="1">
      <c r="B570" s="36" t="s">
        <v>204</v>
      </c>
      <c r="C570" s="3" t="s">
        <v>220</v>
      </c>
      <c r="D570" s="57">
        <f>IF(D90=0,0,'Input data'!D$191*D474*'Input data'!D$7/D90)</f>
        <v>5.623471298978857E-2</v>
      </c>
      <c r="E570" s="57">
        <f>IF(E90=0,0,'Input data'!E$191*E474*'Input data'!E$7/E90)</f>
        <v>5.623471298978857E-2</v>
      </c>
    </row>
    <row r="571" spans="2:5" ht="14.4" customHeight="1">
      <c r="B571" s="36" t="s">
        <v>206</v>
      </c>
      <c r="C571" s="3" t="s">
        <v>220</v>
      </c>
      <c r="D571" s="57">
        <f>IF(D91=0,0,'Input data'!D$191*D475*'Input data'!D$7/D91)</f>
        <v>1.4203401098825081E-2</v>
      </c>
      <c r="E571" s="57">
        <f>IF(E91=0,0,'Input data'!E$191*E475*'Input data'!E$7/E91)</f>
        <v>1.4203401098825081E-2</v>
      </c>
    </row>
    <row r="572" spans="2:5" ht="14.4" customHeight="1">
      <c r="B572" s="36" t="s">
        <v>208</v>
      </c>
      <c r="C572" s="3" t="s">
        <v>220</v>
      </c>
      <c r="D572" s="57">
        <f>IF(D92=0,0,'Input data'!D$191*D476*'Input data'!D$7/D92)</f>
        <v>1.4204007005603153E-2</v>
      </c>
      <c r="E572" s="57">
        <f>IF(E92=0,0,'Input data'!E$191*E476*'Input data'!E$7/E92)</f>
        <v>1.4204007005603153E-2</v>
      </c>
    </row>
    <row r="573" spans="2:5" ht="14.4" customHeight="1">
      <c r="B573" s="36" t="s">
        <v>209</v>
      </c>
      <c r="C573" s="3" t="s">
        <v>220</v>
      </c>
      <c r="D573" s="57">
        <f>IF(D93=0,0,'Input data'!D$191*D477*'Input data'!D$7/D93)</f>
        <v>1.5003803952654127E-2</v>
      </c>
      <c r="E573" s="57">
        <f>IF(E93=0,0,'Input data'!E$191*E477*'Input data'!E$7/E93)</f>
        <v>1.5003803952654127E-2</v>
      </c>
    </row>
    <row r="574" spans="2:5" ht="14.4" customHeight="1">
      <c r="B574" s="36" t="s">
        <v>211</v>
      </c>
      <c r="C574" s="3" t="s">
        <v>220</v>
      </c>
      <c r="D574" s="57">
        <f>IF(D94=0,0,'Input data'!D$191*D478*'Input data'!D$7/D94)</f>
        <v>1.4204007005603153E-2</v>
      </c>
      <c r="E574" s="57">
        <f>IF(E94=0,0,'Input data'!E$191*E478*'Input data'!E$7/E94)</f>
        <v>1.4204007005603153E-2</v>
      </c>
    </row>
    <row r="575" spans="2:5" ht="14.4" customHeight="1">
      <c r="B575" s="36" t="s">
        <v>212</v>
      </c>
      <c r="C575" s="3" t="s">
        <v>220</v>
      </c>
      <c r="D575" s="57">
        <f>IF(D95=0,0,'Input data'!D$191*D479*'Input data'!D$7/D95)</f>
        <v>1.0223673517268843E-2</v>
      </c>
      <c r="E575" s="57">
        <f>IF(E95=0,0,'Input data'!E$191*E479*'Input data'!E$7/E95)</f>
        <v>1.0223673517268843E-2</v>
      </c>
    </row>
    <row r="578" spans="2:12" ht="28.95" customHeight="1">
      <c r="B578" s="32" t="s">
        <v>609</v>
      </c>
      <c r="C578" s="5"/>
      <c r="D578" s="5"/>
      <c r="E578" s="5"/>
    </row>
    <row r="579" spans="2:12" ht="14.4" customHeight="1">
      <c r="B579" s="37" t="s">
        <v>287</v>
      </c>
    </row>
    <row r="580" spans="2:12" ht="14.4" customHeight="1">
      <c r="B580" s="9" t="s">
        <v>1</v>
      </c>
      <c r="C580" s="9" t="s">
        <v>214</v>
      </c>
      <c r="D580" s="6"/>
      <c r="E580" s="6"/>
    </row>
    <row r="581" spans="2:12" ht="14.4" customHeight="1">
      <c r="B581" s="25"/>
      <c r="C581" s="25"/>
      <c r="D581" s="23" t="str">
        <f>'Input data'!D$5</f>
        <v>2025-26</v>
      </c>
      <c r="E581" s="23" t="str">
        <f>'Input data'!E$5</f>
        <v>2026-27</v>
      </c>
    </row>
    <row r="582" spans="2:12" ht="14.4" customHeight="1">
      <c r="B582" s="24"/>
      <c r="C582" s="24"/>
      <c r="D582" s="8"/>
      <c r="E582" s="8"/>
    </row>
    <row r="583" spans="2:12" ht="14.4" customHeight="1">
      <c r="B583" s="36" t="s">
        <v>225</v>
      </c>
      <c r="C583" s="3" t="s">
        <v>224</v>
      </c>
      <c r="D583" s="57">
        <f>IF('RPM &amp; Discounts'!$B$3='A0.Support'!$B$5,1,SUMPRODUCT(D$487:D$488,D$7:D$8)/SUM(D$7:D$8))</f>
        <v>3.6445593494149005E-2</v>
      </c>
      <c r="E583" s="57">
        <f>IF('RPM &amp; Discounts'!$B$3='A0.Support'!$B$5,1,SUMPRODUCT(E$487:E$488,E$7:E$8)/SUM(E$7:E$8))</f>
        <v>3.6445593494149005E-2</v>
      </c>
      <c r="H583"/>
      <c r="I583"/>
      <c r="J583"/>
      <c r="K583"/>
      <c r="L583"/>
    </row>
    <row r="584" spans="2:12" ht="14.4" customHeight="1">
      <c r="B584" s="36" t="s">
        <v>217</v>
      </c>
      <c r="C584" s="3" t="s">
        <v>14</v>
      </c>
      <c r="D584" s="57">
        <f>IF('RPM &amp; Discounts'!$B$3='A0.Support'!$B$5,1,D489)</f>
        <v>0</v>
      </c>
      <c r="E584" s="57">
        <f>IF('RPM &amp; Discounts'!$B$3='A0.Support'!$B$5,1,E489)</f>
        <v>0</v>
      </c>
      <c r="H584"/>
      <c r="I584"/>
      <c r="J584"/>
      <c r="K584"/>
      <c r="L584"/>
    </row>
    <row r="585" spans="2:12" ht="14.4" customHeight="1">
      <c r="B585" s="36" t="s">
        <v>218</v>
      </c>
      <c r="C585" s="3" t="s">
        <v>15</v>
      </c>
      <c r="D585" s="57">
        <f>IF('RPM &amp; Discounts'!$B$3='A0.Support'!$B$5,1,D490)</f>
        <v>7.4143465063682509E-2</v>
      </c>
      <c r="E585" s="57">
        <f>IF('RPM &amp; Discounts'!$B$3='A0.Support'!$B$5,1,E490)</f>
        <v>7.4143465063682509E-2</v>
      </c>
      <c r="H585"/>
      <c r="I585"/>
      <c r="J585"/>
      <c r="K585"/>
      <c r="L585"/>
    </row>
    <row r="586" spans="2:12" ht="14.4" customHeight="1">
      <c r="B586" s="36" t="s">
        <v>227</v>
      </c>
      <c r="C586" s="3" t="s">
        <v>220</v>
      </c>
      <c r="D586" s="57">
        <f>IF('RPM &amp; Discounts'!$B$3='A0.Support'!$B$5,1,SUMPRODUCT(D$491:D$575,D$11:D$95)/SUM(D$11:D$95))</f>
        <v>0.1751529253505594</v>
      </c>
      <c r="E586" s="57">
        <f>IF('RPM &amp; Discounts'!$B$3='A0.Support'!$B$5,1,SUMPRODUCT(E$491:E$575,E$11:E$95)/SUM(E$11:E$95))</f>
        <v>0.1751529253505594</v>
      </c>
      <c r="H586"/>
      <c r="I586"/>
      <c r="J586"/>
      <c r="K586"/>
      <c r="L586"/>
    </row>
    <row r="589" spans="2:12" ht="28.95" customHeight="1">
      <c r="B589" s="32" t="s">
        <v>610</v>
      </c>
      <c r="C589" s="5"/>
      <c r="D589" s="5"/>
      <c r="E589" s="5"/>
    </row>
    <row r="590" spans="2:12" ht="14.4" customHeight="1">
      <c r="B590" s="37"/>
    </row>
    <row r="591" spans="2:12" ht="14.4" customHeight="1">
      <c r="B591" s="9" t="s">
        <v>1</v>
      </c>
      <c r="C591" s="9" t="s">
        <v>238</v>
      </c>
      <c r="D591" s="6"/>
      <c r="E591" s="6"/>
    </row>
    <row r="592" spans="2:12" ht="14.4" customHeight="1">
      <c r="B592" s="25"/>
      <c r="C592" s="25"/>
      <c r="D592" s="23" t="str">
        <f>'Input data'!D$5</f>
        <v>2025-26</v>
      </c>
      <c r="E592" s="23" t="str">
        <f>'Input data'!E$5</f>
        <v>2026-27</v>
      </c>
    </row>
    <row r="593" spans="2:5" ht="14.4" customHeight="1">
      <c r="B593" s="24"/>
      <c r="C593" s="24"/>
      <c r="D593" s="8"/>
      <c r="E593" s="8"/>
    </row>
    <row r="594" spans="2:5" ht="14.4" customHeight="1">
      <c r="B594" s="36" t="s">
        <v>225</v>
      </c>
      <c r="C594" s="3" t="s">
        <v>224</v>
      </c>
      <c r="D594" s="57">
        <f t="shared" ref="D594:E594" si="178">D583</f>
        <v>3.6445593494149005E-2</v>
      </c>
      <c r="E594" s="57">
        <f t="shared" si="178"/>
        <v>3.6445593494149005E-2</v>
      </c>
    </row>
    <row r="595" spans="2:5" ht="14.4" customHeight="1">
      <c r="B595" s="36" t="s">
        <v>217</v>
      </c>
      <c r="C595" s="3" t="s">
        <v>14</v>
      </c>
      <c r="D595" s="57">
        <f t="shared" ref="D595:E597" si="179">D584</f>
        <v>0</v>
      </c>
      <c r="E595" s="57">
        <f t="shared" si="179"/>
        <v>0</v>
      </c>
    </row>
    <row r="596" spans="2:5" ht="14.4" customHeight="1">
      <c r="B596" s="36" t="s">
        <v>218</v>
      </c>
      <c r="C596" s="3" t="s">
        <v>15</v>
      </c>
      <c r="D596" s="57">
        <f t="shared" si="179"/>
        <v>7.4143465063682509E-2</v>
      </c>
      <c r="E596" s="57">
        <f t="shared" si="179"/>
        <v>7.4143465063682509E-2</v>
      </c>
    </row>
    <row r="597" spans="2:5" ht="14.4" customHeight="1">
      <c r="B597" s="36" t="s">
        <v>227</v>
      </c>
      <c r="C597" s="3" t="s">
        <v>220</v>
      </c>
      <c r="D597" s="57">
        <f t="shared" si="179"/>
        <v>0.1751529253505594</v>
      </c>
      <c r="E597" s="57">
        <f t="shared" si="179"/>
        <v>0.1751529253505594</v>
      </c>
    </row>
    <row r="598" spans="2:5" ht="14.4" customHeight="1">
      <c r="B598" s="9" t="s">
        <v>1</v>
      </c>
      <c r="C598" s="9" t="s">
        <v>239</v>
      </c>
      <c r="D598" s="6"/>
      <c r="E598" s="6"/>
    </row>
    <row r="599" spans="2:5" ht="14.4" customHeight="1">
      <c r="B599" s="25"/>
      <c r="C599" s="25"/>
      <c r="D599" s="23" t="str">
        <f>'Input data'!D$5</f>
        <v>2025-26</v>
      </c>
      <c r="E599" s="23" t="str">
        <f>'Input data'!E$5</f>
        <v>2026-27</v>
      </c>
    </row>
    <row r="600" spans="2:5" ht="14.4" customHeight="1">
      <c r="B600" s="24"/>
      <c r="C600" s="24"/>
      <c r="D600" s="8"/>
      <c r="E600" s="8"/>
    </row>
    <row r="601" spans="2:5" ht="14.4" customHeight="1">
      <c r="B601" s="36" t="s">
        <v>225</v>
      </c>
      <c r="C601" s="3" t="s">
        <v>224</v>
      </c>
      <c r="D601" s="57">
        <f t="shared" ref="D601:E601" si="180">D583</f>
        <v>3.6445593494149005E-2</v>
      </c>
      <c r="E601" s="57">
        <f t="shared" si="180"/>
        <v>3.6445593494149005E-2</v>
      </c>
    </row>
    <row r="602" spans="2:5" ht="14.4" customHeight="1">
      <c r="B602" s="36" t="s">
        <v>217</v>
      </c>
      <c r="C602" s="3" t="s">
        <v>14</v>
      </c>
      <c r="D602" s="57">
        <f t="shared" ref="D602:E603" si="181">D584</f>
        <v>0</v>
      </c>
      <c r="E602" s="57">
        <f t="shared" si="181"/>
        <v>0</v>
      </c>
    </row>
    <row r="603" spans="2:5" ht="14.4" customHeight="1">
      <c r="B603" s="36" t="s">
        <v>218</v>
      </c>
      <c r="C603" s="3" t="s">
        <v>15</v>
      </c>
      <c r="D603" s="57">
        <f t="shared" si="181"/>
        <v>7.4143465063682509E-2</v>
      </c>
      <c r="E603" s="57">
        <f t="shared" si="181"/>
        <v>7.4143465063682509E-2</v>
      </c>
    </row>
    <row r="606" spans="2:5" ht="28.95" customHeight="1">
      <c r="B606" s="32" t="s">
        <v>234</v>
      </c>
      <c r="C606" s="5"/>
      <c r="D606" s="5"/>
      <c r="E606" s="5"/>
    </row>
    <row r="607" spans="2:5" ht="14.4" customHeight="1">
      <c r="B607" s="37"/>
    </row>
    <row r="608" spans="2:5" ht="14.4" customHeight="1">
      <c r="B608" s="9" t="s">
        <v>1</v>
      </c>
      <c r="C608" s="9" t="s">
        <v>238</v>
      </c>
      <c r="D608" s="6"/>
      <c r="E608" s="6"/>
    </row>
    <row r="609" spans="2:7" ht="14.4" customHeight="1">
      <c r="B609" s="25"/>
      <c r="C609" s="25"/>
      <c r="D609" s="23" t="str">
        <f>'Input data'!D$5</f>
        <v>2025-26</v>
      </c>
      <c r="E609" s="23" t="str">
        <f>'Input data'!E$5</f>
        <v>2026-27</v>
      </c>
    </row>
    <row r="610" spans="2:7" ht="14.4" customHeight="1">
      <c r="B610" s="24"/>
      <c r="C610" s="24"/>
      <c r="D610" s="8"/>
      <c r="E610" s="8"/>
    </row>
    <row r="611" spans="2:7" ht="14.4" customHeight="1">
      <c r="B611" s="36" t="s">
        <v>225</v>
      </c>
      <c r="C611" s="3" t="s">
        <v>224</v>
      </c>
      <c r="D611" s="54">
        <v>0</v>
      </c>
      <c r="E611" s="54">
        <v>0</v>
      </c>
      <c r="G611"/>
    </row>
    <row r="612" spans="2:7" ht="14.4" customHeight="1">
      <c r="B612" s="36" t="s">
        <v>217</v>
      </c>
      <c r="C612" s="3" t="s">
        <v>14</v>
      </c>
      <c r="D612" s="54">
        <v>0</v>
      </c>
      <c r="E612" s="54">
        <v>0</v>
      </c>
    </row>
    <row r="613" spans="2:7" ht="14.4" customHeight="1">
      <c r="B613" s="36" t="s">
        <v>218</v>
      </c>
      <c r="C613" s="3" t="s">
        <v>15</v>
      </c>
      <c r="D613" s="54">
        <f>IF('RPM &amp; Discounts'!$B$8='A0.Support'!$B$12,'Input data'!D171,IF('RPM &amp; Discounts'!$B$8='A0.Support'!$B$13,0,"Error"))</f>
        <v>1</v>
      </c>
      <c r="E613" s="54">
        <f>IF('RPM &amp; Discounts'!$B$8='A0.Support'!$B$12,'Input data'!E171,IF('RPM &amp; Discounts'!$B$8='A0.Support'!$B$13,0,"Error"))</f>
        <v>1</v>
      </c>
    </row>
    <row r="614" spans="2:7" ht="14.4" customHeight="1">
      <c r="B614" s="36" t="s">
        <v>227</v>
      </c>
      <c r="C614" s="3" t="s">
        <v>220</v>
      </c>
      <c r="D614" s="54">
        <v>0</v>
      </c>
      <c r="E614" s="54">
        <v>0</v>
      </c>
    </row>
    <row r="615" spans="2:7" ht="14.4" customHeight="1">
      <c r="B615" s="9" t="s">
        <v>1</v>
      </c>
      <c r="C615" s="9" t="s">
        <v>239</v>
      </c>
      <c r="D615" s="6"/>
      <c r="E615" s="6"/>
    </row>
    <row r="616" spans="2:7" ht="14.4" customHeight="1">
      <c r="B616" s="25"/>
      <c r="C616" s="25"/>
      <c r="D616" s="23" t="str">
        <f>'Input data'!D$5</f>
        <v>2025-26</v>
      </c>
      <c r="E616" s="23" t="str">
        <f>'Input data'!E$5</f>
        <v>2026-27</v>
      </c>
    </row>
    <row r="617" spans="2:7" ht="14.4" customHeight="1">
      <c r="B617" s="24"/>
      <c r="C617" s="24"/>
      <c r="D617" s="8"/>
      <c r="E617" s="8"/>
    </row>
    <row r="618" spans="2:7" ht="14.4" customHeight="1">
      <c r="B618" s="36" t="s">
        <v>225</v>
      </c>
      <c r="C618" s="3" t="s">
        <v>224</v>
      </c>
      <c r="D618" s="56">
        <f>IF('RPM &amp; Discounts'!$B$8='A0.Support'!$B$12,1-(1-D611)*(1-'Input data'!D178),IF('RPM &amp; Discounts'!$B$8='A0.Support'!$B$13,0,"Error"))</f>
        <v>4.6000000000000041E-2</v>
      </c>
      <c r="E618" s="56">
        <f>IF('RPM &amp; Discounts'!$B$8='A0.Support'!$B$12,1-(1-E611)*(1-'Input data'!E178),IF('RPM &amp; Discounts'!$B$8='A0.Support'!$B$13,0,"Error"))</f>
        <v>4.6000000000000041E-2</v>
      </c>
    </row>
    <row r="619" spans="2:7" ht="14.4" customHeight="1">
      <c r="B619" s="36" t="s">
        <v>217</v>
      </c>
      <c r="C619" s="3" t="s">
        <v>14</v>
      </c>
      <c r="D619" s="54">
        <f>IF('RPM &amp; Discounts'!$B$8='A0.Support'!$B$12,1-(1-D612)*(1-'Input data'!D180),IF('RPM &amp; Discounts'!$B$8='A0.Support'!$B$13,0,"Error"))</f>
        <v>0</v>
      </c>
      <c r="E619" s="54">
        <f>IF('RPM &amp; Discounts'!$B$8='A0.Support'!$B$12,1-(1-E612)*(1-'Input data'!E180),IF('RPM &amp; Discounts'!$B$8='A0.Support'!$B$13,0,"Error"))</f>
        <v>0</v>
      </c>
    </row>
    <row r="620" spans="2:7" ht="14.4" customHeight="1">
      <c r="B620" s="36" t="s">
        <v>218</v>
      </c>
      <c r="C620" s="3" t="s">
        <v>15</v>
      </c>
      <c r="D620" s="54">
        <f>IF('RPM &amp; Discounts'!$B$8='A0.Support'!$B$12,1-(1-D613)*(1-'Input data'!D182),IF('RPM &amp; Discounts'!$B$8='A0.Support'!$B$13,0,"Error"))</f>
        <v>1</v>
      </c>
      <c r="E620" s="54">
        <f>IF('RPM &amp; Discounts'!$B$8='A0.Support'!$B$12,1-(1-E613)*(1-'Input data'!E182),IF('RPM &amp; Discounts'!$B$8='A0.Support'!$B$13,0,"Error"))</f>
        <v>1</v>
      </c>
    </row>
    <row r="623" spans="2:7" ht="28.95" customHeight="1">
      <c r="B623" s="32" t="s">
        <v>596</v>
      </c>
      <c r="C623" s="5"/>
      <c r="D623" s="5"/>
      <c r="E623" s="5"/>
    </row>
    <row r="624" spans="2:7" ht="14.4" customHeight="1">
      <c r="B624" s="37" t="s">
        <v>235</v>
      </c>
    </row>
    <row r="625" spans="2:5" ht="14.4" customHeight="1">
      <c r="B625" s="9" t="s">
        <v>1</v>
      </c>
      <c r="C625" s="9" t="s">
        <v>238</v>
      </c>
      <c r="D625" s="6"/>
      <c r="E625" s="6"/>
    </row>
    <row r="626" spans="2:5" ht="14.4" customHeight="1">
      <c r="B626" s="25"/>
      <c r="C626" s="25"/>
      <c r="D626" s="23" t="str">
        <f>'Input data'!D$5</f>
        <v>2025-26</v>
      </c>
      <c r="E626" s="23" t="str">
        <f>'Input data'!E$5</f>
        <v>2026-27</v>
      </c>
    </row>
    <row r="627" spans="2:5" ht="14.4" customHeight="1">
      <c r="B627" s="24"/>
      <c r="C627" s="24"/>
      <c r="D627" s="8"/>
      <c r="E627" s="8"/>
    </row>
    <row r="628" spans="2:5" ht="14.4" customHeight="1">
      <c r="B628" s="36" t="s">
        <v>225</v>
      </c>
      <c r="C628" s="3" t="s">
        <v>224</v>
      </c>
      <c r="D628" s="57">
        <f t="shared" ref="D628:E628" si="182">D594*(1-D611)</f>
        <v>3.6445593494149005E-2</v>
      </c>
      <c r="E628" s="57">
        <f t="shared" si="182"/>
        <v>3.6445593494149005E-2</v>
      </c>
    </row>
    <row r="629" spans="2:5" ht="14.4" customHeight="1">
      <c r="B629" s="36" t="s">
        <v>217</v>
      </c>
      <c r="C629" s="3" t="s">
        <v>14</v>
      </c>
      <c r="D629" s="57">
        <f t="shared" ref="D629:E631" si="183">D595*(1-D612)</f>
        <v>0</v>
      </c>
      <c r="E629" s="57">
        <f t="shared" si="183"/>
        <v>0</v>
      </c>
    </row>
    <row r="630" spans="2:5" ht="14.4" customHeight="1">
      <c r="B630" s="36" t="s">
        <v>218</v>
      </c>
      <c r="C630" s="3" t="s">
        <v>15</v>
      </c>
      <c r="D630" s="57">
        <f t="shared" si="183"/>
        <v>0</v>
      </c>
      <c r="E630" s="57">
        <f t="shared" si="183"/>
        <v>0</v>
      </c>
    </row>
    <row r="631" spans="2:5" ht="14.4" customHeight="1">
      <c r="B631" s="36" t="s">
        <v>227</v>
      </c>
      <c r="C631" s="3" t="s">
        <v>220</v>
      </c>
      <c r="D631" s="57">
        <f t="shared" si="183"/>
        <v>0.1751529253505594</v>
      </c>
      <c r="E631" s="57">
        <f t="shared" si="183"/>
        <v>0.1751529253505594</v>
      </c>
    </row>
    <row r="632" spans="2:5" ht="14.4" customHeight="1">
      <c r="B632" s="9" t="s">
        <v>1</v>
      </c>
      <c r="C632" s="9" t="s">
        <v>239</v>
      </c>
      <c r="D632" s="6"/>
      <c r="E632" s="6"/>
    </row>
    <row r="633" spans="2:5" ht="14.4" customHeight="1">
      <c r="B633" s="25"/>
      <c r="C633" s="25"/>
      <c r="D633" s="23" t="str">
        <f>'Input data'!D$5</f>
        <v>2025-26</v>
      </c>
      <c r="E633" s="23" t="str">
        <f>'Input data'!E$5</f>
        <v>2026-27</v>
      </c>
    </row>
    <row r="634" spans="2:5" ht="14.4" customHeight="1">
      <c r="B634" s="24"/>
      <c r="C634" s="24"/>
      <c r="D634" s="8"/>
      <c r="E634" s="8"/>
    </row>
    <row r="635" spans="2:5" ht="14.4" customHeight="1">
      <c r="B635" s="36" t="s">
        <v>225</v>
      </c>
      <c r="C635" s="3" t="s">
        <v>224</v>
      </c>
      <c r="D635" s="57">
        <f t="shared" ref="D635:E637" si="184">D601*(1-D618)</f>
        <v>3.4769096193418149E-2</v>
      </c>
      <c r="E635" s="57">
        <f t="shared" si="184"/>
        <v>3.4769096193418149E-2</v>
      </c>
    </row>
    <row r="636" spans="2:5" ht="14.4" customHeight="1">
      <c r="B636" s="36" t="s">
        <v>217</v>
      </c>
      <c r="C636" s="3" t="s">
        <v>14</v>
      </c>
      <c r="D636" s="57">
        <f t="shared" si="184"/>
        <v>0</v>
      </c>
      <c r="E636" s="57">
        <f t="shared" si="184"/>
        <v>0</v>
      </c>
    </row>
    <row r="637" spans="2:5" ht="14.4" customHeight="1">
      <c r="B637" s="36" t="s">
        <v>218</v>
      </c>
      <c r="C637" s="3" t="s">
        <v>15</v>
      </c>
      <c r="D637" s="57">
        <f t="shared" si="184"/>
        <v>0</v>
      </c>
      <c r="E637" s="57">
        <f t="shared" si="184"/>
        <v>0</v>
      </c>
    </row>
    <row r="640" spans="2:5" ht="28.95" customHeight="1">
      <c r="B640" s="32" t="s">
        <v>611</v>
      </c>
      <c r="C640" s="5"/>
      <c r="D640" s="5"/>
      <c r="E640" s="5"/>
    </row>
    <row r="641" spans="2:5" ht="14.4" customHeight="1">
      <c r="B641" s="37"/>
    </row>
    <row r="642" spans="2:5" ht="14.4" customHeight="1">
      <c r="B642" s="9" t="s">
        <v>1</v>
      </c>
      <c r="C642" s="9" t="s">
        <v>238</v>
      </c>
      <c r="D642" s="6"/>
      <c r="E642" s="6"/>
    </row>
    <row r="643" spans="2:5" ht="14.4" customHeight="1">
      <c r="B643" s="25"/>
      <c r="C643" s="25"/>
      <c r="D643" s="23" t="str">
        <f>'Input data'!D$5</f>
        <v>2025-26</v>
      </c>
      <c r="E643" s="23" t="str">
        <f>'Input data'!E$5</f>
        <v>2026-27</v>
      </c>
    </row>
    <row r="644" spans="2:5" ht="14.4" customHeight="1">
      <c r="B644" s="24"/>
      <c r="C644" s="24"/>
      <c r="D644" s="8"/>
      <c r="E644" s="8"/>
    </row>
    <row r="645" spans="2:5" ht="14.4" customHeight="1">
      <c r="B645" s="36" t="s">
        <v>225</v>
      </c>
      <c r="C645" s="3" t="s">
        <v>224</v>
      </c>
      <c r="D645" s="38">
        <f>SUMPRODUCT('Input data'!D65:D69,'Input data'!D133:D137)</f>
        <v>78142994.060000002</v>
      </c>
      <c r="E645" s="38">
        <f>SUMPRODUCT('Input data'!E65:E69,'Input data'!E133:E137)</f>
        <v>78142994.060000002</v>
      </c>
    </row>
    <row r="646" spans="2:5" ht="14.4" customHeight="1">
      <c r="B646" s="36" t="s">
        <v>217</v>
      </c>
      <c r="C646" s="3" t="s">
        <v>14</v>
      </c>
      <c r="D646" s="38">
        <f>SUMPRODUCT('Input data'!D70:D74,'Input data'!D138:D142)</f>
        <v>0</v>
      </c>
      <c r="E646" s="38">
        <f>SUMPRODUCT('Input data'!E70:E74,'Input data'!E138:E142)</f>
        <v>0</v>
      </c>
    </row>
    <row r="647" spans="2:5" ht="14.4" customHeight="1">
      <c r="B647" s="36" t="s">
        <v>218</v>
      </c>
      <c r="C647" s="3" t="s">
        <v>15</v>
      </c>
      <c r="D647" s="38">
        <f>SUMPRODUCT('Input data'!D75:D76,'Input data'!D143:D144)</f>
        <v>7345604.5458560269</v>
      </c>
      <c r="E647" s="38">
        <f>SUMPRODUCT('Input data'!E75:E76,'Input data'!E143:E144)</f>
        <v>7345604.5458560269</v>
      </c>
    </row>
    <row r="648" spans="2:5" ht="14.4" customHeight="1">
      <c r="B648" s="36" t="s">
        <v>227</v>
      </c>
      <c r="C648" s="3" t="s">
        <v>220</v>
      </c>
      <c r="D648" s="38">
        <f>SUM('Input data'!D77:D78)+SUMPRODUCT('Input data'!D79:D83,'Input data'!D145:D149)</f>
        <v>271081899.61141425</v>
      </c>
      <c r="E648" s="38">
        <f>SUM('Input data'!E77:E78)+SUMPRODUCT('Input data'!E79:E83,'Input data'!E145:E149)</f>
        <v>271081899.61141425</v>
      </c>
    </row>
    <row r="649" spans="2:5" ht="14.4" customHeight="1">
      <c r="B649" s="9" t="s">
        <v>1</v>
      </c>
      <c r="C649" s="9" t="s">
        <v>239</v>
      </c>
      <c r="D649" s="6"/>
      <c r="E649" s="6"/>
    </row>
    <row r="650" spans="2:5" ht="14.4" customHeight="1">
      <c r="B650" s="25"/>
      <c r="C650" s="25"/>
      <c r="D650" s="23" t="str">
        <f>'Input data'!D$5</f>
        <v>2025-26</v>
      </c>
      <c r="E650" s="23" t="str">
        <f>'Input data'!E$5</f>
        <v>2026-27</v>
      </c>
    </row>
    <row r="651" spans="2:5" ht="14.4" customHeight="1">
      <c r="B651" s="24"/>
      <c r="C651" s="24"/>
      <c r="D651" s="8"/>
      <c r="E651" s="8"/>
    </row>
    <row r="652" spans="2:5" ht="14.4" customHeight="1">
      <c r="B652" s="36" t="s">
        <v>225</v>
      </c>
      <c r="C652" s="3" t="s">
        <v>224</v>
      </c>
      <c r="D652" s="38">
        <f>'Input data'!D91*'Input data'!D136+'Input data'!D92*'Input data'!D137</f>
        <v>0</v>
      </c>
      <c r="E652" s="38">
        <f>'Input data'!E91*'Input data'!E136+'Input data'!E92*'Input data'!E137</f>
        <v>0</v>
      </c>
    </row>
    <row r="653" spans="2:5" ht="14.4" customHeight="1">
      <c r="B653" s="36" t="s">
        <v>217</v>
      </c>
      <c r="C653" s="3" t="s">
        <v>14</v>
      </c>
      <c r="D653" s="38">
        <f>'Input data'!D93*'Input data'!D141+'Input data'!D94*'Input data'!D142</f>
        <v>1.94</v>
      </c>
      <c r="E653" s="38">
        <f>'Input data'!E93*'Input data'!E141+'Input data'!E94*'Input data'!E142</f>
        <v>1.94</v>
      </c>
    </row>
    <row r="654" spans="2:5" ht="14.4" customHeight="1">
      <c r="B654" s="36" t="s">
        <v>218</v>
      </c>
      <c r="C654" s="3" t="s">
        <v>15</v>
      </c>
      <c r="D654" s="38">
        <f>'Input data'!D95*'Input data'!D144</f>
        <v>0</v>
      </c>
      <c r="E654" s="38">
        <f>'Input data'!E95*'Input data'!E144</f>
        <v>0</v>
      </c>
    </row>
    <row r="657" spans="2:5" ht="28.95" customHeight="1">
      <c r="B657" s="32" t="s">
        <v>598</v>
      </c>
      <c r="C657" s="5"/>
      <c r="D657" s="5"/>
      <c r="E657" s="5"/>
    </row>
    <row r="658" spans="2:5" ht="14.4" customHeight="1">
      <c r="B658" s="37"/>
    </row>
    <row r="659" spans="2:5" ht="14.4" customHeight="1">
      <c r="B659" s="9" t="s">
        <v>1</v>
      </c>
      <c r="C659" s="9" t="s">
        <v>238</v>
      </c>
      <c r="D659" s="6"/>
      <c r="E659" s="6"/>
    </row>
    <row r="660" spans="2:5" ht="14.4" customHeight="1">
      <c r="B660" s="25"/>
      <c r="C660" s="25"/>
      <c r="D660" s="23" t="str">
        <f>'Input data'!D$5</f>
        <v>2025-26</v>
      </c>
      <c r="E660" s="23" t="str">
        <f>'Input data'!E$5</f>
        <v>2026-27</v>
      </c>
    </row>
    <row r="661" spans="2:5" ht="14.4" customHeight="1">
      <c r="B661" s="24"/>
      <c r="C661" s="24"/>
      <c r="D661" s="8"/>
      <c r="E661" s="8"/>
    </row>
    <row r="662" spans="2:5" ht="14.4" customHeight="1">
      <c r="B662" s="36" t="s">
        <v>225</v>
      </c>
      <c r="C662" s="3" t="s">
        <v>224</v>
      </c>
      <c r="D662" s="57">
        <f>D628*'Input data'!D$191*'Input data'!D$7/(SUMPRODUCT(D$628:D$631,D$645:D$648)+SUMPRODUCT(D$635:D$637,D$652:D$654))</f>
        <v>3.6839986548534723E-2</v>
      </c>
      <c r="E662" s="57">
        <f>E628*'Input data'!E$191*'Input data'!E$7/(SUMPRODUCT(E$628:E$631,E$645:E$648)+SUMPRODUCT(E$635:E$637,E$652:E$654))</f>
        <v>3.6839986548534723E-2</v>
      </c>
    </row>
    <row r="663" spans="2:5" ht="14.4" customHeight="1">
      <c r="B663" s="36" t="s">
        <v>217</v>
      </c>
      <c r="C663" s="3" t="s">
        <v>14</v>
      </c>
      <c r="D663" s="57">
        <f>D629*'Input data'!D$191*'Input data'!D$7/(SUMPRODUCT(D$628:D$631,D$645:D$648)+SUMPRODUCT(D$635:D$637,D$652:D$654))</f>
        <v>0</v>
      </c>
      <c r="E663" s="57">
        <f>E629*'Input data'!E$191*'Input data'!E$7/(SUMPRODUCT(E$628:E$631,E$645:E$648)+SUMPRODUCT(E$635:E$637,E$652:E$654))</f>
        <v>0</v>
      </c>
    </row>
    <row r="664" spans="2:5" ht="14.4" customHeight="1">
      <c r="B664" s="36" t="s">
        <v>218</v>
      </c>
      <c r="C664" s="3" t="s">
        <v>15</v>
      </c>
      <c r="D664" s="57">
        <f>D630*'Input data'!D$191*'Input data'!D$7/(SUMPRODUCT(D$628:D$631,D$645:D$648)+SUMPRODUCT(D$635:D$637,D$652:D$654))</f>
        <v>0</v>
      </c>
      <c r="E664" s="57">
        <f>E630*'Input data'!E$191*'Input data'!E$7/(SUMPRODUCT(E$628:E$631,E$645:E$648)+SUMPRODUCT(E$635:E$637,E$652:E$654))</f>
        <v>0</v>
      </c>
    </row>
    <row r="665" spans="2:5" ht="14.4" customHeight="1">
      <c r="B665" s="36" t="s">
        <v>227</v>
      </c>
      <c r="C665" s="3" t="s">
        <v>220</v>
      </c>
      <c r="D665" s="57">
        <f>D631*'Input data'!D$191*'Input data'!D$7/(SUMPRODUCT(D$628:D$631,D$645:D$648)+SUMPRODUCT(D$635:D$637,D$652:D$654))</f>
        <v>0.17704832862406325</v>
      </c>
      <c r="E665" s="57">
        <f>E631*'Input data'!E$191*'Input data'!E$7/(SUMPRODUCT(E$628:E$631,E$645:E$648)+SUMPRODUCT(E$635:E$637,E$652:E$654))</f>
        <v>0.17704832862406325</v>
      </c>
    </row>
    <row r="666" spans="2:5" ht="14.4" customHeight="1">
      <c r="B666" s="9" t="s">
        <v>1</v>
      </c>
      <c r="C666" s="9" t="s">
        <v>239</v>
      </c>
      <c r="D666" s="6"/>
      <c r="E666" s="6"/>
    </row>
    <row r="667" spans="2:5" ht="14.4" customHeight="1">
      <c r="B667" s="25"/>
      <c r="C667" s="25"/>
      <c r="D667" s="23" t="str">
        <f>'Input data'!D$5</f>
        <v>2025-26</v>
      </c>
      <c r="E667" s="23" t="str">
        <f>'Input data'!E$5</f>
        <v>2026-27</v>
      </c>
    </row>
    <row r="668" spans="2:5" ht="14.4" customHeight="1">
      <c r="B668" s="24"/>
      <c r="C668" s="24"/>
      <c r="D668" s="8"/>
      <c r="E668" s="8"/>
    </row>
    <row r="669" spans="2:5" ht="14.4" customHeight="1">
      <c r="B669" s="36" t="s">
        <v>225</v>
      </c>
      <c r="C669" s="3" t="s">
        <v>224</v>
      </c>
      <c r="D669" s="57">
        <f>D635*'Input data'!D$191*'Input data'!D$7/(SUMPRODUCT(D$628:D$631,D$645:D$648)+SUMPRODUCT(D$635:D$637,D$652:D$654))</f>
        <v>3.5145347167302124E-2</v>
      </c>
      <c r="E669" s="57">
        <f>E635*'Input data'!E$191*'Input data'!E$7/(SUMPRODUCT(E$628:E$631,E$645:E$648)+SUMPRODUCT(E$635:E$637,E$652:E$654))</f>
        <v>3.5145347167302124E-2</v>
      </c>
    </row>
    <row r="670" spans="2:5" ht="14.4" customHeight="1">
      <c r="B670" s="36" t="s">
        <v>217</v>
      </c>
      <c r="C670" s="3" t="s">
        <v>14</v>
      </c>
      <c r="D670" s="57">
        <f>D636*'Input data'!D$191*'Input data'!D$7/(SUMPRODUCT(D$628:D$631,D$645:D$648)+SUMPRODUCT(D$635:D$637,D$652:D$654))</f>
        <v>0</v>
      </c>
      <c r="E670" s="57">
        <f>E636*'Input data'!E$191*'Input data'!E$7/(SUMPRODUCT(E$628:E$631,E$645:E$648)+SUMPRODUCT(E$635:E$637,E$652:E$654))</f>
        <v>0</v>
      </c>
    </row>
    <row r="671" spans="2:5" ht="14.4" customHeight="1">
      <c r="B671" s="36" t="s">
        <v>218</v>
      </c>
      <c r="C671" s="3" t="s">
        <v>15</v>
      </c>
      <c r="D671" s="57">
        <f>D637*'Input data'!D$191*'Input data'!D$7/(SUMPRODUCT(D$628:D$631,D$645:D$648)+SUMPRODUCT(D$635:D$637,D$652:D$654))</f>
        <v>0</v>
      </c>
      <c r="E671" s="57">
        <f>E637*'Input data'!E$191*'Input data'!E$7/(SUMPRODUCT(E$628:E$631,E$645:E$648)+SUMPRODUCT(E$635:E$637,E$652:E$654))</f>
        <v>0</v>
      </c>
    </row>
    <row r="672" spans="2:5" ht="14.4" customHeight="1">
      <c r="B672" s="128"/>
      <c r="C672" s="129"/>
      <c r="D672" s="130"/>
      <c r="E672" s="130"/>
    </row>
    <row r="673" spans="2:5" ht="14.4" customHeight="1">
      <c r="B673" s="128"/>
      <c r="C673" s="129"/>
      <c r="D673" s="130"/>
      <c r="E673" s="130"/>
    </row>
    <row r="674" spans="2:5" ht="28.95" customHeight="1">
      <c r="B674" s="32" t="s">
        <v>612</v>
      </c>
      <c r="C674" s="5"/>
      <c r="D674" s="5"/>
      <c r="E674" s="5"/>
    </row>
    <row r="675" spans="2:5" ht="14.4" customHeight="1">
      <c r="B675" s="37" t="s">
        <v>565</v>
      </c>
    </row>
    <row r="676" spans="2:5" ht="14.4" customHeight="1">
      <c r="B676" s="9" t="s">
        <v>1</v>
      </c>
      <c r="C676" s="9" t="s">
        <v>238</v>
      </c>
      <c r="D676" s="6"/>
      <c r="E676" s="6"/>
    </row>
    <row r="677" spans="2:5" ht="14.4" customHeight="1">
      <c r="B677" s="25"/>
      <c r="C677" s="25"/>
      <c r="D677" s="23" t="str">
        <f>'Input data'!D$5</f>
        <v>2025-26</v>
      </c>
      <c r="E677" s="23" t="str">
        <f>'Input data'!E$5</f>
        <v>2026-27</v>
      </c>
    </row>
    <row r="678" spans="2:5" ht="14.4" customHeight="1">
      <c r="B678" s="24"/>
      <c r="C678" s="24"/>
      <c r="D678" s="8"/>
      <c r="E678" s="8"/>
    </row>
    <row r="679" spans="2:5" ht="14.4" customHeight="1">
      <c r="B679" s="36" t="s">
        <v>225</v>
      </c>
      <c r="C679" s="3" t="s">
        <v>224</v>
      </c>
      <c r="D679" s="57">
        <v>0</v>
      </c>
      <c r="E679" s="57">
        <v>0</v>
      </c>
    </row>
    <row r="680" spans="2:5" ht="14.4" customHeight="1">
      <c r="B680" s="36" t="s">
        <v>217</v>
      </c>
      <c r="C680" s="3" t="s">
        <v>14</v>
      </c>
      <c r="D680" s="57">
        <v>0</v>
      </c>
      <c r="E680" s="57">
        <v>0</v>
      </c>
    </row>
    <row r="681" spans="2:5" ht="14.4" customHeight="1">
      <c r="B681" s="36" t="s">
        <v>218</v>
      </c>
      <c r="C681" s="3" t="s">
        <v>15</v>
      </c>
      <c r="D681" s="57">
        <v>0</v>
      </c>
      <c r="E681" s="57">
        <v>0</v>
      </c>
    </row>
    <row r="682" spans="2:5" ht="14.4" customHeight="1">
      <c r="B682" s="36" t="s">
        <v>227</v>
      </c>
      <c r="C682" s="3" t="s">
        <v>220</v>
      </c>
      <c r="D682" s="57">
        <f>'Input data'!D8/D648</f>
        <v>0</v>
      </c>
      <c r="E682" s="57">
        <f>'Input data'!E8/E648</f>
        <v>0</v>
      </c>
    </row>
    <row r="683" spans="2:5" ht="14.4" customHeight="1">
      <c r="B683" s="9" t="s">
        <v>1</v>
      </c>
      <c r="C683" s="9" t="s">
        <v>239</v>
      </c>
      <c r="D683" s="6"/>
      <c r="E683" s="6"/>
    </row>
    <row r="684" spans="2:5" ht="14.4" customHeight="1">
      <c r="B684" s="25"/>
      <c r="C684" s="25"/>
      <c r="D684" s="23" t="str">
        <f>'Input data'!D$5</f>
        <v>2025-26</v>
      </c>
      <c r="E684" s="23" t="str">
        <f>'Input data'!E$5</f>
        <v>2026-27</v>
      </c>
    </row>
    <row r="685" spans="2:5" ht="14.4" customHeight="1">
      <c r="B685" s="24"/>
      <c r="C685" s="24"/>
      <c r="D685" s="8"/>
      <c r="E685" s="8"/>
    </row>
    <row r="686" spans="2:5" ht="14.4" customHeight="1">
      <c r="B686" s="36" t="s">
        <v>225</v>
      </c>
      <c r="C686" s="3" t="s">
        <v>224</v>
      </c>
      <c r="D686" s="57">
        <v>0</v>
      </c>
      <c r="E686" s="57">
        <v>0</v>
      </c>
    </row>
    <row r="687" spans="2:5" ht="14.4" customHeight="1">
      <c r="B687" s="36" t="s">
        <v>217</v>
      </c>
      <c r="C687" s="3" t="s">
        <v>14</v>
      </c>
      <c r="D687" s="57">
        <v>0</v>
      </c>
      <c r="E687" s="57">
        <v>0</v>
      </c>
    </row>
    <row r="688" spans="2:5" ht="14.4" customHeight="1">
      <c r="B688" s="36" t="s">
        <v>218</v>
      </c>
      <c r="C688" s="3" t="s">
        <v>15</v>
      </c>
      <c r="D688" s="57">
        <v>0</v>
      </c>
      <c r="E688" s="57">
        <v>0</v>
      </c>
    </row>
    <row r="691" spans="2:5" ht="28.95" customHeight="1">
      <c r="B691" s="32" t="s">
        <v>613</v>
      </c>
      <c r="C691" s="5"/>
      <c r="D691" s="5"/>
      <c r="E691" s="5"/>
    </row>
    <row r="692" spans="2:5" ht="14.4" customHeight="1">
      <c r="B692" s="37" t="s">
        <v>566</v>
      </c>
    </row>
    <row r="693" spans="2:5" ht="14.4" customHeight="1">
      <c r="B693" s="9" t="s">
        <v>1</v>
      </c>
      <c r="C693" s="9" t="s">
        <v>238</v>
      </c>
      <c r="D693" s="6"/>
      <c r="E693" s="6"/>
    </row>
    <row r="694" spans="2:5" ht="14.4" customHeight="1">
      <c r="B694" s="25"/>
      <c r="C694" s="25"/>
      <c r="D694" s="23" t="str">
        <f>'Input data'!D$5</f>
        <v>2025-26</v>
      </c>
      <c r="E694" s="23" t="str">
        <f>'Input data'!E$5</f>
        <v>2026-27</v>
      </c>
    </row>
    <row r="695" spans="2:5" ht="14.4" customHeight="1">
      <c r="B695" s="24"/>
      <c r="C695" s="24"/>
      <c r="D695" s="8"/>
      <c r="E695" s="8"/>
    </row>
    <row r="696" spans="2:5" ht="14.4" customHeight="1">
      <c r="B696" s="36" t="s">
        <v>225</v>
      </c>
      <c r="C696" s="3" t="s">
        <v>224</v>
      </c>
      <c r="D696" s="38">
        <f t="shared" ref="D696:E696" si="185">D645*(D662+D679)</f>
        <v>2878786.850032629</v>
      </c>
      <c r="E696" s="38">
        <f t="shared" si="185"/>
        <v>2878786.850032629</v>
      </c>
    </row>
    <row r="697" spans="2:5" ht="14.4" customHeight="1">
      <c r="B697" s="36" t="s">
        <v>217</v>
      </c>
      <c r="C697" s="3" t="s">
        <v>14</v>
      </c>
      <c r="D697" s="38">
        <f t="shared" ref="D697:E697" si="186">D646*(D663+D680)</f>
        <v>0</v>
      </c>
      <c r="E697" s="38">
        <f t="shared" si="186"/>
        <v>0</v>
      </c>
    </row>
    <row r="698" spans="2:5" ht="14.4" customHeight="1">
      <c r="B698" s="36" t="s">
        <v>218</v>
      </c>
      <c r="C698" s="3" t="s">
        <v>15</v>
      </c>
      <c r="D698" s="38">
        <f t="shared" ref="D698:E698" si="187">D647*(D664+D681)</f>
        <v>0</v>
      </c>
      <c r="E698" s="38">
        <f t="shared" si="187"/>
        <v>0</v>
      </c>
    </row>
    <row r="699" spans="2:5" ht="14.4" customHeight="1">
      <c r="B699" s="36" t="s">
        <v>227</v>
      </c>
      <c r="C699" s="3" t="s">
        <v>220</v>
      </c>
      <c r="D699" s="38">
        <f t="shared" ref="D699:E699" si="188">D648*(D665+D682)</f>
        <v>47994597.246436998</v>
      </c>
      <c r="E699" s="38">
        <f t="shared" si="188"/>
        <v>47994597.246436998</v>
      </c>
    </row>
    <row r="700" spans="2:5" ht="14.4" customHeight="1">
      <c r="B700" s="9" t="s">
        <v>1</v>
      </c>
      <c r="C700" s="9" t="s">
        <v>239</v>
      </c>
      <c r="D700" s="6"/>
      <c r="E700" s="6"/>
    </row>
    <row r="701" spans="2:5" ht="14.4" customHeight="1">
      <c r="B701" s="25"/>
      <c r="C701" s="25"/>
      <c r="D701" s="23" t="str">
        <f>'Input data'!D$5</f>
        <v>2025-26</v>
      </c>
      <c r="E701" s="23" t="str">
        <f>'Input data'!E$5</f>
        <v>2026-27</v>
      </c>
    </row>
    <row r="702" spans="2:5" ht="14.4" customHeight="1">
      <c r="B702" s="24"/>
      <c r="C702" s="24"/>
      <c r="D702" s="8"/>
      <c r="E702" s="8"/>
    </row>
    <row r="703" spans="2:5" ht="14.4" customHeight="1">
      <c r="B703" s="36" t="s">
        <v>225</v>
      </c>
      <c r="C703" s="3" t="s">
        <v>224</v>
      </c>
      <c r="D703" s="38">
        <f t="shared" ref="D703:E703" si="189">D652*(D669+D686)</f>
        <v>0</v>
      </c>
      <c r="E703" s="38">
        <f t="shared" si="189"/>
        <v>0</v>
      </c>
    </row>
    <row r="704" spans="2:5" ht="14.4" customHeight="1">
      <c r="B704" s="36" t="s">
        <v>217</v>
      </c>
      <c r="C704" s="3" t="s">
        <v>14</v>
      </c>
      <c r="D704" s="38">
        <f t="shared" ref="D704:E704" si="190">D653*(D670+D687)</f>
        <v>0</v>
      </c>
      <c r="E704" s="38">
        <f t="shared" si="190"/>
        <v>0</v>
      </c>
    </row>
    <row r="705" spans="2:5" ht="14.4" customHeight="1">
      <c r="B705" s="36" t="s">
        <v>218</v>
      </c>
      <c r="C705" s="3" t="s">
        <v>15</v>
      </c>
      <c r="D705" s="38">
        <f t="shared" ref="D705:E705" si="191">D654*(D671+D688)</f>
        <v>0</v>
      </c>
      <c r="E705" s="38">
        <f t="shared" si="191"/>
        <v>0</v>
      </c>
    </row>
    <row r="706" spans="2:5" ht="14.4" customHeight="1">
      <c r="B706" s="21" t="s">
        <v>31</v>
      </c>
      <c r="C706" s="22"/>
      <c r="D706" s="20">
        <f t="shared" ref="D706:E706" si="192">SUM(D696:D699,D702:D705)</f>
        <v>50873384.096469626</v>
      </c>
      <c r="E706" s="20">
        <f t="shared" si="192"/>
        <v>50873384.096469626</v>
      </c>
    </row>
    <row r="707" spans="2:5" ht="14.4" customHeight="1">
      <c r="D707" s="63">
        <f>'Input data'!D191*'Input data'!D7+'Input data'!D8-D706</f>
        <v>0</v>
      </c>
      <c r="E707" s="63">
        <f>'Input data'!E191*'Input data'!E7+'Input data'!E8-E706</f>
        <v>0</v>
      </c>
    </row>
  </sheetData>
  <conditionalFormatting sqref="D707:E707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D645:E64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</sheetPr>
  <dimension ref="B2:G308"/>
  <sheetViews>
    <sheetView showGridLines="0" zoomScale="80" zoomScaleNormal="80" workbookViewId="0">
      <selection sqref="A1:A1048576"/>
    </sheetView>
  </sheetViews>
  <sheetFormatPr defaultColWidth="8.88671875" defaultRowHeight="14.4" customHeight="1"/>
  <cols>
    <col min="1" max="1" width="8.88671875" style="1"/>
    <col min="2" max="2" width="35.6640625" style="1" customWidth="1"/>
    <col min="3" max="3" width="60.44140625" style="1" bestFit="1" customWidth="1"/>
    <col min="4" max="5" width="11.6640625" style="1" customWidth="1"/>
    <col min="6" max="6" width="8.88671875" style="1"/>
    <col min="7" max="7" width="12" style="1" bestFit="1" customWidth="1"/>
    <col min="8" max="16384" width="8.88671875" style="1"/>
  </cols>
  <sheetData>
    <row r="2" spans="2:5" ht="28.95" customHeight="1">
      <c r="B2" s="32" t="s">
        <v>614</v>
      </c>
      <c r="C2" s="5"/>
      <c r="D2" s="5"/>
      <c r="E2" s="5"/>
    </row>
    <row r="3" spans="2:5" ht="14.4" customHeight="1">
      <c r="B3" s="37" t="s">
        <v>232</v>
      </c>
    </row>
    <row r="4" spans="2:5" ht="14.4" customHeight="1">
      <c r="B4" s="9" t="s">
        <v>1</v>
      </c>
      <c r="C4" s="9" t="s">
        <v>228</v>
      </c>
      <c r="D4" s="6"/>
      <c r="E4" s="6"/>
    </row>
    <row r="5" spans="2:5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5" ht="14.4" customHeight="1">
      <c r="B6" s="24"/>
      <c r="C6" s="24"/>
      <c r="D6" s="8"/>
      <c r="E6" s="8"/>
    </row>
    <row r="7" spans="2:5" ht="14.4" customHeight="1">
      <c r="B7" s="10" t="s">
        <v>8</v>
      </c>
      <c r="C7" s="3" t="s">
        <v>9</v>
      </c>
      <c r="D7" s="57">
        <f>'Exit Tariff_1'!D$583</f>
        <v>3.6445593494149005E-2</v>
      </c>
      <c r="E7" s="57">
        <f>'Exit Tariff_1'!E$583</f>
        <v>3.6445593494149005E-2</v>
      </c>
    </row>
    <row r="8" spans="2:5" ht="14.4" customHeight="1">
      <c r="B8" s="13"/>
      <c r="C8" s="3" t="s">
        <v>10</v>
      </c>
      <c r="D8" s="57">
        <f>'Exit Tariff_1'!D$583</f>
        <v>3.6445593494149005E-2</v>
      </c>
      <c r="E8" s="57">
        <f>'Exit Tariff_1'!E$583</f>
        <v>3.6445593494149005E-2</v>
      </c>
    </row>
    <row r="9" spans="2:5" ht="14.4" customHeight="1">
      <c r="B9" s="13"/>
      <c r="C9" s="3" t="s">
        <v>11</v>
      </c>
      <c r="D9" s="57">
        <f>'Exit Tariff_1'!D$583</f>
        <v>3.6445593494149005E-2</v>
      </c>
      <c r="E9" s="57">
        <f>'Exit Tariff_1'!E$583</f>
        <v>3.6445593494149005E-2</v>
      </c>
    </row>
    <row r="10" spans="2:5" ht="14.4" customHeight="1">
      <c r="B10" s="13"/>
      <c r="C10" s="3" t="s">
        <v>12</v>
      </c>
      <c r="D10" s="57">
        <f>'Exit Tariff_1'!D$583</f>
        <v>3.6445593494149005E-2</v>
      </c>
      <c r="E10" s="57">
        <f>'Exit Tariff_1'!E$583</f>
        <v>3.6445593494149005E-2</v>
      </c>
    </row>
    <row r="11" spans="2:5" ht="14.4" customHeight="1">
      <c r="B11" s="14"/>
      <c r="C11" s="3" t="s">
        <v>13</v>
      </c>
      <c r="D11" s="57">
        <f>'Exit Tariff_1'!D$583</f>
        <v>3.6445593494149005E-2</v>
      </c>
      <c r="E11" s="57">
        <f>'Exit Tariff_1'!E$583</f>
        <v>3.6445593494149005E-2</v>
      </c>
    </row>
    <row r="12" spans="2:5" ht="14.4" customHeight="1">
      <c r="B12" s="10" t="s">
        <v>14</v>
      </c>
      <c r="C12" s="3" t="s">
        <v>9</v>
      </c>
      <c r="D12" s="57">
        <f>'Exit Tariff_1'!D$584</f>
        <v>0</v>
      </c>
      <c r="E12" s="57">
        <f>'Exit Tariff_1'!E$584</f>
        <v>0</v>
      </c>
    </row>
    <row r="13" spans="2:5" ht="14.4" customHeight="1">
      <c r="B13" s="13"/>
      <c r="C13" s="3" t="s">
        <v>10</v>
      </c>
      <c r="D13" s="57">
        <f>'Exit Tariff_1'!D$584</f>
        <v>0</v>
      </c>
      <c r="E13" s="57">
        <f>'Exit Tariff_1'!E$584</f>
        <v>0</v>
      </c>
    </row>
    <row r="14" spans="2:5" ht="14.4" customHeight="1">
      <c r="B14" s="13"/>
      <c r="C14" s="3" t="s">
        <v>11</v>
      </c>
      <c r="D14" s="57">
        <f>'Exit Tariff_1'!D$584</f>
        <v>0</v>
      </c>
      <c r="E14" s="57">
        <f>'Exit Tariff_1'!E$584</f>
        <v>0</v>
      </c>
    </row>
    <row r="15" spans="2:5" ht="14.4" customHeight="1">
      <c r="B15" s="13"/>
      <c r="C15" s="3" t="s">
        <v>12</v>
      </c>
      <c r="D15" s="57">
        <f>'Exit Tariff_1'!D$584</f>
        <v>0</v>
      </c>
      <c r="E15" s="57">
        <f>'Exit Tariff_1'!E$584</f>
        <v>0</v>
      </c>
    </row>
    <row r="16" spans="2:5" ht="14.4" customHeight="1">
      <c r="B16" s="14"/>
      <c r="C16" s="3" t="s">
        <v>13</v>
      </c>
      <c r="D16" s="57">
        <f>'Exit Tariff_1'!D$584</f>
        <v>0</v>
      </c>
      <c r="E16" s="57">
        <f>'Exit Tariff_1'!E$584</f>
        <v>0</v>
      </c>
    </row>
    <row r="17" spans="2:5" ht="14.4" customHeight="1">
      <c r="B17" s="10" t="s">
        <v>15</v>
      </c>
      <c r="C17" s="3" t="s">
        <v>12</v>
      </c>
      <c r="D17" s="57">
        <f>'Exit Tariff_1'!D$585</f>
        <v>7.4143465063682509E-2</v>
      </c>
      <c r="E17" s="57">
        <f>'Exit Tariff_1'!E$585</f>
        <v>7.4143465063682509E-2</v>
      </c>
    </row>
    <row r="18" spans="2:5" ht="14.4" customHeight="1">
      <c r="B18" s="14"/>
      <c r="C18" s="3" t="s">
        <v>13</v>
      </c>
      <c r="D18" s="57">
        <f>'Exit Tariff_1'!D$585</f>
        <v>7.4143465063682509E-2</v>
      </c>
      <c r="E18" s="57">
        <f>'Exit Tariff_1'!E$585</f>
        <v>7.4143465063682509E-2</v>
      </c>
    </row>
    <row r="19" spans="2:5" ht="14.4" customHeight="1">
      <c r="B19" s="15" t="s">
        <v>17</v>
      </c>
      <c r="C19" s="3" t="s">
        <v>18</v>
      </c>
      <c r="D19" s="57">
        <f>'Exit Tariff_1'!D$586</f>
        <v>0.1751529253505594</v>
      </c>
      <c r="E19" s="57">
        <f>'Exit Tariff_1'!E$586</f>
        <v>0.1751529253505594</v>
      </c>
    </row>
    <row r="20" spans="2:5" ht="14.4" customHeight="1">
      <c r="B20" s="10" t="s">
        <v>19</v>
      </c>
      <c r="C20" s="3" t="s">
        <v>20</v>
      </c>
      <c r="D20" s="57">
        <f>'Exit Tariff_1'!D$586</f>
        <v>0.1751529253505594</v>
      </c>
      <c r="E20" s="57">
        <f>'Exit Tariff_1'!E$586</f>
        <v>0.1751529253505594</v>
      </c>
    </row>
    <row r="21" spans="2:5" ht="14.4" customHeight="1">
      <c r="B21" s="13"/>
      <c r="C21" s="3" t="s">
        <v>21</v>
      </c>
      <c r="D21" s="57">
        <f>'Exit Tariff_1'!D$586</f>
        <v>0.1751529253505594</v>
      </c>
      <c r="E21" s="57">
        <f>'Exit Tariff_1'!E$586</f>
        <v>0.1751529253505594</v>
      </c>
    </row>
    <row r="22" spans="2:5" ht="14.4" customHeight="1">
      <c r="B22" s="13"/>
      <c r="C22" s="3" t="s">
        <v>22</v>
      </c>
      <c r="D22" s="57">
        <f>'Exit Tariff_1'!D$586</f>
        <v>0.1751529253505594</v>
      </c>
      <c r="E22" s="57">
        <f>'Exit Tariff_1'!E$586</f>
        <v>0.1751529253505594</v>
      </c>
    </row>
    <row r="23" spans="2:5" ht="14.4" customHeight="1">
      <c r="B23" s="13"/>
      <c r="C23" s="3" t="s">
        <v>23</v>
      </c>
      <c r="D23" s="57">
        <f>'Exit Tariff_1'!D$586</f>
        <v>0.1751529253505594</v>
      </c>
      <c r="E23" s="57">
        <f>'Exit Tariff_1'!E$586</f>
        <v>0.1751529253505594</v>
      </c>
    </row>
    <row r="24" spans="2:5" ht="14.4" customHeight="1">
      <c r="B24" s="13"/>
      <c r="C24" s="3" t="s">
        <v>24</v>
      </c>
      <c r="D24" s="57">
        <f>'Exit Tariff_1'!D$586</f>
        <v>0.1751529253505594</v>
      </c>
      <c r="E24" s="57">
        <f>'Exit Tariff_1'!E$586</f>
        <v>0.1751529253505594</v>
      </c>
    </row>
    <row r="25" spans="2:5" ht="14.4" customHeight="1">
      <c r="B25" s="14"/>
      <c r="C25" s="3" t="s">
        <v>25</v>
      </c>
      <c r="D25" s="57">
        <f>'Exit Tariff_1'!D$586</f>
        <v>0.1751529253505594</v>
      </c>
      <c r="E25" s="57">
        <f>'Exit Tariff_1'!E$586</f>
        <v>0.1751529253505594</v>
      </c>
    </row>
    <row r="26" spans="2:5" ht="14.4" customHeight="1">
      <c r="B26" s="9" t="s">
        <v>1</v>
      </c>
      <c r="C26" s="9" t="s">
        <v>229</v>
      </c>
      <c r="D26" s="6"/>
      <c r="E26" s="6"/>
    </row>
    <row r="27" spans="2:5" ht="14.4" customHeight="1">
      <c r="B27" s="25"/>
      <c r="C27" s="25"/>
      <c r="D27" s="23" t="str">
        <f>'Input data'!D$5</f>
        <v>2025-26</v>
      </c>
      <c r="E27" s="23" t="str">
        <f>'Input data'!E$5</f>
        <v>2026-27</v>
      </c>
    </row>
    <row r="28" spans="2:5" ht="14.4" customHeight="1">
      <c r="B28" s="24"/>
      <c r="C28" s="24"/>
      <c r="D28" s="8"/>
      <c r="E28" s="8"/>
    </row>
    <row r="29" spans="2:5" ht="14.4" customHeight="1">
      <c r="B29" s="10" t="s">
        <v>8</v>
      </c>
      <c r="C29" s="3" t="s">
        <v>12</v>
      </c>
      <c r="D29" s="57">
        <f>'Exit Tariff_1'!D$583</f>
        <v>3.6445593494149005E-2</v>
      </c>
      <c r="E29" s="57">
        <f>'Exit Tariff_1'!E$583</f>
        <v>3.6445593494149005E-2</v>
      </c>
    </row>
    <row r="30" spans="2:5" ht="14.4" customHeight="1">
      <c r="B30" s="12"/>
      <c r="C30" s="3" t="s">
        <v>13</v>
      </c>
      <c r="D30" s="57">
        <f>'Exit Tariff_1'!D$583</f>
        <v>3.6445593494149005E-2</v>
      </c>
      <c r="E30" s="57">
        <f>'Exit Tariff_1'!E$583</f>
        <v>3.6445593494149005E-2</v>
      </c>
    </row>
    <row r="31" spans="2:5" ht="14.4" customHeight="1">
      <c r="B31" s="10" t="s">
        <v>14</v>
      </c>
      <c r="C31" s="3" t="s">
        <v>12</v>
      </c>
      <c r="D31" s="57">
        <f>'Exit Tariff_1'!D$584</f>
        <v>0</v>
      </c>
      <c r="E31" s="57">
        <f>'Exit Tariff_1'!E$584</f>
        <v>0</v>
      </c>
    </row>
    <row r="32" spans="2:5" ht="14.4" customHeight="1">
      <c r="B32" s="12"/>
      <c r="C32" s="3" t="s">
        <v>13</v>
      </c>
      <c r="D32" s="57">
        <f>'Exit Tariff_1'!D$584</f>
        <v>0</v>
      </c>
      <c r="E32" s="57">
        <f>'Exit Tariff_1'!E$584</f>
        <v>0</v>
      </c>
    </row>
    <row r="33" spans="2:7" ht="14.4" customHeight="1">
      <c r="B33" s="15" t="s">
        <v>15</v>
      </c>
      <c r="C33" s="3" t="s">
        <v>13</v>
      </c>
      <c r="D33" s="57">
        <f>'Exit Tariff_1'!D$585</f>
        <v>7.4143465063682509E-2</v>
      </c>
      <c r="E33" s="57">
        <f>'Exit Tariff_1'!E$585</f>
        <v>7.4143465063682509E-2</v>
      </c>
    </row>
    <row r="36" spans="2:7" ht="28.95" customHeight="1">
      <c r="B36" s="32" t="s">
        <v>230</v>
      </c>
      <c r="C36" s="5"/>
      <c r="D36" s="5"/>
      <c r="E36" s="5"/>
    </row>
    <row r="37" spans="2:7" ht="14.4" customHeight="1">
      <c r="B37" s="37"/>
    </row>
    <row r="38" spans="2:7" ht="14.4" customHeight="1">
      <c r="B38" s="9" t="s">
        <v>1</v>
      </c>
      <c r="C38" s="9" t="s">
        <v>228</v>
      </c>
      <c r="D38" s="6"/>
      <c r="E38" s="6"/>
    </row>
    <row r="39" spans="2:7" ht="14.4" customHeight="1">
      <c r="B39" s="25"/>
      <c r="C39" s="25"/>
      <c r="D39" s="23" t="str">
        <f>'Input data'!D$5</f>
        <v>2025-26</v>
      </c>
      <c r="E39" s="23" t="str">
        <f>'Input data'!E$5</f>
        <v>2026-27</v>
      </c>
    </row>
    <row r="40" spans="2:7" ht="14.4" customHeight="1">
      <c r="B40" s="24"/>
      <c r="C40" s="24"/>
      <c r="D40" s="8"/>
      <c r="E40" s="8"/>
    </row>
    <row r="41" spans="2:7" ht="14.4" customHeight="1">
      <c r="B41" s="10" t="s">
        <v>8</v>
      </c>
      <c r="C41" s="3" t="s">
        <v>9</v>
      </c>
      <c r="D41" s="58">
        <f>'Input data'!D133</f>
        <v>1</v>
      </c>
      <c r="E41" s="58">
        <f>'Input data'!E133</f>
        <v>1</v>
      </c>
      <c r="G41"/>
    </row>
    <row r="42" spans="2:7" ht="14.4" customHeight="1">
      <c r="B42" s="13"/>
      <c r="C42" s="3" t="s">
        <v>10</v>
      </c>
      <c r="D42" s="58">
        <f>'Input data'!D134</f>
        <v>1.18</v>
      </c>
      <c r="E42" s="58">
        <f>'Input data'!E134</f>
        <v>1.18</v>
      </c>
      <c r="G42"/>
    </row>
    <row r="43" spans="2:7" ht="14.4" customHeight="1">
      <c r="B43" s="13"/>
      <c r="C43" s="3" t="s">
        <v>11</v>
      </c>
      <c r="D43" s="58">
        <f>'Input data'!D135</f>
        <v>1.35</v>
      </c>
      <c r="E43" s="58">
        <f>'Input data'!E135</f>
        <v>1.35</v>
      </c>
      <c r="G43"/>
    </row>
    <row r="44" spans="2:7" ht="14.4" customHeight="1">
      <c r="B44" s="13"/>
      <c r="C44" s="3" t="s">
        <v>12</v>
      </c>
      <c r="D44" s="58">
        <f>'Input data'!D136</f>
        <v>1.94</v>
      </c>
      <c r="E44" s="58">
        <f>'Input data'!E136</f>
        <v>1.94</v>
      </c>
      <c r="G44"/>
    </row>
    <row r="45" spans="2:7" ht="14.4" customHeight="1">
      <c r="B45" s="14"/>
      <c r="C45" s="3" t="s">
        <v>13</v>
      </c>
      <c r="D45" s="58">
        <f>'Input data'!D137</f>
        <v>2.13</v>
      </c>
      <c r="E45" s="58">
        <f>'Input data'!E137</f>
        <v>2.13</v>
      </c>
      <c r="G45"/>
    </row>
    <row r="46" spans="2:7" ht="14.4" customHeight="1">
      <c r="B46" s="10" t="s">
        <v>14</v>
      </c>
      <c r="C46" s="3" t="s">
        <v>9</v>
      </c>
      <c r="D46" s="58">
        <f>'Input data'!D138</f>
        <v>1</v>
      </c>
      <c r="E46" s="58">
        <f>'Input data'!E138</f>
        <v>1</v>
      </c>
      <c r="G46"/>
    </row>
    <row r="47" spans="2:7" ht="14.4" customHeight="1">
      <c r="B47" s="13"/>
      <c r="C47" s="3" t="s">
        <v>10</v>
      </c>
      <c r="D47" s="58">
        <f>'Input data'!D139</f>
        <v>1.18</v>
      </c>
      <c r="E47" s="58">
        <f>'Input data'!E139</f>
        <v>1.18</v>
      </c>
      <c r="G47"/>
    </row>
    <row r="48" spans="2:7" ht="14.4" customHeight="1">
      <c r="B48" s="13"/>
      <c r="C48" s="3" t="s">
        <v>11</v>
      </c>
      <c r="D48" s="58">
        <f>'Input data'!D140</f>
        <v>1.35</v>
      </c>
      <c r="E48" s="58">
        <f>'Input data'!E140</f>
        <v>1.35</v>
      </c>
      <c r="G48"/>
    </row>
    <row r="49" spans="2:7" ht="14.4" customHeight="1">
      <c r="B49" s="13"/>
      <c r="C49" s="3" t="s">
        <v>12</v>
      </c>
      <c r="D49" s="58">
        <f>'Input data'!D141</f>
        <v>1.94</v>
      </c>
      <c r="E49" s="58">
        <f>'Input data'!E141</f>
        <v>1.94</v>
      </c>
      <c r="G49"/>
    </row>
    <row r="50" spans="2:7" ht="14.4" customHeight="1">
      <c r="B50" s="14"/>
      <c r="C50" s="3" t="s">
        <v>13</v>
      </c>
      <c r="D50" s="58">
        <f>'Input data'!D142</f>
        <v>2.13</v>
      </c>
      <c r="E50" s="58">
        <f>'Input data'!E142</f>
        <v>2.13</v>
      </c>
      <c r="G50"/>
    </row>
    <row r="51" spans="2:7" ht="14.4" customHeight="1">
      <c r="B51" s="10" t="s">
        <v>15</v>
      </c>
      <c r="C51" s="3" t="s">
        <v>12</v>
      </c>
      <c r="D51" s="58">
        <f>'Input data'!D143</f>
        <v>1</v>
      </c>
      <c r="E51" s="58">
        <f>'Input data'!E143</f>
        <v>1</v>
      </c>
      <c r="G51"/>
    </row>
    <row r="52" spans="2:7" ht="14.4" customHeight="1">
      <c r="B52" s="14"/>
      <c r="C52" s="3" t="s">
        <v>13</v>
      </c>
      <c r="D52" s="58">
        <f>'Input data'!D144</f>
        <v>1.1000000000000001</v>
      </c>
      <c r="E52" s="58">
        <f>'Input data'!E144</f>
        <v>1.1000000000000001</v>
      </c>
      <c r="G52"/>
    </row>
    <row r="53" spans="2:7" ht="14.4" customHeight="1">
      <c r="B53" s="15" t="s">
        <v>17</v>
      </c>
      <c r="C53" s="3" t="s">
        <v>18</v>
      </c>
      <c r="D53" s="58">
        <v>1</v>
      </c>
      <c r="E53" s="58">
        <v>1</v>
      </c>
      <c r="G53"/>
    </row>
    <row r="54" spans="2:7" ht="14.4" customHeight="1">
      <c r="B54" s="10" t="s">
        <v>19</v>
      </c>
      <c r="C54" s="3" t="s">
        <v>20</v>
      </c>
      <c r="D54" s="58">
        <v>1</v>
      </c>
      <c r="E54" s="58">
        <v>1</v>
      </c>
      <c r="G54"/>
    </row>
    <row r="55" spans="2:7" ht="14.4" customHeight="1">
      <c r="B55" s="13"/>
      <c r="C55" s="3" t="s">
        <v>21</v>
      </c>
      <c r="D55" s="58">
        <f>'Input data'!D145</f>
        <v>1.5</v>
      </c>
      <c r="E55" s="58">
        <f>'Input data'!E145</f>
        <v>1.5</v>
      </c>
      <c r="G55"/>
    </row>
    <row r="56" spans="2:7" ht="14.4" customHeight="1">
      <c r="B56" s="13"/>
      <c r="C56" s="3" t="s">
        <v>22</v>
      </c>
      <c r="D56" s="58">
        <f>'Input data'!D146</f>
        <v>3</v>
      </c>
      <c r="E56" s="58">
        <f>'Input data'!E146</f>
        <v>3</v>
      </c>
      <c r="G56"/>
    </row>
    <row r="57" spans="2:7" ht="14.4" customHeight="1">
      <c r="B57" s="13"/>
      <c r="C57" s="3" t="s">
        <v>23</v>
      </c>
      <c r="D57" s="58">
        <f>'Input data'!D147</f>
        <v>1.5</v>
      </c>
      <c r="E57" s="58">
        <f>'Input data'!E147</f>
        <v>1.5</v>
      </c>
      <c r="G57"/>
    </row>
    <row r="58" spans="2:7" ht="14.4" customHeight="1">
      <c r="B58" s="13"/>
      <c r="C58" s="3" t="s">
        <v>24</v>
      </c>
      <c r="D58" s="58">
        <f>'Input data'!D148</f>
        <v>10</v>
      </c>
      <c r="E58" s="58">
        <f>'Input data'!E148</f>
        <v>10</v>
      </c>
      <c r="G58"/>
    </row>
    <row r="59" spans="2:7" ht="14.4" customHeight="1">
      <c r="B59" s="14"/>
      <c r="C59" s="3" t="s">
        <v>25</v>
      </c>
      <c r="D59" s="58">
        <f>'Input data'!D149</f>
        <v>6</v>
      </c>
      <c r="E59" s="58">
        <f>'Input data'!E149</f>
        <v>6</v>
      </c>
      <c r="G59"/>
    </row>
    <row r="60" spans="2:7" ht="14.4" customHeight="1">
      <c r="B60" s="9" t="s">
        <v>1</v>
      </c>
      <c r="C60" s="9" t="s">
        <v>229</v>
      </c>
      <c r="D60" s="6"/>
      <c r="E60" s="6"/>
      <c r="G60"/>
    </row>
    <row r="61" spans="2:7" ht="14.4" customHeight="1">
      <c r="B61" s="25"/>
      <c r="C61" s="25"/>
      <c r="D61" s="23" t="str">
        <f>'Input data'!D$5</f>
        <v>2025-26</v>
      </c>
      <c r="E61" s="23" t="str">
        <f>'Input data'!E$5</f>
        <v>2026-27</v>
      </c>
      <c r="G61"/>
    </row>
    <row r="62" spans="2:7" ht="14.4" customHeight="1">
      <c r="B62" s="24"/>
      <c r="C62" s="24"/>
      <c r="D62" s="8"/>
      <c r="E62" s="8"/>
      <c r="G62"/>
    </row>
    <row r="63" spans="2:7" ht="14.4" customHeight="1">
      <c r="B63" s="10" t="s">
        <v>8</v>
      </c>
      <c r="C63" s="3" t="s">
        <v>12</v>
      </c>
      <c r="D63" s="58">
        <f>'Input data'!D136</f>
        <v>1.94</v>
      </c>
      <c r="E63" s="58">
        <f>'Input data'!E136</f>
        <v>1.94</v>
      </c>
      <c r="G63"/>
    </row>
    <row r="64" spans="2:7" ht="14.4" customHeight="1">
      <c r="B64" s="12"/>
      <c r="C64" s="3" t="s">
        <v>13</v>
      </c>
      <c r="D64" s="58">
        <f>'Input data'!D137</f>
        <v>2.13</v>
      </c>
      <c r="E64" s="58">
        <f>'Input data'!E137</f>
        <v>2.13</v>
      </c>
      <c r="G64"/>
    </row>
    <row r="65" spans="2:7" ht="14.4" customHeight="1">
      <c r="B65" s="10" t="s">
        <v>14</v>
      </c>
      <c r="C65" s="3" t="s">
        <v>12</v>
      </c>
      <c r="D65" s="58">
        <f>'Input data'!D141</f>
        <v>1.94</v>
      </c>
      <c r="E65" s="58">
        <f>'Input data'!E141</f>
        <v>1.94</v>
      </c>
      <c r="G65"/>
    </row>
    <row r="66" spans="2:7" ht="14.4" customHeight="1">
      <c r="B66" s="12"/>
      <c r="C66" s="3" t="s">
        <v>13</v>
      </c>
      <c r="D66" s="58">
        <f>'Input data'!D142</f>
        <v>2.13</v>
      </c>
      <c r="E66" s="58">
        <f>'Input data'!E142</f>
        <v>2.13</v>
      </c>
      <c r="G66"/>
    </row>
    <row r="67" spans="2:7" ht="14.4" customHeight="1">
      <c r="B67" s="15" t="s">
        <v>15</v>
      </c>
      <c r="C67" s="3" t="s">
        <v>13</v>
      </c>
      <c r="D67" s="58">
        <f>'Input data'!D144</f>
        <v>1.1000000000000001</v>
      </c>
      <c r="E67" s="58">
        <f>'Input data'!E144</f>
        <v>1.1000000000000001</v>
      </c>
      <c r="G67"/>
    </row>
    <row r="70" spans="2:7" ht="28.95" customHeight="1">
      <c r="B70" s="32" t="s">
        <v>231</v>
      </c>
      <c r="C70" s="5"/>
      <c r="D70" s="5"/>
      <c r="E70" s="5"/>
      <c r="G70"/>
    </row>
    <row r="71" spans="2:7" ht="14.4" customHeight="1">
      <c r="B71" s="37"/>
      <c r="G71"/>
    </row>
    <row r="72" spans="2:7" ht="14.4" customHeight="1">
      <c r="B72" s="9" t="s">
        <v>1</v>
      </c>
      <c r="C72" s="9" t="s">
        <v>228</v>
      </c>
      <c r="D72" s="6"/>
      <c r="E72" s="6"/>
      <c r="G72"/>
    </row>
    <row r="73" spans="2:7" ht="14.4" customHeight="1">
      <c r="B73" s="25"/>
      <c r="C73" s="25"/>
      <c r="D73" s="23" t="str">
        <f>'Input data'!D$5</f>
        <v>2025-26</v>
      </c>
      <c r="E73" s="23" t="str">
        <f>'Input data'!E$5</f>
        <v>2026-27</v>
      </c>
      <c r="G73"/>
    </row>
    <row r="74" spans="2:7" ht="14.4" customHeight="1">
      <c r="B74" s="24"/>
      <c r="C74" s="24"/>
      <c r="D74" s="8"/>
      <c r="E74" s="8"/>
      <c r="G74"/>
    </row>
    <row r="75" spans="2:7" ht="14.4" customHeight="1">
      <c r="B75" s="10" t="s">
        <v>8</v>
      </c>
      <c r="C75" s="3" t="s">
        <v>9</v>
      </c>
      <c r="D75" s="54">
        <f>'Exit Tariff_1'!D$611</f>
        <v>0</v>
      </c>
      <c r="E75" s="54">
        <f>'Exit Tariff_1'!E$611</f>
        <v>0</v>
      </c>
      <c r="G75"/>
    </row>
    <row r="76" spans="2:7" ht="14.4" customHeight="1">
      <c r="B76" s="13"/>
      <c r="C76" s="3" t="s">
        <v>10</v>
      </c>
      <c r="D76" s="54">
        <f>'Exit Tariff_1'!D$611</f>
        <v>0</v>
      </c>
      <c r="E76" s="54">
        <f>'Exit Tariff_1'!E$611</f>
        <v>0</v>
      </c>
      <c r="G76"/>
    </row>
    <row r="77" spans="2:7" ht="14.4" customHeight="1">
      <c r="B77" s="13"/>
      <c r="C77" s="3" t="s">
        <v>11</v>
      </c>
      <c r="D77" s="54">
        <f>'Exit Tariff_1'!D$611</f>
        <v>0</v>
      </c>
      <c r="E77" s="54">
        <f>'Exit Tariff_1'!E$611</f>
        <v>0</v>
      </c>
      <c r="G77"/>
    </row>
    <row r="78" spans="2:7" ht="14.4" customHeight="1">
      <c r="B78" s="13"/>
      <c r="C78" s="3" t="s">
        <v>12</v>
      </c>
      <c r="D78" s="54">
        <f>'Exit Tariff_1'!D$611</f>
        <v>0</v>
      </c>
      <c r="E78" s="54">
        <f>'Exit Tariff_1'!E$611</f>
        <v>0</v>
      </c>
      <c r="G78"/>
    </row>
    <row r="79" spans="2:7" ht="14.4" customHeight="1">
      <c r="B79" s="14"/>
      <c r="C79" s="3" t="s">
        <v>13</v>
      </c>
      <c r="D79" s="54">
        <f>'Exit Tariff_1'!D$611</f>
        <v>0</v>
      </c>
      <c r="E79" s="54">
        <f>'Exit Tariff_1'!E$611</f>
        <v>0</v>
      </c>
      <c r="G79"/>
    </row>
    <row r="80" spans="2:7" ht="14.4" customHeight="1">
      <c r="B80" s="10" t="s">
        <v>14</v>
      </c>
      <c r="C80" s="3" t="s">
        <v>9</v>
      </c>
      <c r="D80" s="54">
        <f>'Exit Tariff_1'!D$612</f>
        <v>0</v>
      </c>
      <c r="E80" s="54">
        <f>'Exit Tariff_1'!E$612</f>
        <v>0</v>
      </c>
      <c r="G80"/>
    </row>
    <row r="81" spans="2:7" ht="14.4" customHeight="1">
      <c r="B81" s="13"/>
      <c r="C81" s="3" t="s">
        <v>10</v>
      </c>
      <c r="D81" s="54">
        <f>'Exit Tariff_1'!D$612</f>
        <v>0</v>
      </c>
      <c r="E81" s="54">
        <f>'Exit Tariff_1'!E$612</f>
        <v>0</v>
      </c>
      <c r="G81"/>
    </row>
    <row r="82" spans="2:7" ht="14.4" customHeight="1">
      <c r="B82" s="13"/>
      <c r="C82" s="3" t="s">
        <v>11</v>
      </c>
      <c r="D82" s="54">
        <f>'Exit Tariff_1'!D$612</f>
        <v>0</v>
      </c>
      <c r="E82" s="54">
        <f>'Exit Tariff_1'!E$612</f>
        <v>0</v>
      </c>
      <c r="G82"/>
    </row>
    <row r="83" spans="2:7" ht="14.4" customHeight="1">
      <c r="B83" s="13"/>
      <c r="C83" s="3" t="s">
        <v>12</v>
      </c>
      <c r="D83" s="54">
        <f>'Exit Tariff_1'!D$612</f>
        <v>0</v>
      </c>
      <c r="E83" s="54">
        <f>'Exit Tariff_1'!E$612</f>
        <v>0</v>
      </c>
      <c r="G83"/>
    </row>
    <row r="84" spans="2:7" ht="14.4" customHeight="1">
      <c r="B84" s="14"/>
      <c r="C84" s="3" t="s">
        <v>13</v>
      </c>
      <c r="D84" s="54">
        <f>'Exit Tariff_1'!D$612</f>
        <v>0</v>
      </c>
      <c r="E84" s="54">
        <f>'Exit Tariff_1'!E$612</f>
        <v>0</v>
      </c>
      <c r="G84"/>
    </row>
    <row r="85" spans="2:7" ht="14.4" customHeight="1">
      <c r="B85" s="10" t="s">
        <v>15</v>
      </c>
      <c r="C85" s="3" t="s">
        <v>12</v>
      </c>
      <c r="D85" s="54">
        <f>'Exit Tariff_1'!D$613</f>
        <v>1</v>
      </c>
      <c r="E85" s="54">
        <f>'Exit Tariff_1'!E$613</f>
        <v>1</v>
      </c>
      <c r="G85"/>
    </row>
    <row r="86" spans="2:7" ht="14.4" customHeight="1">
      <c r="B86" s="14"/>
      <c r="C86" s="3" t="s">
        <v>13</v>
      </c>
      <c r="D86" s="54">
        <f>'Exit Tariff_1'!D$613</f>
        <v>1</v>
      </c>
      <c r="E86" s="54">
        <f>'Exit Tariff_1'!E$613</f>
        <v>1</v>
      </c>
      <c r="G86"/>
    </row>
    <row r="87" spans="2:7" ht="14.4" customHeight="1">
      <c r="B87" s="15" t="s">
        <v>17</v>
      </c>
      <c r="C87" s="3" t="s">
        <v>18</v>
      </c>
      <c r="D87" s="54">
        <f>'Exit Tariff_1'!D$614</f>
        <v>0</v>
      </c>
      <c r="E87" s="54">
        <f>'Exit Tariff_1'!E$614</f>
        <v>0</v>
      </c>
      <c r="G87"/>
    </row>
    <row r="88" spans="2:7" ht="14.4" customHeight="1">
      <c r="B88" s="10" t="s">
        <v>19</v>
      </c>
      <c r="C88" s="3" t="s">
        <v>20</v>
      </c>
      <c r="D88" s="54">
        <f>'Exit Tariff_1'!D$614</f>
        <v>0</v>
      </c>
      <c r="E88" s="54">
        <f>'Exit Tariff_1'!E$614</f>
        <v>0</v>
      </c>
      <c r="G88"/>
    </row>
    <row r="89" spans="2:7" ht="14.4" customHeight="1">
      <c r="B89" s="13"/>
      <c r="C89" s="3" t="s">
        <v>21</v>
      </c>
      <c r="D89" s="54">
        <f>'Exit Tariff_1'!D$614</f>
        <v>0</v>
      </c>
      <c r="E89" s="54">
        <f>'Exit Tariff_1'!E$614</f>
        <v>0</v>
      </c>
      <c r="G89"/>
    </row>
    <row r="90" spans="2:7" ht="14.4" customHeight="1">
      <c r="B90" s="13"/>
      <c r="C90" s="3" t="s">
        <v>22</v>
      </c>
      <c r="D90" s="54">
        <f>'Exit Tariff_1'!D$614</f>
        <v>0</v>
      </c>
      <c r="E90" s="54">
        <f>'Exit Tariff_1'!E$614</f>
        <v>0</v>
      </c>
      <c r="G90"/>
    </row>
    <row r="91" spans="2:7" ht="14.4" customHeight="1">
      <c r="B91" s="13"/>
      <c r="C91" s="3" t="s">
        <v>23</v>
      </c>
      <c r="D91" s="54">
        <f>'Exit Tariff_1'!D$614</f>
        <v>0</v>
      </c>
      <c r="E91" s="54">
        <f>'Exit Tariff_1'!E$614</f>
        <v>0</v>
      </c>
      <c r="G91"/>
    </row>
    <row r="92" spans="2:7" ht="14.4" customHeight="1">
      <c r="B92" s="13"/>
      <c r="C92" s="3" t="s">
        <v>24</v>
      </c>
      <c r="D92" s="54">
        <f>'Exit Tariff_1'!D$614</f>
        <v>0</v>
      </c>
      <c r="E92" s="54">
        <f>'Exit Tariff_1'!E$614</f>
        <v>0</v>
      </c>
      <c r="G92"/>
    </row>
    <row r="93" spans="2:7" ht="14.4" customHeight="1">
      <c r="B93" s="14"/>
      <c r="C93" s="3" t="s">
        <v>25</v>
      </c>
      <c r="D93" s="54">
        <f>'Exit Tariff_1'!D$614</f>
        <v>0</v>
      </c>
      <c r="E93" s="54">
        <f>'Exit Tariff_1'!E$614</f>
        <v>0</v>
      </c>
      <c r="G93"/>
    </row>
    <row r="94" spans="2:7" ht="14.4" customHeight="1">
      <c r="B94" s="9" t="s">
        <v>1</v>
      </c>
      <c r="C94" s="9" t="s">
        <v>229</v>
      </c>
      <c r="D94" s="6"/>
      <c r="E94" s="6"/>
      <c r="G94"/>
    </row>
    <row r="95" spans="2:7" ht="14.4" customHeight="1">
      <c r="B95" s="25"/>
      <c r="C95" s="25"/>
      <c r="D95" s="23" t="str">
        <f>'Input data'!D$5</f>
        <v>2025-26</v>
      </c>
      <c r="E95" s="23" t="str">
        <f>'Input data'!E$5</f>
        <v>2026-27</v>
      </c>
      <c r="G95"/>
    </row>
    <row r="96" spans="2:7" ht="14.4" customHeight="1">
      <c r="B96" s="24"/>
      <c r="C96" s="24"/>
      <c r="D96" s="8"/>
      <c r="E96" s="8"/>
      <c r="G96"/>
    </row>
    <row r="97" spans="2:7" ht="14.4" customHeight="1">
      <c r="B97" s="10" t="s">
        <v>8</v>
      </c>
      <c r="C97" s="3" t="s">
        <v>12</v>
      </c>
      <c r="D97" s="56">
        <f>'Exit Tariff_1'!D$618</f>
        <v>4.6000000000000041E-2</v>
      </c>
      <c r="E97" s="56">
        <f>'Exit Tariff_1'!E$618</f>
        <v>4.6000000000000041E-2</v>
      </c>
      <c r="G97"/>
    </row>
    <row r="98" spans="2:7" ht="14.4" customHeight="1">
      <c r="B98" s="12"/>
      <c r="C98" s="3" t="s">
        <v>13</v>
      </c>
      <c r="D98" s="56">
        <f>'Exit Tariff_1'!D$618</f>
        <v>4.6000000000000041E-2</v>
      </c>
      <c r="E98" s="56">
        <f>'Exit Tariff_1'!E$618</f>
        <v>4.6000000000000041E-2</v>
      </c>
      <c r="G98"/>
    </row>
    <row r="99" spans="2:7" ht="14.4" customHeight="1">
      <c r="B99" s="10" t="s">
        <v>14</v>
      </c>
      <c r="C99" s="3" t="s">
        <v>12</v>
      </c>
      <c r="D99" s="56">
        <f>'Exit Tariff_1'!D$619</f>
        <v>0</v>
      </c>
      <c r="E99" s="56">
        <f>'Exit Tariff_1'!E$619</f>
        <v>0</v>
      </c>
      <c r="G99"/>
    </row>
    <row r="100" spans="2:7" ht="14.4" customHeight="1">
      <c r="B100" s="12"/>
      <c r="C100" s="3" t="s">
        <v>13</v>
      </c>
      <c r="D100" s="56">
        <f>'Exit Tariff_1'!D$619</f>
        <v>0</v>
      </c>
      <c r="E100" s="56">
        <f>'Exit Tariff_1'!E$619</f>
        <v>0</v>
      </c>
      <c r="G100"/>
    </row>
    <row r="101" spans="2:7" ht="14.4" customHeight="1">
      <c r="B101" s="15" t="s">
        <v>15</v>
      </c>
      <c r="C101" s="3" t="s">
        <v>13</v>
      </c>
      <c r="D101" s="89">
        <f>'Exit Tariff_1'!D$620</f>
        <v>1</v>
      </c>
      <c r="E101" s="89">
        <f>'Exit Tariff_1'!E$620</f>
        <v>1</v>
      </c>
      <c r="G101"/>
    </row>
    <row r="104" spans="2:7" ht="28.95" customHeight="1">
      <c r="B104" s="32" t="s">
        <v>615</v>
      </c>
      <c r="C104" s="5"/>
      <c r="D104" s="5"/>
      <c r="E104" s="5"/>
    </row>
    <row r="105" spans="2:7" ht="14.4" customHeight="1">
      <c r="B105" s="37"/>
    </row>
    <row r="106" spans="2:7" ht="14.4" customHeight="1">
      <c r="B106" s="9" t="s">
        <v>1</v>
      </c>
      <c r="C106" s="9" t="s">
        <v>228</v>
      </c>
      <c r="D106" s="6"/>
      <c r="E106" s="6"/>
    </row>
    <row r="107" spans="2:7" ht="14.4" customHeight="1">
      <c r="B107" s="25"/>
      <c r="C107" s="25"/>
      <c r="D107" s="23" t="str">
        <f>'Input data'!D$5</f>
        <v>2025-26</v>
      </c>
      <c r="E107" s="23" t="str">
        <f>'Input data'!E$5</f>
        <v>2026-27</v>
      </c>
    </row>
    <row r="108" spans="2:7" ht="14.4" customHeight="1">
      <c r="B108" s="24"/>
      <c r="C108" s="24"/>
      <c r="D108" s="8"/>
      <c r="E108" s="8"/>
    </row>
    <row r="109" spans="2:7" ht="14.4" customHeight="1">
      <c r="B109" s="10" t="s">
        <v>8</v>
      </c>
      <c r="C109" s="3" t="s">
        <v>9</v>
      </c>
      <c r="D109" s="57">
        <f t="shared" ref="D109:E109" si="0">D7*D41*(1-D75)</f>
        <v>3.6445593494149005E-2</v>
      </c>
      <c r="E109" s="57">
        <f t="shared" si="0"/>
        <v>3.6445593494149005E-2</v>
      </c>
    </row>
    <row r="110" spans="2:7" ht="14.4" customHeight="1">
      <c r="B110" s="13"/>
      <c r="C110" s="3" t="s">
        <v>10</v>
      </c>
      <c r="D110" s="57">
        <f t="shared" ref="D110:E127" si="1">D8*D42*(1-D76)</f>
        <v>4.3005800323095825E-2</v>
      </c>
      <c r="E110" s="57">
        <f t="shared" si="1"/>
        <v>4.3005800323095825E-2</v>
      </c>
    </row>
    <row r="111" spans="2:7" ht="14.4" customHeight="1">
      <c r="B111" s="13"/>
      <c r="C111" s="3" t="s">
        <v>11</v>
      </c>
      <c r="D111" s="57">
        <f t="shared" si="1"/>
        <v>4.920155121710116E-2</v>
      </c>
      <c r="E111" s="57">
        <f t="shared" si="1"/>
        <v>4.920155121710116E-2</v>
      </c>
    </row>
    <row r="112" spans="2:7" ht="14.4" customHeight="1">
      <c r="B112" s="13"/>
      <c r="C112" s="3" t="s">
        <v>12</v>
      </c>
      <c r="D112" s="57">
        <f t="shared" si="1"/>
        <v>7.0704451378649072E-2</v>
      </c>
      <c r="E112" s="57">
        <f t="shared" si="1"/>
        <v>7.0704451378649072E-2</v>
      </c>
    </row>
    <row r="113" spans="2:5" ht="14.4" customHeight="1">
      <c r="B113" s="14"/>
      <c r="C113" s="3" t="s">
        <v>13</v>
      </c>
      <c r="D113" s="57">
        <f t="shared" si="1"/>
        <v>7.762911414253737E-2</v>
      </c>
      <c r="E113" s="57">
        <f t="shared" si="1"/>
        <v>7.762911414253737E-2</v>
      </c>
    </row>
    <row r="114" spans="2:5" ht="14.4" customHeight="1">
      <c r="B114" s="10" t="s">
        <v>14</v>
      </c>
      <c r="C114" s="3" t="s">
        <v>9</v>
      </c>
      <c r="D114" s="57">
        <f t="shared" si="1"/>
        <v>0</v>
      </c>
      <c r="E114" s="57">
        <f t="shared" si="1"/>
        <v>0</v>
      </c>
    </row>
    <row r="115" spans="2:5" ht="14.4" customHeight="1">
      <c r="B115" s="13"/>
      <c r="C115" s="3" t="s">
        <v>10</v>
      </c>
      <c r="D115" s="57">
        <f t="shared" si="1"/>
        <v>0</v>
      </c>
      <c r="E115" s="57">
        <f t="shared" si="1"/>
        <v>0</v>
      </c>
    </row>
    <row r="116" spans="2:5" ht="14.4" customHeight="1">
      <c r="B116" s="13"/>
      <c r="C116" s="3" t="s">
        <v>11</v>
      </c>
      <c r="D116" s="57">
        <f t="shared" si="1"/>
        <v>0</v>
      </c>
      <c r="E116" s="57">
        <f t="shared" si="1"/>
        <v>0</v>
      </c>
    </row>
    <row r="117" spans="2:5" ht="14.4" customHeight="1">
      <c r="B117" s="13"/>
      <c r="C117" s="3" t="s">
        <v>12</v>
      </c>
      <c r="D117" s="57">
        <f t="shared" si="1"/>
        <v>0</v>
      </c>
      <c r="E117" s="57">
        <f t="shared" si="1"/>
        <v>0</v>
      </c>
    </row>
    <row r="118" spans="2:5" ht="14.4" customHeight="1">
      <c r="B118" s="14"/>
      <c r="C118" s="3" t="s">
        <v>13</v>
      </c>
      <c r="D118" s="57">
        <f t="shared" si="1"/>
        <v>0</v>
      </c>
      <c r="E118" s="57">
        <f t="shared" si="1"/>
        <v>0</v>
      </c>
    </row>
    <row r="119" spans="2:5" ht="14.4" customHeight="1">
      <c r="B119" s="10" t="s">
        <v>15</v>
      </c>
      <c r="C119" s="3" t="s">
        <v>12</v>
      </c>
      <c r="D119" s="57">
        <f t="shared" si="1"/>
        <v>0</v>
      </c>
      <c r="E119" s="57">
        <f t="shared" si="1"/>
        <v>0</v>
      </c>
    </row>
    <row r="120" spans="2:5" ht="14.4" customHeight="1">
      <c r="B120" s="14"/>
      <c r="C120" s="3" t="s">
        <v>13</v>
      </c>
      <c r="D120" s="57">
        <f t="shared" si="1"/>
        <v>0</v>
      </c>
      <c r="E120" s="57">
        <f t="shared" si="1"/>
        <v>0</v>
      </c>
    </row>
    <row r="121" spans="2:5" ht="14.4" customHeight="1">
      <c r="B121" s="15" t="s">
        <v>17</v>
      </c>
      <c r="C121" s="3" t="s">
        <v>18</v>
      </c>
      <c r="D121" s="57">
        <f t="shared" si="1"/>
        <v>0.1751529253505594</v>
      </c>
      <c r="E121" s="57">
        <f t="shared" si="1"/>
        <v>0.1751529253505594</v>
      </c>
    </row>
    <row r="122" spans="2:5" ht="14.4" customHeight="1">
      <c r="B122" s="10" t="s">
        <v>19</v>
      </c>
      <c r="C122" s="3" t="s">
        <v>20</v>
      </c>
      <c r="D122" s="57">
        <f t="shared" si="1"/>
        <v>0.1751529253505594</v>
      </c>
      <c r="E122" s="57">
        <f t="shared" si="1"/>
        <v>0.1751529253505594</v>
      </c>
    </row>
    <row r="123" spans="2:5" ht="14.4" customHeight="1">
      <c r="B123" s="13"/>
      <c r="C123" s="3" t="s">
        <v>21</v>
      </c>
      <c r="D123" s="57">
        <f t="shared" si="1"/>
        <v>0.26272938802583912</v>
      </c>
      <c r="E123" s="57">
        <f t="shared" si="1"/>
        <v>0.26272938802583912</v>
      </c>
    </row>
    <row r="124" spans="2:5" ht="14.4" customHeight="1">
      <c r="B124" s="13"/>
      <c r="C124" s="3" t="s">
        <v>22</v>
      </c>
      <c r="D124" s="57">
        <f t="shared" si="1"/>
        <v>0.52545877605167823</v>
      </c>
      <c r="E124" s="57">
        <f t="shared" si="1"/>
        <v>0.52545877605167823</v>
      </c>
    </row>
    <row r="125" spans="2:5" ht="14.4" customHeight="1">
      <c r="B125" s="13"/>
      <c r="C125" s="3" t="s">
        <v>23</v>
      </c>
      <c r="D125" s="57">
        <f t="shared" si="1"/>
        <v>0.26272938802583912</v>
      </c>
      <c r="E125" s="57">
        <f t="shared" si="1"/>
        <v>0.26272938802583912</v>
      </c>
    </row>
    <row r="126" spans="2:5" ht="14.4" customHeight="1">
      <c r="B126" s="13"/>
      <c r="C126" s="3" t="s">
        <v>24</v>
      </c>
      <c r="D126" s="57">
        <f t="shared" si="1"/>
        <v>1.751529253505594</v>
      </c>
      <c r="E126" s="57">
        <f t="shared" si="1"/>
        <v>1.751529253505594</v>
      </c>
    </row>
    <row r="127" spans="2:5" ht="14.4" customHeight="1">
      <c r="B127" s="14"/>
      <c r="C127" s="3" t="s">
        <v>25</v>
      </c>
      <c r="D127" s="57">
        <f t="shared" si="1"/>
        <v>1.0509175521033565</v>
      </c>
      <c r="E127" s="57">
        <f t="shared" si="1"/>
        <v>1.0509175521033565</v>
      </c>
    </row>
    <row r="128" spans="2:5" ht="14.4" customHeight="1">
      <c r="B128" s="9" t="s">
        <v>1</v>
      </c>
      <c r="C128" s="9" t="s">
        <v>229</v>
      </c>
      <c r="D128" s="6"/>
      <c r="E128" s="6"/>
    </row>
    <row r="129" spans="2:5" ht="14.4" customHeight="1">
      <c r="B129" s="25"/>
      <c r="C129" s="25"/>
      <c r="D129" s="23" t="str">
        <f>'Input data'!D$5</f>
        <v>2025-26</v>
      </c>
      <c r="E129" s="23" t="str">
        <f>'Input data'!E$5</f>
        <v>2026-27</v>
      </c>
    </row>
    <row r="130" spans="2:5" ht="14.4" customHeight="1">
      <c r="B130" s="24"/>
      <c r="C130" s="24"/>
      <c r="D130" s="8"/>
      <c r="E130" s="8"/>
    </row>
    <row r="131" spans="2:5" ht="14.4" customHeight="1">
      <c r="B131" s="10" t="s">
        <v>8</v>
      </c>
      <c r="C131" s="3" t="s">
        <v>12</v>
      </c>
      <c r="D131" s="57">
        <f t="shared" ref="D131:E131" si="2">D29*D63*(1-D97)</f>
        <v>6.7452046615231215E-2</v>
      </c>
      <c r="E131" s="57">
        <f t="shared" si="2"/>
        <v>6.7452046615231215E-2</v>
      </c>
    </row>
    <row r="132" spans="2:5" ht="14.4" customHeight="1">
      <c r="B132" s="12"/>
      <c r="C132" s="3" t="s">
        <v>13</v>
      </c>
      <c r="D132" s="57">
        <f t="shared" ref="D132:E135" si="3">D30*D64*(1-D98)</f>
        <v>7.4058174891980647E-2</v>
      </c>
      <c r="E132" s="57">
        <f t="shared" si="3"/>
        <v>7.4058174891980647E-2</v>
      </c>
    </row>
    <row r="133" spans="2:5" ht="14.4" customHeight="1">
      <c r="B133" s="10" t="s">
        <v>14</v>
      </c>
      <c r="C133" s="3" t="s">
        <v>12</v>
      </c>
      <c r="D133" s="57">
        <f t="shared" si="3"/>
        <v>0</v>
      </c>
      <c r="E133" s="57">
        <f t="shared" si="3"/>
        <v>0</v>
      </c>
    </row>
    <row r="134" spans="2:5" ht="14.4" customHeight="1">
      <c r="B134" s="12"/>
      <c r="C134" s="3" t="s">
        <v>13</v>
      </c>
      <c r="D134" s="57">
        <f t="shared" si="3"/>
        <v>0</v>
      </c>
      <c r="E134" s="57">
        <f t="shared" si="3"/>
        <v>0</v>
      </c>
    </row>
    <row r="135" spans="2:5" ht="14.4" customHeight="1">
      <c r="B135" s="15" t="s">
        <v>15</v>
      </c>
      <c r="C135" s="3" t="s">
        <v>13</v>
      </c>
      <c r="D135" s="57">
        <f t="shared" si="3"/>
        <v>0</v>
      </c>
      <c r="E135" s="57">
        <f t="shared" si="3"/>
        <v>0</v>
      </c>
    </row>
    <row r="138" spans="2:5" ht="28.95" customHeight="1">
      <c r="B138" s="32" t="s">
        <v>616</v>
      </c>
      <c r="C138" s="5"/>
      <c r="D138" s="5"/>
      <c r="E138" s="5"/>
    </row>
    <row r="139" spans="2:5" ht="14.4" customHeight="1">
      <c r="B139" s="37"/>
    </row>
    <row r="140" spans="2:5" ht="14.4" customHeight="1">
      <c r="B140" s="9" t="s">
        <v>1</v>
      </c>
      <c r="C140" s="9" t="s">
        <v>228</v>
      </c>
      <c r="D140" s="6"/>
      <c r="E140" s="6"/>
    </row>
    <row r="141" spans="2:5" ht="14.4" customHeight="1">
      <c r="B141" s="25"/>
      <c r="C141" s="25"/>
      <c r="D141" s="23" t="str">
        <f>'Input data'!D$5</f>
        <v>2025-26</v>
      </c>
      <c r="E141" s="23" t="str">
        <f>'Input data'!E$5</f>
        <v>2026-27</v>
      </c>
    </row>
    <row r="142" spans="2:5" ht="14.4" customHeight="1">
      <c r="B142" s="24"/>
      <c r="C142" s="24"/>
      <c r="D142" s="8"/>
      <c r="E142" s="8"/>
    </row>
    <row r="143" spans="2:5" ht="14.4" customHeight="1">
      <c r="B143" s="10" t="s">
        <v>8</v>
      </c>
      <c r="C143" s="3" t="s">
        <v>9</v>
      </c>
      <c r="D143" s="38">
        <f>'Input data'!D65</f>
        <v>0</v>
      </c>
      <c r="E143" s="38">
        <f>'Input data'!E65</f>
        <v>0</v>
      </c>
    </row>
    <row r="144" spans="2:5" ht="14.4" customHeight="1">
      <c r="B144" s="13"/>
      <c r="C144" s="3" t="s">
        <v>10</v>
      </c>
      <c r="D144" s="38">
        <f>'Input data'!D66</f>
        <v>0</v>
      </c>
      <c r="E144" s="38">
        <f>'Input data'!E66</f>
        <v>0</v>
      </c>
    </row>
    <row r="145" spans="2:5" ht="14.4" customHeight="1">
      <c r="B145" s="13"/>
      <c r="C145" s="3" t="s">
        <v>11</v>
      </c>
      <c r="D145" s="38">
        <f>'Input data'!D67</f>
        <v>13013032</v>
      </c>
      <c r="E145" s="38">
        <f>'Input data'!E67</f>
        <v>13013032</v>
      </c>
    </row>
    <row r="146" spans="2:5" ht="14.4" customHeight="1">
      <c r="B146" s="13"/>
      <c r="C146" s="3" t="s">
        <v>12</v>
      </c>
      <c r="D146" s="38">
        <f>'Input data'!D68</f>
        <v>31102189</v>
      </c>
      <c r="E146" s="38">
        <f>'Input data'!E68</f>
        <v>31102189</v>
      </c>
    </row>
    <row r="147" spans="2:5" ht="14.4" customHeight="1">
      <c r="B147" s="14"/>
      <c r="C147" s="3" t="s">
        <v>13</v>
      </c>
      <c r="D147" s="38">
        <f>'Input data'!D69</f>
        <v>111340</v>
      </c>
      <c r="E147" s="38">
        <f>'Input data'!E69</f>
        <v>111340</v>
      </c>
    </row>
    <row r="148" spans="2:5" ht="14.4" customHeight="1">
      <c r="B148" s="10" t="s">
        <v>14</v>
      </c>
      <c r="C148" s="3" t="s">
        <v>9</v>
      </c>
      <c r="D148" s="38">
        <f>'Input data'!D70</f>
        <v>0</v>
      </c>
      <c r="E148" s="38">
        <f>'Input data'!E70</f>
        <v>0</v>
      </c>
    </row>
    <row r="149" spans="2:5" ht="14.4" customHeight="1">
      <c r="B149" s="13"/>
      <c r="C149" s="3" t="s">
        <v>10</v>
      </c>
      <c r="D149" s="38">
        <f>'Input data'!D71</f>
        <v>0</v>
      </c>
      <c r="E149" s="38">
        <f>'Input data'!E71</f>
        <v>0</v>
      </c>
    </row>
    <row r="150" spans="2:5" ht="14.4" customHeight="1">
      <c r="B150" s="13"/>
      <c r="C150" s="3" t="s">
        <v>11</v>
      </c>
      <c r="D150" s="38">
        <f>'Input data'!D72</f>
        <v>0</v>
      </c>
      <c r="E150" s="38">
        <f>'Input data'!E72</f>
        <v>0</v>
      </c>
    </row>
    <row r="151" spans="2:5" ht="14.4" customHeight="1">
      <c r="B151" s="13"/>
      <c r="C151" s="3" t="s">
        <v>12</v>
      </c>
      <c r="D151" s="38">
        <f>'Input data'!D73</f>
        <v>0</v>
      </c>
      <c r="E151" s="38">
        <f>'Input data'!E73</f>
        <v>0</v>
      </c>
    </row>
    <row r="152" spans="2:5" ht="14.4" customHeight="1">
      <c r="B152" s="14"/>
      <c r="C152" s="3" t="s">
        <v>13</v>
      </c>
      <c r="D152" s="38">
        <f>'Input data'!D74</f>
        <v>0</v>
      </c>
      <c r="E152" s="38">
        <f>'Input data'!E74</f>
        <v>0</v>
      </c>
    </row>
    <row r="153" spans="2:5" ht="14.4" customHeight="1">
      <c r="B153" s="10" t="s">
        <v>15</v>
      </c>
      <c r="C153" s="3" t="s">
        <v>12</v>
      </c>
      <c r="D153" s="38">
        <f>'Input data'!D75</f>
        <v>6593617.2301879274</v>
      </c>
      <c r="E153" s="38">
        <f>'Input data'!E75</f>
        <v>6593617.2301879274</v>
      </c>
    </row>
    <row r="154" spans="2:5" ht="14.4" customHeight="1">
      <c r="B154" s="14"/>
      <c r="C154" s="3" t="s">
        <v>13</v>
      </c>
      <c r="D154" s="38">
        <f>'Input data'!D76</f>
        <v>683624.83242554544</v>
      </c>
      <c r="E154" s="38">
        <f>'Input data'!E76</f>
        <v>683624.83242554544</v>
      </c>
    </row>
    <row r="155" spans="2:5" ht="14.4" customHeight="1">
      <c r="B155" s="15" t="s">
        <v>17</v>
      </c>
      <c r="C155" s="3" t="s">
        <v>18</v>
      </c>
      <c r="D155" s="38">
        <f>'Input data'!D77</f>
        <v>157646327.37832683</v>
      </c>
      <c r="E155" s="38">
        <f>'Input data'!E77</f>
        <v>157646327.37832683</v>
      </c>
    </row>
    <row r="156" spans="2:5" ht="14.4" customHeight="1">
      <c r="B156" s="10" t="s">
        <v>19</v>
      </c>
      <c r="C156" s="3" t="s">
        <v>20</v>
      </c>
      <c r="D156" s="38">
        <f>'Input data'!D78</f>
        <v>110137542.48308744</v>
      </c>
      <c r="E156" s="38">
        <f>'Input data'!E78</f>
        <v>110137542.48308744</v>
      </c>
    </row>
    <row r="157" spans="2:5" ht="14.4" customHeight="1">
      <c r="B157" s="13"/>
      <c r="C157" s="3" t="s">
        <v>21</v>
      </c>
      <c r="D157" s="38">
        <f>'Input data'!D79</f>
        <v>0</v>
      </c>
      <c r="E157" s="38">
        <f>'Input data'!E79</f>
        <v>0</v>
      </c>
    </row>
    <row r="158" spans="2:5" ht="14.4" customHeight="1">
      <c r="B158" s="13"/>
      <c r="C158" s="3" t="s">
        <v>22</v>
      </c>
      <c r="D158" s="38">
        <f>'Input data'!D80</f>
        <v>732895.5</v>
      </c>
      <c r="E158" s="38">
        <f>'Input data'!E80</f>
        <v>732895.5</v>
      </c>
    </row>
    <row r="159" spans="2:5" ht="14.4" customHeight="1">
      <c r="B159" s="13"/>
      <c r="C159" s="3" t="s">
        <v>23</v>
      </c>
      <c r="D159" s="38">
        <f>'Input data'!D81</f>
        <v>732895.5</v>
      </c>
      <c r="E159" s="38">
        <f>'Input data'!E81</f>
        <v>732895.5</v>
      </c>
    </row>
    <row r="160" spans="2:5" ht="14.4" customHeight="1">
      <c r="B160" s="13"/>
      <c r="C160" s="3" t="s">
        <v>24</v>
      </c>
      <c r="D160" s="38">
        <f>'Input data'!D82</f>
        <v>0</v>
      </c>
      <c r="E160" s="38">
        <f>'Input data'!E82</f>
        <v>0</v>
      </c>
    </row>
    <row r="161" spans="2:5" ht="14.4" customHeight="1">
      <c r="B161" s="14"/>
      <c r="C161" s="3" t="s">
        <v>25</v>
      </c>
      <c r="D161" s="38">
        <f>'Input data'!D83</f>
        <v>0</v>
      </c>
      <c r="E161" s="38">
        <f>'Input data'!E83</f>
        <v>0</v>
      </c>
    </row>
    <row r="162" spans="2:5" ht="14.4" customHeight="1">
      <c r="B162" s="9" t="s">
        <v>1</v>
      </c>
      <c r="C162" s="9" t="s">
        <v>229</v>
      </c>
      <c r="D162" s="6"/>
      <c r="E162" s="6"/>
    </row>
    <row r="163" spans="2:5" ht="14.4" customHeight="1">
      <c r="B163" s="25"/>
      <c r="C163" s="25"/>
      <c r="D163" s="23" t="str">
        <f>'Input data'!D$5</f>
        <v>2025-26</v>
      </c>
      <c r="E163" s="23" t="str">
        <f>'Input data'!E$5</f>
        <v>2026-27</v>
      </c>
    </row>
    <row r="164" spans="2:5" ht="14.4" customHeight="1">
      <c r="B164" s="24"/>
      <c r="C164" s="24"/>
      <c r="D164" s="8"/>
      <c r="E164" s="8"/>
    </row>
    <row r="165" spans="2:5" ht="14.4" customHeight="1">
      <c r="B165" s="10" t="s">
        <v>8</v>
      </c>
      <c r="C165" s="3" t="s">
        <v>12</v>
      </c>
      <c r="D165" s="38">
        <f>'Input data'!D91</f>
        <v>0</v>
      </c>
      <c r="E165" s="38">
        <f>'Input data'!E91</f>
        <v>0</v>
      </c>
    </row>
    <row r="166" spans="2:5" ht="14.4" customHeight="1">
      <c r="B166" s="12"/>
      <c r="C166" s="3" t="s">
        <v>13</v>
      </c>
      <c r="D166" s="38">
        <f>'Input data'!D92</f>
        <v>0</v>
      </c>
      <c r="E166" s="38">
        <f>'Input data'!E92</f>
        <v>0</v>
      </c>
    </row>
    <row r="167" spans="2:5" ht="14.4" customHeight="1">
      <c r="B167" s="10" t="s">
        <v>14</v>
      </c>
      <c r="C167" s="3" t="s">
        <v>12</v>
      </c>
      <c r="D167" s="38">
        <f>'Input data'!D93</f>
        <v>1</v>
      </c>
      <c r="E167" s="38">
        <f>'Input data'!E93</f>
        <v>1</v>
      </c>
    </row>
    <row r="168" spans="2:5" ht="14.4" customHeight="1">
      <c r="B168" s="12"/>
      <c r="C168" s="3" t="s">
        <v>13</v>
      </c>
      <c r="D168" s="38">
        <f>'Input data'!D94</f>
        <v>0</v>
      </c>
      <c r="E168" s="38">
        <f>'Input data'!E94</f>
        <v>0</v>
      </c>
    </row>
    <row r="169" spans="2:5" ht="14.4" customHeight="1">
      <c r="B169" s="15" t="s">
        <v>15</v>
      </c>
      <c r="C169" s="3" t="s">
        <v>13</v>
      </c>
      <c r="D169" s="38">
        <f>'Input data'!D95</f>
        <v>0</v>
      </c>
      <c r="E169" s="38">
        <f>'Input data'!E95</f>
        <v>0</v>
      </c>
    </row>
    <row r="172" spans="2:5" ht="28.95" customHeight="1">
      <c r="B172" s="32" t="s">
        <v>603</v>
      </c>
      <c r="C172" s="5"/>
      <c r="D172" s="5"/>
      <c r="E172" s="5"/>
    </row>
    <row r="173" spans="2:5" ht="14.4" customHeight="1">
      <c r="B173" s="37"/>
    </row>
    <row r="174" spans="2:5" ht="14.4" customHeight="1">
      <c r="B174" s="9" t="s">
        <v>1</v>
      </c>
      <c r="C174" s="9" t="s">
        <v>228</v>
      </c>
      <c r="D174" s="6"/>
      <c r="E174" s="6"/>
    </row>
    <row r="175" spans="2:5" ht="14.4" customHeight="1">
      <c r="B175" s="25"/>
      <c r="C175" s="25"/>
      <c r="D175" s="23" t="str">
        <f>'Input data'!D$5</f>
        <v>2025-26</v>
      </c>
      <c r="E175" s="23" t="str">
        <f>'Input data'!E$5</f>
        <v>2026-27</v>
      </c>
    </row>
    <row r="176" spans="2:5" ht="14.4" customHeight="1">
      <c r="B176" s="24"/>
      <c r="C176" s="24"/>
      <c r="D176" s="8"/>
      <c r="E176" s="8"/>
    </row>
    <row r="177" spans="2:5" ht="14.4" customHeight="1">
      <c r="B177" s="10" t="s">
        <v>8</v>
      </c>
      <c r="C177" s="3" t="s">
        <v>9</v>
      </c>
      <c r="D177" s="38">
        <f t="shared" ref="D177:E177" si="4">D109*D143</f>
        <v>0</v>
      </c>
      <c r="E177" s="38">
        <f t="shared" si="4"/>
        <v>0</v>
      </c>
    </row>
    <row r="178" spans="2:5" ht="14.4" customHeight="1">
      <c r="B178" s="13"/>
      <c r="C178" s="3" t="s">
        <v>10</v>
      </c>
      <c r="D178" s="38">
        <f t="shared" ref="D178:E195" si="5">D110*D144</f>
        <v>0</v>
      </c>
      <c r="E178" s="38">
        <f t="shared" si="5"/>
        <v>0</v>
      </c>
    </row>
    <row r="179" spans="2:5" ht="14.4" customHeight="1">
      <c r="B179" s="13"/>
      <c r="C179" s="3" t="s">
        <v>11</v>
      </c>
      <c r="D179" s="38">
        <f t="shared" si="5"/>
        <v>640261.36043777631</v>
      </c>
      <c r="E179" s="38">
        <f t="shared" si="5"/>
        <v>640261.36043777631</v>
      </c>
    </row>
    <row r="180" spans="2:5" ht="14.4" customHeight="1">
      <c r="B180" s="13"/>
      <c r="C180" s="3" t="s">
        <v>12</v>
      </c>
      <c r="D180" s="38">
        <f t="shared" si="5"/>
        <v>2199063.2099200538</v>
      </c>
      <c r="E180" s="38">
        <f t="shared" si="5"/>
        <v>2199063.2099200538</v>
      </c>
    </row>
    <row r="181" spans="2:5" ht="14.4" customHeight="1">
      <c r="B181" s="14"/>
      <c r="C181" s="3" t="s">
        <v>13</v>
      </c>
      <c r="D181" s="38">
        <f t="shared" si="5"/>
        <v>8643.2255686301105</v>
      </c>
      <c r="E181" s="38">
        <f t="shared" si="5"/>
        <v>8643.2255686301105</v>
      </c>
    </row>
    <row r="182" spans="2:5" ht="14.4" customHeight="1">
      <c r="B182" s="10" t="s">
        <v>14</v>
      </c>
      <c r="C182" s="3" t="s">
        <v>9</v>
      </c>
      <c r="D182" s="38">
        <f t="shared" si="5"/>
        <v>0</v>
      </c>
      <c r="E182" s="38">
        <f t="shared" si="5"/>
        <v>0</v>
      </c>
    </row>
    <row r="183" spans="2:5" ht="14.4" customHeight="1">
      <c r="B183" s="13"/>
      <c r="C183" s="3" t="s">
        <v>10</v>
      </c>
      <c r="D183" s="38">
        <f t="shared" si="5"/>
        <v>0</v>
      </c>
      <c r="E183" s="38">
        <f t="shared" si="5"/>
        <v>0</v>
      </c>
    </row>
    <row r="184" spans="2:5" ht="14.4" customHeight="1">
      <c r="B184" s="13"/>
      <c r="C184" s="3" t="s">
        <v>11</v>
      </c>
      <c r="D184" s="38">
        <f t="shared" si="5"/>
        <v>0</v>
      </c>
      <c r="E184" s="38">
        <f t="shared" si="5"/>
        <v>0</v>
      </c>
    </row>
    <row r="185" spans="2:5" ht="14.4" customHeight="1">
      <c r="B185" s="13"/>
      <c r="C185" s="3" t="s">
        <v>12</v>
      </c>
      <c r="D185" s="38">
        <f t="shared" si="5"/>
        <v>0</v>
      </c>
      <c r="E185" s="38">
        <f t="shared" si="5"/>
        <v>0</v>
      </c>
    </row>
    <row r="186" spans="2:5" ht="14.4" customHeight="1">
      <c r="B186" s="14"/>
      <c r="C186" s="3" t="s">
        <v>13</v>
      </c>
      <c r="D186" s="38">
        <f t="shared" si="5"/>
        <v>0</v>
      </c>
      <c r="E186" s="38">
        <f t="shared" si="5"/>
        <v>0</v>
      </c>
    </row>
    <row r="187" spans="2:5" ht="14.4" customHeight="1">
      <c r="B187" s="10" t="s">
        <v>15</v>
      </c>
      <c r="C187" s="3" t="s">
        <v>12</v>
      </c>
      <c r="D187" s="38">
        <f t="shared" si="5"/>
        <v>0</v>
      </c>
      <c r="E187" s="38">
        <f t="shared" si="5"/>
        <v>0</v>
      </c>
    </row>
    <row r="188" spans="2:5" ht="14.4" customHeight="1">
      <c r="B188" s="14"/>
      <c r="C188" s="3" t="s">
        <v>13</v>
      </c>
      <c r="D188" s="38">
        <f t="shared" si="5"/>
        <v>0</v>
      </c>
      <c r="E188" s="38">
        <f t="shared" si="5"/>
        <v>0</v>
      </c>
    </row>
    <row r="189" spans="2:5" ht="14.4" customHeight="1">
      <c r="B189" s="15" t="s">
        <v>17</v>
      </c>
      <c r="C189" s="3" t="s">
        <v>18</v>
      </c>
      <c r="D189" s="38">
        <f t="shared" si="5"/>
        <v>27612215.41108593</v>
      </c>
      <c r="E189" s="38">
        <f t="shared" si="5"/>
        <v>27612215.41108593</v>
      </c>
    </row>
    <row r="190" spans="2:5" ht="14.4" customHeight="1">
      <c r="B190" s="10" t="s">
        <v>19</v>
      </c>
      <c r="C190" s="3" t="s">
        <v>20</v>
      </c>
      <c r="D190" s="38">
        <f t="shared" si="5"/>
        <v>19290912.75683428</v>
      </c>
      <c r="E190" s="38">
        <f t="shared" si="5"/>
        <v>19290912.75683428</v>
      </c>
    </row>
    <row r="191" spans="2:5" ht="14.4" customHeight="1">
      <c r="B191" s="13"/>
      <c r="C191" s="3" t="s">
        <v>21</v>
      </c>
      <c r="D191" s="38">
        <f t="shared" si="5"/>
        <v>0</v>
      </c>
      <c r="E191" s="38">
        <f t="shared" si="5"/>
        <v>0</v>
      </c>
    </row>
    <row r="192" spans="2:5" ht="14.4" customHeight="1">
      <c r="B192" s="13"/>
      <c r="C192" s="3" t="s">
        <v>22</v>
      </c>
      <c r="D192" s="38">
        <f t="shared" si="5"/>
        <v>385106.37240378273</v>
      </c>
      <c r="E192" s="38">
        <f t="shared" si="5"/>
        <v>385106.37240378273</v>
      </c>
    </row>
    <row r="193" spans="2:5" ht="14.4" customHeight="1">
      <c r="B193" s="13"/>
      <c r="C193" s="3" t="s">
        <v>23</v>
      </c>
      <c r="D193" s="38">
        <f t="shared" si="5"/>
        <v>192553.18620189137</v>
      </c>
      <c r="E193" s="38">
        <f t="shared" si="5"/>
        <v>192553.18620189137</v>
      </c>
    </row>
    <row r="194" spans="2:5" ht="14.4" customHeight="1">
      <c r="B194" s="13"/>
      <c r="C194" s="3" t="s">
        <v>24</v>
      </c>
      <c r="D194" s="38">
        <f t="shared" si="5"/>
        <v>0</v>
      </c>
      <c r="E194" s="38">
        <f t="shared" si="5"/>
        <v>0</v>
      </c>
    </row>
    <row r="195" spans="2:5" ht="14.4" customHeight="1">
      <c r="B195" s="14"/>
      <c r="C195" s="3" t="s">
        <v>25</v>
      </c>
      <c r="D195" s="38">
        <f t="shared" si="5"/>
        <v>0</v>
      </c>
      <c r="E195" s="38">
        <f t="shared" si="5"/>
        <v>0</v>
      </c>
    </row>
    <row r="196" spans="2:5" ht="14.4" customHeight="1">
      <c r="B196" s="9" t="s">
        <v>1</v>
      </c>
      <c r="C196" s="9" t="s">
        <v>229</v>
      </c>
      <c r="D196" s="6"/>
      <c r="E196" s="6"/>
    </row>
    <row r="197" spans="2:5" ht="14.4" customHeight="1">
      <c r="B197" s="25"/>
      <c r="C197" s="25"/>
      <c r="D197" s="23" t="str">
        <f>'Input data'!D$5</f>
        <v>2025-26</v>
      </c>
      <c r="E197" s="23" t="str">
        <f>'Input data'!E$5</f>
        <v>2026-27</v>
      </c>
    </row>
    <row r="198" spans="2:5" ht="14.4" customHeight="1">
      <c r="B198" s="24"/>
      <c r="C198" s="24"/>
      <c r="D198" s="8"/>
      <c r="E198" s="8"/>
    </row>
    <row r="199" spans="2:5" ht="14.4" customHeight="1">
      <c r="B199" s="10" t="s">
        <v>8</v>
      </c>
      <c r="C199" s="3" t="s">
        <v>12</v>
      </c>
      <c r="D199" s="38">
        <f t="shared" ref="D199:E203" si="6">D131*D165</f>
        <v>0</v>
      </c>
      <c r="E199" s="38">
        <f t="shared" si="6"/>
        <v>0</v>
      </c>
    </row>
    <row r="200" spans="2:5" ht="14.4" customHeight="1">
      <c r="B200" s="12"/>
      <c r="C200" s="3" t="s">
        <v>13</v>
      </c>
      <c r="D200" s="38">
        <f t="shared" si="6"/>
        <v>0</v>
      </c>
      <c r="E200" s="38">
        <f t="shared" si="6"/>
        <v>0</v>
      </c>
    </row>
    <row r="201" spans="2:5" ht="14.4" customHeight="1">
      <c r="B201" s="10" t="s">
        <v>14</v>
      </c>
      <c r="C201" s="3" t="s">
        <v>12</v>
      </c>
      <c r="D201" s="38">
        <f t="shared" si="6"/>
        <v>0</v>
      </c>
      <c r="E201" s="38">
        <f t="shared" si="6"/>
        <v>0</v>
      </c>
    </row>
    <row r="202" spans="2:5" ht="14.4" customHeight="1">
      <c r="B202" s="12"/>
      <c r="C202" s="3" t="s">
        <v>13</v>
      </c>
      <c r="D202" s="38">
        <f t="shared" si="6"/>
        <v>0</v>
      </c>
      <c r="E202" s="38">
        <f t="shared" si="6"/>
        <v>0</v>
      </c>
    </row>
    <row r="203" spans="2:5" ht="14.4" customHeight="1">
      <c r="B203" s="15" t="s">
        <v>15</v>
      </c>
      <c r="C203" s="3" t="s">
        <v>13</v>
      </c>
      <c r="D203" s="38">
        <f t="shared" si="6"/>
        <v>0</v>
      </c>
      <c r="E203" s="38">
        <f t="shared" si="6"/>
        <v>0</v>
      </c>
    </row>
    <row r="204" spans="2:5" ht="14.4" customHeight="1">
      <c r="B204" s="21" t="s">
        <v>31</v>
      </c>
      <c r="C204" s="22"/>
      <c r="D204" s="20">
        <f>SUM(D177:D195,D199:D203)</f>
        <v>50328755.522452347</v>
      </c>
      <c r="E204" s="20">
        <f>SUM(E177:E195,E199:E203)</f>
        <v>50328755.522452347</v>
      </c>
    </row>
    <row r="205" spans="2:5" ht="14.4" customHeight="1">
      <c r="C205" s="60"/>
    </row>
    <row r="206" spans="2:5" ht="14.4" customHeight="1">
      <c r="C206" s="60"/>
    </row>
    <row r="207" spans="2:5" ht="28.95" customHeight="1">
      <c r="B207" s="32" t="s">
        <v>604</v>
      </c>
      <c r="C207" s="5"/>
      <c r="D207" s="5"/>
      <c r="E207" s="5"/>
    </row>
    <row r="208" spans="2:5" ht="14.4" customHeight="1">
      <c r="B208" s="37"/>
    </row>
    <row r="209" spans="2:5" ht="14.4" customHeight="1">
      <c r="B209" s="9" t="s">
        <v>1</v>
      </c>
      <c r="C209" s="9" t="s">
        <v>228</v>
      </c>
      <c r="D209" s="6"/>
      <c r="E209" s="6"/>
    </row>
    <row r="210" spans="2:5" ht="14.4" customHeight="1">
      <c r="B210" s="25"/>
      <c r="C210" s="25"/>
      <c r="D210" s="23" t="str">
        <f>'Input data'!D$5</f>
        <v>2025-26</v>
      </c>
      <c r="E210" s="23" t="str">
        <f>'Input data'!E$5</f>
        <v>2026-27</v>
      </c>
    </row>
    <row r="211" spans="2:5" ht="14.4" customHeight="1">
      <c r="B211" s="24"/>
      <c r="C211" s="24"/>
      <c r="D211" s="8"/>
      <c r="E211" s="8"/>
    </row>
    <row r="212" spans="2:5" ht="14.4" customHeight="1">
      <c r="B212" s="10" t="s">
        <v>8</v>
      </c>
      <c r="C212" s="3" t="s">
        <v>9</v>
      </c>
      <c r="D212" s="57">
        <f>D109*('Input data'!D$191*'Input data'!D$7)/D$204</f>
        <v>3.6839986548534723E-2</v>
      </c>
      <c r="E212" s="57">
        <f>E109*('Input data'!E$191*'Input data'!E$7)/E$204</f>
        <v>3.6839986548534723E-2</v>
      </c>
    </row>
    <row r="213" spans="2:5" ht="14.4" customHeight="1">
      <c r="B213" s="13"/>
      <c r="C213" s="3" t="s">
        <v>10</v>
      </c>
      <c r="D213" s="57">
        <f>D110*('Input data'!D$191*'Input data'!D$7)/D$204</f>
        <v>4.3471184127270961E-2</v>
      </c>
      <c r="E213" s="57">
        <f>E110*('Input data'!E$191*'Input data'!E$7)/E$204</f>
        <v>4.3471184127270961E-2</v>
      </c>
    </row>
    <row r="214" spans="2:5" ht="14.4" customHeight="1">
      <c r="B214" s="13"/>
      <c r="C214" s="3" t="s">
        <v>11</v>
      </c>
      <c r="D214" s="57">
        <f>D111*('Input data'!D$191*'Input data'!D$7)/D$204</f>
        <v>4.9733981840521871E-2</v>
      </c>
      <c r="E214" s="57">
        <f>E111*('Input data'!E$191*'Input data'!E$7)/E$204</f>
        <v>4.9733981840521871E-2</v>
      </c>
    </row>
    <row r="215" spans="2:5" ht="14.4" customHeight="1">
      <c r="B215" s="13"/>
      <c r="C215" s="3" t="s">
        <v>12</v>
      </c>
      <c r="D215" s="57">
        <f>D112*('Input data'!D$191*'Input data'!D$7)/D$204</f>
        <v>7.1469573904157355E-2</v>
      </c>
      <c r="E215" s="57">
        <f>E112*('Input data'!E$191*'Input data'!E$7)/E$204</f>
        <v>7.1469573904157355E-2</v>
      </c>
    </row>
    <row r="216" spans="2:5" ht="14.4" customHeight="1">
      <c r="B216" s="14"/>
      <c r="C216" s="3" t="s">
        <v>13</v>
      </c>
      <c r="D216" s="57">
        <f>D113*('Input data'!D$191*'Input data'!D$7)/D$204</f>
        <v>7.8469171348378941E-2</v>
      </c>
      <c r="E216" s="57">
        <f>E113*('Input data'!E$191*'Input data'!E$7)/E$204</f>
        <v>7.8469171348378941E-2</v>
      </c>
    </row>
    <row r="217" spans="2:5" ht="14.4" customHeight="1">
      <c r="B217" s="10" t="s">
        <v>14</v>
      </c>
      <c r="C217" s="3" t="s">
        <v>9</v>
      </c>
      <c r="D217" s="57">
        <f>D114*('Input data'!D$191*'Input data'!D$7)/D$204</f>
        <v>0</v>
      </c>
      <c r="E217" s="57">
        <f>E114*('Input data'!E$191*'Input data'!E$7)/E$204</f>
        <v>0</v>
      </c>
    </row>
    <row r="218" spans="2:5" ht="14.4" customHeight="1">
      <c r="B218" s="13"/>
      <c r="C218" s="3" t="s">
        <v>10</v>
      </c>
      <c r="D218" s="57">
        <f>D115*('Input data'!D$191*'Input data'!D$7)/D$204</f>
        <v>0</v>
      </c>
      <c r="E218" s="57">
        <f>E115*('Input data'!E$191*'Input data'!E$7)/E$204</f>
        <v>0</v>
      </c>
    </row>
    <row r="219" spans="2:5" ht="14.4" customHeight="1">
      <c r="B219" s="13"/>
      <c r="C219" s="3" t="s">
        <v>11</v>
      </c>
      <c r="D219" s="57">
        <f>D116*('Input data'!D$191*'Input data'!D$7)/D$204</f>
        <v>0</v>
      </c>
      <c r="E219" s="57">
        <f>E116*('Input data'!E$191*'Input data'!E$7)/E$204</f>
        <v>0</v>
      </c>
    </row>
    <row r="220" spans="2:5" ht="14.4" customHeight="1">
      <c r="B220" s="13"/>
      <c r="C220" s="3" t="s">
        <v>12</v>
      </c>
      <c r="D220" s="57">
        <f>D117*('Input data'!D$191*'Input data'!D$7)/D$204</f>
        <v>0</v>
      </c>
      <c r="E220" s="57">
        <f>E117*('Input data'!E$191*'Input data'!E$7)/E$204</f>
        <v>0</v>
      </c>
    </row>
    <row r="221" spans="2:5" ht="14.4" customHeight="1">
      <c r="B221" s="14"/>
      <c r="C221" s="3" t="s">
        <v>13</v>
      </c>
      <c r="D221" s="57">
        <f>D118*('Input data'!D$191*'Input data'!D$7)/D$204</f>
        <v>0</v>
      </c>
      <c r="E221" s="57">
        <f>E118*('Input data'!E$191*'Input data'!E$7)/E$204</f>
        <v>0</v>
      </c>
    </row>
    <row r="222" spans="2:5" ht="14.4" customHeight="1">
      <c r="B222" s="10" t="s">
        <v>15</v>
      </c>
      <c r="C222" s="3" t="s">
        <v>12</v>
      </c>
      <c r="D222" s="57">
        <f>D119*('Input data'!D$191*'Input data'!D$7)/D$204</f>
        <v>0</v>
      </c>
      <c r="E222" s="57">
        <f>E119*('Input data'!E$191*'Input data'!E$7)/E$204</f>
        <v>0</v>
      </c>
    </row>
    <row r="223" spans="2:5" ht="14.4" customHeight="1">
      <c r="B223" s="14"/>
      <c r="C223" s="3" t="s">
        <v>13</v>
      </c>
      <c r="D223" s="57">
        <f>D120*('Input data'!D$191*'Input data'!D$7)/D$204</f>
        <v>0</v>
      </c>
      <c r="E223" s="57">
        <f>E120*('Input data'!E$191*'Input data'!E$7)/E$204</f>
        <v>0</v>
      </c>
    </row>
    <row r="224" spans="2:5" ht="14.4" customHeight="1">
      <c r="B224" s="15" t="s">
        <v>17</v>
      </c>
      <c r="C224" s="3" t="s">
        <v>18</v>
      </c>
      <c r="D224" s="57">
        <f>D121*('Input data'!D$191*'Input data'!D$7)/D$204</f>
        <v>0.17704832862406322</v>
      </c>
      <c r="E224" s="57">
        <f>E121*('Input data'!E$191*'Input data'!E$7)/E$204</f>
        <v>0.17704832862406322</v>
      </c>
    </row>
    <row r="225" spans="2:5" ht="14.4" customHeight="1">
      <c r="B225" s="10" t="s">
        <v>19</v>
      </c>
      <c r="C225" s="3" t="s">
        <v>20</v>
      </c>
      <c r="D225" s="57">
        <f>D122*('Input data'!D$191*'Input data'!D$7)/D$204</f>
        <v>0.17704832862406322</v>
      </c>
      <c r="E225" s="57">
        <f>E122*('Input data'!E$191*'Input data'!E$7)/E$204</f>
        <v>0.17704832862406322</v>
      </c>
    </row>
    <row r="226" spans="2:5" ht="14.4" customHeight="1">
      <c r="B226" s="13"/>
      <c r="C226" s="3" t="s">
        <v>21</v>
      </c>
      <c r="D226" s="57">
        <f>D123*('Input data'!D$191*'Input data'!D$7)/D$204</f>
        <v>0.26557249293609486</v>
      </c>
      <c r="E226" s="57">
        <f>E123*('Input data'!E$191*'Input data'!E$7)/E$204</f>
        <v>0.26557249293609486</v>
      </c>
    </row>
    <row r="227" spans="2:5" ht="14.4" customHeight="1">
      <c r="B227" s="13"/>
      <c r="C227" s="3" t="s">
        <v>22</v>
      </c>
      <c r="D227" s="57">
        <f>D124*('Input data'!D$191*'Input data'!D$7)/D$204</f>
        <v>0.53114498587218972</v>
      </c>
      <c r="E227" s="57">
        <f>E124*('Input data'!E$191*'Input data'!E$7)/E$204</f>
        <v>0.53114498587218972</v>
      </c>
    </row>
    <row r="228" spans="2:5" ht="14.4" customHeight="1">
      <c r="B228" s="13"/>
      <c r="C228" s="3" t="s">
        <v>23</v>
      </c>
      <c r="D228" s="57">
        <f>D125*('Input data'!D$191*'Input data'!D$7)/D$204</f>
        <v>0.26557249293609486</v>
      </c>
      <c r="E228" s="57">
        <f>E125*('Input data'!E$191*'Input data'!E$7)/E$204</f>
        <v>0.26557249293609486</v>
      </c>
    </row>
    <row r="229" spans="2:5" ht="14.4" customHeight="1">
      <c r="B229" s="13"/>
      <c r="C229" s="3" t="s">
        <v>24</v>
      </c>
      <c r="D229" s="57">
        <f>D126*('Input data'!D$191*'Input data'!D$7)/D$204</f>
        <v>1.7704832862406321</v>
      </c>
      <c r="E229" s="57">
        <f>E126*('Input data'!E$191*'Input data'!E$7)/E$204</f>
        <v>1.7704832862406321</v>
      </c>
    </row>
    <row r="230" spans="2:5" ht="14.4" customHeight="1">
      <c r="B230" s="14"/>
      <c r="C230" s="3" t="s">
        <v>25</v>
      </c>
      <c r="D230" s="57">
        <f>D127*('Input data'!D$191*'Input data'!D$7)/D$204</f>
        <v>1.0622899717443794</v>
      </c>
      <c r="E230" s="57">
        <f>E127*('Input data'!E$191*'Input data'!E$7)/E$204</f>
        <v>1.0622899717443794</v>
      </c>
    </row>
    <row r="231" spans="2:5" ht="14.4" customHeight="1">
      <c r="B231" s="9" t="s">
        <v>1</v>
      </c>
      <c r="C231" s="9" t="s">
        <v>229</v>
      </c>
      <c r="D231" s="6"/>
      <c r="E231" s="6"/>
    </row>
    <row r="232" spans="2:5" ht="14.4" customHeight="1">
      <c r="B232" s="25"/>
      <c r="C232" s="25"/>
      <c r="D232" s="23" t="str">
        <f>'Input data'!D$5</f>
        <v>2025-26</v>
      </c>
      <c r="E232" s="23" t="str">
        <f>'Input data'!E$5</f>
        <v>2026-27</v>
      </c>
    </row>
    <row r="233" spans="2:5" ht="14.4" customHeight="1">
      <c r="B233" s="24"/>
      <c r="C233" s="24"/>
      <c r="D233" s="8"/>
      <c r="E233" s="8"/>
    </row>
    <row r="234" spans="2:5" ht="14.4" customHeight="1">
      <c r="B234" s="10" t="s">
        <v>8</v>
      </c>
      <c r="C234" s="3" t="s">
        <v>12</v>
      </c>
      <c r="D234" s="57">
        <f>D131*('Input data'!D$191*'Input data'!D$7)/D$204</f>
        <v>6.8181973504566118E-2</v>
      </c>
      <c r="E234" s="57">
        <f>E131*('Input data'!E$191*'Input data'!E$7)/E$204</f>
        <v>6.8181973504566118E-2</v>
      </c>
    </row>
    <row r="235" spans="2:5" ht="14.4" customHeight="1">
      <c r="B235" s="12"/>
      <c r="C235" s="3" t="s">
        <v>13</v>
      </c>
      <c r="D235" s="57">
        <f>D132*('Input data'!D$191*'Input data'!D$7)/D$204</f>
        <v>7.4859589466353502E-2</v>
      </c>
      <c r="E235" s="57">
        <f>E132*('Input data'!E$191*'Input data'!E$7)/E$204</f>
        <v>7.4859589466353502E-2</v>
      </c>
    </row>
    <row r="236" spans="2:5" ht="14.4" customHeight="1">
      <c r="B236" s="10" t="s">
        <v>14</v>
      </c>
      <c r="C236" s="3" t="s">
        <v>12</v>
      </c>
      <c r="D236" s="57">
        <f>D133*('Input data'!D$191*'Input data'!D$7)/D$204</f>
        <v>0</v>
      </c>
      <c r="E236" s="57">
        <f>E133*('Input data'!E$191*'Input data'!E$7)/E$204</f>
        <v>0</v>
      </c>
    </row>
    <row r="237" spans="2:5" ht="14.4" customHeight="1">
      <c r="B237" s="12"/>
      <c r="C237" s="3" t="s">
        <v>13</v>
      </c>
      <c r="D237" s="57">
        <f>D134*('Input data'!D$191*'Input data'!D$7)/D$204</f>
        <v>0</v>
      </c>
      <c r="E237" s="57">
        <f>E134*('Input data'!E$191*'Input data'!E$7)/E$204</f>
        <v>0</v>
      </c>
    </row>
    <row r="238" spans="2:5" ht="14.4" customHeight="1">
      <c r="B238" s="15" t="s">
        <v>15</v>
      </c>
      <c r="C238" s="3" t="s">
        <v>13</v>
      </c>
      <c r="D238" s="57">
        <f>D135*('Input data'!D$191*'Input data'!D$7)/D$204</f>
        <v>0</v>
      </c>
      <c r="E238" s="57">
        <f>E135*('Input data'!E$191*'Input data'!E$7)/E$204</f>
        <v>0</v>
      </c>
    </row>
    <row r="239" spans="2:5" ht="14.4" customHeight="1">
      <c r="B239"/>
      <c r="C239" s="129"/>
      <c r="D239" s="130"/>
      <c r="E239" s="130"/>
    </row>
    <row r="240" spans="2:5" ht="14.4" customHeight="1">
      <c r="B240"/>
      <c r="C240" s="129"/>
      <c r="D240" s="130"/>
      <c r="E240" s="130"/>
    </row>
    <row r="241" spans="2:5" ht="28.95" customHeight="1">
      <c r="B241" s="32" t="s">
        <v>617</v>
      </c>
      <c r="C241" s="5"/>
      <c r="D241" s="5"/>
      <c r="E241" s="5"/>
    </row>
    <row r="242" spans="2:5" ht="14.4" customHeight="1">
      <c r="B242" s="37" t="s">
        <v>565</v>
      </c>
    </row>
    <row r="243" spans="2:5" ht="14.4" customHeight="1">
      <c r="B243" s="9" t="s">
        <v>1</v>
      </c>
      <c r="C243" s="9" t="s">
        <v>228</v>
      </c>
      <c r="D243" s="6"/>
      <c r="E243" s="6"/>
    </row>
    <row r="244" spans="2:5" ht="14.4" customHeight="1">
      <c r="B244" s="25"/>
      <c r="C244" s="25"/>
      <c r="D244" s="23" t="str">
        <f>'Input data'!D$5</f>
        <v>2025-26</v>
      </c>
      <c r="E244" s="23" t="str">
        <f>'Input data'!E$5</f>
        <v>2026-27</v>
      </c>
    </row>
    <row r="245" spans="2:5" ht="14.4" customHeight="1">
      <c r="B245" s="24"/>
      <c r="C245" s="24"/>
      <c r="D245" s="8"/>
      <c r="E245" s="8"/>
    </row>
    <row r="246" spans="2:5" ht="14.4" customHeight="1">
      <c r="B246" s="10" t="s">
        <v>8</v>
      </c>
      <c r="C246" s="3" t="s">
        <v>9</v>
      </c>
      <c r="D246" s="57">
        <v>0</v>
      </c>
      <c r="E246" s="57">
        <v>0</v>
      </c>
    </row>
    <row r="247" spans="2:5" ht="14.4" customHeight="1">
      <c r="B247" s="13"/>
      <c r="C247" s="3" t="s">
        <v>10</v>
      </c>
      <c r="D247" s="57">
        <v>0</v>
      </c>
      <c r="E247" s="57">
        <v>0</v>
      </c>
    </row>
    <row r="248" spans="2:5" ht="14.4" customHeight="1">
      <c r="B248" s="13"/>
      <c r="C248" s="3" t="s">
        <v>11</v>
      </c>
      <c r="D248" s="57">
        <v>0</v>
      </c>
      <c r="E248" s="57">
        <v>0</v>
      </c>
    </row>
    <row r="249" spans="2:5" ht="14.4" customHeight="1">
      <c r="B249" s="13"/>
      <c r="C249" s="3" t="s">
        <v>12</v>
      </c>
      <c r="D249" s="57">
        <v>0</v>
      </c>
      <c r="E249" s="57">
        <v>0</v>
      </c>
    </row>
    <row r="250" spans="2:5" ht="14.4" customHeight="1">
      <c r="B250" s="14"/>
      <c r="C250" s="3" t="s">
        <v>13</v>
      </c>
      <c r="D250" s="57">
        <v>0</v>
      </c>
      <c r="E250" s="57">
        <v>0</v>
      </c>
    </row>
    <row r="251" spans="2:5" ht="14.4" customHeight="1">
      <c r="B251" s="10" t="s">
        <v>14</v>
      </c>
      <c r="C251" s="3" t="s">
        <v>9</v>
      </c>
      <c r="D251" s="57">
        <v>0</v>
      </c>
      <c r="E251" s="57">
        <v>0</v>
      </c>
    </row>
    <row r="252" spans="2:5" ht="14.4" customHeight="1">
      <c r="B252" s="13"/>
      <c r="C252" s="3" t="s">
        <v>10</v>
      </c>
      <c r="D252" s="57">
        <v>0</v>
      </c>
      <c r="E252" s="57">
        <v>0</v>
      </c>
    </row>
    <row r="253" spans="2:5" ht="14.4" customHeight="1">
      <c r="B253" s="13"/>
      <c r="C253" s="3" t="s">
        <v>11</v>
      </c>
      <c r="D253" s="57">
        <v>0</v>
      </c>
      <c r="E253" s="57">
        <v>0</v>
      </c>
    </row>
    <row r="254" spans="2:5" ht="14.4" customHeight="1">
      <c r="B254" s="13"/>
      <c r="C254" s="3" t="s">
        <v>12</v>
      </c>
      <c r="D254" s="57">
        <v>0</v>
      </c>
      <c r="E254" s="57">
        <v>0</v>
      </c>
    </row>
    <row r="255" spans="2:5" ht="14.4" customHeight="1">
      <c r="B255" s="14"/>
      <c r="C255" s="3" t="s">
        <v>13</v>
      </c>
      <c r="D255" s="57">
        <v>0</v>
      </c>
      <c r="E255" s="57">
        <v>0</v>
      </c>
    </row>
    <row r="256" spans="2:5" ht="14.4" customHeight="1">
      <c r="B256" s="10" t="s">
        <v>15</v>
      </c>
      <c r="C256" s="3" t="s">
        <v>12</v>
      </c>
      <c r="D256" s="57">
        <v>0</v>
      </c>
      <c r="E256" s="57">
        <v>0</v>
      </c>
    </row>
    <row r="257" spans="2:5" ht="14.4" customHeight="1">
      <c r="B257" s="14"/>
      <c r="C257" s="3" t="s">
        <v>13</v>
      </c>
      <c r="D257" s="57">
        <v>0</v>
      </c>
      <c r="E257" s="57">
        <v>0</v>
      </c>
    </row>
    <row r="258" spans="2:5" ht="14.4" customHeight="1">
      <c r="B258" s="15" t="s">
        <v>17</v>
      </c>
      <c r="C258" s="3" t="s">
        <v>18</v>
      </c>
      <c r="D258" s="57">
        <f>'Input data'!D8/SUM('Input capacity'!D23:D107)</f>
        <v>0</v>
      </c>
      <c r="E258" s="57">
        <f>'Input data'!E8/SUM('Input capacity'!E23:E107)</f>
        <v>0</v>
      </c>
    </row>
    <row r="259" spans="2:5" ht="14.4" customHeight="1">
      <c r="B259" s="10" t="s">
        <v>19</v>
      </c>
      <c r="C259" s="3" t="s">
        <v>20</v>
      </c>
      <c r="D259" s="57">
        <f t="shared" ref="D259:E259" si="7">D258</f>
        <v>0</v>
      </c>
      <c r="E259" s="57">
        <f t="shared" si="7"/>
        <v>0</v>
      </c>
    </row>
    <row r="260" spans="2:5" ht="14.4" customHeight="1">
      <c r="B260" s="13"/>
      <c r="C260" s="3" t="s">
        <v>21</v>
      </c>
      <c r="D260" s="57">
        <f>D$258*'Input data'!D145</f>
        <v>0</v>
      </c>
      <c r="E260" s="57">
        <f>E$258*'Input data'!E145</f>
        <v>0</v>
      </c>
    </row>
    <row r="261" spans="2:5" ht="14.4" customHeight="1">
      <c r="B261" s="13"/>
      <c r="C261" s="3" t="s">
        <v>22</v>
      </c>
      <c r="D261" s="57">
        <f>D$258*'Input data'!D146</f>
        <v>0</v>
      </c>
      <c r="E261" s="57">
        <f>E$258*'Input data'!E146</f>
        <v>0</v>
      </c>
    </row>
    <row r="262" spans="2:5" ht="14.4" customHeight="1">
      <c r="B262" s="13"/>
      <c r="C262" s="3" t="s">
        <v>23</v>
      </c>
      <c r="D262" s="57">
        <f>D$258*'Input data'!D147</f>
        <v>0</v>
      </c>
      <c r="E262" s="57">
        <f>E$258*'Input data'!E147</f>
        <v>0</v>
      </c>
    </row>
    <row r="263" spans="2:5" ht="14.4" customHeight="1">
      <c r="B263" s="13"/>
      <c r="C263" s="3" t="s">
        <v>24</v>
      </c>
      <c r="D263" s="57">
        <f>D$258*'Input data'!D148</f>
        <v>0</v>
      </c>
      <c r="E263" s="57">
        <f>E$258*'Input data'!E148</f>
        <v>0</v>
      </c>
    </row>
    <row r="264" spans="2:5" ht="14.4" customHeight="1">
      <c r="B264" s="14"/>
      <c r="C264" s="3" t="s">
        <v>25</v>
      </c>
      <c r="D264" s="57">
        <f>D$258*'Input data'!D149</f>
        <v>0</v>
      </c>
      <c r="E264" s="57">
        <f>E$258*'Input data'!E149</f>
        <v>0</v>
      </c>
    </row>
    <row r="265" spans="2:5" ht="14.4" customHeight="1">
      <c r="B265" s="9" t="s">
        <v>1</v>
      </c>
      <c r="C265" s="9" t="s">
        <v>229</v>
      </c>
      <c r="D265" s="6"/>
      <c r="E265" s="6"/>
    </row>
    <row r="266" spans="2:5" ht="14.4" customHeight="1">
      <c r="B266" s="25"/>
      <c r="C266" s="25"/>
      <c r="D266" s="23" t="str">
        <f>'Input data'!D$5</f>
        <v>2025-26</v>
      </c>
      <c r="E266" s="23" t="str">
        <f>'Input data'!E$5</f>
        <v>2026-27</v>
      </c>
    </row>
    <row r="267" spans="2:5" ht="14.4" customHeight="1">
      <c r="B267" s="24"/>
      <c r="C267" s="24"/>
      <c r="D267" s="8"/>
      <c r="E267" s="8"/>
    </row>
    <row r="268" spans="2:5" ht="14.4" customHeight="1">
      <c r="B268" s="10" t="s">
        <v>8</v>
      </c>
      <c r="C268" s="3" t="s">
        <v>12</v>
      </c>
      <c r="D268" s="57">
        <v>0</v>
      </c>
      <c r="E268" s="57">
        <v>0</v>
      </c>
    </row>
    <row r="269" spans="2:5" ht="14.4" customHeight="1">
      <c r="B269" s="12"/>
      <c r="C269" s="3" t="s">
        <v>13</v>
      </c>
      <c r="D269" s="57">
        <v>0</v>
      </c>
      <c r="E269" s="57">
        <v>0</v>
      </c>
    </row>
    <row r="270" spans="2:5" ht="14.4" customHeight="1">
      <c r="B270" s="10" t="s">
        <v>14</v>
      </c>
      <c r="C270" s="3" t="s">
        <v>12</v>
      </c>
      <c r="D270" s="57">
        <v>0</v>
      </c>
      <c r="E270" s="57">
        <v>0</v>
      </c>
    </row>
    <row r="271" spans="2:5" ht="14.4" customHeight="1">
      <c r="B271" s="12"/>
      <c r="C271" s="3" t="s">
        <v>13</v>
      </c>
      <c r="D271" s="57">
        <v>0</v>
      </c>
      <c r="E271" s="57">
        <v>0</v>
      </c>
    </row>
    <row r="272" spans="2:5" ht="14.4" customHeight="1">
      <c r="B272" s="15" t="s">
        <v>15</v>
      </c>
      <c r="C272" s="3" t="s">
        <v>13</v>
      </c>
      <c r="D272" s="57">
        <v>0</v>
      </c>
      <c r="E272" s="57">
        <v>0</v>
      </c>
    </row>
    <row r="275" spans="2:5" ht="28.95" customHeight="1">
      <c r="B275" s="32" t="s">
        <v>618</v>
      </c>
      <c r="C275" s="5"/>
      <c r="D275" s="5"/>
      <c r="E275" s="5"/>
    </row>
    <row r="276" spans="2:5" ht="14.4" customHeight="1">
      <c r="B276" s="37"/>
    </row>
    <row r="277" spans="2:5" ht="14.4" customHeight="1">
      <c r="B277" s="9" t="s">
        <v>1</v>
      </c>
      <c r="C277" s="9" t="s">
        <v>228</v>
      </c>
      <c r="D277" s="6"/>
      <c r="E277" s="6"/>
    </row>
    <row r="278" spans="2:5" ht="14.4" customHeight="1">
      <c r="B278" s="25"/>
      <c r="C278" s="25"/>
      <c r="D278" s="23" t="str">
        <f>'Input data'!D$5</f>
        <v>2025-26</v>
      </c>
      <c r="E278" s="23" t="str">
        <f>'Input data'!E$5</f>
        <v>2026-27</v>
      </c>
    </row>
    <row r="279" spans="2:5" ht="14.4" customHeight="1">
      <c r="B279" s="24"/>
      <c r="C279" s="24"/>
      <c r="D279" s="8"/>
      <c r="E279" s="8"/>
    </row>
    <row r="280" spans="2:5" ht="14.4" customHeight="1">
      <c r="B280" s="10" t="s">
        <v>8</v>
      </c>
      <c r="C280" s="3" t="s">
        <v>9</v>
      </c>
      <c r="D280" s="38">
        <f t="shared" ref="D280:E280" si="8">D143*(D212+D246)</f>
        <v>0</v>
      </c>
      <c r="E280" s="38">
        <f t="shared" si="8"/>
        <v>0</v>
      </c>
    </row>
    <row r="281" spans="2:5" ht="14.4" customHeight="1">
      <c r="B281" s="13"/>
      <c r="C281" s="3" t="s">
        <v>10</v>
      </c>
      <c r="D281" s="38">
        <f t="shared" ref="D281:E281" si="9">D144*(D213+D247)</f>
        <v>0</v>
      </c>
      <c r="E281" s="38">
        <f t="shared" si="9"/>
        <v>0</v>
      </c>
    </row>
    <row r="282" spans="2:5" ht="14.4" customHeight="1">
      <c r="B282" s="13"/>
      <c r="C282" s="3" t="s">
        <v>11</v>
      </c>
      <c r="D282" s="38">
        <f t="shared" ref="D282:E282" si="10">D145*(D214+D248)</f>
        <v>647189.89717812999</v>
      </c>
      <c r="E282" s="38">
        <f t="shared" si="10"/>
        <v>647189.89717812999</v>
      </c>
    </row>
    <row r="283" spans="2:5" ht="14.4" customHeight="1">
      <c r="B283" s="13"/>
      <c r="C283" s="3" t="s">
        <v>12</v>
      </c>
      <c r="D283" s="38">
        <f t="shared" ref="D283:E283" si="11">D146*(D215+D249)</f>
        <v>2222860.1953165699</v>
      </c>
      <c r="E283" s="38">
        <f t="shared" si="11"/>
        <v>2222860.1953165699</v>
      </c>
    </row>
    <row r="284" spans="2:5" ht="14.4" customHeight="1">
      <c r="B284" s="14"/>
      <c r="C284" s="3" t="s">
        <v>13</v>
      </c>
      <c r="D284" s="38">
        <f t="shared" ref="D284:E284" si="12">D147*(D216+D250)</f>
        <v>8736.7575379285117</v>
      </c>
      <c r="E284" s="38">
        <f t="shared" si="12"/>
        <v>8736.7575379285117</v>
      </c>
    </row>
    <row r="285" spans="2:5" ht="14.4" customHeight="1">
      <c r="B285" s="10" t="s">
        <v>14</v>
      </c>
      <c r="C285" s="3" t="s">
        <v>9</v>
      </c>
      <c r="D285" s="38">
        <f t="shared" ref="D285:E285" si="13">D148*(D217+D251)</f>
        <v>0</v>
      </c>
      <c r="E285" s="38">
        <f t="shared" si="13"/>
        <v>0</v>
      </c>
    </row>
    <row r="286" spans="2:5" ht="14.4" customHeight="1">
      <c r="B286" s="13"/>
      <c r="C286" s="3" t="s">
        <v>10</v>
      </c>
      <c r="D286" s="38">
        <f t="shared" ref="D286:E286" si="14">D149*(D218+D252)</f>
        <v>0</v>
      </c>
      <c r="E286" s="38">
        <f t="shared" si="14"/>
        <v>0</v>
      </c>
    </row>
    <row r="287" spans="2:5" ht="14.4" customHeight="1">
      <c r="B287" s="13"/>
      <c r="C287" s="3" t="s">
        <v>11</v>
      </c>
      <c r="D287" s="38">
        <f t="shared" ref="D287:E287" si="15">D150*(D219+D253)</f>
        <v>0</v>
      </c>
      <c r="E287" s="38">
        <f t="shared" si="15"/>
        <v>0</v>
      </c>
    </row>
    <row r="288" spans="2:5" ht="14.4" customHeight="1">
      <c r="B288" s="13"/>
      <c r="C288" s="3" t="s">
        <v>12</v>
      </c>
      <c r="D288" s="38">
        <f t="shared" ref="D288:E288" si="16">D151*(D220+D254)</f>
        <v>0</v>
      </c>
      <c r="E288" s="38">
        <f t="shared" si="16"/>
        <v>0</v>
      </c>
    </row>
    <row r="289" spans="2:5" ht="14.4" customHeight="1">
      <c r="B289" s="14"/>
      <c r="C289" s="3" t="s">
        <v>13</v>
      </c>
      <c r="D289" s="38">
        <f t="shared" ref="D289:E289" si="17">D152*(D221+D255)</f>
        <v>0</v>
      </c>
      <c r="E289" s="38">
        <f t="shared" si="17"/>
        <v>0</v>
      </c>
    </row>
    <row r="290" spans="2:5" ht="14.4" customHeight="1">
      <c r="B290" s="10" t="s">
        <v>15</v>
      </c>
      <c r="C290" s="3" t="s">
        <v>12</v>
      </c>
      <c r="D290" s="38">
        <f t="shared" ref="D290:E290" si="18">D153*(D222+D256)</f>
        <v>0</v>
      </c>
      <c r="E290" s="38">
        <f t="shared" si="18"/>
        <v>0</v>
      </c>
    </row>
    <row r="291" spans="2:5" ht="14.4" customHeight="1">
      <c r="B291" s="14"/>
      <c r="C291" s="3" t="s">
        <v>13</v>
      </c>
      <c r="D291" s="38">
        <f t="shared" ref="D291:E291" si="19">D154*(D223+D257)</f>
        <v>0</v>
      </c>
      <c r="E291" s="38">
        <f t="shared" si="19"/>
        <v>0</v>
      </c>
    </row>
    <row r="292" spans="2:5" ht="14.4" customHeight="1">
      <c r="B292" s="15" t="s">
        <v>17</v>
      </c>
      <c r="C292" s="3" t="s">
        <v>18</v>
      </c>
      <c r="D292" s="38">
        <f t="shared" ref="D292:E292" si="20">D155*(D224+D258)</f>
        <v>27911018.776054665</v>
      </c>
      <c r="E292" s="38">
        <f t="shared" si="20"/>
        <v>27911018.776054665</v>
      </c>
    </row>
    <row r="293" spans="2:5" ht="14.4" customHeight="1">
      <c r="B293" s="10" t="s">
        <v>19</v>
      </c>
      <c r="C293" s="3" t="s">
        <v>20</v>
      </c>
      <c r="D293" s="38">
        <f t="shared" ref="D293:E293" si="21">D156*(D225+D259)</f>
        <v>19499667.81539239</v>
      </c>
      <c r="E293" s="38">
        <f t="shared" si="21"/>
        <v>19499667.81539239</v>
      </c>
    </row>
    <row r="294" spans="2:5" ht="14.4" customHeight="1">
      <c r="B294" s="13"/>
      <c r="C294" s="3" t="s">
        <v>21</v>
      </c>
      <c r="D294" s="38">
        <f t="shared" ref="D294:E294" si="22">D157*(D226+D260)</f>
        <v>0</v>
      </c>
      <c r="E294" s="38">
        <f t="shared" si="22"/>
        <v>0</v>
      </c>
    </row>
    <row r="295" spans="2:5" ht="14.4" customHeight="1">
      <c r="B295" s="13"/>
      <c r="C295" s="3" t="s">
        <v>22</v>
      </c>
      <c r="D295" s="38">
        <f t="shared" ref="D295:E295" si="23">D158*(D227+D261)</f>
        <v>389273.76999329141</v>
      </c>
      <c r="E295" s="38">
        <f t="shared" si="23"/>
        <v>389273.76999329141</v>
      </c>
    </row>
    <row r="296" spans="2:5" ht="14.4" customHeight="1">
      <c r="B296" s="13"/>
      <c r="C296" s="3" t="s">
        <v>23</v>
      </c>
      <c r="D296" s="38">
        <f t="shared" ref="D296:E296" si="24">D159*(D228+D262)</f>
        <v>194636.88499664571</v>
      </c>
      <c r="E296" s="38">
        <f t="shared" si="24"/>
        <v>194636.88499664571</v>
      </c>
    </row>
    <row r="297" spans="2:5" ht="14.4" customHeight="1">
      <c r="B297" s="13"/>
      <c r="C297" s="3" t="s">
        <v>24</v>
      </c>
      <c r="D297" s="38">
        <f t="shared" ref="D297:E297" si="25">D160*(D229+D263)</f>
        <v>0</v>
      </c>
      <c r="E297" s="38">
        <f t="shared" si="25"/>
        <v>0</v>
      </c>
    </row>
    <row r="298" spans="2:5" ht="14.4" customHeight="1">
      <c r="B298" s="14"/>
      <c r="C298" s="3" t="s">
        <v>25</v>
      </c>
      <c r="D298" s="38">
        <f t="shared" ref="D298:E298" si="26">D161*(D230+D264)</f>
        <v>0</v>
      </c>
      <c r="E298" s="38">
        <f t="shared" si="26"/>
        <v>0</v>
      </c>
    </row>
    <row r="299" spans="2:5" ht="14.4" customHeight="1">
      <c r="B299" s="9" t="s">
        <v>1</v>
      </c>
      <c r="C299" s="9" t="s">
        <v>229</v>
      </c>
      <c r="D299" s="6"/>
      <c r="E299" s="6"/>
    </row>
    <row r="300" spans="2:5" ht="14.4" customHeight="1">
      <c r="B300" s="25"/>
      <c r="C300" s="25"/>
      <c r="D300" s="23" t="str">
        <f>'Input data'!D$5</f>
        <v>2025-26</v>
      </c>
      <c r="E300" s="23" t="str">
        <f>'Input data'!E$5</f>
        <v>2026-27</v>
      </c>
    </row>
    <row r="301" spans="2:5" ht="14.4" customHeight="1">
      <c r="B301" s="24"/>
      <c r="C301" s="24"/>
      <c r="D301" s="8"/>
      <c r="E301" s="8"/>
    </row>
    <row r="302" spans="2:5" ht="14.4" customHeight="1">
      <c r="B302" s="10" t="s">
        <v>8</v>
      </c>
      <c r="C302" s="3" t="s">
        <v>12</v>
      </c>
      <c r="D302" s="38">
        <f t="shared" ref="D302:E302" si="27">D165*(D234+D268)</f>
        <v>0</v>
      </c>
      <c r="E302" s="38">
        <f t="shared" si="27"/>
        <v>0</v>
      </c>
    </row>
    <row r="303" spans="2:5" ht="14.4" customHeight="1">
      <c r="B303" s="12"/>
      <c r="C303" s="3" t="s">
        <v>13</v>
      </c>
      <c r="D303" s="38">
        <f t="shared" ref="D303:E303" si="28">D166*(D235+D269)</f>
        <v>0</v>
      </c>
      <c r="E303" s="38">
        <f t="shared" si="28"/>
        <v>0</v>
      </c>
    </row>
    <row r="304" spans="2:5" ht="14.4" customHeight="1">
      <c r="B304" s="10" t="s">
        <v>14</v>
      </c>
      <c r="C304" s="3" t="s">
        <v>12</v>
      </c>
      <c r="D304" s="38">
        <f t="shared" ref="D304:E304" si="29">D167*(D236+D270)</f>
        <v>0</v>
      </c>
      <c r="E304" s="38">
        <f t="shared" si="29"/>
        <v>0</v>
      </c>
    </row>
    <row r="305" spans="2:5" ht="14.4" customHeight="1">
      <c r="B305" s="12"/>
      <c r="C305" s="3" t="s">
        <v>13</v>
      </c>
      <c r="D305" s="38">
        <f t="shared" ref="D305:E305" si="30">D168*(D237+D271)</f>
        <v>0</v>
      </c>
      <c r="E305" s="38">
        <f t="shared" si="30"/>
        <v>0</v>
      </c>
    </row>
    <row r="306" spans="2:5" ht="14.4" customHeight="1">
      <c r="B306" s="15" t="s">
        <v>15</v>
      </c>
      <c r="C306" s="3" t="s">
        <v>13</v>
      </c>
      <c r="D306" s="38">
        <f t="shared" ref="D306:E306" si="31">D169*(D238+D272)</f>
        <v>0</v>
      </c>
      <c r="E306" s="38">
        <f t="shared" si="31"/>
        <v>0</v>
      </c>
    </row>
    <row r="307" spans="2:5" ht="14.4" customHeight="1">
      <c r="B307" s="21" t="s">
        <v>31</v>
      </c>
      <c r="C307" s="22"/>
      <c r="D307" s="20">
        <f t="shared" ref="D307:E307" si="32">SUM(D280:D298,D302:D306)</f>
        <v>50873384.096469618</v>
      </c>
      <c r="E307" s="20">
        <f t="shared" si="32"/>
        <v>50873384.096469618</v>
      </c>
    </row>
    <row r="308" spans="2:5" ht="14.4" customHeight="1">
      <c r="D308" s="63">
        <f>'Input data'!D191*'Input data'!D7+'Input data'!D8-D307</f>
        <v>0</v>
      </c>
      <c r="E308" s="63">
        <f>'Input data'!E191*'Input data'!E7+'Input data'!E8-E307</f>
        <v>0</v>
      </c>
    </row>
  </sheetData>
  <conditionalFormatting sqref="D308:E308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B1:E13"/>
  <sheetViews>
    <sheetView showGridLines="0" zoomScale="120" zoomScaleNormal="120" workbookViewId="0">
      <selection sqref="A1:A1048576"/>
    </sheetView>
  </sheetViews>
  <sheetFormatPr defaultRowHeight="14.4"/>
  <cols>
    <col min="2" max="2" width="10.33203125" customWidth="1"/>
    <col min="3" max="3" width="35.44140625" bestFit="1" customWidth="1"/>
    <col min="4" max="5" width="11.6640625" customWidth="1"/>
  </cols>
  <sheetData>
    <row r="1" spans="2:5" s="1" customFormat="1"/>
    <row r="2" spans="2:5" ht="28.95" customHeight="1">
      <c r="B2" s="32" t="s">
        <v>592</v>
      </c>
      <c r="C2" s="5"/>
      <c r="D2" s="5"/>
      <c r="E2" s="5"/>
    </row>
    <row r="3" spans="2:5">
      <c r="B3" s="37" t="s">
        <v>294</v>
      </c>
    </row>
    <row r="4" spans="2:5">
      <c r="B4" s="9" t="s">
        <v>292</v>
      </c>
      <c r="C4" s="9" t="s">
        <v>293</v>
      </c>
      <c r="D4" s="6"/>
      <c r="E4" s="6"/>
    </row>
    <row r="5" spans="2:5">
      <c r="B5" s="25"/>
      <c r="C5" s="25"/>
      <c r="D5" s="23" t="str">
        <f>'Input data'!D5</f>
        <v>2025-26</v>
      </c>
      <c r="E5" s="23" t="str">
        <f>'Input data'!E5</f>
        <v>2026-27</v>
      </c>
    </row>
    <row r="6" spans="2:5">
      <c r="B6" s="10" t="s">
        <v>7</v>
      </c>
      <c r="C6" s="3" t="str">
        <f>'Input data'!B20</f>
        <v>VIP</v>
      </c>
      <c r="D6" s="96">
        <f>'Entry Tariff_2'!D170</f>
        <v>3.7366318116816469E-2</v>
      </c>
      <c r="E6" s="96">
        <f>'Entry Tariff_2'!E170</f>
        <v>3.7366318116816469E-2</v>
      </c>
    </row>
    <row r="7" spans="2:5">
      <c r="B7" s="11"/>
      <c r="C7" s="3" t="str">
        <f>'Input data'!B25</f>
        <v>LNG terminal</v>
      </c>
      <c r="D7" s="96">
        <f>'Entry Tariff_2'!D175</f>
        <v>0.10440725521264488</v>
      </c>
      <c r="E7" s="96">
        <f>'Entry Tariff_2'!E175</f>
        <v>0.10440725521264488</v>
      </c>
    </row>
    <row r="8" spans="2:5">
      <c r="B8" s="11"/>
      <c r="C8" s="3" t="str">
        <f>'Input data'!B30</f>
        <v>Underground storage</v>
      </c>
      <c r="D8" s="96">
        <f>'Entry Tariff_2'!D180</f>
        <v>0</v>
      </c>
      <c r="E8" s="96">
        <f>'Entry Tariff_2'!E180</f>
        <v>0</v>
      </c>
    </row>
    <row r="9" spans="2:5">
      <c r="B9" s="12"/>
      <c r="C9" s="3" t="str">
        <f>'Input data'!B32</f>
        <v>Gas producers</v>
      </c>
      <c r="D9" s="96">
        <f>'Entry Tariff_2'!D182</f>
        <v>7.3225838532495419E-3</v>
      </c>
      <c r="E9" s="96">
        <f>'Entry Tariff_2'!E182</f>
        <v>7.3225838532495419E-3</v>
      </c>
    </row>
    <row r="10" spans="2:5">
      <c r="B10" s="10" t="s">
        <v>16</v>
      </c>
      <c r="C10" s="3" t="str">
        <f>'Input data'!B65</f>
        <v>VIP</v>
      </c>
      <c r="D10" s="96">
        <f>'Exit Tariff_2'!D212</f>
        <v>3.6839986548534723E-2</v>
      </c>
      <c r="E10" s="96">
        <f>'Exit Tariff_2'!E212</f>
        <v>3.6839986548534723E-2</v>
      </c>
    </row>
    <row r="11" spans="2:5">
      <c r="B11" s="13"/>
      <c r="C11" s="3" t="str">
        <f>'Input data'!B70</f>
        <v>LNG terminal</v>
      </c>
      <c r="D11" s="96">
        <f>'Exit Tariff_2'!D217</f>
        <v>0</v>
      </c>
      <c r="E11" s="96">
        <f>'Exit Tariff_2'!E217</f>
        <v>0</v>
      </c>
    </row>
    <row r="12" spans="2:5">
      <c r="B12" s="13"/>
      <c r="C12" s="3" t="str">
        <f>'Input data'!B75</f>
        <v>Underground storage</v>
      </c>
      <c r="D12" s="96">
        <f>'Exit Tariff_2'!D222</f>
        <v>0</v>
      </c>
      <c r="E12" s="96">
        <f>'Exit Tariff_2'!E222</f>
        <v>0</v>
      </c>
    </row>
    <row r="13" spans="2:5">
      <c r="B13" s="14"/>
      <c r="C13" s="3" t="str">
        <f>'Input data'!B77</f>
        <v>Distribution networks and HP customers</v>
      </c>
      <c r="D13" s="96">
        <f>'Exit Tariff_2'!D224</f>
        <v>0.17704832862406322</v>
      </c>
      <c r="E13" s="96">
        <f>'Exit Tariff_2'!E224</f>
        <v>0.17704832862406322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</sheetPr>
  <dimension ref="A1:C15"/>
  <sheetViews>
    <sheetView showGridLines="0" workbookViewId="0">
      <selection sqref="A1:A1048576"/>
    </sheetView>
  </sheetViews>
  <sheetFormatPr defaultColWidth="0" defaultRowHeight="14.4" zeroHeight="1"/>
  <cols>
    <col min="1" max="1" width="8.88671875" customWidth="1"/>
    <col min="2" max="2" width="18.88671875" customWidth="1"/>
    <col min="3" max="3" width="8.88671875" customWidth="1"/>
    <col min="4" max="16384" width="8.88671875" hidden="1"/>
  </cols>
  <sheetData>
    <row r="1" spans="2:2"/>
    <row r="2" spans="2:2">
      <c r="B2" s="85" t="s">
        <v>279</v>
      </c>
    </row>
    <row r="3" spans="2:2">
      <c r="B3" s="86" t="s">
        <v>278</v>
      </c>
    </row>
    <row r="4" spans="2:2" s="1" customFormat="1">
      <c r="B4" s="87" t="s">
        <v>553</v>
      </c>
    </row>
    <row r="5" spans="2:2" s="1" customFormat="1">
      <c r="B5" s="87" t="s">
        <v>568</v>
      </c>
    </row>
    <row r="6" spans="2:2">
      <c r="B6" s="87" t="s">
        <v>295</v>
      </c>
    </row>
    <row r="7" spans="2:2">
      <c r="B7" s="87" t="s">
        <v>567</v>
      </c>
    </row>
    <row r="8" spans="2:2" s="1" customFormat="1">
      <c r="B8" s="88" t="s">
        <v>554</v>
      </c>
    </row>
    <row r="9" spans="2:2"/>
    <row r="10" spans="2:2"/>
    <row r="11" spans="2:2">
      <c r="B11" s="85" t="s">
        <v>280</v>
      </c>
    </row>
    <row r="12" spans="2:2">
      <c r="B12" s="86" t="s">
        <v>281</v>
      </c>
    </row>
    <row r="13" spans="2:2">
      <c r="B13" s="88" t="s">
        <v>282</v>
      </c>
    </row>
    <row r="14" spans="2:2"/>
    <row r="15" spans="2:2"/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499984740745262"/>
  </sheetPr>
  <dimension ref="A1:E155"/>
  <sheetViews>
    <sheetView showGridLines="0" topLeftCell="A145" workbookViewId="0">
      <selection sqref="A1:A1048576"/>
    </sheetView>
  </sheetViews>
  <sheetFormatPr defaultRowHeight="14.4"/>
  <cols>
    <col min="1" max="1" width="20" bestFit="1" customWidth="1"/>
    <col min="2" max="2" width="36.33203125" bestFit="1" customWidth="1"/>
    <col min="3" max="3" width="50.5546875" bestFit="1" customWidth="1"/>
    <col min="4" max="4" width="14.109375" bestFit="1" customWidth="1"/>
    <col min="5" max="5" width="12.6640625" bestFit="1" customWidth="1"/>
  </cols>
  <sheetData>
    <row r="1" spans="1:5">
      <c r="A1" s="133" t="s">
        <v>300</v>
      </c>
      <c r="B1" s="133" t="s">
        <v>301</v>
      </c>
      <c r="C1" s="133" t="s">
        <v>302</v>
      </c>
      <c r="D1" s="133" t="s">
        <v>303</v>
      </c>
      <c r="E1" s="133" t="s">
        <v>304</v>
      </c>
    </row>
    <row r="2" spans="1:5">
      <c r="A2" s="116" t="s">
        <v>305</v>
      </c>
      <c r="B2" s="116" t="s">
        <v>305</v>
      </c>
      <c r="C2" s="116" t="s">
        <v>0</v>
      </c>
      <c r="D2" s="116" t="s">
        <v>285</v>
      </c>
      <c r="E2" s="116" t="s">
        <v>285</v>
      </c>
    </row>
    <row r="3" spans="1:5">
      <c r="A3" s="117" t="s">
        <v>306</v>
      </c>
      <c r="B3" s="117" t="s">
        <v>306</v>
      </c>
      <c r="C3" s="117" t="s">
        <v>307</v>
      </c>
      <c r="D3" s="117" t="s">
        <v>285</v>
      </c>
      <c r="E3" s="117" t="s">
        <v>285</v>
      </c>
    </row>
    <row r="4" spans="1:5">
      <c r="A4" s="116" t="s">
        <v>256</v>
      </c>
      <c r="B4" s="116" t="s">
        <v>217</v>
      </c>
      <c r="C4" s="116" t="s">
        <v>308</v>
      </c>
      <c r="D4" s="116" t="s">
        <v>285</v>
      </c>
      <c r="E4" s="116" t="s">
        <v>285</v>
      </c>
    </row>
    <row r="5" spans="1:5">
      <c r="A5" s="117" t="s">
        <v>15</v>
      </c>
      <c r="B5" s="117" t="s">
        <v>218</v>
      </c>
      <c r="C5" s="117" t="s">
        <v>309</v>
      </c>
      <c r="D5" s="117" t="s">
        <v>285</v>
      </c>
      <c r="E5" s="117" t="s">
        <v>285</v>
      </c>
    </row>
    <row r="6" spans="1:5">
      <c r="A6" s="116" t="s">
        <v>310</v>
      </c>
      <c r="B6" s="116" t="s">
        <v>26</v>
      </c>
      <c r="C6" s="116" t="s">
        <v>26</v>
      </c>
      <c r="D6" s="116" t="s">
        <v>285</v>
      </c>
      <c r="E6" s="116" t="s">
        <v>286</v>
      </c>
    </row>
    <row r="7" spans="1:5">
      <c r="A7" s="117" t="s">
        <v>54</v>
      </c>
      <c r="B7" s="117" t="s">
        <v>55</v>
      </c>
      <c r="C7" s="117" t="s">
        <v>311</v>
      </c>
      <c r="D7" s="117" t="s">
        <v>286</v>
      </c>
      <c r="E7" s="117" t="s">
        <v>285</v>
      </c>
    </row>
    <row r="8" spans="1:5">
      <c r="A8" s="116" t="s">
        <v>56</v>
      </c>
      <c r="B8" s="116" t="s">
        <v>622</v>
      </c>
      <c r="C8" s="116" t="s">
        <v>312</v>
      </c>
      <c r="D8" s="116" t="s">
        <v>286</v>
      </c>
      <c r="E8" s="116" t="s">
        <v>285</v>
      </c>
    </row>
    <row r="9" spans="1:5">
      <c r="A9" s="117" t="s">
        <v>58</v>
      </c>
      <c r="B9" s="117" t="s">
        <v>59</v>
      </c>
      <c r="C9" s="117" t="s">
        <v>313</v>
      </c>
      <c r="D9" s="117" t="s">
        <v>286</v>
      </c>
      <c r="E9" s="117" t="s">
        <v>285</v>
      </c>
    </row>
    <row r="10" spans="1:5">
      <c r="A10" s="116" t="s">
        <v>60</v>
      </c>
      <c r="B10" s="116" t="s">
        <v>623</v>
      </c>
      <c r="C10" s="116" t="s">
        <v>314</v>
      </c>
      <c r="D10" s="116" t="s">
        <v>286</v>
      </c>
      <c r="E10" s="116" t="s">
        <v>285</v>
      </c>
    </row>
    <row r="11" spans="1:5">
      <c r="A11" s="117" t="s">
        <v>61</v>
      </c>
      <c r="B11" s="117" t="s">
        <v>62</v>
      </c>
      <c r="C11" s="117" t="s">
        <v>315</v>
      </c>
      <c r="D11" s="117" t="s">
        <v>286</v>
      </c>
      <c r="E11" s="117" t="s">
        <v>285</v>
      </c>
    </row>
    <row r="12" spans="1:5">
      <c r="A12" s="116" t="s">
        <v>63</v>
      </c>
      <c r="B12" s="116" t="s">
        <v>64</v>
      </c>
      <c r="C12" s="116" t="s">
        <v>316</v>
      </c>
      <c r="D12" s="116" t="s">
        <v>286</v>
      </c>
      <c r="E12" s="116" t="s">
        <v>285</v>
      </c>
    </row>
    <row r="13" spans="1:5">
      <c r="A13" s="117" t="s">
        <v>65</v>
      </c>
      <c r="B13" s="117" t="s">
        <v>66</v>
      </c>
      <c r="C13" s="117" t="s">
        <v>317</v>
      </c>
      <c r="D13" s="117" t="s">
        <v>286</v>
      </c>
      <c r="E13" s="117" t="s">
        <v>285</v>
      </c>
    </row>
    <row r="14" spans="1:5">
      <c r="A14" s="116" t="s">
        <v>67</v>
      </c>
      <c r="B14" s="116" t="s">
        <v>68</v>
      </c>
      <c r="C14" s="116" t="s">
        <v>318</v>
      </c>
      <c r="D14" s="116" t="s">
        <v>286</v>
      </c>
      <c r="E14" s="116" t="s">
        <v>285</v>
      </c>
    </row>
    <row r="15" spans="1:5">
      <c r="A15" s="117" t="s">
        <v>69</v>
      </c>
      <c r="B15" s="117" t="s">
        <v>70</v>
      </c>
      <c r="C15" s="117" t="s">
        <v>319</v>
      </c>
      <c r="D15" s="117" t="s">
        <v>286</v>
      </c>
      <c r="E15" s="117" t="s">
        <v>285</v>
      </c>
    </row>
    <row r="16" spans="1:5">
      <c r="A16" s="116" t="s">
        <v>71</v>
      </c>
      <c r="B16" s="116" t="s">
        <v>72</v>
      </c>
      <c r="C16" s="116" t="s">
        <v>320</v>
      </c>
      <c r="D16" s="116" t="s">
        <v>286</v>
      </c>
      <c r="E16" s="116" t="s">
        <v>285</v>
      </c>
    </row>
    <row r="17" spans="1:5">
      <c r="A17" s="117" t="s">
        <v>73</v>
      </c>
      <c r="B17" s="117" t="s">
        <v>624</v>
      </c>
      <c r="C17" s="117" t="s">
        <v>321</v>
      </c>
      <c r="D17" s="117" t="s">
        <v>286</v>
      </c>
      <c r="E17" s="117" t="s">
        <v>285</v>
      </c>
    </row>
    <row r="18" spans="1:5">
      <c r="A18" s="116" t="s">
        <v>75</v>
      </c>
      <c r="B18" s="116" t="s">
        <v>625</v>
      </c>
      <c r="C18" s="116" t="s">
        <v>322</v>
      </c>
      <c r="D18" s="116" t="s">
        <v>286</v>
      </c>
      <c r="E18" s="116" t="s">
        <v>285</v>
      </c>
    </row>
    <row r="19" spans="1:5">
      <c r="A19" s="117" t="s">
        <v>77</v>
      </c>
      <c r="B19" s="117" t="s">
        <v>626</v>
      </c>
      <c r="C19" s="117" t="s">
        <v>323</v>
      </c>
      <c r="D19" s="117" t="s">
        <v>286</v>
      </c>
      <c r="E19" s="117" t="s">
        <v>285</v>
      </c>
    </row>
    <row r="20" spans="1:5">
      <c r="A20" s="116" t="s">
        <v>79</v>
      </c>
      <c r="B20" s="116" t="s">
        <v>80</v>
      </c>
      <c r="C20" s="116" t="s">
        <v>324</v>
      </c>
      <c r="D20" s="116" t="s">
        <v>286</v>
      </c>
      <c r="E20" s="116" t="s">
        <v>285</v>
      </c>
    </row>
    <row r="21" spans="1:5">
      <c r="A21" s="117" t="s">
        <v>81</v>
      </c>
      <c r="B21" s="117" t="s">
        <v>627</v>
      </c>
      <c r="C21" s="117" t="s">
        <v>325</v>
      </c>
      <c r="D21" s="117" t="s">
        <v>286</v>
      </c>
      <c r="E21" s="117" t="s">
        <v>285</v>
      </c>
    </row>
    <row r="22" spans="1:5">
      <c r="A22" s="116" t="s">
        <v>82</v>
      </c>
      <c r="B22" s="116" t="s">
        <v>628</v>
      </c>
      <c r="C22" s="116" t="s">
        <v>326</v>
      </c>
      <c r="D22" s="116" t="s">
        <v>286</v>
      </c>
      <c r="E22" s="116" t="s">
        <v>285</v>
      </c>
    </row>
    <row r="23" spans="1:5">
      <c r="A23" s="117" t="s">
        <v>83</v>
      </c>
      <c r="B23" s="117" t="s">
        <v>84</v>
      </c>
      <c r="C23" s="117" t="s">
        <v>327</v>
      </c>
      <c r="D23" s="117" t="s">
        <v>286</v>
      </c>
      <c r="E23" s="117" t="s">
        <v>285</v>
      </c>
    </row>
    <row r="24" spans="1:5">
      <c r="A24" s="116" t="s">
        <v>85</v>
      </c>
      <c r="B24" s="116" t="s">
        <v>86</v>
      </c>
      <c r="C24" s="116" t="s">
        <v>328</v>
      </c>
      <c r="D24" s="116" t="s">
        <v>286</v>
      </c>
      <c r="E24" s="116" t="s">
        <v>285</v>
      </c>
    </row>
    <row r="25" spans="1:5">
      <c r="A25" s="117" t="s">
        <v>87</v>
      </c>
      <c r="B25" s="117" t="s">
        <v>629</v>
      </c>
      <c r="C25" s="117" t="s">
        <v>329</v>
      </c>
      <c r="D25" s="117" t="s">
        <v>286</v>
      </c>
      <c r="E25" s="117" t="s">
        <v>285</v>
      </c>
    </row>
    <row r="26" spans="1:5">
      <c r="A26" s="116" t="s">
        <v>89</v>
      </c>
      <c r="B26" s="116" t="s">
        <v>630</v>
      </c>
      <c r="C26" s="116" t="s">
        <v>330</v>
      </c>
      <c r="D26" s="116" t="s">
        <v>286</v>
      </c>
      <c r="E26" s="116" t="s">
        <v>285</v>
      </c>
    </row>
    <row r="27" spans="1:5">
      <c r="A27" s="117" t="s">
        <v>90</v>
      </c>
      <c r="B27" s="117" t="s">
        <v>91</v>
      </c>
      <c r="C27" s="117" t="s">
        <v>331</v>
      </c>
      <c r="D27" s="117" t="s">
        <v>286</v>
      </c>
      <c r="E27" s="117" t="s">
        <v>285</v>
      </c>
    </row>
    <row r="28" spans="1:5">
      <c r="A28" s="116" t="s">
        <v>92</v>
      </c>
      <c r="B28" s="116" t="s">
        <v>93</v>
      </c>
      <c r="C28" s="116" t="s">
        <v>332</v>
      </c>
      <c r="D28" s="116" t="s">
        <v>286</v>
      </c>
      <c r="E28" s="116" t="s">
        <v>285</v>
      </c>
    </row>
    <row r="29" spans="1:5">
      <c r="A29" s="117" t="s">
        <v>94</v>
      </c>
      <c r="B29" s="117" t="s">
        <v>95</v>
      </c>
      <c r="C29" s="117" t="s">
        <v>333</v>
      </c>
      <c r="D29" s="117" t="s">
        <v>286</v>
      </c>
      <c r="E29" s="117" t="s">
        <v>285</v>
      </c>
    </row>
    <row r="30" spans="1:5">
      <c r="A30" s="116" t="s">
        <v>96</v>
      </c>
      <c r="B30" s="116" t="s">
        <v>97</v>
      </c>
      <c r="C30" s="116" t="s">
        <v>334</v>
      </c>
      <c r="D30" s="116" t="s">
        <v>286</v>
      </c>
      <c r="E30" s="116" t="s">
        <v>285</v>
      </c>
    </row>
    <row r="31" spans="1:5">
      <c r="A31" s="117" t="s">
        <v>98</v>
      </c>
      <c r="B31" s="117" t="s">
        <v>99</v>
      </c>
      <c r="C31" s="117" t="s">
        <v>335</v>
      </c>
      <c r="D31" s="117" t="s">
        <v>286</v>
      </c>
      <c r="E31" s="117" t="s">
        <v>285</v>
      </c>
    </row>
    <row r="32" spans="1:5">
      <c r="A32" s="116" t="s">
        <v>100</v>
      </c>
      <c r="B32" s="116" t="s">
        <v>631</v>
      </c>
      <c r="C32" s="116" t="s">
        <v>336</v>
      </c>
      <c r="D32" s="116" t="s">
        <v>286</v>
      </c>
      <c r="E32" s="116" t="s">
        <v>285</v>
      </c>
    </row>
    <row r="33" spans="1:5">
      <c r="A33" s="117" t="s">
        <v>102</v>
      </c>
      <c r="B33" s="117" t="s">
        <v>632</v>
      </c>
      <c r="C33" s="117" t="s">
        <v>337</v>
      </c>
      <c r="D33" s="117" t="s">
        <v>286</v>
      </c>
      <c r="E33" s="117" t="s">
        <v>285</v>
      </c>
    </row>
    <row r="34" spans="1:5">
      <c r="A34" s="116" t="s">
        <v>103</v>
      </c>
      <c r="B34" s="116" t="s">
        <v>633</v>
      </c>
      <c r="C34" s="116" t="s">
        <v>338</v>
      </c>
      <c r="D34" s="116" t="s">
        <v>286</v>
      </c>
      <c r="E34" s="116" t="s">
        <v>285</v>
      </c>
    </row>
    <row r="35" spans="1:5">
      <c r="A35" s="117" t="s">
        <v>105</v>
      </c>
      <c r="B35" s="117" t="s">
        <v>106</v>
      </c>
      <c r="C35" s="117" t="s">
        <v>339</v>
      </c>
      <c r="D35" s="117" t="s">
        <v>286</v>
      </c>
      <c r="E35" s="117" t="s">
        <v>285</v>
      </c>
    </row>
    <row r="36" spans="1:5">
      <c r="A36" s="116" t="s">
        <v>107</v>
      </c>
      <c r="B36" s="116" t="s">
        <v>634</v>
      </c>
      <c r="C36" s="116" t="s">
        <v>340</v>
      </c>
      <c r="D36" s="116" t="s">
        <v>286</v>
      </c>
      <c r="E36" s="116" t="s">
        <v>285</v>
      </c>
    </row>
    <row r="37" spans="1:5">
      <c r="A37" s="117" t="s">
        <v>108</v>
      </c>
      <c r="B37" s="117" t="s">
        <v>109</v>
      </c>
      <c r="C37" s="117" t="s">
        <v>341</v>
      </c>
      <c r="D37" s="117" t="s">
        <v>286</v>
      </c>
      <c r="E37" s="117" t="s">
        <v>285</v>
      </c>
    </row>
    <row r="38" spans="1:5">
      <c r="A38" s="116" t="s">
        <v>110</v>
      </c>
      <c r="B38" s="116" t="s">
        <v>111</v>
      </c>
      <c r="C38" s="116" t="s">
        <v>342</v>
      </c>
      <c r="D38" s="116" t="s">
        <v>286</v>
      </c>
      <c r="E38" s="116" t="s">
        <v>285</v>
      </c>
    </row>
    <row r="39" spans="1:5">
      <c r="A39" s="117" t="s">
        <v>112</v>
      </c>
      <c r="B39" s="117" t="s">
        <v>113</v>
      </c>
      <c r="C39" s="117" t="s">
        <v>343</v>
      </c>
      <c r="D39" s="117" t="s">
        <v>286</v>
      </c>
      <c r="E39" s="117" t="s">
        <v>285</v>
      </c>
    </row>
    <row r="40" spans="1:5">
      <c r="A40" s="116" t="s">
        <v>114</v>
      </c>
      <c r="B40" s="116" t="s">
        <v>115</v>
      </c>
      <c r="C40" s="116" t="s">
        <v>344</v>
      </c>
      <c r="D40" s="116" t="s">
        <v>286</v>
      </c>
      <c r="E40" s="116" t="s">
        <v>285</v>
      </c>
    </row>
    <row r="41" spans="1:5">
      <c r="A41" s="117" t="s">
        <v>116</v>
      </c>
      <c r="B41" s="117" t="s">
        <v>117</v>
      </c>
      <c r="C41" s="117" t="s">
        <v>345</v>
      </c>
      <c r="D41" s="117" t="s">
        <v>286</v>
      </c>
      <c r="E41" s="117" t="s">
        <v>285</v>
      </c>
    </row>
    <row r="42" spans="1:5">
      <c r="A42" s="116" t="s">
        <v>118</v>
      </c>
      <c r="B42" s="116" t="s">
        <v>119</v>
      </c>
      <c r="C42" s="116" t="s">
        <v>346</v>
      </c>
      <c r="D42" s="116" t="s">
        <v>286</v>
      </c>
      <c r="E42" s="116" t="s">
        <v>285</v>
      </c>
    </row>
    <row r="43" spans="1:5">
      <c r="A43" s="117" t="s">
        <v>120</v>
      </c>
      <c r="B43" s="117" t="s">
        <v>121</v>
      </c>
      <c r="C43" s="117" t="s">
        <v>347</v>
      </c>
      <c r="D43" s="117" t="s">
        <v>286</v>
      </c>
      <c r="E43" s="117" t="s">
        <v>285</v>
      </c>
    </row>
    <row r="44" spans="1:5">
      <c r="A44" s="116" t="s">
        <v>122</v>
      </c>
      <c r="B44" s="116" t="s">
        <v>123</v>
      </c>
      <c r="C44" s="116" t="s">
        <v>348</v>
      </c>
      <c r="D44" s="116" t="s">
        <v>286</v>
      </c>
      <c r="E44" s="116" t="s">
        <v>285</v>
      </c>
    </row>
    <row r="45" spans="1:5">
      <c r="A45" s="117" t="s">
        <v>124</v>
      </c>
      <c r="B45" s="117" t="s">
        <v>125</v>
      </c>
      <c r="C45" s="117" t="s">
        <v>349</v>
      </c>
      <c r="D45" s="117" t="s">
        <v>286</v>
      </c>
      <c r="E45" s="117" t="s">
        <v>285</v>
      </c>
    </row>
    <row r="46" spans="1:5">
      <c r="A46" s="116" t="s">
        <v>126</v>
      </c>
      <c r="B46" s="116" t="s">
        <v>127</v>
      </c>
      <c r="C46" s="116" t="s">
        <v>350</v>
      </c>
      <c r="D46" s="116" t="s">
        <v>286</v>
      </c>
      <c r="E46" s="116" t="s">
        <v>285</v>
      </c>
    </row>
    <row r="47" spans="1:5">
      <c r="A47" s="117" t="s">
        <v>128</v>
      </c>
      <c r="B47" s="117" t="s">
        <v>635</v>
      </c>
      <c r="C47" s="117" t="s">
        <v>351</v>
      </c>
      <c r="D47" s="117" t="s">
        <v>286</v>
      </c>
      <c r="E47" s="117" t="s">
        <v>285</v>
      </c>
    </row>
    <row r="48" spans="1:5">
      <c r="A48" s="116" t="s">
        <v>130</v>
      </c>
      <c r="B48" s="116" t="s">
        <v>636</v>
      </c>
      <c r="C48" s="116" t="s">
        <v>352</v>
      </c>
      <c r="D48" s="116" t="s">
        <v>286</v>
      </c>
      <c r="E48" s="116" t="s">
        <v>285</v>
      </c>
    </row>
    <row r="49" spans="1:5">
      <c r="A49" s="117" t="s">
        <v>131</v>
      </c>
      <c r="B49" s="117" t="s">
        <v>132</v>
      </c>
      <c r="C49" s="117" t="s">
        <v>353</v>
      </c>
      <c r="D49" s="117" t="s">
        <v>286</v>
      </c>
      <c r="E49" s="117" t="s">
        <v>285</v>
      </c>
    </row>
    <row r="50" spans="1:5">
      <c r="A50" s="116" t="s">
        <v>133</v>
      </c>
      <c r="B50" s="116" t="s">
        <v>637</v>
      </c>
      <c r="C50" s="116" t="s">
        <v>354</v>
      </c>
      <c r="D50" s="116" t="s">
        <v>286</v>
      </c>
      <c r="E50" s="116" t="s">
        <v>285</v>
      </c>
    </row>
    <row r="51" spans="1:5">
      <c r="A51" s="117" t="s">
        <v>135</v>
      </c>
      <c r="B51" s="117" t="s">
        <v>638</v>
      </c>
      <c r="C51" s="117" t="s">
        <v>355</v>
      </c>
      <c r="D51" s="117" t="s">
        <v>286</v>
      </c>
      <c r="E51" s="117" t="s">
        <v>285</v>
      </c>
    </row>
    <row r="52" spans="1:5">
      <c r="A52" s="116" t="s">
        <v>136</v>
      </c>
      <c r="B52" s="116" t="s">
        <v>137</v>
      </c>
      <c r="C52" s="116" t="s">
        <v>356</v>
      </c>
      <c r="D52" s="116" t="s">
        <v>286</v>
      </c>
      <c r="E52" s="116" t="s">
        <v>285</v>
      </c>
    </row>
    <row r="53" spans="1:5">
      <c r="A53" s="117" t="s">
        <v>138</v>
      </c>
      <c r="B53" s="117" t="s">
        <v>139</v>
      </c>
      <c r="C53" s="117" t="s">
        <v>357</v>
      </c>
      <c r="D53" s="117" t="s">
        <v>286</v>
      </c>
      <c r="E53" s="117" t="s">
        <v>285</v>
      </c>
    </row>
    <row r="54" spans="1:5">
      <c r="A54" s="116" t="s">
        <v>140</v>
      </c>
      <c r="B54" s="116" t="s">
        <v>141</v>
      </c>
      <c r="C54" s="116" t="s">
        <v>358</v>
      </c>
      <c r="D54" s="116" t="s">
        <v>286</v>
      </c>
      <c r="E54" s="116" t="s">
        <v>285</v>
      </c>
    </row>
    <row r="55" spans="1:5">
      <c r="A55" s="117" t="s">
        <v>142</v>
      </c>
      <c r="B55" s="117" t="s">
        <v>143</v>
      </c>
      <c r="C55" s="117" t="s">
        <v>359</v>
      </c>
      <c r="D55" s="117" t="s">
        <v>286</v>
      </c>
      <c r="E55" s="117" t="s">
        <v>285</v>
      </c>
    </row>
    <row r="56" spans="1:5">
      <c r="A56" s="116" t="s">
        <v>144</v>
      </c>
      <c r="B56" s="116" t="s">
        <v>145</v>
      </c>
      <c r="C56" s="116" t="s">
        <v>360</v>
      </c>
      <c r="D56" s="116" t="s">
        <v>286</v>
      </c>
      <c r="E56" s="116" t="s">
        <v>285</v>
      </c>
    </row>
    <row r="57" spans="1:5">
      <c r="A57" s="117" t="s">
        <v>146</v>
      </c>
      <c r="B57" s="117" t="s">
        <v>147</v>
      </c>
      <c r="C57" s="117" t="s">
        <v>361</v>
      </c>
      <c r="D57" s="117" t="s">
        <v>286</v>
      </c>
      <c r="E57" s="117" t="s">
        <v>285</v>
      </c>
    </row>
    <row r="58" spans="1:5">
      <c r="A58" s="116" t="s">
        <v>148</v>
      </c>
      <c r="B58" s="116" t="s">
        <v>149</v>
      </c>
      <c r="C58" s="116" t="s">
        <v>362</v>
      </c>
      <c r="D58" s="116" t="s">
        <v>286</v>
      </c>
      <c r="E58" s="116" t="s">
        <v>285</v>
      </c>
    </row>
    <row r="59" spans="1:5">
      <c r="A59" s="117" t="s">
        <v>150</v>
      </c>
      <c r="B59" s="117" t="s">
        <v>151</v>
      </c>
      <c r="C59" s="117" t="s">
        <v>363</v>
      </c>
      <c r="D59" s="117" t="s">
        <v>286</v>
      </c>
      <c r="E59" s="117" t="s">
        <v>285</v>
      </c>
    </row>
    <row r="60" spans="1:5">
      <c r="A60" s="116" t="s">
        <v>152</v>
      </c>
      <c r="B60" s="116" t="s">
        <v>153</v>
      </c>
      <c r="C60" s="116" t="s">
        <v>364</v>
      </c>
      <c r="D60" s="116" t="s">
        <v>286</v>
      </c>
      <c r="E60" s="116" t="s">
        <v>285</v>
      </c>
    </row>
    <row r="61" spans="1:5">
      <c r="A61" s="117" t="s">
        <v>154</v>
      </c>
      <c r="B61" s="117" t="s">
        <v>155</v>
      </c>
      <c r="C61" s="117" t="s">
        <v>365</v>
      </c>
      <c r="D61" s="117" t="s">
        <v>286</v>
      </c>
      <c r="E61" s="117" t="s">
        <v>285</v>
      </c>
    </row>
    <row r="62" spans="1:5">
      <c r="A62" s="116" t="s">
        <v>156</v>
      </c>
      <c r="B62" s="116" t="s">
        <v>157</v>
      </c>
      <c r="C62" s="116" t="s">
        <v>366</v>
      </c>
      <c r="D62" s="116" t="s">
        <v>286</v>
      </c>
      <c r="E62" s="116" t="s">
        <v>285</v>
      </c>
    </row>
    <row r="63" spans="1:5">
      <c r="A63" s="117" t="s">
        <v>158</v>
      </c>
      <c r="B63" s="117" t="s">
        <v>159</v>
      </c>
      <c r="C63" s="117" t="s">
        <v>367</v>
      </c>
      <c r="D63" s="117" t="s">
        <v>286</v>
      </c>
      <c r="E63" s="117" t="s">
        <v>285</v>
      </c>
    </row>
    <row r="64" spans="1:5">
      <c r="A64" s="116" t="s">
        <v>160</v>
      </c>
      <c r="B64" s="116" t="s">
        <v>161</v>
      </c>
      <c r="C64" s="116" t="s">
        <v>368</v>
      </c>
      <c r="D64" s="116" t="s">
        <v>286</v>
      </c>
      <c r="E64" s="116" t="s">
        <v>285</v>
      </c>
    </row>
    <row r="65" spans="1:5">
      <c r="A65" s="117" t="s">
        <v>162</v>
      </c>
      <c r="B65" s="117" t="s">
        <v>163</v>
      </c>
      <c r="C65" s="117" t="s">
        <v>369</v>
      </c>
      <c r="D65" s="117" t="s">
        <v>286</v>
      </c>
      <c r="E65" s="117" t="s">
        <v>285</v>
      </c>
    </row>
    <row r="66" spans="1:5">
      <c r="A66" s="116" t="s">
        <v>164</v>
      </c>
      <c r="B66" s="116" t="s">
        <v>165</v>
      </c>
      <c r="C66" s="116" t="s">
        <v>370</v>
      </c>
      <c r="D66" s="116" t="s">
        <v>286</v>
      </c>
      <c r="E66" s="116" t="s">
        <v>285</v>
      </c>
    </row>
    <row r="67" spans="1:5">
      <c r="A67" s="117" t="s">
        <v>166</v>
      </c>
      <c r="B67" s="117" t="s">
        <v>167</v>
      </c>
      <c r="C67" s="117" t="s">
        <v>371</v>
      </c>
      <c r="D67" s="117" t="s">
        <v>286</v>
      </c>
      <c r="E67" s="117" t="s">
        <v>285</v>
      </c>
    </row>
    <row r="68" spans="1:5">
      <c r="A68" s="116" t="s">
        <v>168</v>
      </c>
      <c r="B68" s="116" t="s">
        <v>169</v>
      </c>
      <c r="C68" s="116" t="s">
        <v>372</v>
      </c>
      <c r="D68" s="116" t="s">
        <v>286</v>
      </c>
      <c r="E68" s="116" t="s">
        <v>285</v>
      </c>
    </row>
    <row r="69" spans="1:5">
      <c r="A69" s="117" t="s">
        <v>170</v>
      </c>
      <c r="B69" s="117" t="s">
        <v>171</v>
      </c>
      <c r="C69" s="117" t="s">
        <v>373</v>
      </c>
      <c r="D69" s="117" t="s">
        <v>286</v>
      </c>
      <c r="E69" s="117" t="s">
        <v>285</v>
      </c>
    </row>
    <row r="70" spans="1:5">
      <c r="A70" s="116" t="s">
        <v>172</v>
      </c>
      <c r="B70" s="116" t="s">
        <v>173</v>
      </c>
      <c r="C70" s="116" t="s">
        <v>374</v>
      </c>
      <c r="D70" s="116" t="s">
        <v>286</v>
      </c>
      <c r="E70" s="116" t="s">
        <v>285</v>
      </c>
    </row>
    <row r="71" spans="1:5">
      <c r="A71" s="117" t="s">
        <v>174</v>
      </c>
      <c r="B71" s="117" t="s">
        <v>175</v>
      </c>
      <c r="C71" s="117" t="s">
        <v>375</v>
      </c>
      <c r="D71" s="117" t="s">
        <v>286</v>
      </c>
      <c r="E71" s="117" t="s">
        <v>285</v>
      </c>
    </row>
    <row r="72" spans="1:5">
      <c r="A72" s="116" t="s">
        <v>176</v>
      </c>
      <c r="B72" s="116" t="s">
        <v>177</v>
      </c>
      <c r="C72" s="116" t="s">
        <v>376</v>
      </c>
      <c r="D72" s="116" t="s">
        <v>286</v>
      </c>
      <c r="E72" s="116" t="s">
        <v>285</v>
      </c>
    </row>
    <row r="73" spans="1:5">
      <c r="A73" s="117" t="s">
        <v>178</v>
      </c>
      <c r="B73" s="117" t="s">
        <v>179</v>
      </c>
      <c r="C73" s="117" t="s">
        <v>377</v>
      </c>
      <c r="D73" s="117" t="s">
        <v>286</v>
      </c>
      <c r="E73" s="117" t="s">
        <v>285</v>
      </c>
    </row>
    <row r="74" spans="1:5">
      <c r="A74" s="116" t="s">
        <v>180</v>
      </c>
      <c r="B74" s="116" t="s">
        <v>181</v>
      </c>
      <c r="C74" s="116" t="s">
        <v>378</v>
      </c>
      <c r="D74" s="116" t="s">
        <v>286</v>
      </c>
      <c r="E74" s="116" t="s">
        <v>285</v>
      </c>
    </row>
    <row r="75" spans="1:5">
      <c r="A75" s="117" t="s">
        <v>182</v>
      </c>
      <c r="B75" s="117" t="s">
        <v>183</v>
      </c>
      <c r="C75" s="117" t="s">
        <v>379</v>
      </c>
      <c r="D75" s="117" t="s">
        <v>286</v>
      </c>
      <c r="E75" s="117" t="s">
        <v>285</v>
      </c>
    </row>
    <row r="76" spans="1:5">
      <c r="A76" s="116" t="s">
        <v>184</v>
      </c>
      <c r="B76" s="116" t="s">
        <v>185</v>
      </c>
      <c r="C76" s="116" t="s">
        <v>380</v>
      </c>
      <c r="D76" s="116" t="s">
        <v>286</v>
      </c>
      <c r="E76" s="116" t="s">
        <v>285</v>
      </c>
    </row>
    <row r="77" spans="1:5">
      <c r="A77" s="117" t="s">
        <v>186</v>
      </c>
      <c r="B77" s="117" t="s">
        <v>187</v>
      </c>
      <c r="C77" s="117" t="s">
        <v>381</v>
      </c>
      <c r="D77" s="117" t="s">
        <v>286</v>
      </c>
      <c r="E77" s="117" t="s">
        <v>285</v>
      </c>
    </row>
    <row r="78" spans="1:5">
      <c r="A78" s="116" t="s">
        <v>188</v>
      </c>
      <c r="B78" s="116" t="s">
        <v>189</v>
      </c>
      <c r="C78" s="116" t="s">
        <v>382</v>
      </c>
      <c r="D78" s="116" t="s">
        <v>286</v>
      </c>
      <c r="E78" s="116" t="s">
        <v>285</v>
      </c>
    </row>
    <row r="79" spans="1:5">
      <c r="A79" s="117" t="s">
        <v>190</v>
      </c>
      <c r="B79" s="117" t="s">
        <v>191</v>
      </c>
      <c r="C79" s="117" t="s">
        <v>383</v>
      </c>
      <c r="D79" s="117" t="s">
        <v>286</v>
      </c>
      <c r="E79" s="117" t="s">
        <v>285</v>
      </c>
    </row>
    <row r="80" spans="1:5">
      <c r="A80" s="116" t="s">
        <v>192</v>
      </c>
      <c r="B80" s="116" t="s">
        <v>193</v>
      </c>
      <c r="C80" s="116" t="s">
        <v>384</v>
      </c>
      <c r="D80" s="116" t="s">
        <v>286</v>
      </c>
      <c r="E80" s="116" t="s">
        <v>285</v>
      </c>
    </row>
    <row r="81" spans="1:5">
      <c r="A81" s="117" t="s">
        <v>194</v>
      </c>
      <c r="B81" s="117" t="s">
        <v>195</v>
      </c>
      <c r="C81" s="117" t="s">
        <v>385</v>
      </c>
      <c r="D81" s="117" t="s">
        <v>286</v>
      </c>
      <c r="E81" s="117" t="s">
        <v>285</v>
      </c>
    </row>
    <row r="82" spans="1:5">
      <c r="A82" s="116" t="s">
        <v>196</v>
      </c>
      <c r="B82" s="116" t="s">
        <v>197</v>
      </c>
      <c r="C82" s="116" t="s">
        <v>386</v>
      </c>
      <c r="D82" s="116" t="s">
        <v>286</v>
      </c>
      <c r="E82" s="116" t="s">
        <v>285</v>
      </c>
    </row>
    <row r="83" spans="1:5">
      <c r="A83" s="117" t="s">
        <v>198</v>
      </c>
      <c r="B83" s="117" t="s">
        <v>199</v>
      </c>
      <c r="C83" s="117" t="s">
        <v>387</v>
      </c>
      <c r="D83" s="117" t="s">
        <v>286</v>
      </c>
      <c r="E83" s="117" t="s">
        <v>285</v>
      </c>
    </row>
    <row r="84" spans="1:5">
      <c r="A84" s="116" t="s">
        <v>200</v>
      </c>
      <c r="B84" s="116" t="s">
        <v>201</v>
      </c>
      <c r="C84" s="116" t="s">
        <v>388</v>
      </c>
      <c r="D84" s="116" t="s">
        <v>286</v>
      </c>
      <c r="E84" s="116" t="s">
        <v>285</v>
      </c>
    </row>
    <row r="85" spans="1:5">
      <c r="A85" s="117" t="s">
        <v>202</v>
      </c>
      <c r="B85" s="117" t="s">
        <v>203</v>
      </c>
      <c r="C85" s="117" t="s">
        <v>389</v>
      </c>
      <c r="D85" s="117" t="s">
        <v>286</v>
      </c>
      <c r="E85" s="117" t="s">
        <v>285</v>
      </c>
    </row>
    <row r="86" spans="1:5">
      <c r="A86" s="116" t="s">
        <v>204</v>
      </c>
      <c r="B86" s="116" t="s">
        <v>205</v>
      </c>
      <c r="C86" s="116" t="s">
        <v>390</v>
      </c>
      <c r="D86" s="116" t="s">
        <v>286</v>
      </c>
      <c r="E86" s="116" t="s">
        <v>285</v>
      </c>
    </row>
    <row r="87" spans="1:5">
      <c r="A87" s="117" t="s">
        <v>206</v>
      </c>
      <c r="B87" s="117" t="s">
        <v>639</v>
      </c>
      <c r="C87" s="117" t="s">
        <v>391</v>
      </c>
      <c r="D87" s="117" t="s">
        <v>286</v>
      </c>
      <c r="E87" s="117" t="s">
        <v>285</v>
      </c>
    </row>
    <row r="88" spans="1:5">
      <c r="A88" s="116" t="s">
        <v>208</v>
      </c>
      <c r="B88" s="116" t="s">
        <v>640</v>
      </c>
      <c r="C88" s="116" t="s">
        <v>392</v>
      </c>
      <c r="D88" s="116" t="s">
        <v>286</v>
      </c>
      <c r="E88" s="116" t="s">
        <v>285</v>
      </c>
    </row>
    <row r="89" spans="1:5">
      <c r="A89" s="117" t="s">
        <v>209</v>
      </c>
      <c r="B89" s="117" t="s">
        <v>210</v>
      </c>
      <c r="C89" s="117" t="s">
        <v>393</v>
      </c>
      <c r="D89" s="117" t="s">
        <v>286</v>
      </c>
      <c r="E89" s="117" t="s">
        <v>285</v>
      </c>
    </row>
    <row r="90" spans="1:5">
      <c r="A90" s="116" t="s">
        <v>211</v>
      </c>
      <c r="B90" s="116" t="s">
        <v>641</v>
      </c>
      <c r="C90" s="116" t="s">
        <v>394</v>
      </c>
      <c r="D90" s="116" t="s">
        <v>286</v>
      </c>
      <c r="E90" s="116" t="s">
        <v>285</v>
      </c>
    </row>
    <row r="91" spans="1:5">
      <c r="A91" s="117" t="s">
        <v>212</v>
      </c>
      <c r="B91" s="117" t="s">
        <v>213</v>
      </c>
      <c r="C91" s="117" t="s">
        <v>395</v>
      </c>
      <c r="D91" s="117" t="s">
        <v>286</v>
      </c>
      <c r="E91" s="117" t="s">
        <v>285</v>
      </c>
    </row>
    <row r="92" spans="1:5">
      <c r="A92" s="116" t="s">
        <v>396</v>
      </c>
      <c r="B92" s="116" t="s">
        <v>397</v>
      </c>
      <c r="C92" s="116" t="s">
        <v>397</v>
      </c>
      <c r="D92" s="116" t="s">
        <v>286</v>
      </c>
      <c r="E92" s="116" t="s">
        <v>286</v>
      </c>
    </row>
    <row r="93" spans="1:5">
      <c r="A93" s="117" t="s">
        <v>398</v>
      </c>
      <c r="B93" s="117" t="s">
        <v>399</v>
      </c>
      <c r="C93" s="117" t="s">
        <v>399</v>
      </c>
      <c r="D93" s="117" t="s">
        <v>286</v>
      </c>
      <c r="E93" s="117" t="s">
        <v>286</v>
      </c>
    </row>
    <row r="94" spans="1:5">
      <c r="A94" s="116" t="s">
        <v>400</v>
      </c>
      <c r="B94" s="116" t="s">
        <v>401</v>
      </c>
      <c r="C94" s="116" t="s">
        <v>401</v>
      </c>
      <c r="D94" s="116" t="s">
        <v>286</v>
      </c>
      <c r="E94" s="116" t="s">
        <v>286</v>
      </c>
    </row>
    <row r="95" spans="1:5">
      <c r="A95" s="117" t="s">
        <v>402</v>
      </c>
      <c r="B95" s="117" t="s">
        <v>403</v>
      </c>
      <c r="C95" s="117" t="s">
        <v>403</v>
      </c>
      <c r="D95" s="117" t="s">
        <v>286</v>
      </c>
      <c r="E95" s="117" t="s">
        <v>286</v>
      </c>
    </row>
    <row r="96" spans="1:5">
      <c r="A96" s="116" t="s">
        <v>404</v>
      </c>
      <c r="B96" s="116" t="s">
        <v>405</v>
      </c>
      <c r="C96" s="116" t="s">
        <v>405</v>
      </c>
      <c r="D96" s="116" t="s">
        <v>286</v>
      </c>
      <c r="E96" s="116" t="s">
        <v>286</v>
      </c>
    </row>
    <row r="97" spans="1:5">
      <c r="A97" s="117" t="s">
        <v>406</v>
      </c>
      <c r="B97" s="117" t="s">
        <v>407</v>
      </c>
      <c r="C97" s="117" t="s">
        <v>407</v>
      </c>
      <c r="D97" s="117" t="s">
        <v>286</v>
      </c>
      <c r="E97" s="117" t="s">
        <v>286</v>
      </c>
    </row>
    <row r="98" spans="1:5">
      <c r="A98" s="116" t="s">
        <v>408</v>
      </c>
      <c r="B98" s="116" t="s">
        <v>409</v>
      </c>
      <c r="C98" s="116" t="s">
        <v>409</v>
      </c>
      <c r="D98" s="116" t="s">
        <v>286</v>
      </c>
      <c r="E98" s="116" t="s">
        <v>286</v>
      </c>
    </row>
    <row r="99" spans="1:5">
      <c r="A99" s="117" t="s">
        <v>410</v>
      </c>
      <c r="B99" s="117" t="s">
        <v>411</v>
      </c>
      <c r="C99" s="117" t="s">
        <v>411</v>
      </c>
      <c r="D99" s="117" t="s">
        <v>286</v>
      </c>
      <c r="E99" s="117" t="s">
        <v>286</v>
      </c>
    </row>
    <row r="100" spans="1:5">
      <c r="A100" s="116" t="s">
        <v>412</v>
      </c>
      <c r="B100" s="116" t="s">
        <v>413</v>
      </c>
      <c r="C100" s="116" t="s">
        <v>413</v>
      </c>
      <c r="D100" s="116" t="s">
        <v>286</v>
      </c>
      <c r="E100" s="116" t="s">
        <v>286</v>
      </c>
    </row>
    <row r="101" spans="1:5">
      <c r="A101" s="117" t="s">
        <v>414</v>
      </c>
      <c r="B101" s="117" t="s">
        <v>415</v>
      </c>
      <c r="C101" s="117" t="s">
        <v>415</v>
      </c>
      <c r="D101" s="117" t="s">
        <v>286</v>
      </c>
      <c r="E101" s="117" t="s">
        <v>286</v>
      </c>
    </row>
    <row r="102" spans="1:5">
      <c r="A102" s="116" t="s">
        <v>416</v>
      </c>
      <c r="B102" s="116" t="s">
        <v>417</v>
      </c>
      <c r="C102" s="116" t="s">
        <v>417</v>
      </c>
      <c r="D102" s="116" t="s">
        <v>286</v>
      </c>
      <c r="E102" s="116" t="s">
        <v>286</v>
      </c>
    </row>
    <row r="103" spans="1:5">
      <c r="A103" s="117" t="s">
        <v>418</v>
      </c>
      <c r="B103" s="117" t="s">
        <v>419</v>
      </c>
      <c r="C103" s="117" t="s">
        <v>419</v>
      </c>
      <c r="D103" s="117" t="s">
        <v>286</v>
      </c>
      <c r="E103" s="117" t="s">
        <v>286</v>
      </c>
    </row>
    <row r="104" spans="1:5">
      <c r="A104" s="116" t="s">
        <v>420</v>
      </c>
      <c r="B104" s="116" t="s">
        <v>421</v>
      </c>
      <c r="C104" s="116" t="s">
        <v>421</v>
      </c>
      <c r="D104" s="116" t="s">
        <v>286</v>
      </c>
      <c r="E104" s="116" t="s">
        <v>286</v>
      </c>
    </row>
    <row r="105" spans="1:5">
      <c r="A105" s="117" t="s">
        <v>422</v>
      </c>
      <c r="B105" s="117" t="s">
        <v>423</v>
      </c>
      <c r="C105" s="117" t="s">
        <v>423</v>
      </c>
      <c r="D105" s="117" t="s">
        <v>286</v>
      </c>
      <c r="E105" s="117" t="s">
        <v>286</v>
      </c>
    </row>
    <row r="106" spans="1:5">
      <c r="A106" s="116" t="s">
        <v>424</v>
      </c>
      <c r="B106" s="116" t="s">
        <v>425</v>
      </c>
      <c r="C106" s="116" t="s">
        <v>425</v>
      </c>
      <c r="D106" s="116" t="s">
        <v>286</v>
      </c>
      <c r="E106" s="116" t="s">
        <v>286</v>
      </c>
    </row>
    <row r="107" spans="1:5">
      <c r="A107" s="117" t="s">
        <v>426</v>
      </c>
      <c r="B107" s="117" t="s">
        <v>427</v>
      </c>
      <c r="C107" s="117" t="s">
        <v>427</v>
      </c>
      <c r="D107" s="117" t="s">
        <v>286</v>
      </c>
      <c r="E107" s="117" t="s">
        <v>286</v>
      </c>
    </row>
    <row r="108" spans="1:5">
      <c r="A108" s="116" t="s">
        <v>428</v>
      </c>
      <c r="B108" s="116" t="s">
        <v>429</v>
      </c>
      <c r="C108" s="116" t="s">
        <v>429</v>
      </c>
      <c r="D108" s="116" t="s">
        <v>286</v>
      </c>
      <c r="E108" s="116" t="s">
        <v>286</v>
      </c>
    </row>
    <row r="109" spans="1:5">
      <c r="A109" s="117" t="s">
        <v>430</v>
      </c>
      <c r="B109" s="117" t="s">
        <v>431</v>
      </c>
      <c r="C109" s="117" t="s">
        <v>431</v>
      </c>
      <c r="D109" s="117" t="s">
        <v>286</v>
      </c>
      <c r="E109" s="117" t="s">
        <v>286</v>
      </c>
    </row>
    <row r="110" spans="1:5">
      <c r="A110" s="116" t="s">
        <v>432</v>
      </c>
      <c r="B110" s="116" t="s">
        <v>433</v>
      </c>
      <c r="C110" s="116" t="s">
        <v>433</v>
      </c>
      <c r="D110" s="116" t="s">
        <v>286</v>
      </c>
      <c r="E110" s="116" t="s">
        <v>286</v>
      </c>
    </row>
    <row r="111" spans="1:5">
      <c r="A111" s="117" t="s">
        <v>434</v>
      </c>
      <c r="B111" s="117" t="s">
        <v>435</v>
      </c>
      <c r="C111" s="117" t="s">
        <v>435</v>
      </c>
      <c r="D111" s="117" t="s">
        <v>286</v>
      </c>
      <c r="E111" s="117" t="s">
        <v>286</v>
      </c>
    </row>
    <row r="112" spans="1:5">
      <c r="A112" s="116" t="s">
        <v>436</v>
      </c>
      <c r="B112" s="116" t="s">
        <v>437</v>
      </c>
      <c r="C112" s="116" t="s">
        <v>437</v>
      </c>
      <c r="D112" s="116" t="s">
        <v>286</v>
      </c>
      <c r="E112" s="116" t="s">
        <v>286</v>
      </c>
    </row>
    <row r="113" spans="1:5">
      <c r="A113" s="117" t="s">
        <v>438</v>
      </c>
      <c r="B113" s="117" t="s">
        <v>439</v>
      </c>
      <c r="C113" s="117" t="s">
        <v>439</v>
      </c>
      <c r="D113" s="117" t="s">
        <v>286</v>
      </c>
      <c r="E113" s="117" t="s">
        <v>286</v>
      </c>
    </row>
    <row r="114" spans="1:5">
      <c r="A114" s="116" t="s">
        <v>440</v>
      </c>
      <c r="B114" s="116" t="s">
        <v>441</v>
      </c>
      <c r="C114" s="116" t="s">
        <v>441</v>
      </c>
      <c r="D114" s="116" t="s">
        <v>286</v>
      </c>
      <c r="E114" s="116" t="s">
        <v>286</v>
      </c>
    </row>
    <row r="115" spans="1:5">
      <c r="A115" s="117" t="s">
        <v>442</v>
      </c>
      <c r="B115" s="117" t="s">
        <v>443</v>
      </c>
      <c r="C115" s="117" t="s">
        <v>443</v>
      </c>
      <c r="D115" s="117" t="s">
        <v>286</v>
      </c>
      <c r="E115" s="117" t="s">
        <v>286</v>
      </c>
    </row>
    <row r="116" spans="1:5">
      <c r="A116" s="116" t="s">
        <v>444</v>
      </c>
      <c r="B116" s="116" t="s">
        <v>445</v>
      </c>
      <c r="C116" s="116" t="s">
        <v>445</v>
      </c>
      <c r="D116" s="116" t="s">
        <v>286</v>
      </c>
      <c r="E116" s="116" t="s">
        <v>286</v>
      </c>
    </row>
    <row r="117" spans="1:5">
      <c r="A117" s="117" t="s">
        <v>446</v>
      </c>
      <c r="B117" s="117" t="s">
        <v>447</v>
      </c>
      <c r="C117" s="117" t="s">
        <v>447</v>
      </c>
      <c r="D117" s="117" t="s">
        <v>286</v>
      </c>
      <c r="E117" s="117" t="s">
        <v>286</v>
      </c>
    </row>
    <row r="118" spans="1:5">
      <c r="A118" s="116" t="s">
        <v>448</v>
      </c>
      <c r="B118" s="116" t="s">
        <v>449</v>
      </c>
      <c r="C118" s="116" t="s">
        <v>449</v>
      </c>
      <c r="D118" s="116" t="s">
        <v>286</v>
      </c>
      <c r="E118" s="116" t="s">
        <v>286</v>
      </c>
    </row>
    <row r="119" spans="1:5">
      <c r="A119" s="117" t="s">
        <v>450</v>
      </c>
      <c r="B119" s="117" t="s">
        <v>451</v>
      </c>
      <c r="C119" s="117" t="s">
        <v>451</v>
      </c>
      <c r="D119" s="117" t="s">
        <v>286</v>
      </c>
      <c r="E119" s="117" t="s">
        <v>286</v>
      </c>
    </row>
    <row r="120" spans="1:5">
      <c r="A120" s="116" t="s">
        <v>452</v>
      </c>
      <c r="B120" s="116" t="s">
        <v>453</v>
      </c>
      <c r="C120" s="116" t="s">
        <v>453</v>
      </c>
      <c r="D120" s="116" t="s">
        <v>286</v>
      </c>
      <c r="E120" s="116" t="s">
        <v>286</v>
      </c>
    </row>
    <row r="121" spans="1:5">
      <c r="A121" s="117" t="s">
        <v>454</v>
      </c>
      <c r="B121" s="117" t="s">
        <v>455</v>
      </c>
      <c r="C121" s="117" t="s">
        <v>455</v>
      </c>
      <c r="D121" s="117" t="s">
        <v>286</v>
      </c>
      <c r="E121" s="117" t="s">
        <v>286</v>
      </c>
    </row>
    <row r="122" spans="1:5">
      <c r="A122" s="116" t="s">
        <v>456</v>
      </c>
      <c r="B122" s="116" t="s">
        <v>457</v>
      </c>
      <c r="C122" s="116" t="s">
        <v>457</v>
      </c>
      <c r="D122" s="116" t="s">
        <v>286</v>
      </c>
      <c r="E122" s="116" t="s">
        <v>286</v>
      </c>
    </row>
    <row r="123" spans="1:5">
      <c r="A123" s="117" t="s">
        <v>458</v>
      </c>
      <c r="B123" s="117" t="s">
        <v>459</v>
      </c>
      <c r="C123" s="117" t="s">
        <v>459</v>
      </c>
      <c r="D123" s="117" t="s">
        <v>286</v>
      </c>
      <c r="E123" s="117" t="s">
        <v>286</v>
      </c>
    </row>
    <row r="124" spans="1:5">
      <c r="A124" s="116" t="s">
        <v>460</v>
      </c>
      <c r="B124" s="116" t="s">
        <v>461</v>
      </c>
      <c r="C124" s="116" t="s">
        <v>461</v>
      </c>
      <c r="D124" s="116" t="s">
        <v>286</v>
      </c>
      <c r="E124" s="116" t="s">
        <v>286</v>
      </c>
    </row>
    <row r="125" spans="1:5">
      <c r="A125" s="117" t="s">
        <v>462</v>
      </c>
      <c r="B125" s="117" t="s">
        <v>463</v>
      </c>
      <c r="C125" s="117" t="s">
        <v>463</v>
      </c>
      <c r="D125" s="117" t="s">
        <v>286</v>
      </c>
      <c r="E125" s="117" t="s">
        <v>286</v>
      </c>
    </row>
    <row r="126" spans="1:5">
      <c r="A126" s="116" t="s">
        <v>464</v>
      </c>
      <c r="B126" s="116" t="s">
        <v>465</v>
      </c>
      <c r="C126" s="116" t="s">
        <v>465</v>
      </c>
      <c r="D126" s="116" t="s">
        <v>286</v>
      </c>
      <c r="E126" s="116" t="s">
        <v>286</v>
      </c>
    </row>
    <row r="127" spans="1:5">
      <c r="A127" s="117" t="s">
        <v>466</v>
      </c>
      <c r="B127" s="117" t="s">
        <v>467</v>
      </c>
      <c r="C127" s="117" t="s">
        <v>467</v>
      </c>
      <c r="D127" s="117" t="s">
        <v>286</v>
      </c>
      <c r="E127" s="117" t="s">
        <v>286</v>
      </c>
    </row>
    <row r="128" spans="1:5">
      <c r="A128" s="116" t="s">
        <v>468</v>
      </c>
      <c r="B128" s="116" t="s">
        <v>469</v>
      </c>
      <c r="C128" s="116" t="s">
        <v>469</v>
      </c>
      <c r="D128" s="116" t="s">
        <v>286</v>
      </c>
      <c r="E128" s="116" t="s">
        <v>286</v>
      </c>
    </row>
    <row r="129" spans="1:5">
      <c r="A129" s="117" t="s">
        <v>470</v>
      </c>
      <c r="B129" s="117" t="s">
        <v>471</v>
      </c>
      <c r="C129" s="117" t="s">
        <v>471</v>
      </c>
      <c r="D129" s="117" t="s">
        <v>286</v>
      </c>
      <c r="E129" s="117" t="s">
        <v>286</v>
      </c>
    </row>
    <row r="130" spans="1:5">
      <c r="A130" s="116" t="s">
        <v>472</v>
      </c>
      <c r="B130" s="116" t="s">
        <v>473</v>
      </c>
      <c r="C130" s="116" t="s">
        <v>473</v>
      </c>
      <c r="D130" s="116" t="s">
        <v>286</v>
      </c>
      <c r="E130" s="116" t="s">
        <v>286</v>
      </c>
    </row>
    <row r="131" spans="1:5">
      <c r="A131" s="117" t="s">
        <v>474</v>
      </c>
      <c r="B131" s="117" t="s">
        <v>475</v>
      </c>
      <c r="C131" s="117" t="s">
        <v>475</v>
      </c>
      <c r="D131" s="117" t="s">
        <v>286</v>
      </c>
      <c r="E131" s="117" t="s">
        <v>286</v>
      </c>
    </row>
    <row r="132" spans="1:5">
      <c r="A132" s="116" t="s">
        <v>476</v>
      </c>
      <c r="B132" s="116" t="s">
        <v>477</v>
      </c>
      <c r="C132" s="116" t="s">
        <v>477</v>
      </c>
      <c r="D132" s="116" t="s">
        <v>286</v>
      </c>
      <c r="E132" s="116" t="s">
        <v>286</v>
      </c>
    </row>
    <row r="133" spans="1:5">
      <c r="A133" s="117" t="s">
        <v>478</v>
      </c>
      <c r="B133" s="117" t="s">
        <v>479</v>
      </c>
      <c r="C133" s="117" t="s">
        <v>479</v>
      </c>
      <c r="D133" s="117" t="s">
        <v>286</v>
      </c>
      <c r="E133" s="117" t="s">
        <v>286</v>
      </c>
    </row>
    <row r="134" spans="1:5">
      <c r="A134" s="116" t="s">
        <v>480</v>
      </c>
      <c r="B134" s="116" t="s">
        <v>481</v>
      </c>
      <c r="C134" s="116" t="s">
        <v>481</v>
      </c>
      <c r="D134" s="116" t="s">
        <v>286</v>
      </c>
      <c r="E134" s="116" t="s">
        <v>286</v>
      </c>
    </row>
    <row r="135" spans="1:5">
      <c r="A135" s="117" t="s">
        <v>482</v>
      </c>
      <c r="B135" s="117" t="s">
        <v>483</v>
      </c>
      <c r="C135" s="117" t="s">
        <v>483</v>
      </c>
      <c r="D135" s="117" t="s">
        <v>286</v>
      </c>
      <c r="E135" s="117" t="s">
        <v>286</v>
      </c>
    </row>
    <row r="136" spans="1:5">
      <c r="A136" s="116" t="s">
        <v>484</v>
      </c>
      <c r="B136" s="116" t="s">
        <v>485</v>
      </c>
      <c r="C136" s="116" t="s">
        <v>485</v>
      </c>
      <c r="D136" s="116" t="s">
        <v>286</v>
      </c>
      <c r="E136" s="116" t="s">
        <v>286</v>
      </c>
    </row>
    <row r="137" spans="1:5">
      <c r="A137" s="117" t="s">
        <v>486</v>
      </c>
      <c r="B137" s="117" t="s">
        <v>487</v>
      </c>
      <c r="C137" s="117" t="s">
        <v>487</v>
      </c>
      <c r="D137" s="117" t="s">
        <v>286</v>
      </c>
      <c r="E137" s="117" t="s">
        <v>286</v>
      </c>
    </row>
    <row r="138" spans="1:5">
      <c r="A138" s="116" t="s">
        <v>488</v>
      </c>
      <c r="B138" s="116" t="s">
        <v>489</v>
      </c>
      <c r="C138" s="116" t="s">
        <v>489</v>
      </c>
      <c r="D138" s="116" t="s">
        <v>286</v>
      </c>
      <c r="E138" s="116" t="s">
        <v>286</v>
      </c>
    </row>
    <row r="139" spans="1:5">
      <c r="A139" s="117" t="s">
        <v>490</v>
      </c>
      <c r="B139" s="117" t="s">
        <v>491</v>
      </c>
      <c r="C139" s="117" t="s">
        <v>491</v>
      </c>
      <c r="D139" s="117" t="s">
        <v>286</v>
      </c>
      <c r="E139" s="117" t="s">
        <v>286</v>
      </c>
    </row>
    <row r="140" spans="1:5">
      <c r="A140" s="116" t="s">
        <v>492</v>
      </c>
      <c r="B140" s="116" t="s">
        <v>493</v>
      </c>
      <c r="C140" s="116" t="s">
        <v>493</v>
      </c>
      <c r="D140" s="116" t="s">
        <v>286</v>
      </c>
      <c r="E140" s="116" t="s">
        <v>286</v>
      </c>
    </row>
    <row r="141" spans="1:5">
      <c r="A141" s="117" t="s">
        <v>494</v>
      </c>
      <c r="B141" s="117" t="s">
        <v>495</v>
      </c>
      <c r="C141" s="117" t="s">
        <v>495</v>
      </c>
      <c r="D141" s="117" t="s">
        <v>286</v>
      </c>
      <c r="E141" s="117" t="s">
        <v>286</v>
      </c>
    </row>
    <row r="142" spans="1:5">
      <c r="A142" s="116" t="s">
        <v>496</v>
      </c>
      <c r="B142" s="116" t="s">
        <v>497</v>
      </c>
      <c r="C142" s="116" t="s">
        <v>497</v>
      </c>
      <c r="D142" s="116" t="s">
        <v>286</v>
      </c>
      <c r="E142" s="116" t="s">
        <v>286</v>
      </c>
    </row>
    <row r="143" spans="1:5">
      <c r="A143" s="117" t="s">
        <v>498</v>
      </c>
      <c r="B143" s="117" t="s">
        <v>499</v>
      </c>
      <c r="C143" s="117" t="s">
        <v>499</v>
      </c>
      <c r="D143" s="117" t="s">
        <v>286</v>
      </c>
      <c r="E143" s="117" t="s">
        <v>286</v>
      </c>
    </row>
    <row r="144" spans="1:5">
      <c r="A144" s="116" t="s">
        <v>500</v>
      </c>
      <c r="B144" s="116" t="s">
        <v>501</v>
      </c>
      <c r="C144" s="116" t="s">
        <v>501</v>
      </c>
      <c r="D144" s="116" t="s">
        <v>286</v>
      </c>
      <c r="E144" s="116" t="s">
        <v>286</v>
      </c>
    </row>
    <row r="145" spans="1:5">
      <c r="A145" s="117" t="s">
        <v>502</v>
      </c>
      <c r="B145" s="117" t="s">
        <v>503</v>
      </c>
      <c r="C145" s="117" t="s">
        <v>503</v>
      </c>
      <c r="D145" s="117" t="s">
        <v>286</v>
      </c>
      <c r="E145" s="117" t="s">
        <v>286</v>
      </c>
    </row>
    <row r="146" spans="1:5">
      <c r="A146" s="116" t="s">
        <v>504</v>
      </c>
      <c r="B146" s="116" t="s">
        <v>74</v>
      </c>
      <c r="C146" s="116" t="s">
        <v>74</v>
      </c>
      <c r="D146" s="116" t="s">
        <v>286</v>
      </c>
      <c r="E146" s="116" t="s">
        <v>286</v>
      </c>
    </row>
    <row r="147" spans="1:5">
      <c r="A147" s="117" t="s">
        <v>505</v>
      </c>
      <c r="B147" s="117" t="s">
        <v>506</v>
      </c>
      <c r="C147" s="117" t="s">
        <v>506</v>
      </c>
      <c r="D147" s="117" t="s">
        <v>286</v>
      </c>
      <c r="E147" s="117" t="s">
        <v>286</v>
      </c>
    </row>
    <row r="148" spans="1:5">
      <c r="A148" s="116" t="s">
        <v>507</v>
      </c>
      <c r="B148" s="116" t="s">
        <v>508</v>
      </c>
      <c r="C148" s="116" t="s">
        <v>509</v>
      </c>
      <c r="D148" s="116" t="s">
        <v>286</v>
      </c>
      <c r="E148" s="116" t="s">
        <v>286</v>
      </c>
    </row>
    <row r="149" spans="1:5">
      <c r="A149" s="117" t="s">
        <v>510</v>
      </c>
      <c r="B149" s="117" t="s">
        <v>511</v>
      </c>
      <c r="C149" s="117" t="s">
        <v>511</v>
      </c>
      <c r="D149" s="117" t="s">
        <v>286</v>
      </c>
      <c r="E149" s="117" t="s">
        <v>286</v>
      </c>
    </row>
    <row r="150" spans="1:5">
      <c r="A150" s="116" t="s">
        <v>512</v>
      </c>
      <c r="B150" s="116" t="s">
        <v>513</v>
      </c>
      <c r="C150" s="116" t="s">
        <v>513</v>
      </c>
      <c r="D150" s="116" t="s">
        <v>286</v>
      </c>
      <c r="E150" s="116" t="s">
        <v>286</v>
      </c>
    </row>
    <row r="151" spans="1:5">
      <c r="A151" s="117" t="s">
        <v>514</v>
      </c>
      <c r="B151" s="117" t="s">
        <v>515</v>
      </c>
      <c r="C151" s="117" t="s">
        <v>516</v>
      </c>
      <c r="D151" s="117" t="s">
        <v>286</v>
      </c>
      <c r="E151" s="117" t="s">
        <v>286</v>
      </c>
    </row>
    <row r="152" spans="1:5">
      <c r="A152" s="116" t="s">
        <v>517</v>
      </c>
      <c r="B152" s="116" t="s">
        <v>518</v>
      </c>
      <c r="C152" s="116" t="s">
        <v>518</v>
      </c>
      <c r="D152" s="116" t="s">
        <v>286</v>
      </c>
      <c r="E152" s="116" t="s">
        <v>286</v>
      </c>
    </row>
    <row r="153" spans="1:5">
      <c r="A153" s="117" t="s">
        <v>519</v>
      </c>
      <c r="B153" s="117" t="s">
        <v>520</v>
      </c>
      <c r="C153" s="117" t="s">
        <v>520</v>
      </c>
      <c r="D153" s="117" t="s">
        <v>286</v>
      </c>
      <c r="E153" s="117" t="s">
        <v>286</v>
      </c>
    </row>
    <row r="154" spans="1:5">
      <c r="A154" s="116" t="s">
        <v>521</v>
      </c>
      <c r="B154" s="116" t="s">
        <v>522</v>
      </c>
      <c r="C154" s="116" t="s">
        <v>522</v>
      </c>
      <c r="D154" s="116" t="s">
        <v>286</v>
      </c>
      <c r="E154" s="116" t="s">
        <v>286</v>
      </c>
    </row>
    <row r="155" spans="1:5">
      <c r="A155" s="118" t="s">
        <v>523</v>
      </c>
      <c r="B155" s="118" t="s">
        <v>523</v>
      </c>
      <c r="C155" s="118" t="s">
        <v>524</v>
      </c>
      <c r="D155" s="118" t="s">
        <v>286</v>
      </c>
      <c r="E155" s="118" t="s">
        <v>286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</sheetPr>
  <dimension ref="A1:I155"/>
  <sheetViews>
    <sheetView showGridLines="0" topLeftCell="B1" zoomScale="70" zoomScaleNormal="70" workbookViewId="0">
      <selection sqref="A1:A1048576"/>
    </sheetView>
  </sheetViews>
  <sheetFormatPr defaultRowHeight="14.4"/>
  <cols>
    <col min="1" max="1" width="19.44140625" bestFit="1" customWidth="1"/>
    <col min="2" max="2" width="20" bestFit="1" customWidth="1"/>
    <col min="3" max="3" width="15.33203125" bestFit="1" customWidth="1"/>
    <col min="4" max="4" width="13" bestFit="1" customWidth="1"/>
    <col min="5" max="5" width="9.44140625" bestFit="1" customWidth="1"/>
    <col min="6" max="6" width="16" bestFit="1" customWidth="1"/>
    <col min="7" max="7" width="15.33203125" bestFit="1" customWidth="1"/>
    <col min="8" max="8" width="7.109375" bestFit="1" customWidth="1"/>
    <col min="9" max="9" width="80.6640625" bestFit="1" customWidth="1"/>
  </cols>
  <sheetData>
    <row r="1" spans="1:9">
      <c r="A1" s="133" t="s">
        <v>525</v>
      </c>
      <c r="B1" s="133" t="s">
        <v>526</v>
      </c>
      <c r="C1" s="133" t="s">
        <v>527</v>
      </c>
      <c r="D1" s="133" t="s">
        <v>528</v>
      </c>
      <c r="E1" s="133" t="s">
        <v>529</v>
      </c>
      <c r="F1" s="133" t="s">
        <v>530</v>
      </c>
      <c r="G1" s="133" t="s">
        <v>531</v>
      </c>
      <c r="H1" s="133" t="s">
        <v>532</v>
      </c>
      <c r="I1" s="133" t="s">
        <v>533</v>
      </c>
    </row>
    <row r="2" spans="1:9">
      <c r="A2" s="116" t="s">
        <v>492</v>
      </c>
      <c r="B2" s="116" t="s">
        <v>306</v>
      </c>
      <c r="C2" s="116">
        <v>0.14000000000000001</v>
      </c>
      <c r="D2" s="116" t="s">
        <v>285</v>
      </c>
      <c r="E2" s="116" t="s">
        <v>285</v>
      </c>
      <c r="F2" s="116" t="s">
        <v>285</v>
      </c>
      <c r="G2" s="116" t="s">
        <v>286</v>
      </c>
      <c r="H2" s="116">
        <v>4</v>
      </c>
      <c r="I2" s="116"/>
    </row>
    <row r="3" spans="1:9">
      <c r="A3" s="117" t="s">
        <v>306</v>
      </c>
      <c r="B3" s="117" t="s">
        <v>164</v>
      </c>
      <c r="C3" s="117">
        <v>4.6400000000000006</v>
      </c>
      <c r="D3" s="117" t="s">
        <v>285</v>
      </c>
      <c r="E3" s="117" t="s">
        <v>285</v>
      </c>
      <c r="F3" s="117" t="s">
        <v>285</v>
      </c>
      <c r="G3" s="117" t="s">
        <v>286</v>
      </c>
      <c r="H3" s="117">
        <v>4</v>
      </c>
      <c r="I3" s="117"/>
    </row>
    <row r="4" spans="1:9">
      <c r="A4" s="116" t="s">
        <v>164</v>
      </c>
      <c r="B4" s="116" t="s">
        <v>468</v>
      </c>
      <c r="C4" s="116">
        <v>7.0499999999999972</v>
      </c>
      <c r="D4" s="116" t="s">
        <v>285</v>
      </c>
      <c r="E4" s="116" t="s">
        <v>285</v>
      </c>
      <c r="F4" s="116" t="s">
        <v>285</v>
      </c>
      <c r="G4" s="116" t="s">
        <v>286</v>
      </c>
      <c r="H4" s="116">
        <v>4</v>
      </c>
      <c r="I4" s="116"/>
    </row>
    <row r="5" spans="1:9">
      <c r="A5" s="117" t="s">
        <v>468</v>
      </c>
      <c r="B5" s="117" t="s">
        <v>448</v>
      </c>
      <c r="C5" s="117">
        <v>10.32</v>
      </c>
      <c r="D5" s="117" t="s">
        <v>285</v>
      </c>
      <c r="E5" s="117" t="s">
        <v>285</v>
      </c>
      <c r="F5" s="117" t="s">
        <v>285</v>
      </c>
      <c r="G5" s="117" t="s">
        <v>286</v>
      </c>
      <c r="H5" s="117">
        <v>4</v>
      </c>
      <c r="I5" s="117"/>
    </row>
    <row r="6" spans="1:9">
      <c r="A6" s="116" t="s">
        <v>448</v>
      </c>
      <c r="B6" s="116" t="s">
        <v>162</v>
      </c>
      <c r="C6" s="116">
        <v>12.469999999999999</v>
      </c>
      <c r="D6" s="116" t="s">
        <v>285</v>
      </c>
      <c r="E6" s="116" t="s">
        <v>285</v>
      </c>
      <c r="F6" s="116" t="s">
        <v>285</v>
      </c>
      <c r="G6" s="116" t="s">
        <v>286</v>
      </c>
      <c r="H6" s="116">
        <v>4</v>
      </c>
      <c r="I6" s="116"/>
    </row>
    <row r="7" spans="1:9">
      <c r="A7" s="117" t="s">
        <v>162</v>
      </c>
      <c r="B7" s="117" t="s">
        <v>482</v>
      </c>
      <c r="C7" s="117">
        <v>12.310000000000002</v>
      </c>
      <c r="D7" s="117" t="s">
        <v>285</v>
      </c>
      <c r="E7" s="117" t="s">
        <v>285</v>
      </c>
      <c r="F7" s="117" t="s">
        <v>285</v>
      </c>
      <c r="G7" s="117" t="s">
        <v>286</v>
      </c>
      <c r="H7" s="117">
        <v>4</v>
      </c>
      <c r="I7" s="117"/>
    </row>
    <row r="8" spans="1:9">
      <c r="A8" s="116" t="s">
        <v>482</v>
      </c>
      <c r="B8" s="116" t="s">
        <v>430</v>
      </c>
      <c r="C8" s="116">
        <v>5.1699999999999982</v>
      </c>
      <c r="D8" s="116" t="s">
        <v>285</v>
      </c>
      <c r="E8" s="116" t="s">
        <v>285</v>
      </c>
      <c r="F8" s="116" t="s">
        <v>285</v>
      </c>
      <c r="G8" s="116" t="s">
        <v>286</v>
      </c>
      <c r="H8" s="116">
        <v>4</v>
      </c>
      <c r="I8" s="116"/>
    </row>
    <row r="9" spans="1:9">
      <c r="A9" s="117" t="s">
        <v>430</v>
      </c>
      <c r="B9" s="117" t="s">
        <v>472</v>
      </c>
      <c r="C9" s="117">
        <v>12.44</v>
      </c>
      <c r="D9" s="117" t="s">
        <v>285</v>
      </c>
      <c r="E9" s="117" t="s">
        <v>286</v>
      </c>
      <c r="F9" s="117" t="s">
        <v>286</v>
      </c>
      <c r="G9" s="117" t="s">
        <v>286</v>
      </c>
      <c r="H9" s="117">
        <v>4</v>
      </c>
      <c r="I9" s="117" t="s">
        <v>534</v>
      </c>
    </row>
    <row r="10" spans="1:9">
      <c r="A10" s="116" t="s">
        <v>472</v>
      </c>
      <c r="B10" s="116" t="s">
        <v>160</v>
      </c>
      <c r="C10" s="116">
        <v>7.1399999999999988</v>
      </c>
      <c r="D10" s="116" t="s">
        <v>285</v>
      </c>
      <c r="E10" s="116" t="s">
        <v>286</v>
      </c>
      <c r="F10" s="116" t="s">
        <v>286</v>
      </c>
      <c r="G10" s="116" t="s">
        <v>286</v>
      </c>
      <c r="H10" s="116">
        <v>4</v>
      </c>
      <c r="I10" s="116" t="s">
        <v>534</v>
      </c>
    </row>
    <row r="11" spans="1:9">
      <c r="A11" s="117" t="s">
        <v>160</v>
      </c>
      <c r="B11" s="117" t="s">
        <v>514</v>
      </c>
      <c r="C11" s="117">
        <v>0.66</v>
      </c>
      <c r="D11" s="117" t="s">
        <v>286</v>
      </c>
      <c r="E11" s="117" t="s">
        <v>286</v>
      </c>
      <c r="F11" s="117" t="s">
        <v>286</v>
      </c>
      <c r="G11" s="117" t="s">
        <v>286</v>
      </c>
      <c r="H11" s="117">
        <v>4</v>
      </c>
      <c r="I11" s="117" t="s">
        <v>534</v>
      </c>
    </row>
    <row r="12" spans="1:9">
      <c r="A12" s="116" t="s">
        <v>430</v>
      </c>
      <c r="B12" s="116" t="s">
        <v>158</v>
      </c>
      <c r="C12" s="116">
        <v>7.99</v>
      </c>
      <c r="D12" s="116" t="s">
        <v>285</v>
      </c>
      <c r="E12" s="116" t="s">
        <v>285</v>
      </c>
      <c r="F12" s="116" t="s">
        <v>285</v>
      </c>
      <c r="G12" s="116" t="s">
        <v>286</v>
      </c>
      <c r="H12" s="116">
        <v>4</v>
      </c>
      <c r="I12" s="116"/>
    </row>
    <row r="13" spans="1:9">
      <c r="A13" s="117" t="s">
        <v>158</v>
      </c>
      <c r="B13" s="117" t="s">
        <v>412</v>
      </c>
      <c r="C13" s="117">
        <v>1.3000000000000007</v>
      </c>
      <c r="D13" s="117" t="s">
        <v>285</v>
      </c>
      <c r="E13" s="117" t="s">
        <v>285</v>
      </c>
      <c r="F13" s="117" t="s">
        <v>285</v>
      </c>
      <c r="G13" s="117" t="s">
        <v>286</v>
      </c>
      <c r="H13" s="117">
        <v>4</v>
      </c>
      <c r="I13" s="117"/>
    </row>
    <row r="14" spans="1:9">
      <c r="A14" s="116" t="s">
        <v>412</v>
      </c>
      <c r="B14" s="116" t="s">
        <v>480</v>
      </c>
      <c r="C14" s="116">
        <v>13.08</v>
      </c>
      <c r="D14" s="116" t="s">
        <v>285</v>
      </c>
      <c r="E14" s="116" t="s">
        <v>285</v>
      </c>
      <c r="F14" s="116" t="s">
        <v>285</v>
      </c>
      <c r="G14" s="116" t="s">
        <v>286</v>
      </c>
      <c r="H14" s="116">
        <v>4</v>
      </c>
      <c r="I14" s="116"/>
    </row>
    <row r="15" spans="1:9">
      <c r="A15" s="117" t="s">
        <v>480</v>
      </c>
      <c r="B15" s="117" t="s">
        <v>156</v>
      </c>
      <c r="C15" s="117">
        <v>6.5</v>
      </c>
      <c r="D15" s="117" t="s">
        <v>285</v>
      </c>
      <c r="E15" s="117" t="s">
        <v>286</v>
      </c>
      <c r="F15" s="117" t="s">
        <v>286</v>
      </c>
      <c r="G15" s="117" t="s">
        <v>286</v>
      </c>
      <c r="H15" s="117">
        <v>2</v>
      </c>
      <c r="I15" s="117" t="s">
        <v>534</v>
      </c>
    </row>
    <row r="16" spans="1:9">
      <c r="A16" s="116" t="s">
        <v>480</v>
      </c>
      <c r="B16" s="116" t="s">
        <v>154</v>
      </c>
      <c r="C16" s="116">
        <v>7.63</v>
      </c>
      <c r="D16" s="116" t="s">
        <v>285</v>
      </c>
      <c r="E16" s="116" t="s">
        <v>285</v>
      </c>
      <c r="F16" s="116" t="s">
        <v>285</v>
      </c>
      <c r="G16" s="116" t="s">
        <v>286</v>
      </c>
      <c r="H16" s="116">
        <v>2</v>
      </c>
      <c r="I16" s="116"/>
    </row>
    <row r="17" spans="1:9">
      <c r="A17" s="117" t="s">
        <v>154</v>
      </c>
      <c r="B17" s="117" t="s">
        <v>152</v>
      </c>
      <c r="C17" s="117">
        <v>9.0900000000000034</v>
      </c>
      <c r="D17" s="117" t="s">
        <v>285</v>
      </c>
      <c r="E17" s="117" t="s">
        <v>285</v>
      </c>
      <c r="F17" s="117" t="s">
        <v>285</v>
      </c>
      <c r="G17" s="117" t="s">
        <v>286</v>
      </c>
      <c r="H17" s="117">
        <v>2</v>
      </c>
      <c r="I17" s="117"/>
    </row>
    <row r="18" spans="1:9">
      <c r="A18" s="116" t="s">
        <v>152</v>
      </c>
      <c r="B18" s="116" t="s">
        <v>476</v>
      </c>
      <c r="C18" s="116">
        <v>2.7299999999999969</v>
      </c>
      <c r="D18" s="116" t="s">
        <v>285</v>
      </c>
      <c r="E18" s="116" t="s">
        <v>285</v>
      </c>
      <c r="F18" s="116" t="s">
        <v>285</v>
      </c>
      <c r="G18" s="116" t="s">
        <v>286</v>
      </c>
      <c r="H18" s="116">
        <v>2</v>
      </c>
      <c r="I18" s="116"/>
    </row>
    <row r="19" spans="1:9">
      <c r="A19" s="117" t="s">
        <v>476</v>
      </c>
      <c r="B19" s="117" t="s">
        <v>456</v>
      </c>
      <c r="C19" s="117">
        <v>14.2</v>
      </c>
      <c r="D19" s="117" t="s">
        <v>285</v>
      </c>
      <c r="E19" s="117" t="s">
        <v>286</v>
      </c>
      <c r="F19" s="117" t="s">
        <v>286</v>
      </c>
      <c r="G19" s="117" t="s">
        <v>286</v>
      </c>
      <c r="H19" s="117">
        <v>2</v>
      </c>
      <c r="I19" s="117" t="s">
        <v>534</v>
      </c>
    </row>
    <row r="20" spans="1:9">
      <c r="A20" s="116" t="s">
        <v>456</v>
      </c>
      <c r="B20" s="116" t="s">
        <v>150</v>
      </c>
      <c r="C20" s="116">
        <v>9.5399999999999991</v>
      </c>
      <c r="D20" s="116" t="s">
        <v>285</v>
      </c>
      <c r="E20" s="116" t="s">
        <v>286</v>
      </c>
      <c r="F20" s="116" t="s">
        <v>286</v>
      </c>
      <c r="G20" s="116" t="s">
        <v>286</v>
      </c>
      <c r="H20" s="116">
        <v>2</v>
      </c>
      <c r="I20" s="116" t="s">
        <v>534</v>
      </c>
    </row>
    <row r="21" spans="1:9">
      <c r="A21" s="117" t="s">
        <v>476</v>
      </c>
      <c r="B21" s="117" t="s">
        <v>148</v>
      </c>
      <c r="C21" s="117">
        <v>7.57</v>
      </c>
      <c r="D21" s="117" t="s">
        <v>285</v>
      </c>
      <c r="E21" s="117" t="s">
        <v>285</v>
      </c>
      <c r="F21" s="117" t="s">
        <v>285</v>
      </c>
      <c r="G21" s="117" t="s">
        <v>286</v>
      </c>
      <c r="H21" s="117">
        <v>2</v>
      </c>
      <c r="I21" s="117"/>
    </row>
    <row r="22" spans="1:9">
      <c r="A22" s="116" t="s">
        <v>148</v>
      </c>
      <c r="B22" s="116" t="s">
        <v>146</v>
      </c>
      <c r="C22" s="116">
        <v>9.49</v>
      </c>
      <c r="D22" s="116" t="s">
        <v>285</v>
      </c>
      <c r="E22" s="116" t="s">
        <v>285</v>
      </c>
      <c r="F22" s="116" t="s">
        <v>285</v>
      </c>
      <c r="G22" s="116" t="s">
        <v>286</v>
      </c>
      <c r="H22" s="116">
        <v>2</v>
      </c>
      <c r="I22" s="116"/>
    </row>
    <row r="23" spans="1:9">
      <c r="A23" s="117" t="s">
        <v>146</v>
      </c>
      <c r="B23" s="117" t="s">
        <v>444</v>
      </c>
      <c r="C23" s="117">
        <v>13.37</v>
      </c>
      <c r="D23" s="117" t="s">
        <v>285</v>
      </c>
      <c r="E23" s="117" t="s">
        <v>285</v>
      </c>
      <c r="F23" s="117" t="s">
        <v>285</v>
      </c>
      <c r="G23" s="117" t="s">
        <v>286</v>
      </c>
      <c r="H23" s="117">
        <v>2</v>
      </c>
      <c r="I23" s="117"/>
    </row>
    <row r="24" spans="1:9">
      <c r="A24" s="116" t="s">
        <v>444</v>
      </c>
      <c r="B24" s="116" t="s">
        <v>144</v>
      </c>
      <c r="C24" s="116">
        <v>7.01</v>
      </c>
      <c r="D24" s="116" t="s">
        <v>285</v>
      </c>
      <c r="E24" s="116" t="s">
        <v>286</v>
      </c>
      <c r="F24" s="116" t="s">
        <v>286</v>
      </c>
      <c r="G24" s="116" t="s">
        <v>286</v>
      </c>
      <c r="H24" s="116">
        <v>2</v>
      </c>
      <c r="I24" s="116" t="s">
        <v>534</v>
      </c>
    </row>
    <row r="25" spans="1:9">
      <c r="A25" s="117" t="s">
        <v>144</v>
      </c>
      <c r="B25" s="117" t="s">
        <v>505</v>
      </c>
      <c r="C25" s="117">
        <v>0.17</v>
      </c>
      <c r="D25" s="117" t="s">
        <v>286</v>
      </c>
      <c r="E25" s="117" t="s">
        <v>286</v>
      </c>
      <c r="F25" s="117" t="s">
        <v>286</v>
      </c>
      <c r="G25" s="117" t="s">
        <v>286</v>
      </c>
      <c r="H25" s="117">
        <v>2</v>
      </c>
      <c r="I25" s="117" t="s">
        <v>535</v>
      </c>
    </row>
    <row r="26" spans="1:9">
      <c r="A26" s="116" t="s">
        <v>444</v>
      </c>
      <c r="B26" s="116" t="s">
        <v>442</v>
      </c>
      <c r="C26" s="116">
        <v>3.3800000000000097</v>
      </c>
      <c r="D26" s="116" t="s">
        <v>285</v>
      </c>
      <c r="E26" s="116" t="s">
        <v>285</v>
      </c>
      <c r="F26" s="116" t="s">
        <v>285</v>
      </c>
      <c r="G26" s="116" t="s">
        <v>286</v>
      </c>
      <c r="H26" s="116">
        <v>2</v>
      </c>
      <c r="I26" s="116"/>
    </row>
    <row r="27" spans="1:9">
      <c r="A27" s="117" t="s">
        <v>442</v>
      </c>
      <c r="B27" s="117" t="s">
        <v>142</v>
      </c>
      <c r="C27" s="117">
        <v>5.7</v>
      </c>
      <c r="D27" s="117" t="s">
        <v>285</v>
      </c>
      <c r="E27" s="117" t="s">
        <v>286</v>
      </c>
      <c r="F27" s="117" t="s">
        <v>286</v>
      </c>
      <c r="G27" s="117" t="s">
        <v>286</v>
      </c>
      <c r="H27" s="117">
        <v>2</v>
      </c>
      <c r="I27" s="117" t="s">
        <v>534</v>
      </c>
    </row>
    <row r="28" spans="1:9">
      <c r="A28" s="116" t="s">
        <v>142</v>
      </c>
      <c r="B28" s="116" t="s">
        <v>140</v>
      </c>
      <c r="C28" s="116">
        <v>2.7399999999999993</v>
      </c>
      <c r="D28" s="116" t="s">
        <v>285</v>
      </c>
      <c r="E28" s="116" t="s">
        <v>286</v>
      </c>
      <c r="F28" s="116" t="s">
        <v>286</v>
      </c>
      <c r="G28" s="116" t="s">
        <v>286</v>
      </c>
      <c r="H28" s="116">
        <v>2</v>
      </c>
      <c r="I28" s="116" t="s">
        <v>534</v>
      </c>
    </row>
    <row r="29" spans="1:9">
      <c r="A29" s="117" t="s">
        <v>442</v>
      </c>
      <c r="B29" s="117" t="s">
        <v>138</v>
      </c>
      <c r="C29" s="117">
        <v>5.9500000000000028</v>
      </c>
      <c r="D29" s="117" t="s">
        <v>285</v>
      </c>
      <c r="E29" s="117" t="s">
        <v>285</v>
      </c>
      <c r="F29" s="117" t="s">
        <v>285</v>
      </c>
      <c r="G29" s="117" t="s">
        <v>286</v>
      </c>
      <c r="H29" s="117">
        <v>2</v>
      </c>
      <c r="I29" s="117"/>
    </row>
    <row r="30" spans="1:9">
      <c r="A30" s="116" t="s">
        <v>138</v>
      </c>
      <c r="B30" s="116" t="s">
        <v>440</v>
      </c>
      <c r="C30" s="116">
        <v>9.1799999999999926</v>
      </c>
      <c r="D30" s="116" t="s">
        <v>285</v>
      </c>
      <c r="E30" s="116" t="s">
        <v>285</v>
      </c>
      <c r="F30" s="116" t="s">
        <v>285</v>
      </c>
      <c r="G30" s="116" t="s">
        <v>286</v>
      </c>
      <c r="H30" s="116">
        <v>2</v>
      </c>
      <c r="I30" s="116"/>
    </row>
    <row r="31" spans="1:9">
      <c r="A31" s="117" t="s">
        <v>440</v>
      </c>
      <c r="B31" s="117" t="s">
        <v>136</v>
      </c>
      <c r="C31" s="117">
        <v>8.3799999999999955</v>
      </c>
      <c r="D31" s="117" t="s">
        <v>285</v>
      </c>
      <c r="E31" s="117" t="s">
        <v>285</v>
      </c>
      <c r="F31" s="117" t="s">
        <v>285</v>
      </c>
      <c r="G31" s="117" t="s">
        <v>286</v>
      </c>
      <c r="H31" s="117">
        <v>2</v>
      </c>
      <c r="I31" s="117"/>
    </row>
    <row r="32" spans="1:9">
      <c r="A32" s="116" t="s">
        <v>136</v>
      </c>
      <c r="B32" s="116" t="s">
        <v>462</v>
      </c>
      <c r="C32" s="116">
        <v>7.480000000000004</v>
      </c>
      <c r="D32" s="116" t="s">
        <v>285</v>
      </c>
      <c r="E32" s="116" t="s">
        <v>285</v>
      </c>
      <c r="F32" s="116" t="s">
        <v>285</v>
      </c>
      <c r="G32" s="116" t="s">
        <v>286</v>
      </c>
      <c r="H32" s="116">
        <v>2</v>
      </c>
      <c r="I32" s="116"/>
    </row>
    <row r="33" spans="1:9">
      <c r="A33" s="117" t="s">
        <v>462</v>
      </c>
      <c r="B33" s="117" t="s">
        <v>135</v>
      </c>
      <c r="C33" s="117">
        <v>5.6800000000000068</v>
      </c>
      <c r="D33" s="117" t="s">
        <v>285</v>
      </c>
      <c r="E33" s="117" t="s">
        <v>285</v>
      </c>
      <c r="F33" s="117" t="s">
        <v>285</v>
      </c>
      <c r="G33" s="117" t="s">
        <v>286</v>
      </c>
      <c r="H33" s="117">
        <v>2</v>
      </c>
      <c r="I33" s="117"/>
    </row>
    <row r="34" spans="1:9">
      <c r="A34" s="116" t="s">
        <v>135</v>
      </c>
      <c r="B34" s="116" t="s">
        <v>133</v>
      </c>
      <c r="C34" s="116">
        <v>1E-3</v>
      </c>
      <c r="D34" s="116" t="s">
        <v>285</v>
      </c>
      <c r="E34" s="116" t="s">
        <v>286</v>
      </c>
      <c r="F34" s="116" t="s">
        <v>286</v>
      </c>
      <c r="G34" s="116" t="s">
        <v>285</v>
      </c>
      <c r="H34" s="116">
        <v>2</v>
      </c>
      <c r="I34" s="116" t="s">
        <v>536</v>
      </c>
    </row>
    <row r="35" spans="1:9">
      <c r="A35" s="117" t="s">
        <v>135</v>
      </c>
      <c r="B35" s="117" t="s">
        <v>500</v>
      </c>
      <c r="C35" s="117">
        <v>4.83</v>
      </c>
      <c r="D35" s="117" t="s">
        <v>286</v>
      </c>
      <c r="E35" s="117" t="s">
        <v>286</v>
      </c>
      <c r="F35" s="117" t="s">
        <v>286</v>
      </c>
      <c r="G35" s="117" t="s">
        <v>286</v>
      </c>
      <c r="H35" s="117">
        <v>2</v>
      </c>
      <c r="I35" s="117" t="s">
        <v>642</v>
      </c>
    </row>
    <row r="36" spans="1:9">
      <c r="A36" s="116" t="s">
        <v>135</v>
      </c>
      <c r="B36" s="116" t="s">
        <v>398</v>
      </c>
      <c r="C36" s="116">
        <v>3.5300000000000011</v>
      </c>
      <c r="D36" s="116" t="s">
        <v>285</v>
      </c>
      <c r="E36" s="116" t="s">
        <v>285</v>
      </c>
      <c r="F36" s="116" t="s">
        <v>285</v>
      </c>
      <c r="G36" s="116" t="s">
        <v>286</v>
      </c>
      <c r="H36" s="116">
        <v>2</v>
      </c>
      <c r="I36" s="116"/>
    </row>
    <row r="37" spans="1:9">
      <c r="A37" s="117" t="s">
        <v>398</v>
      </c>
      <c r="B37" s="117" t="s">
        <v>131</v>
      </c>
      <c r="C37" s="117">
        <v>5.2299999999999898</v>
      </c>
      <c r="D37" s="117" t="s">
        <v>285</v>
      </c>
      <c r="E37" s="117" t="s">
        <v>285</v>
      </c>
      <c r="F37" s="117" t="s">
        <v>285</v>
      </c>
      <c r="G37" s="117" t="s">
        <v>286</v>
      </c>
      <c r="H37" s="117">
        <v>2</v>
      </c>
      <c r="I37" s="117"/>
    </row>
    <row r="38" spans="1:9">
      <c r="A38" s="116" t="s">
        <v>131</v>
      </c>
      <c r="B38" s="116" t="s">
        <v>418</v>
      </c>
      <c r="C38" s="116">
        <v>11.660000000000004</v>
      </c>
      <c r="D38" s="116" t="s">
        <v>285</v>
      </c>
      <c r="E38" s="116" t="s">
        <v>285</v>
      </c>
      <c r="F38" s="116" t="s">
        <v>285</v>
      </c>
      <c r="G38" s="116" t="s">
        <v>286</v>
      </c>
      <c r="H38" s="116">
        <v>2</v>
      </c>
      <c r="I38" s="116"/>
    </row>
    <row r="39" spans="1:9">
      <c r="A39" s="117" t="s">
        <v>418</v>
      </c>
      <c r="B39" s="117" t="s">
        <v>130</v>
      </c>
      <c r="C39" s="117">
        <v>7.14</v>
      </c>
      <c r="D39" s="117" t="s">
        <v>285</v>
      </c>
      <c r="E39" s="117" t="s">
        <v>286</v>
      </c>
      <c r="F39" s="117" t="s">
        <v>286</v>
      </c>
      <c r="G39" s="117" t="s">
        <v>286</v>
      </c>
      <c r="H39" s="117">
        <v>2</v>
      </c>
      <c r="I39" s="117" t="s">
        <v>534</v>
      </c>
    </row>
    <row r="40" spans="1:9">
      <c r="A40" s="116" t="s">
        <v>130</v>
      </c>
      <c r="B40" s="116" t="s">
        <v>128</v>
      </c>
      <c r="C40" s="116">
        <v>1E-3</v>
      </c>
      <c r="D40" s="116" t="s">
        <v>285</v>
      </c>
      <c r="E40" s="116" t="s">
        <v>286</v>
      </c>
      <c r="F40" s="116" t="s">
        <v>286</v>
      </c>
      <c r="G40" s="116" t="s">
        <v>285</v>
      </c>
      <c r="H40" s="116">
        <v>2</v>
      </c>
      <c r="I40" s="116" t="s">
        <v>536</v>
      </c>
    </row>
    <row r="41" spans="1:9">
      <c r="A41" s="117" t="s">
        <v>418</v>
      </c>
      <c r="B41" s="117" t="s">
        <v>126</v>
      </c>
      <c r="C41" s="117">
        <v>5.68</v>
      </c>
      <c r="D41" s="117" t="s">
        <v>285</v>
      </c>
      <c r="E41" s="117" t="s">
        <v>285</v>
      </c>
      <c r="F41" s="117" t="s">
        <v>285</v>
      </c>
      <c r="G41" s="117" t="s">
        <v>286</v>
      </c>
      <c r="H41" s="117">
        <v>2</v>
      </c>
      <c r="I41" s="117"/>
    </row>
    <row r="42" spans="1:9">
      <c r="A42" s="116" t="s">
        <v>126</v>
      </c>
      <c r="B42" s="116" t="s">
        <v>124</v>
      </c>
      <c r="C42" s="116">
        <v>7.0799999999999983</v>
      </c>
      <c r="D42" s="116" t="s">
        <v>285</v>
      </c>
      <c r="E42" s="116" t="s">
        <v>285</v>
      </c>
      <c r="F42" s="116" t="s">
        <v>285</v>
      </c>
      <c r="G42" s="116" t="s">
        <v>286</v>
      </c>
      <c r="H42" s="116">
        <v>2</v>
      </c>
      <c r="I42" s="116"/>
    </row>
    <row r="43" spans="1:9">
      <c r="A43" s="117" t="s">
        <v>124</v>
      </c>
      <c r="B43" s="117" t="s">
        <v>122</v>
      </c>
      <c r="C43" s="117">
        <v>16.330000000000002</v>
      </c>
      <c r="D43" s="117" t="s">
        <v>285</v>
      </c>
      <c r="E43" s="117" t="s">
        <v>285</v>
      </c>
      <c r="F43" s="117" t="s">
        <v>285</v>
      </c>
      <c r="G43" s="117" t="s">
        <v>286</v>
      </c>
      <c r="H43" s="117">
        <v>2</v>
      </c>
      <c r="I43" s="117"/>
    </row>
    <row r="44" spans="1:9">
      <c r="A44" s="116" t="s">
        <v>122</v>
      </c>
      <c r="B44" s="116" t="s">
        <v>120</v>
      </c>
      <c r="C44" s="116">
        <v>4.9899999999999984</v>
      </c>
      <c r="D44" s="116" t="s">
        <v>285</v>
      </c>
      <c r="E44" s="116" t="s">
        <v>285</v>
      </c>
      <c r="F44" s="116" t="s">
        <v>285</v>
      </c>
      <c r="G44" s="116" t="s">
        <v>286</v>
      </c>
      <c r="H44" s="116">
        <v>2</v>
      </c>
      <c r="I44" s="116"/>
    </row>
    <row r="45" spans="1:9">
      <c r="A45" s="117" t="s">
        <v>120</v>
      </c>
      <c r="B45" s="117" t="s">
        <v>118</v>
      </c>
      <c r="C45" s="117">
        <v>4.84</v>
      </c>
      <c r="D45" s="117" t="s">
        <v>285</v>
      </c>
      <c r="E45" s="117" t="s">
        <v>285</v>
      </c>
      <c r="F45" s="117" t="s">
        <v>285</v>
      </c>
      <c r="G45" s="117" t="s">
        <v>286</v>
      </c>
      <c r="H45" s="117">
        <v>2</v>
      </c>
      <c r="I45" s="117"/>
    </row>
    <row r="46" spans="1:9">
      <c r="A46" s="116" t="s">
        <v>118</v>
      </c>
      <c r="B46" s="116" t="s">
        <v>116</v>
      </c>
      <c r="C46" s="116">
        <v>7.1000000000000014</v>
      </c>
      <c r="D46" s="116" t="s">
        <v>285</v>
      </c>
      <c r="E46" s="116" t="s">
        <v>285</v>
      </c>
      <c r="F46" s="116" t="s">
        <v>285</v>
      </c>
      <c r="G46" s="116" t="s">
        <v>286</v>
      </c>
      <c r="H46" s="116">
        <v>2</v>
      </c>
      <c r="I46" s="116"/>
    </row>
    <row r="47" spans="1:9">
      <c r="A47" s="117" t="s">
        <v>116</v>
      </c>
      <c r="B47" s="117" t="s">
        <v>114</v>
      </c>
      <c r="C47" s="117">
        <v>13.66</v>
      </c>
      <c r="D47" s="117" t="s">
        <v>285</v>
      </c>
      <c r="E47" s="117" t="s">
        <v>285</v>
      </c>
      <c r="F47" s="117" t="s">
        <v>285</v>
      </c>
      <c r="G47" s="117" t="s">
        <v>286</v>
      </c>
      <c r="H47" s="117">
        <v>2</v>
      </c>
      <c r="I47" s="117"/>
    </row>
    <row r="48" spans="1:9">
      <c r="A48" s="116" t="s">
        <v>114</v>
      </c>
      <c r="B48" s="116" t="s">
        <v>112</v>
      </c>
      <c r="C48" s="116">
        <v>5.6499999999999986</v>
      </c>
      <c r="D48" s="116" t="s">
        <v>285</v>
      </c>
      <c r="E48" s="116" t="s">
        <v>285</v>
      </c>
      <c r="F48" s="116" t="s">
        <v>285</v>
      </c>
      <c r="G48" s="116" t="s">
        <v>286</v>
      </c>
      <c r="H48" s="116">
        <v>2</v>
      </c>
      <c r="I48" s="116"/>
    </row>
    <row r="49" spans="1:9">
      <c r="A49" s="117" t="s">
        <v>112</v>
      </c>
      <c r="B49" s="117" t="s">
        <v>474</v>
      </c>
      <c r="C49" s="117">
        <v>10.400000000000002</v>
      </c>
      <c r="D49" s="117" t="s">
        <v>285</v>
      </c>
      <c r="E49" s="117" t="s">
        <v>285</v>
      </c>
      <c r="F49" s="117" t="s">
        <v>285</v>
      </c>
      <c r="G49" s="117" t="s">
        <v>286</v>
      </c>
      <c r="H49" s="117">
        <v>2</v>
      </c>
      <c r="I49" s="117"/>
    </row>
    <row r="50" spans="1:9">
      <c r="A50" s="116" t="s">
        <v>474</v>
      </c>
      <c r="B50" s="116" t="s">
        <v>108</v>
      </c>
      <c r="C50" s="116">
        <v>4.57</v>
      </c>
      <c r="D50" s="116" t="s">
        <v>285</v>
      </c>
      <c r="E50" s="116" t="s">
        <v>286</v>
      </c>
      <c r="F50" s="116" t="s">
        <v>286</v>
      </c>
      <c r="G50" s="116" t="s">
        <v>286</v>
      </c>
      <c r="H50" s="116">
        <v>2</v>
      </c>
      <c r="I50" s="116" t="s">
        <v>534</v>
      </c>
    </row>
    <row r="51" spans="1:9">
      <c r="A51" s="117" t="s">
        <v>108</v>
      </c>
      <c r="B51" s="117" t="s">
        <v>110</v>
      </c>
      <c r="C51" s="117">
        <v>9.92</v>
      </c>
      <c r="D51" s="117" t="s">
        <v>285</v>
      </c>
      <c r="E51" s="117" t="s">
        <v>286</v>
      </c>
      <c r="F51" s="117" t="s">
        <v>286</v>
      </c>
      <c r="G51" s="117" t="s">
        <v>286</v>
      </c>
      <c r="H51" s="117">
        <v>2</v>
      </c>
      <c r="I51" s="117" t="s">
        <v>534</v>
      </c>
    </row>
    <row r="52" spans="1:9">
      <c r="A52" s="116" t="s">
        <v>474</v>
      </c>
      <c r="B52" s="116" t="s">
        <v>470</v>
      </c>
      <c r="C52" s="116">
        <v>9.34</v>
      </c>
      <c r="D52" s="116" t="s">
        <v>285</v>
      </c>
      <c r="E52" s="116" t="s">
        <v>285</v>
      </c>
      <c r="F52" s="116" t="s">
        <v>285</v>
      </c>
      <c r="G52" s="116" t="s">
        <v>286</v>
      </c>
      <c r="H52" s="116">
        <v>2</v>
      </c>
      <c r="I52" s="116"/>
    </row>
    <row r="53" spans="1:9">
      <c r="A53" s="117" t="s">
        <v>470</v>
      </c>
      <c r="B53" s="117" t="s">
        <v>105</v>
      </c>
      <c r="C53" s="117">
        <v>9.3600000000000012</v>
      </c>
      <c r="D53" s="117" t="s">
        <v>285</v>
      </c>
      <c r="E53" s="117" t="s">
        <v>285</v>
      </c>
      <c r="F53" s="117" t="s">
        <v>285</v>
      </c>
      <c r="G53" s="117" t="s">
        <v>286</v>
      </c>
      <c r="H53" s="117">
        <v>2</v>
      </c>
      <c r="I53" s="117"/>
    </row>
    <row r="54" spans="1:9">
      <c r="A54" s="116" t="s">
        <v>105</v>
      </c>
      <c r="B54" s="116" t="s">
        <v>428</v>
      </c>
      <c r="C54" s="116">
        <v>9.24</v>
      </c>
      <c r="D54" s="116" t="s">
        <v>285</v>
      </c>
      <c r="E54" s="116" t="s">
        <v>285</v>
      </c>
      <c r="F54" s="116" t="s">
        <v>285</v>
      </c>
      <c r="G54" s="116" t="s">
        <v>286</v>
      </c>
      <c r="H54" s="116">
        <v>2</v>
      </c>
      <c r="I54" s="116"/>
    </row>
    <row r="55" spans="1:9">
      <c r="A55" s="117" t="s">
        <v>428</v>
      </c>
      <c r="B55" s="117" t="s">
        <v>98</v>
      </c>
      <c r="C55" s="117">
        <v>19.059999999999999</v>
      </c>
      <c r="D55" s="117" t="s">
        <v>285</v>
      </c>
      <c r="E55" s="117" t="s">
        <v>285</v>
      </c>
      <c r="F55" s="117" t="s">
        <v>285</v>
      </c>
      <c r="G55" s="117" t="s">
        <v>286</v>
      </c>
      <c r="H55" s="117">
        <v>2</v>
      </c>
      <c r="I55" s="117"/>
    </row>
    <row r="56" spans="1:9">
      <c r="A56" s="116" t="s">
        <v>98</v>
      </c>
      <c r="B56" s="116" t="s">
        <v>15</v>
      </c>
      <c r="C56" s="116">
        <v>1E-3</v>
      </c>
      <c r="D56" s="116" t="s">
        <v>285</v>
      </c>
      <c r="E56" s="116" t="s">
        <v>285</v>
      </c>
      <c r="F56" s="116" t="s">
        <v>285</v>
      </c>
      <c r="G56" s="116" t="s">
        <v>285</v>
      </c>
      <c r="H56" s="116">
        <v>2</v>
      </c>
      <c r="I56" s="116" t="s">
        <v>537</v>
      </c>
    </row>
    <row r="57" spans="1:9">
      <c r="A57" s="117" t="s">
        <v>310</v>
      </c>
      <c r="B57" s="117" t="s">
        <v>15</v>
      </c>
      <c r="C57" s="117">
        <v>1E-3</v>
      </c>
      <c r="D57" s="117" t="s">
        <v>285</v>
      </c>
      <c r="E57" s="117" t="s">
        <v>285</v>
      </c>
      <c r="F57" s="117" t="s">
        <v>286</v>
      </c>
      <c r="G57" s="117" t="s">
        <v>285</v>
      </c>
      <c r="H57" s="117">
        <v>2</v>
      </c>
      <c r="I57" s="117" t="s">
        <v>538</v>
      </c>
    </row>
    <row r="58" spans="1:9">
      <c r="A58" s="116" t="s">
        <v>98</v>
      </c>
      <c r="B58" s="116" t="s">
        <v>100</v>
      </c>
      <c r="C58" s="116">
        <v>9.91</v>
      </c>
      <c r="D58" s="116" t="s">
        <v>285</v>
      </c>
      <c r="E58" s="116" t="s">
        <v>286</v>
      </c>
      <c r="F58" s="116" t="s">
        <v>286</v>
      </c>
      <c r="G58" s="116" t="s">
        <v>286</v>
      </c>
      <c r="H58" s="116">
        <v>2</v>
      </c>
      <c r="I58" s="116" t="s">
        <v>534</v>
      </c>
    </row>
    <row r="59" spans="1:9">
      <c r="A59" s="117" t="s">
        <v>100</v>
      </c>
      <c r="B59" s="117" t="s">
        <v>523</v>
      </c>
      <c r="C59" s="117">
        <v>2.77</v>
      </c>
      <c r="D59" s="117" t="s">
        <v>286</v>
      </c>
      <c r="E59" s="117" t="s">
        <v>286</v>
      </c>
      <c r="F59" s="117" t="s">
        <v>286</v>
      </c>
      <c r="G59" s="117" t="s">
        <v>286</v>
      </c>
      <c r="H59" s="117">
        <v>2</v>
      </c>
      <c r="I59" s="117" t="s">
        <v>534</v>
      </c>
    </row>
    <row r="60" spans="1:9">
      <c r="A60" s="116" t="s">
        <v>98</v>
      </c>
      <c r="B60" s="116" t="s">
        <v>102</v>
      </c>
      <c r="C60" s="116">
        <v>10.02</v>
      </c>
      <c r="D60" s="116" t="s">
        <v>285</v>
      </c>
      <c r="E60" s="116" t="s">
        <v>286</v>
      </c>
      <c r="F60" s="116" t="s">
        <v>286</v>
      </c>
      <c r="G60" s="116" t="s">
        <v>286</v>
      </c>
      <c r="H60" s="116">
        <v>2</v>
      </c>
      <c r="I60" s="116" t="s">
        <v>534</v>
      </c>
    </row>
    <row r="61" spans="1:9">
      <c r="A61" s="117" t="s">
        <v>102</v>
      </c>
      <c r="B61" s="117" t="s">
        <v>103</v>
      </c>
      <c r="C61" s="117">
        <v>13.07</v>
      </c>
      <c r="D61" s="117" t="s">
        <v>285</v>
      </c>
      <c r="E61" s="117" t="s">
        <v>286</v>
      </c>
      <c r="F61" s="117" t="s">
        <v>286</v>
      </c>
      <c r="G61" s="117" t="s">
        <v>286</v>
      </c>
      <c r="H61" s="117">
        <v>2</v>
      </c>
      <c r="I61" s="117" t="s">
        <v>534</v>
      </c>
    </row>
    <row r="62" spans="1:9">
      <c r="A62" s="116" t="s">
        <v>103</v>
      </c>
      <c r="B62" s="116" t="s">
        <v>107</v>
      </c>
      <c r="C62" s="116">
        <v>1E-3</v>
      </c>
      <c r="D62" s="116" t="s">
        <v>285</v>
      </c>
      <c r="E62" s="116" t="s">
        <v>286</v>
      </c>
      <c r="F62" s="116" t="s">
        <v>286</v>
      </c>
      <c r="G62" s="116" t="s">
        <v>285</v>
      </c>
      <c r="H62" s="116">
        <v>2</v>
      </c>
      <c r="I62" s="116" t="s">
        <v>536</v>
      </c>
    </row>
    <row r="63" spans="1:9">
      <c r="A63" s="117" t="s">
        <v>103</v>
      </c>
      <c r="B63" s="117" t="s">
        <v>507</v>
      </c>
      <c r="C63" s="117">
        <v>0.2</v>
      </c>
      <c r="D63" s="117" t="s">
        <v>286</v>
      </c>
      <c r="E63" s="117" t="s">
        <v>286</v>
      </c>
      <c r="F63" s="117" t="s">
        <v>286</v>
      </c>
      <c r="G63" s="117" t="s">
        <v>286</v>
      </c>
      <c r="H63" s="117">
        <v>2</v>
      </c>
      <c r="I63" s="117" t="s">
        <v>534</v>
      </c>
    </row>
    <row r="64" spans="1:9">
      <c r="A64" s="116" t="s">
        <v>428</v>
      </c>
      <c r="B64" s="116" t="s">
        <v>458</v>
      </c>
      <c r="C64" s="116">
        <v>10.850000000000009</v>
      </c>
      <c r="D64" s="116" t="s">
        <v>285</v>
      </c>
      <c r="E64" s="116" t="s">
        <v>285</v>
      </c>
      <c r="F64" s="116" t="s">
        <v>285</v>
      </c>
      <c r="G64" s="116" t="s">
        <v>286</v>
      </c>
      <c r="H64" s="116">
        <v>1</v>
      </c>
      <c r="I64" s="116"/>
    </row>
    <row r="65" spans="1:9">
      <c r="A65" s="117" t="s">
        <v>458</v>
      </c>
      <c r="B65" s="117" t="s">
        <v>96</v>
      </c>
      <c r="C65" s="117">
        <v>7.8599999999999994</v>
      </c>
      <c r="D65" s="117" t="s">
        <v>285</v>
      </c>
      <c r="E65" s="117" t="s">
        <v>285</v>
      </c>
      <c r="F65" s="117" t="s">
        <v>285</v>
      </c>
      <c r="G65" s="117" t="s">
        <v>286</v>
      </c>
      <c r="H65" s="117">
        <v>1</v>
      </c>
      <c r="I65" s="117"/>
    </row>
    <row r="66" spans="1:9">
      <c r="A66" s="116" t="s">
        <v>96</v>
      </c>
      <c r="B66" s="116" t="s">
        <v>94</v>
      </c>
      <c r="C66" s="116">
        <v>6.57</v>
      </c>
      <c r="D66" s="116" t="s">
        <v>285</v>
      </c>
      <c r="E66" s="116" t="s">
        <v>285</v>
      </c>
      <c r="F66" s="116" t="s">
        <v>285</v>
      </c>
      <c r="G66" s="116" t="s">
        <v>286</v>
      </c>
      <c r="H66" s="116">
        <v>1</v>
      </c>
      <c r="I66" s="116"/>
    </row>
    <row r="67" spans="1:9">
      <c r="A67" s="117" t="s">
        <v>94</v>
      </c>
      <c r="B67" s="117" t="s">
        <v>452</v>
      </c>
      <c r="C67" s="117">
        <v>8.3399999999999963</v>
      </c>
      <c r="D67" s="117" t="s">
        <v>285</v>
      </c>
      <c r="E67" s="117" t="s">
        <v>285</v>
      </c>
      <c r="F67" s="117" t="s">
        <v>285</v>
      </c>
      <c r="G67" s="117" t="s">
        <v>286</v>
      </c>
      <c r="H67" s="117">
        <v>1</v>
      </c>
      <c r="I67" s="117"/>
    </row>
    <row r="68" spans="1:9">
      <c r="A68" s="116" t="s">
        <v>452</v>
      </c>
      <c r="B68" s="116" t="s">
        <v>92</v>
      </c>
      <c r="C68" s="116">
        <v>4.34</v>
      </c>
      <c r="D68" s="116" t="s">
        <v>285</v>
      </c>
      <c r="E68" s="116" t="s">
        <v>285</v>
      </c>
      <c r="F68" s="116" t="s">
        <v>285</v>
      </c>
      <c r="G68" s="116" t="s">
        <v>286</v>
      </c>
      <c r="H68" s="116">
        <v>1</v>
      </c>
      <c r="I68" s="116"/>
    </row>
    <row r="69" spans="1:9">
      <c r="A69" s="117" t="s">
        <v>92</v>
      </c>
      <c r="B69" s="117" t="s">
        <v>400</v>
      </c>
      <c r="C69" s="117">
        <v>11.610000000000003</v>
      </c>
      <c r="D69" s="117" t="s">
        <v>285</v>
      </c>
      <c r="E69" s="117" t="s">
        <v>285</v>
      </c>
      <c r="F69" s="117" t="s">
        <v>285</v>
      </c>
      <c r="G69" s="117" t="s">
        <v>286</v>
      </c>
      <c r="H69" s="117">
        <v>1</v>
      </c>
      <c r="I69" s="117"/>
    </row>
    <row r="70" spans="1:9">
      <c r="A70" s="116" t="s">
        <v>400</v>
      </c>
      <c r="B70" s="116" t="s">
        <v>408</v>
      </c>
      <c r="C70" s="116">
        <v>18.329999999999998</v>
      </c>
      <c r="D70" s="116" t="s">
        <v>285</v>
      </c>
      <c r="E70" s="116" t="s">
        <v>285</v>
      </c>
      <c r="F70" s="116" t="s">
        <v>285</v>
      </c>
      <c r="G70" s="116" t="s">
        <v>286</v>
      </c>
      <c r="H70" s="116">
        <v>1</v>
      </c>
      <c r="I70" s="116"/>
    </row>
    <row r="71" spans="1:9">
      <c r="A71" s="117" t="s">
        <v>408</v>
      </c>
      <c r="B71" s="117" t="s">
        <v>90</v>
      </c>
      <c r="C71" s="117">
        <v>4</v>
      </c>
      <c r="D71" s="117" t="s">
        <v>285</v>
      </c>
      <c r="E71" s="117" t="s">
        <v>285</v>
      </c>
      <c r="F71" s="117" t="s">
        <v>285</v>
      </c>
      <c r="G71" s="117" t="s">
        <v>286</v>
      </c>
      <c r="H71" s="117">
        <v>1</v>
      </c>
      <c r="I71" s="117"/>
    </row>
    <row r="72" spans="1:9">
      <c r="A72" s="116" t="s">
        <v>90</v>
      </c>
      <c r="B72" s="116" t="s">
        <v>422</v>
      </c>
      <c r="C72" s="116">
        <v>10.629999999999995</v>
      </c>
      <c r="D72" s="116" t="s">
        <v>285</v>
      </c>
      <c r="E72" s="116" t="s">
        <v>285</v>
      </c>
      <c r="F72" s="116" t="s">
        <v>285</v>
      </c>
      <c r="G72" s="116" t="s">
        <v>286</v>
      </c>
      <c r="H72" s="116">
        <v>1</v>
      </c>
      <c r="I72" s="116"/>
    </row>
    <row r="73" spans="1:9">
      <c r="A73" s="117" t="s">
        <v>422</v>
      </c>
      <c r="B73" s="117" t="s">
        <v>85</v>
      </c>
      <c r="C73" s="117">
        <v>13.970000000000013</v>
      </c>
      <c r="D73" s="117" t="s">
        <v>285</v>
      </c>
      <c r="E73" s="117" t="s">
        <v>285</v>
      </c>
      <c r="F73" s="117" t="s">
        <v>285</v>
      </c>
      <c r="G73" s="117" t="s">
        <v>286</v>
      </c>
      <c r="H73" s="117">
        <v>1</v>
      </c>
      <c r="I73" s="117"/>
    </row>
    <row r="74" spans="1:9">
      <c r="A74" s="116" t="s">
        <v>85</v>
      </c>
      <c r="B74" s="116" t="s">
        <v>402</v>
      </c>
      <c r="C74" s="116">
        <v>15.11</v>
      </c>
      <c r="D74" s="116" t="s">
        <v>285</v>
      </c>
      <c r="E74" s="116" t="s">
        <v>286</v>
      </c>
      <c r="F74" s="116" t="s">
        <v>286</v>
      </c>
      <c r="G74" s="116" t="s">
        <v>286</v>
      </c>
      <c r="H74" s="116">
        <v>1</v>
      </c>
      <c r="I74" s="116" t="s">
        <v>534</v>
      </c>
    </row>
    <row r="75" spans="1:9">
      <c r="A75" s="117" t="s">
        <v>402</v>
      </c>
      <c r="B75" s="117" t="s">
        <v>89</v>
      </c>
      <c r="C75" s="117">
        <v>8.620000000000001</v>
      </c>
      <c r="D75" s="117" t="s">
        <v>285</v>
      </c>
      <c r="E75" s="117" t="s">
        <v>286</v>
      </c>
      <c r="F75" s="117" t="s">
        <v>286</v>
      </c>
      <c r="G75" s="117" t="s">
        <v>286</v>
      </c>
      <c r="H75" s="117">
        <v>1</v>
      </c>
      <c r="I75" s="117" t="s">
        <v>534</v>
      </c>
    </row>
    <row r="76" spans="1:9">
      <c r="A76" s="116" t="s">
        <v>89</v>
      </c>
      <c r="B76" s="116" t="s">
        <v>87</v>
      </c>
      <c r="C76" s="116">
        <v>1E-3</v>
      </c>
      <c r="D76" s="116" t="s">
        <v>285</v>
      </c>
      <c r="E76" s="116" t="s">
        <v>286</v>
      </c>
      <c r="F76" s="116" t="s">
        <v>286</v>
      </c>
      <c r="G76" s="116" t="s">
        <v>285</v>
      </c>
      <c r="H76" s="116">
        <v>1</v>
      </c>
      <c r="I76" s="116" t="s">
        <v>536</v>
      </c>
    </row>
    <row r="77" spans="1:9">
      <c r="A77" s="117" t="s">
        <v>85</v>
      </c>
      <c r="B77" s="117" t="s">
        <v>83</v>
      </c>
      <c r="C77" s="117">
        <v>11.43</v>
      </c>
      <c r="D77" s="117" t="s">
        <v>285</v>
      </c>
      <c r="E77" s="117" t="s">
        <v>286</v>
      </c>
      <c r="F77" s="117" t="s">
        <v>286</v>
      </c>
      <c r="G77" s="117" t="s">
        <v>286</v>
      </c>
      <c r="H77" s="117">
        <v>1</v>
      </c>
      <c r="I77" s="117" t="s">
        <v>534</v>
      </c>
    </row>
    <row r="78" spans="1:9">
      <c r="A78" s="116" t="s">
        <v>85</v>
      </c>
      <c r="B78" s="116" t="s">
        <v>79</v>
      </c>
      <c r="C78" s="116">
        <v>13.639999999999993</v>
      </c>
      <c r="D78" s="116" t="s">
        <v>285</v>
      </c>
      <c r="E78" s="116" t="s">
        <v>285</v>
      </c>
      <c r="F78" s="116" t="s">
        <v>285</v>
      </c>
      <c r="G78" s="116" t="s">
        <v>286</v>
      </c>
      <c r="H78" s="116">
        <v>1</v>
      </c>
      <c r="I78" s="116"/>
    </row>
    <row r="79" spans="1:9">
      <c r="A79" s="117" t="s">
        <v>79</v>
      </c>
      <c r="B79" s="117" t="s">
        <v>432</v>
      </c>
      <c r="C79" s="117">
        <v>2.4299999999999997</v>
      </c>
      <c r="D79" s="117" t="s">
        <v>285</v>
      </c>
      <c r="E79" s="117" t="s">
        <v>285</v>
      </c>
      <c r="F79" s="117" t="s">
        <v>285</v>
      </c>
      <c r="G79" s="117" t="s">
        <v>286</v>
      </c>
      <c r="H79" s="117">
        <v>1</v>
      </c>
      <c r="I79" s="117"/>
    </row>
    <row r="80" spans="1:9">
      <c r="A80" s="116" t="s">
        <v>432</v>
      </c>
      <c r="B80" s="116" t="s">
        <v>73</v>
      </c>
      <c r="C80" s="116">
        <v>0.14000000000000001</v>
      </c>
      <c r="D80" s="116" t="s">
        <v>285</v>
      </c>
      <c r="E80" s="116" t="s">
        <v>286</v>
      </c>
      <c r="F80" s="116" t="s">
        <v>286</v>
      </c>
      <c r="G80" s="116" t="s">
        <v>286</v>
      </c>
      <c r="H80" s="116">
        <v>1</v>
      </c>
      <c r="I80" s="116" t="s">
        <v>534</v>
      </c>
    </row>
    <row r="81" spans="1:9">
      <c r="A81" s="117" t="s">
        <v>73</v>
      </c>
      <c r="B81" s="117" t="s">
        <v>504</v>
      </c>
      <c r="C81" s="117">
        <v>1.24</v>
      </c>
      <c r="D81" s="117" t="s">
        <v>286</v>
      </c>
      <c r="E81" s="117" t="s">
        <v>286</v>
      </c>
      <c r="F81" s="117" t="s">
        <v>286</v>
      </c>
      <c r="G81" s="117" t="s">
        <v>286</v>
      </c>
      <c r="H81" s="117">
        <v>1</v>
      </c>
      <c r="I81" s="117" t="s">
        <v>539</v>
      </c>
    </row>
    <row r="82" spans="1:9">
      <c r="A82" s="116" t="s">
        <v>73</v>
      </c>
      <c r="B82" s="116" t="s">
        <v>81</v>
      </c>
      <c r="C82" s="116">
        <v>1E-3</v>
      </c>
      <c r="D82" s="116" t="s">
        <v>285</v>
      </c>
      <c r="E82" s="116" t="s">
        <v>286</v>
      </c>
      <c r="F82" s="116" t="s">
        <v>286</v>
      </c>
      <c r="G82" s="116" t="s">
        <v>285</v>
      </c>
      <c r="H82" s="116">
        <v>1</v>
      </c>
      <c r="I82" s="116" t="s">
        <v>536</v>
      </c>
    </row>
    <row r="83" spans="1:9">
      <c r="A83" s="117" t="s">
        <v>81</v>
      </c>
      <c r="B83" s="117" t="s">
        <v>502</v>
      </c>
      <c r="C83" s="117">
        <v>1.24</v>
      </c>
      <c r="D83" s="117" t="s">
        <v>286</v>
      </c>
      <c r="E83" s="117" t="s">
        <v>286</v>
      </c>
      <c r="F83" s="117" t="s">
        <v>286</v>
      </c>
      <c r="G83" s="117" t="s">
        <v>286</v>
      </c>
      <c r="H83" s="117">
        <v>1</v>
      </c>
      <c r="I83" s="117" t="s">
        <v>540</v>
      </c>
    </row>
    <row r="84" spans="1:9">
      <c r="A84" s="116" t="s">
        <v>81</v>
      </c>
      <c r="B84" s="116" t="s">
        <v>414</v>
      </c>
      <c r="C84" s="116">
        <v>11.65</v>
      </c>
      <c r="D84" s="116" t="s">
        <v>285</v>
      </c>
      <c r="E84" s="116" t="s">
        <v>286</v>
      </c>
      <c r="F84" s="116" t="s">
        <v>286</v>
      </c>
      <c r="G84" s="116" t="s">
        <v>286</v>
      </c>
      <c r="H84" s="116">
        <v>1</v>
      </c>
      <c r="I84" s="116" t="s">
        <v>534</v>
      </c>
    </row>
    <row r="85" spans="1:9">
      <c r="A85" s="117" t="s">
        <v>414</v>
      </c>
      <c r="B85" s="117" t="s">
        <v>75</v>
      </c>
      <c r="C85" s="117">
        <v>9.1300000000000008</v>
      </c>
      <c r="D85" s="117" t="s">
        <v>285</v>
      </c>
      <c r="E85" s="117" t="s">
        <v>286</v>
      </c>
      <c r="F85" s="117" t="s">
        <v>286</v>
      </c>
      <c r="G85" s="117" t="s">
        <v>286</v>
      </c>
      <c r="H85" s="117">
        <v>1</v>
      </c>
      <c r="I85" s="117" t="s">
        <v>534</v>
      </c>
    </row>
    <row r="86" spans="1:9">
      <c r="A86" s="116" t="s">
        <v>75</v>
      </c>
      <c r="B86" s="116" t="s">
        <v>82</v>
      </c>
      <c r="C86" s="116">
        <v>6.77</v>
      </c>
      <c r="D86" s="116" t="s">
        <v>285</v>
      </c>
      <c r="E86" s="116" t="s">
        <v>286</v>
      </c>
      <c r="F86" s="116" t="s">
        <v>286</v>
      </c>
      <c r="G86" s="116" t="s">
        <v>286</v>
      </c>
      <c r="H86" s="116">
        <v>1</v>
      </c>
      <c r="I86" s="116" t="s">
        <v>534</v>
      </c>
    </row>
    <row r="87" spans="1:9">
      <c r="A87" s="117" t="s">
        <v>82</v>
      </c>
      <c r="B87" s="117" t="s">
        <v>77</v>
      </c>
      <c r="C87" s="117">
        <v>1E-3</v>
      </c>
      <c r="D87" s="117" t="s">
        <v>285</v>
      </c>
      <c r="E87" s="117" t="s">
        <v>286</v>
      </c>
      <c r="F87" s="117" t="s">
        <v>286</v>
      </c>
      <c r="G87" s="117" t="s">
        <v>285</v>
      </c>
      <c r="H87" s="117">
        <v>1</v>
      </c>
      <c r="I87" s="117" t="s">
        <v>536</v>
      </c>
    </row>
    <row r="88" spans="1:9">
      <c r="A88" s="116" t="s">
        <v>82</v>
      </c>
      <c r="B88" s="116" t="s">
        <v>71</v>
      </c>
      <c r="C88" s="116">
        <v>5.34</v>
      </c>
      <c r="D88" s="116" t="s">
        <v>285</v>
      </c>
      <c r="E88" s="116" t="s">
        <v>286</v>
      </c>
      <c r="F88" s="116" t="s">
        <v>286</v>
      </c>
      <c r="G88" s="116" t="s">
        <v>286</v>
      </c>
      <c r="H88" s="116">
        <v>1</v>
      </c>
      <c r="I88" s="116" t="s">
        <v>534</v>
      </c>
    </row>
    <row r="89" spans="1:9">
      <c r="A89" s="117" t="s">
        <v>432</v>
      </c>
      <c r="B89" s="117" t="s">
        <v>69</v>
      </c>
      <c r="C89" s="117">
        <v>3.7700000000000031</v>
      </c>
      <c r="D89" s="117" t="s">
        <v>285</v>
      </c>
      <c r="E89" s="117" t="s">
        <v>285</v>
      </c>
      <c r="F89" s="117" t="s">
        <v>285</v>
      </c>
      <c r="G89" s="117" t="s">
        <v>286</v>
      </c>
      <c r="H89" s="117">
        <v>1</v>
      </c>
      <c r="I89" s="117"/>
    </row>
    <row r="90" spans="1:9">
      <c r="A90" s="116" t="s">
        <v>69</v>
      </c>
      <c r="B90" s="116" t="s">
        <v>67</v>
      </c>
      <c r="C90" s="116">
        <v>12.459999999999994</v>
      </c>
      <c r="D90" s="116" t="s">
        <v>285</v>
      </c>
      <c r="E90" s="116" t="s">
        <v>285</v>
      </c>
      <c r="F90" s="116" t="s">
        <v>285</v>
      </c>
      <c r="G90" s="116" t="s">
        <v>286</v>
      </c>
      <c r="H90" s="116">
        <v>1</v>
      </c>
      <c r="I90" s="116"/>
    </row>
    <row r="91" spans="1:9">
      <c r="A91" s="117" t="s">
        <v>67</v>
      </c>
      <c r="B91" s="117" t="s">
        <v>426</v>
      </c>
      <c r="C91" s="117">
        <v>11.010000000000005</v>
      </c>
      <c r="D91" s="117" t="s">
        <v>285</v>
      </c>
      <c r="E91" s="117" t="s">
        <v>285</v>
      </c>
      <c r="F91" s="117" t="s">
        <v>285</v>
      </c>
      <c r="G91" s="117" t="s">
        <v>286</v>
      </c>
      <c r="H91" s="117">
        <v>1</v>
      </c>
      <c r="I91" s="117"/>
    </row>
    <row r="92" spans="1:9">
      <c r="A92" s="116" t="s">
        <v>426</v>
      </c>
      <c r="B92" s="116" t="s">
        <v>63</v>
      </c>
      <c r="C92" s="116">
        <v>5.6899999999999977</v>
      </c>
      <c r="D92" s="116" t="s">
        <v>285</v>
      </c>
      <c r="E92" s="116" t="s">
        <v>285</v>
      </c>
      <c r="F92" s="116" t="s">
        <v>285</v>
      </c>
      <c r="G92" s="116" t="s">
        <v>286</v>
      </c>
      <c r="H92" s="116">
        <v>1</v>
      </c>
      <c r="I92" s="116"/>
    </row>
    <row r="93" spans="1:9">
      <c r="A93" s="117" t="s">
        <v>63</v>
      </c>
      <c r="B93" s="117" t="s">
        <v>61</v>
      </c>
      <c r="C93" s="117">
        <v>12.39</v>
      </c>
      <c r="D93" s="117" t="s">
        <v>285</v>
      </c>
      <c r="E93" s="117" t="s">
        <v>285</v>
      </c>
      <c r="F93" s="117" t="s">
        <v>285</v>
      </c>
      <c r="G93" s="117" t="s">
        <v>286</v>
      </c>
      <c r="H93" s="117">
        <v>1</v>
      </c>
      <c r="I93" s="117"/>
    </row>
    <row r="94" spans="1:9">
      <c r="A94" s="116" t="s">
        <v>61</v>
      </c>
      <c r="B94" s="116" t="s">
        <v>464</v>
      </c>
      <c r="C94" s="116">
        <v>9.34</v>
      </c>
      <c r="D94" s="116" t="s">
        <v>285</v>
      </c>
      <c r="E94" s="116" t="s">
        <v>285</v>
      </c>
      <c r="F94" s="116" t="s">
        <v>285</v>
      </c>
      <c r="G94" s="116" t="s">
        <v>286</v>
      </c>
      <c r="H94" s="116">
        <v>1</v>
      </c>
      <c r="I94" s="116"/>
    </row>
    <row r="95" spans="1:9">
      <c r="A95" s="117" t="s">
        <v>464</v>
      </c>
      <c r="B95" s="117" t="s">
        <v>466</v>
      </c>
      <c r="C95" s="117">
        <v>10.199999999999999</v>
      </c>
      <c r="D95" s="117" t="s">
        <v>285</v>
      </c>
      <c r="E95" s="117" t="s">
        <v>286</v>
      </c>
      <c r="F95" s="117" t="s">
        <v>286</v>
      </c>
      <c r="G95" s="117" t="s">
        <v>286</v>
      </c>
      <c r="H95" s="117">
        <v>1</v>
      </c>
      <c r="I95" s="117" t="s">
        <v>534</v>
      </c>
    </row>
    <row r="96" spans="1:9">
      <c r="A96" s="116" t="s">
        <v>466</v>
      </c>
      <c r="B96" s="116" t="s">
        <v>58</v>
      </c>
      <c r="C96" s="116">
        <v>1.08</v>
      </c>
      <c r="D96" s="116" t="s">
        <v>285</v>
      </c>
      <c r="E96" s="116" t="s">
        <v>286</v>
      </c>
      <c r="F96" s="116" t="s">
        <v>286</v>
      </c>
      <c r="G96" s="116" t="s">
        <v>286</v>
      </c>
      <c r="H96" s="116">
        <v>1</v>
      </c>
      <c r="I96" s="116" t="s">
        <v>534</v>
      </c>
    </row>
    <row r="97" spans="1:9">
      <c r="A97" s="117" t="s">
        <v>58</v>
      </c>
      <c r="B97" s="117" t="s">
        <v>60</v>
      </c>
      <c r="C97" s="117">
        <v>8.31</v>
      </c>
      <c r="D97" s="117" t="s">
        <v>285</v>
      </c>
      <c r="E97" s="117" t="s">
        <v>286</v>
      </c>
      <c r="F97" s="117" t="s">
        <v>286</v>
      </c>
      <c r="G97" s="117" t="s">
        <v>286</v>
      </c>
      <c r="H97" s="117">
        <v>1</v>
      </c>
      <c r="I97" s="117" t="s">
        <v>534</v>
      </c>
    </row>
    <row r="98" spans="1:9">
      <c r="A98" s="116" t="s">
        <v>60</v>
      </c>
      <c r="B98" s="116" t="s">
        <v>56</v>
      </c>
      <c r="C98" s="116">
        <v>1E-3</v>
      </c>
      <c r="D98" s="116" t="s">
        <v>285</v>
      </c>
      <c r="E98" s="116" t="s">
        <v>286</v>
      </c>
      <c r="F98" s="116" t="s">
        <v>286</v>
      </c>
      <c r="G98" s="116" t="s">
        <v>285</v>
      </c>
      <c r="H98" s="116">
        <v>1</v>
      </c>
      <c r="I98" s="116" t="s">
        <v>536</v>
      </c>
    </row>
    <row r="99" spans="1:9">
      <c r="A99" s="117" t="s">
        <v>466</v>
      </c>
      <c r="B99" s="117" t="s">
        <v>478</v>
      </c>
      <c r="C99" s="117">
        <v>7.77</v>
      </c>
      <c r="D99" s="117" t="s">
        <v>285</v>
      </c>
      <c r="E99" s="117" t="s">
        <v>286</v>
      </c>
      <c r="F99" s="117" t="s">
        <v>286</v>
      </c>
      <c r="G99" s="117" t="s">
        <v>286</v>
      </c>
      <c r="H99" s="117">
        <v>1</v>
      </c>
      <c r="I99" s="117" t="s">
        <v>534</v>
      </c>
    </row>
    <row r="100" spans="1:9">
      <c r="A100" s="116" t="s">
        <v>478</v>
      </c>
      <c r="B100" s="116" t="s">
        <v>65</v>
      </c>
      <c r="C100" s="116">
        <v>7.8800000000000008</v>
      </c>
      <c r="D100" s="116" t="s">
        <v>285</v>
      </c>
      <c r="E100" s="116" t="s">
        <v>286</v>
      </c>
      <c r="F100" s="116" t="s">
        <v>286</v>
      </c>
      <c r="G100" s="116" t="s">
        <v>286</v>
      </c>
      <c r="H100" s="116">
        <v>1</v>
      </c>
      <c r="I100" s="116" t="s">
        <v>534</v>
      </c>
    </row>
    <row r="101" spans="1:9">
      <c r="A101" s="117" t="s">
        <v>464</v>
      </c>
      <c r="B101" s="117" t="s">
        <v>54</v>
      </c>
      <c r="C101" s="117">
        <v>6.59</v>
      </c>
      <c r="D101" s="117" t="s">
        <v>285</v>
      </c>
      <c r="E101" s="117" t="s">
        <v>285</v>
      </c>
      <c r="F101" s="117" t="s">
        <v>285</v>
      </c>
      <c r="G101" s="117" t="s">
        <v>286</v>
      </c>
      <c r="H101" s="117">
        <v>1</v>
      </c>
      <c r="I101" s="117"/>
    </row>
    <row r="102" spans="1:9">
      <c r="A102" s="116" t="s">
        <v>54</v>
      </c>
      <c r="B102" s="116" t="s">
        <v>204</v>
      </c>
      <c r="C102" s="116">
        <v>5.3400000000000034</v>
      </c>
      <c r="D102" s="116" t="s">
        <v>285</v>
      </c>
      <c r="E102" s="116" t="s">
        <v>285</v>
      </c>
      <c r="F102" s="116" t="s">
        <v>285</v>
      </c>
      <c r="G102" s="116" t="s">
        <v>286</v>
      </c>
      <c r="H102" s="116">
        <v>7</v>
      </c>
      <c r="I102" s="116"/>
    </row>
    <row r="103" spans="1:9">
      <c r="A103" s="117" t="s">
        <v>204</v>
      </c>
      <c r="B103" s="117" t="s">
        <v>512</v>
      </c>
      <c r="C103" s="117">
        <v>1.73</v>
      </c>
      <c r="D103" s="117" t="s">
        <v>286</v>
      </c>
      <c r="E103" s="117" t="s">
        <v>286</v>
      </c>
      <c r="F103" s="117" t="s">
        <v>286</v>
      </c>
      <c r="G103" s="117" t="s">
        <v>286</v>
      </c>
      <c r="H103" s="117">
        <v>7</v>
      </c>
      <c r="I103" s="117" t="s">
        <v>534</v>
      </c>
    </row>
    <row r="104" spans="1:9">
      <c r="A104" s="116" t="s">
        <v>204</v>
      </c>
      <c r="B104" s="116" t="s">
        <v>396</v>
      </c>
      <c r="C104" s="116">
        <v>20.22</v>
      </c>
      <c r="D104" s="116" t="s">
        <v>285</v>
      </c>
      <c r="E104" s="116" t="s">
        <v>285</v>
      </c>
      <c r="F104" s="116" t="s">
        <v>285</v>
      </c>
      <c r="G104" s="116" t="s">
        <v>286</v>
      </c>
      <c r="H104" s="116">
        <v>7</v>
      </c>
      <c r="I104" s="116"/>
    </row>
    <row r="105" spans="1:9">
      <c r="A105" s="117" t="s">
        <v>396</v>
      </c>
      <c r="B105" s="117" t="s">
        <v>446</v>
      </c>
      <c r="C105" s="117">
        <v>17.049999999999997</v>
      </c>
      <c r="D105" s="117" t="s">
        <v>285</v>
      </c>
      <c r="E105" s="117" t="s">
        <v>285</v>
      </c>
      <c r="F105" s="117" t="s">
        <v>285</v>
      </c>
      <c r="G105" s="117" t="s">
        <v>286</v>
      </c>
      <c r="H105" s="117">
        <v>7</v>
      </c>
      <c r="I105" s="117"/>
    </row>
    <row r="106" spans="1:9">
      <c r="A106" s="116" t="s">
        <v>446</v>
      </c>
      <c r="B106" s="116" t="s">
        <v>486</v>
      </c>
      <c r="C106" s="116">
        <v>28.490000000000002</v>
      </c>
      <c r="D106" s="116" t="s">
        <v>285</v>
      </c>
      <c r="E106" s="116" t="s">
        <v>285</v>
      </c>
      <c r="F106" s="116" t="s">
        <v>285</v>
      </c>
      <c r="G106" s="116" t="s">
        <v>286</v>
      </c>
      <c r="H106" s="116">
        <v>7</v>
      </c>
      <c r="I106" s="116"/>
    </row>
    <row r="107" spans="1:9">
      <c r="A107" s="117" t="s">
        <v>486</v>
      </c>
      <c r="B107" s="117" t="s">
        <v>206</v>
      </c>
      <c r="C107" s="117">
        <v>9.120000000000001</v>
      </c>
      <c r="D107" s="117" t="s">
        <v>285</v>
      </c>
      <c r="E107" s="117" t="s">
        <v>285</v>
      </c>
      <c r="F107" s="117" t="s">
        <v>285</v>
      </c>
      <c r="G107" s="117" t="s">
        <v>286</v>
      </c>
      <c r="H107" s="117">
        <v>7</v>
      </c>
      <c r="I107" s="117"/>
    </row>
    <row r="108" spans="1:9">
      <c r="A108" s="116" t="s">
        <v>206</v>
      </c>
      <c r="B108" s="116" t="s">
        <v>517</v>
      </c>
      <c r="C108" s="116">
        <v>0.94</v>
      </c>
      <c r="D108" s="116" t="s">
        <v>286</v>
      </c>
      <c r="E108" s="116" t="s">
        <v>286</v>
      </c>
      <c r="F108" s="116" t="s">
        <v>286</v>
      </c>
      <c r="G108" s="116" t="s">
        <v>286</v>
      </c>
      <c r="H108" s="116">
        <v>7</v>
      </c>
      <c r="I108" s="116" t="s">
        <v>643</v>
      </c>
    </row>
    <row r="109" spans="1:9">
      <c r="A109" s="117" t="s">
        <v>206</v>
      </c>
      <c r="B109" s="117" t="s">
        <v>211</v>
      </c>
      <c r="C109" s="117">
        <v>1E-3</v>
      </c>
      <c r="D109" s="117" t="s">
        <v>285</v>
      </c>
      <c r="E109" s="117" t="s">
        <v>285</v>
      </c>
      <c r="F109" s="117" t="s">
        <v>285</v>
      </c>
      <c r="G109" s="117" t="s">
        <v>285</v>
      </c>
      <c r="H109" s="117">
        <v>7</v>
      </c>
      <c r="I109" s="117" t="s">
        <v>536</v>
      </c>
    </row>
    <row r="110" spans="1:9">
      <c r="A110" s="116" t="s">
        <v>211</v>
      </c>
      <c r="B110" s="116" t="s">
        <v>519</v>
      </c>
      <c r="C110" s="116">
        <v>0.94</v>
      </c>
      <c r="D110" s="116" t="s">
        <v>286</v>
      </c>
      <c r="E110" s="116" t="s">
        <v>286</v>
      </c>
      <c r="F110" s="116" t="s">
        <v>286</v>
      </c>
      <c r="G110" s="116" t="s">
        <v>286</v>
      </c>
      <c r="H110" s="116">
        <v>7</v>
      </c>
      <c r="I110" s="116" t="s">
        <v>644</v>
      </c>
    </row>
    <row r="111" spans="1:9">
      <c r="A111" s="117" t="s">
        <v>206</v>
      </c>
      <c r="B111" s="117" t="s">
        <v>208</v>
      </c>
      <c r="C111" s="117">
        <v>1E-3</v>
      </c>
      <c r="D111" s="117" t="s">
        <v>285</v>
      </c>
      <c r="E111" s="117" t="s">
        <v>285</v>
      </c>
      <c r="F111" s="117" t="s">
        <v>285</v>
      </c>
      <c r="G111" s="117" t="s">
        <v>285</v>
      </c>
      <c r="H111" s="117">
        <v>7</v>
      </c>
      <c r="I111" s="117" t="s">
        <v>536</v>
      </c>
    </row>
    <row r="112" spans="1:9">
      <c r="A112" s="116" t="s">
        <v>208</v>
      </c>
      <c r="B112" s="116" t="s">
        <v>496</v>
      </c>
      <c r="C112" s="116">
        <v>1.31</v>
      </c>
      <c r="D112" s="116" t="s">
        <v>285</v>
      </c>
      <c r="E112" s="116" t="s">
        <v>286</v>
      </c>
      <c r="F112" s="116" t="s">
        <v>286</v>
      </c>
      <c r="G112" s="116" t="s">
        <v>286</v>
      </c>
      <c r="H112" s="116">
        <v>7</v>
      </c>
      <c r="I112" s="116" t="s">
        <v>534</v>
      </c>
    </row>
    <row r="113" spans="1:9">
      <c r="A113" s="117" t="s">
        <v>496</v>
      </c>
      <c r="B113" s="117" t="s">
        <v>498</v>
      </c>
      <c r="C113" s="117">
        <v>0.87999999999999989</v>
      </c>
      <c r="D113" s="117" t="s">
        <v>286</v>
      </c>
      <c r="E113" s="117" t="s">
        <v>286</v>
      </c>
      <c r="F113" s="117" t="s">
        <v>286</v>
      </c>
      <c r="G113" s="117" t="s">
        <v>286</v>
      </c>
      <c r="H113" s="117">
        <v>7</v>
      </c>
      <c r="I113" s="117" t="s">
        <v>541</v>
      </c>
    </row>
    <row r="114" spans="1:9">
      <c r="A114" s="116" t="s">
        <v>498</v>
      </c>
      <c r="B114" s="116" t="s">
        <v>521</v>
      </c>
      <c r="C114" s="116">
        <v>0.20999999999999996</v>
      </c>
      <c r="D114" s="116" t="s">
        <v>286</v>
      </c>
      <c r="E114" s="116" t="s">
        <v>286</v>
      </c>
      <c r="F114" s="116" t="s">
        <v>286</v>
      </c>
      <c r="G114" s="116" t="s">
        <v>286</v>
      </c>
      <c r="H114" s="116">
        <v>7</v>
      </c>
      <c r="I114" s="116" t="s">
        <v>541</v>
      </c>
    </row>
    <row r="115" spans="1:9">
      <c r="A115" s="117" t="s">
        <v>496</v>
      </c>
      <c r="B115" s="117" t="s">
        <v>209</v>
      </c>
      <c r="C115" s="117">
        <v>0.01</v>
      </c>
      <c r="D115" s="117" t="s">
        <v>285</v>
      </c>
      <c r="E115" s="117" t="s">
        <v>286</v>
      </c>
      <c r="F115" s="117" t="s">
        <v>286</v>
      </c>
      <c r="G115" s="117" t="s">
        <v>286</v>
      </c>
      <c r="H115" s="117">
        <v>7</v>
      </c>
      <c r="I115" s="117" t="s">
        <v>534</v>
      </c>
    </row>
    <row r="116" spans="1:9">
      <c r="A116" s="116" t="s">
        <v>498</v>
      </c>
      <c r="B116" s="116" t="s">
        <v>510</v>
      </c>
      <c r="C116" s="116">
        <v>0.04</v>
      </c>
      <c r="D116" s="116" t="s">
        <v>286</v>
      </c>
      <c r="E116" s="116" t="s">
        <v>286</v>
      </c>
      <c r="F116" s="116" t="s">
        <v>286</v>
      </c>
      <c r="G116" s="116" t="s">
        <v>286</v>
      </c>
      <c r="H116" s="116">
        <v>7</v>
      </c>
      <c r="I116" s="116" t="s">
        <v>541</v>
      </c>
    </row>
    <row r="117" spans="1:9">
      <c r="A117" s="117" t="s">
        <v>206</v>
      </c>
      <c r="B117" s="117" t="s">
        <v>490</v>
      </c>
      <c r="C117" s="117">
        <v>5.7299999999999995</v>
      </c>
      <c r="D117" s="117" t="s">
        <v>285</v>
      </c>
      <c r="E117" s="117" t="s">
        <v>285</v>
      </c>
      <c r="F117" s="117" t="s">
        <v>285</v>
      </c>
      <c r="G117" s="117" t="s">
        <v>286</v>
      </c>
      <c r="H117" s="117">
        <v>7</v>
      </c>
      <c r="I117" s="117"/>
    </row>
    <row r="118" spans="1:9">
      <c r="A118" s="116" t="s">
        <v>490</v>
      </c>
      <c r="B118" s="116" t="s">
        <v>212</v>
      </c>
      <c r="C118" s="116">
        <v>1.36</v>
      </c>
      <c r="D118" s="116" t="s">
        <v>285</v>
      </c>
      <c r="E118" s="116" t="s">
        <v>285</v>
      </c>
      <c r="F118" s="116" t="s">
        <v>285</v>
      </c>
      <c r="G118" s="116" t="s">
        <v>286</v>
      </c>
      <c r="H118" s="116">
        <v>7</v>
      </c>
      <c r="I118" s="116" t="s">
        <v>542</v>
      </c>
    </row>
    <row r="119" spans="1:9">
      <c r="A119" s="117" t="s">
        <v>256</v>
      </c>
      <c r="B119" s="117" t="s">
        <v>212</v>
      </c>
      <c r="C119" s="117">
        <v>1E-3</v>
      </c>
      <c r="D119" s="117" t="s">
        <v>285</v>
      </c>
      <c r="E119" s="117" t="s">
        <v>285</v>
      </c>
      <c r="F119" s="117" t="s">
        <v>285</v>
      </c>
      <c r="G119" s="117" t="s">
        <v>285</v>
      </c>
      <c r="H119" s="117">
        <v>7</v>
      </c>
      <c r="I119" s="117" t="s">
        <v>543</v>
      </c>
    </row>
    <row r="120" spans="1:9">
      <c r="A120" s="116" t="s">
        <v>494</v>
      </c>
      <c r="B120" s="116" t="s">
        <v>305</v>
      </c>
      <c r="C120" s="116">
        <v>0.24</v>
      </c>
      <c r="D120" s="116" t="s">
        <v>285</v>
      </c>
      <c r="E120" s="116" t="s">
        <v>285</v>
      </c>
      <c r="F120" s="116" t="s">
        <v>285</v>
      </c>
      <c r="G120" s="116" t="s">
        <v>286</v>
      </c>
      <c r="H120" s="116">
        <v>3</v>
      </c>
      <c r="I120" s="116"/>
    </row>
    <row r="121" spans="1:9">
      <c r="A121" s="117" t="s">
        <v>305</v>
      </c>
      <c r="B121" s="117" t="s">
        <v>166</v>
      </c>
      <c r="C121" s="117">
        <v>1E-3</v>
      </c>
      <c r="D121" s="117" t="s">
        <v>285</v>
      </c>
      <c r="E121" s="117" t="s">
        <v>285</v>
      </c>
      <c r="F121" s="117" t="s">
        <v>285</v>
      </c>
      <c r="G121" s="117" t="s">
        <v>285</v>
      </c>
      <c r="H121" s="117">
        <v>3</v>
      </c>
      <c r="I121" s="117" t="s">
        <v>543</v>
      </c>
    </row>
    <row r="122" spans="1:9">
      <c r="A122" s="116" t="s">
        <v>166</v>
      </c>
      <c r="B122" s="116" t="s">
        <v>438</v>
      </c>
      <c r="C122" s="116">
        <v>23.7</v>
      </c>
      <c r="D122" s="116" t="s">
        <v>285</v>
      </c>
      <c r="E122" s="116" t="s">
        <v>285</v>
      </c>
      <c r="F122" s="116" t="s">
        <v>285</v>
      </c>
      <c r="G122" s="116" t="s">
        <v>286</v>
      </c>
      <c r="H122" s="116">
        <v>3</v>
      </c>
      <c r="I122" s="116"/>
    </row>
    <row r="123" spans="1:9">
      <c r="A123" s="117" t="s">
        <v>438</v>
      </c>
      <c r="B123" s="117" t="s">
        <v>454</v>
      </c>
      <c r="C123" s="117">
        <v>25.66</v>
      </c>
      <c r="D123" s="117" t="s">
        <v>285</v>
      </c>
      <c r="E123" s="117" t="s">
        <v>285</v>
      </c>
      <c r="F123" s="117" t="s">
        <v>285</v>
      </c>
      <c r="G123" s="117" t="s">
        <v>286</v>
      </c>
      <c r="H123" s="117">
        <v>3</v>
      </c>
      <c r="I123" s="117"/>
    </row>
    <row r="124" spans="1:9">
      <c r="A124" s="116" t="s">
        <v>454</v>
      </c>
      <c r="B124" s="116" t="s">
        <v>406</v>
      </c>
      <c r="C124" s="116">
        <v>27.790000000000006</v>
      </c>
      <c r="D124" s="116" t="s">
        <v>285</v>
      </c>
      <c r="E124" s="116" t="s">
        <v>285</v>
      </c>
      <c r="F124" s="116" t="s">
        <v>285</v>
      </c>
      <c r="G124" s="116" t="s">
        <v>286</v>
      </c>
      <c r="H124" s="116">
        <v>3</v>
      </c>
      <c r="I124" s="116"/>
    </row>
    <row r="125" spans="1:9">
      <c r="A125" s="117" t="s">
        <v>406</v>
      </c>
      <c r="B125" s="117" t="s">
        <v>168</v>
      </c>
      <c r="C125" s="117">
        <v>26.22999999999999</v>
      </c>
      <c r="D125" s="117" t="s">
        <v>285</v>
      </c>
      <c r="E125" s="117" t="s">
        <v>285</v>
      </c>
      <c r="F125" s="117" t="s">
        <v>285</v>
      </c>
      <c r="G125" s="117" t="s">
        <v>286</v>
      </c>
      <c r="H125" s="117">
        <v>3</v>
      </c>
      <c r="I125" s="117"/>
    </row>
    <row r="126" spans="1:9">
      <c r="A126" s="116" t="s">
        <v>168</v>
      </c>
      <c r="B126" s="116" t="s">
        <v>170</v>
      </c>
      <c r="C126" s="116">
        <v>22.59</v>
      </c>
      <c r="D126" s="116" t="s">
        <v>285</v>
      </c>
      <c r="E126" s="116" t="s">
        <v>285</v>
      </c>
      <c r="F126" s="116" t="s">
        <v>285</v>
      </c>
      <c r="G126" s="116" t="s">
        <v>286</v>
      </c>
      <c r="H126" s="116">
        <v>3</v>
      </c>
      <c r="I126" s="116"/>
    </row>
    <row r="127" spans="1:9">
      <c r="A127" s="117" t="s">
        <v>170</v>
      </c>
      <c r="B127" s="117" t="s">
        <v>172</v>
      </c>
      <c r="C127" s="117">
        <v>5.0599999999999996</v>
      </c>
      <c r="D127" s="117" t="s">
        <v>285</v>
      </c>
      <c r="E127" s="117" t="s">
        <v>286</v>
      </c>
      <c r="F127" s="117" t="s">
        <v>286</v>
      </c>
      <c r="G127" s="117" t="s">
        <v>286</v>
      </c>
      <c r="H127" s="117">
        <v>3</v>
      </c>
      <c r="I127" s="117" t="s">
        <v>534</v>
      </c>
    </row>
    <row r="128" spans="1:9">
      <c r="A128" s="116" t="s">
        <v>170</v>
      </c>
      <c r="B128" s="116" t="s">
        <v>174</v>
      </c>
      <c r="C128" s="116">
        <v>19.889999999999997</v>
      </c>
      <c r="D128" s="116" t="s">
        <v>285</v>
      </c>
      <c r="E128" s="116" t="s">
        <v>285</v>
      </c>
      <c r="F128" s="116" t="s">
        <v>285</v>
      </c>
      <c r="G128" s="116" t="s">
        <v>286</v>
      </c>
      <c r="H128" s="116">
        <v>3</v>
      </c>
      <c r="I128" s="116"/>
    </row>
    <row r="129" spans="1:9">
      <c r="A129" s="117" t="s">
        <v>174</v>
      </c>
      <c r="B129" s="117" t="s">
        <v>176</v>
      </c>
      <c r="C129" s="117">
        <v>18.18</v>
      </c>
      <c r="D129" s="117" t="s">
        <v>285</v>
      </c>
      <c r="E129" s="117" t="s">
        <v>285</v>
      </c>
      <c r="F129" s="117" t="s">
        <v>285</v>
      </c>
      <c r="G129" s="117" t="s">
        <v>286</v>
      </c>
      <c r="H129" s="117">
        <v>3</v>
      </c>
      <c r="I129" s="117"/>
    </row>
    <row r="130" spans="1:9">
      <c r="A130" s="116" t="s">
        <v>176</v>
      </c>
      <c r="B130" s="116" t="s">
        <v>178</v>
      </c>
      <c r="C130" s="116">
        <v>19.040000000000006</v>
      </c>
      <c r="D130" s="116" t="s">
        <v>285</v>
      </c>
      <c r="E130" s="116" t="s">
        <v>285</v>
      </c>
      <c r="F130" s="116" t="s">
        <v>285</v>
      </c>
      <c r="G130" s="116" t="s">
        <v>286</v>
      </c>
      <c r="H130" s="116">
        <v>3</v>
      </c>
      <c r="I130" s="116"/>
    </row>
    <row r="131" spans="1:9">
      <c r="A131" s="117" t="s">
        <v>178</v>
      </c>
      <c r="B131" s="117" t="s">
        <v>460</v>
      </c>
      <c r="C131" s="117">
        <v>19.47</v>
      </c>
      <c r="D131" s="117" t="s">
        <v>285</v>
      </c>
      <c r="E131" s="117" t="s">
        <v>285</v>
      </c>
      <c r="F131" s="117" t="s">
        <v>285</v>
      </c>
      <c r="G131" s="117" t="s">
        <v>286</v>
      </c>
      <c r="H131" s="117">
        <v>3</v>
      </c>
      <c r="I131" s="117"/>
    </row>
    <row r="132" spans="1:9">
      <c r="A132" s="116" t="s">
        <v>460</v>
      </c>
      <c r="B132" s="116" t="s">
        <v>180</v>
      </c>
      <c r="C132" s="116">
        <v>13.760000000000005</v>
      </c>
      <c r="D132" s="116" t="s">
        <v>285</v>
      </c>
      <c r="E132" s="116" t="s">
        <v>285</v>
      </c>
      <c r="F132" s="116" t="s">
        <v>285</v>
      </c>
      <c r="G132" s="116" t="s">
        <v>286</v>
      </c>
      <c r="H132" s="116">
        <v>3</v>
      </c>
      <c r="I132" s="116"/>
    </row>
    <row r="133" spans="1:9">
      <c r="A133" s="117" t="s">
        <v>180</v>
      </c>
      <c r="B133" s="117" t="s">
        <v>428</v>
      </c>
      <c r="C133" s="117">
        <v>3.9099999999999966</v>
      </c>
      <c r="D133" s="117" t="s">
        <v>285</v>
      </c>
      <c r="E133" s="117" t="s">
        <v>285</v>
      </c>
      <c r="F133" s="117" t="s">
        <v>285</v>
      </c>
      <c r="G133" s="117" t="s">
        <v>286</v>
      </c>
      <c r="H133" s="117">
        <v>3</v>
      </c>
      <c r="I133" s="117"/>
    </row>
    <row r="134" spans="1:9">
      <c r="A134" s="116" t="s">
        <v>454</v>
      </c>
      <c r="B134" s="116" t="s">
        <v>404</v>
      </c>
      <c r="C134" s="116">
        <v>17.690000000000001</v>
      </c>
      <c r="D134" s="116" t="s">
        <v>285</v>
      </c>
      <c r="E134" s="116" t="s">
        <v>285</v>
      </c>
      <c r="F134" s="116" t="s">
        <v>285</v>
      </c>
      <c r="G134" s="116" t="s">
        <v>286</v>
      </c>
      <c r="H134" s="116">
        <v>5</v>
      </c>
      <c r="I134" s="116"/>
    </row>
    <row r="135" spans="1:9">
      <c r="A135" s="117" t="s">
        <v>404</v>
      </c>
      <c r="B135" s="117" t="s">
        <v>182</v>
      </c>
      <c r="C135" s="117">
        <v>4.25</v>
      </c>
      <c r="D135" s="117" t="s">
        <v>285</v>
      </c>
      <c r="E135" s="117" t="s">
        <v>286</v>
      </c>
      <c r="F135" s="117" t="s">
        <v>286</v>
      </c>
      <c r="G135" s="117" t="s">
        <v>286</v>
      </c>
      <c r="H135" s="117">
        <v>5</v>
      </c>
      <c r="I135" s="117" t="s">
        <v>534</v>
      </c>
    </row>
    <row r="136" spans="1:9">
      <c r="A136" s="116" t="s">
        <v>404</v>
      </c>
      <c r="B136" s="116" t="s">
        <v>434</v>
      </c>
      <c r="C136" s="116">
        <v>18.249999999999996</v>
      </c>
      <c r="D136" s="116" t="s">
        <v>285</v>
      </c>
      <c r="E136" s="116" t="s">
        <v>285</v>
      </c>
      <c r="F136" s="116" t="s">
        <v>285</v>
      </c>
      <c r="G136" s="116" t="s">
        <v>286</v>
      </c>
      <c r="H136" s="116">
        <v>5</v>
      </c>
      <c r="I136" s="116"/>
    </row>
    <row r="137" spans="1:9">
      <c r="A137" s="117" t="s">
        <v>434</v>
      </c>
      <c r="B137" s="117" t="s">
        <v>184</v>
      </c>
      <c r="C137" s="117">
        <v>25.86</v>
      </c>
      <c r="D137" s="117" t="s">
        <v>285</v>
      </c>
      <c r="E137" s="117" t="s">
        <v>285</v>
      </c>
      <c r="F137" s="117" t="s">
        <v>285</v>
      </c>
      <c r="G137" s="117" t="s">
        <v>286</v>
      </c>
      <c r="H137" s="117">
        <v>5</v>
      </c>
      <c r="I137" s="117"/>
    </row>
    <row r="138" spans="1:9">
      <c r="A138" s="116" t="s">
        <v>184</v>
      </c>
      <c r="B138" s="116" t="s">
        <v>186</v>
      </c>
      <c r="C138" s="116">
        <v>24.870000000000005</v>
      </c>
      <c r="D138" s="116" t="s">
        <v>285</v>
      </c>
      <c r="E138" s="116" t="s">
        <v>285</v>
      </c>
      <c r="F138" s="116" t="s">
        <v>285</v>
      </c>
      <c r="G138" s="116" t="s">
        <v>286</v>
      </c>
      <c r="H138" s="116">
        <v>5</v>
      </c>
      <c r="I138" s="116"/>
    </row>
    <row r="139" spans="1:9">
      <c r="A139" s="117" t="s">
        <v>186</v>
      </c>
      <c r="B139" s="117" t="s">
        <v>416</v>
      </c>
      <c r="C139" s="117">
        <v>26.78</v>
      </c>
      <c r="D139" s="117" t="s">
        <v>285</v>
      </c>
      <c r="E139" s="117" t="s">
        <v>285</v>
      </c>
      <c r="F139" s="117" t="s">
        <v>285</v>
      </c>
      <c r="G139" s="117" t="s">
        <v>286</v>
      </c>
      <c r="H139" s="117">
        <v>5</v>
      </c>
      <c r="I139" s="117"/>
    </row>
    <row r="140" spans="1:9">
      <c r="A140" s="116" t="s">
        <v>416</v>
      </c>
      <c r="B140" s="116" t="s">
        <v>188</v>
      </c>
      <c r="C140" s="116">
        <v>20.320000000000007</v>
      </c>
      <c r="D140" s="116" t="s">
        <v>285</v>
      </c>
      <c r="E140" s="116" t="s">
        <v>285</v>
      </c>
      <c r="F140" s="116" t="s">
        <v>285</v>
      </c>
      <c r="G140" s="116" t="s">
        <v>286</v>
      </c>
      <c r="H140" s="116">
        <v>5</v>
      </c>
      <c r="I140" s="116"/>
    </row>
    <row r="141" spans="1:9">
      <c r="A141" s="117" t="s">
        <v>188</v>
      </c>
      <c r="B141" s="117" t="s">
        <v>190</v>
      </c>
      <c r="C141" s="117">
        <v>10.780000000000001</v>
      </c>
      <c r="D141" s="117" t="s">
        <v>285</v>
      </c>
      <c r="E141" s="117" t="s">
        <v>285</v>
      </c>
      <c r="F141" s="117" t="s">
        <v>285</v>
      </c>
      <c r="G141" s="117" t="s">
        <v>286</v>
      </c>
      <c r="H141" s="117">
        <v>5</v>
      </c>
      <c r="I141" s="117"/>
    </row>
    <row r="142" spans="1:9">
      <c r="A142" s="116" t="s">
        <v>190</v>
      </c>
      <c r="B142" s="116" t="s">
        <v>424</v>
      </c>
      <c r="C142" s="116">
        <v>19.139999999999986</v>
      </c>
      <c r="D142" s="116" t="s">
        <v>285</v>
      </c>
      <c r="E142" s="116" t="s">
        <v>285</v>
      </c>
      <c r="F142" s="116" t="s">
        <v>285</v>
      </c>
      <c r="G142" s="116" t="s">
        <v>286</v>
      </c>
      <c r="H142" s="116">
        <v>5</v>
      </c>
      <c r="I142" s="116"/>
    </row>
    <row r="143" spans="1:9">
      <c r="A143" s="117" t="s">
        <v>424</v>
      </c>
      <c r="B143" s="117" t="s">
        <v>192</v>
      </c>
      <c r="C143" s="117">
        <v>20.390000000000015</v>
      </c>
      <c r="D143" s="117" t="s">
        <v>285</v>
      </c>
      <c r="E143" s="117" t="s">
        <v>285</v>
      </c>
      <c r="F143" s="117" t="s">
        <v>285</v>
      </c>
      <c r="G143" s="117" t="s">
        <v>286</v>
      </c>
      <c r="H143" s="117">
        <v>5</v>
      </c>
      <c r="I143" s="117"/>
    </row>
    <row r="144" spans="1:9">
      <c r="A144" s="116" t="s">
        <v>192</v>
      </c>
      <c r="B144" s="116" t="s">
        <v>420</v>
      </c>
      <c r="C144" s="116">
        <v>14.26</v>
      </c>
      <c r="D144" s="116" t="s">
        <v>285</v>
      </c>
      <c r="E144" s="116" t="s">
        <v>285</v>
      </c>
      <c r="F144" s="116" t="s">
        <v>285</v>
      </c>
      <c r="G144" s="116" t="s">
        <v>286</v>
      </c>
      <c r="H144" s="116">
        <v>8</v>
      </c>
      <c r="I144" s="116"/>
    </row>
    <row r="145" spans="1:9">
      <c r="A145" s="117" t="s">
        <v>420</v>
      </c>
      <c r="B145" s="117" t="s">
        <v>436</v>
      </c>
      <c r="C145" s="117">
        <v>14.53</v>
      </c>
      <c r="D145" s="117" t="s">
        <v>285</v>
      </c>
      <c r="E145" s="117" t="s">
        <v>285</v>
      </c>
      <c r="F145" s="117" t="s">
        <v>285</v>
      </c>
      <c r="G145" s="117" t="s">
        <v>286</v>
      </c>
      <c r="H145" s="117">
        <v>8</v>
      </c>
      <c r="I145" s="117"/>
    </row>
    <row r="146" spans="1:9">
      <c r="A146" s="116" t="s">
        <v>436</v>
      </c>
      <c r="B146" s="116" t="s">
        <v>488</v>
      </c>
      <c r="C146" s="116">
        <v>12.530000000000001</v>
      </c>
      <c r="D146" s="116" t="s">
        <v>285</v>
      </c>
      <c r="E146" s="116" t="s">
        <v>285</v>
      </c>
      <c r="F146" s="116" t="s">
        <v>285</v>
      </c>
      <c r="G146" s="116" t="s">
        <v>286</v>
      </c>
      <c r="H146" s="116">
        <v>8</v>
      </c>
      <c r="I146" s="116"/>
    </row>
    <row r="147" spans="1:9">
      <c r="A147" s="117" t="s">
        <v>488</v>
      </c>
      <c r="B147" s="117" t="s">
        <v>410</v>
      </c>
      <c r="C147" s="117">
        <v>13.36</v>
      </c>
      <c r="D147" s="117" t="s">
        <v>285</v>
      </c>
      <c r="E147" s="117" t="s">
        <v>285</v>
      </c>
      <c r="F147" s="117" t="s">
        <v>285</v>
      </c>
      <c r="G147" s="117" t="s">
        <v>286</v>
      </c>
      <c r="H147" s="117">
        <v>8</v>
      </c>
      <c r="I147" s="117"/>
    </row>
    <row r="148" spans="1:9">
      <c r="A148" s="116" t="s">
        <v>410</v>
      </c>
      <c r="B148" s="116" t="s">
        <v>202</v>
      </c>
      <c r="C148" s="116">
        <v>21.65</v>
      </c>
      <c r="D148" s="116" t="s">
        <v>285</v>
      </c>
      <c r="E148" s="116" t="s">
        <v>285</v>
      </c>
      <c r="F148" s="116" t="s">
        <v>285</v>
      </c>
      <c r="G148" s="116" t="s">
        <v>286</v>
      </c>
      <c r="H148" s="116">
        <v>8</v>
      </c>
      <c r="I148" s="116"/>
    </row>
    <row r="149" spans="1:9">
      <c r="A149" s="117" t="s">
        <v>202</v>
      </c>
      <c r="B149" s="117" t="s">
        <v>484</v>
      </c>
      <c r="C149" s="117">
        <v>10.310000000000002</v>
      </c>
      <c r="D149" s="117" t="s">
        <v>285</v>
      </c>
      <c r="E149" s="117" t="s">
        <v>285</v>
      </c>
      <c r="F149" s="117" t="s">
        <v>285</v>
      </c>
      <c r="G149" s="117" t="s">
        <v>286</v>
      </c>
      <c r="H149" s="117">
        <v>6</v>
      </c>
      <c r="I149" s="117"/>
    </row>
    <row r="150" spans="1:9">
      <c r="A150" s="116" t="s">
        <v>484</v>
      </c>
      <c r="B150" s="116" t="s">
        <v>200</v>
      </c>
      <c r="C150" s="116">
        <v>8.17</v>
      </c>
      <c r="D150" s="116" t="s">
        <v>285</v>
      </c>
      <c r="E150" s="116" t="s">
        <v>286</v>
      </c>
      <c r="F150" s="116" t="s">
        <v>286</v>
      </c>
      <c r="G150" s="116" t="s">
        <v>286</v>
      </c>
      <c r="H150" s="116">
        <v>6</v>
      </c>
      <c r="I150" s="116" t="s">
        <v>534</v>
      </c>
    </row>
    <row r="151" spans="1:9">
      <c r="A151" s="117" t="s">
        <v>484</v>
      </c>
      <c r="B151" s="117" t="s">
        <v>198</v>
      </c>
      <c r="C151" s="117">
        <v>14.049999999999997</v>
      </c>
      <c r="D151" s="117" t="s">
        <v>285</v>
      </c>
      <c r="E151" s="117" t="s">
        <v>285</v>
      </c>
      <c r="F151" s="117" t="s">
        <v>285</v>
      </c>
      <c r="G151" s="117" t="s">
        <v>286</v>
      </c>
      <c r="H151" s="117">
        <v>6</v>
      </c>
      <c r="I151" s="117"/>
    </row>
    <row r="152" spans="1:9">
      <c r="A152" s="116" t="s">
        <v>198</v>
      </c>
      <c r="B152" s="116" t="s">
        <v>196</v>
      </c>
      <c r="C152" s="116">
        <v>11.300000000000004</v>
      </c>
      <c r="D152" s="116" t="s">
        <v>285</v>
      </c>
      <c r="E152" s="116" t="s">
        <v>285</v>
      </c>
      <c r="F152" s="116" t="s">
        <v>285</v>
      </c>
      <c r="G152" s="116" t="s">
        <v>286</v>
      </c>
      <c r="H152" s="116">
        <v>6</v>
      </c>
      <c r="I152" s="116"/>
    </row>
    <row r="153" spans="1:9">
      <c r="A153" s="118" t="s">
        <v>196</v>
      </c>
      <c r="B153" s="118" t="s">
        <v>194</v>
      </c>
      <c r="C153" s="118">
        <v>9.5399999999999991</v>
      </c>
      <c r="D153" s="118" t="s">
        <v>285</v>
      </c>
      <c r="E153" s="118" t="s">
        <v>285</v>
      </c>
      <c r="F153" s="118" t="s">
        <v>285</v>
      </c>
      <c r="G153" s="118" t="s">
        <v>286</v>
      </c>
      <c r="H153" s="118">
        <v>6</v>
      </c>
      <c r="I153" s="118"/>
    </row>
    <row r="154" spans="1:9">
      <c r="A154" s="117" t="s">
        <v>194</v>
      </c>
      <c r="B154" s="117" t="s">
        <v>450</v>
      </c>
      <c r="C154" s="117">
        <v>14.65</v>
      </c>
      <c r="D154" s="117" t="s">
        <v>285</v>
      </c>
      <c r="E154" s="117" t="s">
        <v>285</v>
      </c>
      <c r="F154" s="117" t="s">
        <v>285</v>
      </c>
      <c r="G154" s="117" t="s">
        <v>286</v>
      </c>
      <c r="H154" s="117">
        <v>6</v>
      </c>
      <c r="I154" s="117"/>
    </row>
    <row r="155" spans="1:9">
      <c r="A155" s="117" t="s">
        <v>450</v>
      </c>
      <c r="B155" s="117" t="s">
        <v>122</v>
      </c>
      <c r="C155" s="117">
        <v>8.1</v>
      </c>
      <c r="D155" s="117" t="s">
        <v>285</v>
      </c>
      <c r="E155" s="117" t="s">
        <v>285</v>
      </c>
      <c r="F155" s="117" t="s">
        <v>285</v>
      </c>
      <c r="G155" s="117" t="s">
        <v>286</v>
      </c>
      <c r="H155" s="117">
        <v>6</v>
      </c>
      <c r="I155" s="1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</sheetPr>
  <dimension ref="A1:CO21"/>
  <sheetViews>
    <sheetView showGridLines="0" zoomScale="70" zoomScaleNormal="70" workbookViewId="0">
      <selection sqref="A1:A1048576"/>
    </sheetView>
  </sheetViews>
  <sheetFormatPr defaultColWidth="0" defaultRowHeight="14.4" zeroHeight="1"/>
  <cols>
    <col min="1" max="1" width="23.109375" style="1" customWidth="1"/>
    <col min="2" max="2" width="4.6640625" customWidth="1"/>
    <col min="3" max="3" width="24.88671875" bestFit="1" customWidth="1"/>
    <col min="4" max="4" width="16.6640625" bestFit="1" customWidth="1"/>
    <col min="5" max="5" width="20.6640625" bestFit="1" customWidth="1"/>
    <col min="6" max="6" width="17.88671875" bestFit="1" customWidth="1"/>
    <col min="7" max="7" width="26.88671875" bestFit="1" customWidth="1"/>
    <col min="8" max="89" width="12.33203125" bestFit="1" customWidth="1"/>
    <col min="90" max="90" width="13.33203125" bestFit="1" customWidth="1"/>
    <col min="91" max="92" width="12.33203125" bestFit="1" customWidth="1"/>
    <col min="93" max="93" width="8.88671875" customWidth="1"/>
    <col min="94" max="16384" width="8.88671875" hidden="1"/>
  </cols>
  <sheetData>
    <row r="1" spans="1:92"/>
    <row r="2" spans="1:92"/>
    <row r="3" spans="1:92">
      <c r="A3" s="121" t="s">
        <v>571</v>
      </c>
      <c r="C3" s="2" t="s">
        <v>4</v>
      </c>
      <c r="D3" s="41" t="s">
        <v>1</v>
      </c>
      <c r="E3" s="42"/>
      <c r="F3" s="42"/>
      <c r="G3" s="42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4"/>
    </row>
    <row r="4" spans="1:92">
      <c r="A4" s="121" t="s">
        <v>572</v>
      </c>
      <c r="C4" s="46" t="s">
        <v>2</v>
      </c>
      <c r="D4" s="48" t="s">
        <v>0</v>
      </c>
      <c r="E4" s="48" t="s">
        <v>215</v>
      </c>
      <c r="F4" s="48" t="s">
        <v>217</v>
      </c>
      <c r="G4" s="48" t="s">
        <v>218</v>
      </c>
      <c r="H4" s="48" t="s">
        <v>54</v>
      </c>
      <c r="I4" s="48" t="s">
        <v>56</v>
      </c>
      <c r="J4" s="48" t="s">
        <v>58</v>
      </c>
      <c r="K4" s="48" t="s">
        <v>60</v>
      </c>
      <c r="L4" s="48" t="s">
        <v>61</v>
      </c>
      <c r="M4" s="48" t="s">
        <v>63</v>
      </c>
      <c r="N4" s="48" t="s">
        <v>65</v>
      </c>
      <c r="O4" s="48" t="s">
        <v>67</v>
      </c>
      <c r="P4" s="48" t="s">
        <v>69</v>
      </c>
      <c r="Q4" s="48" t="s">
        <v>71</v>
      </c>
      <c r="R4" s="48" t="s">
        <v>73</v>
      </c>
      <c r="S4" s="48" t="s">
        <v>75</v>
      </c>
      <c r="T4" s="48" t="s">
        <v>77</v>
      </c>
      <c r="U4" s="48" t="s">
        <v>79</v>
      </c>
      <c r="V4" s="48" t="s">
        <v>81</v>
      </c>
      <c r="W4" s="48" t="s">
        <v>82</v>
      </c>
      <c r="X4" s="48" t="s">
        <v>83</v>
      </c>
      <c r="Y4" s="48" t="s">
        <v>85</v>
      </c>
      <c r="Z4" s="48" t="s">
        <v>87</v>
      </c>
      <c r="AA4" s="48" t="s">
        <v>89</v>
      </c>
      <c r="AB4" s="48" t="s">
        <v>90</v>
      </c>
      <c r="AC4" s="48" t="s">
        <v>92</v>
      </c>
      <c r="AD4" s="48" t="s">
        <v>94</v>
      </c>
      <c r="AE4" s="48" t="s">
        <v>96</v>
      </c>
      <c r="AF4" s="48" t="s">
        <v>98</v>
      </c>
      <c r="AG4" s="48" t="s">
        <v>100</v>
      </c>
      <c r="AH4" s="48" t="s">
        <v>102</v>
      </c>
      <c r="AI4" s="48" t="s">
        <v>103</v>
      </c>
      <c r="AJ4" s="48" t="s">
        <v>105</v>
      </c>
      <c r="AK4" s="48" t="s">
        <v>107</v>
      </c>
      <c r="AL4" s="48" t="s">
        <v>108</v>
      </c>
      <c r="AM4" s="48" t="s">
        <v>110</v>
      </c>
      <c r="AN4" s="48" t="s">
        <v>112</v>
      </c>
      <c r="AO4" s="48" t="s">
        <v>114</v>
      </c>
      <c r="AP4" s="48" t="s">
        <v>116</v>
      </c>
      <c r="AQ4" s="48" t="s">
        <v>118</v>
      </c>
      <c r="AR4" s="48" t="s">
        <v>120</v>
      </c>
      <c r="AS4" s="48" t="s">
        <v>122</v>
      </c>
      <c r="AT4" s="48" t="s">
        <v>124</v>
      </c>
      <c r="AU4" s="48" t="s">
        <v>126</v>
      </c>
      <c r="AV4" s="48" t="s">
        <v>128</v>
      </c>
      <c r="AW4" s="48" t="s">
        <v>130</v>
      </c>
      <c r="AX4" s="48" t="s">
        <v>131</v>
      </c>
      <c r="AY4" s="48" t="s">
        <v>133</v>
      </c>
      <c r="AZ4" s="48" t="s">
        <v>135</v>
      </c>
      <c r="BA4" s="48" t="s">
        <v>136</v>
      </c>
      <c r="BB4" s="48" t="s">
        <v>138</v>
      </c>
      <c r="BC4" s="48" t="s">
        <v>140</v>
      </c>
      <c r="BD4" s="48" t="s">
        <v>142</v>
      </c>
      <c r="BE4" s="48" t="s">
        <v>144</v>
      </c>
      <c r="BF4" s="48" t="s">
        <v>146</v>
      </c>
      <c r="BG4" s="48" t="s">
        <v>148</v>
      </c>
      <c r="BH4" s="48" t="s">
        <v>150</v>
      </c>
      <c r="BI4" s="48" t="s">
        <v>152</v>
      </c>
      <c r="BJ4" s="48" t="s">
        <v>154</v>
      </c>
      <c r="BK4" s="48" t="s">
        <v>156</v>
      </c>
      <c r="BL4" s="48" t="s">
        <v>158</v>
      </c>
      <c r="BM4" s="48" t="s">
        <v>160</v>
      </c>
      <c r="BN4" s="48" t="s">
        <v>162</v>
      </c>
      <c r="BO4" s="48" t="s">
        <v>164</v>
      </c>
      <c r="BP4" s="48" t="s">
        <v>166</v>
      </c>
      <c r="BQ4" s="48" t="s">
        <v>168</v>
      </c>
      <c r="BR4" s="48" t="s">
        <v>170</v>
      </c>
      <c r="BS4" s="48" t="s">
        <v>172</v>
      </c>
      <c r="BT4" s="48" t="s">
        <v>174</v>
      </c>
      <c r="BU4" s="48" t="s">
        <v>176</v>
      </c>
      <c r="BV4" s="48" t="s">
        <v>178</v>
      </c>
      <c r="BW4" s="48" t="s">
        <v>180</v>
      </c>
      <c r="BX4" s="48" t="s">
        <v>182</v>
      </c>
      <c r="BY4" s="48" t="s">
        <v>184</v>
      </c>
      <c r="BZ4" s="48" t="s">
        <v>186</v>
      </c>
      <c r="CA4" s="48" t="s">
        <v>188</v>
      </c>
      <c r="CB4" s="48" t="s">
        <v>190</v>
      </c>
      <c r="CC4" s="48" t="s">
        <v>192</v>
      </c>
      <c r="CD4" s="48" t="s">
        <v>194</v>
      </c>
      <c r="CE4" s="48" t="s">
        <v>196</v>
      </c>
      <c r="CF4" s="48" t="s">
        <v>198</v>
      </c>
      <c r="CG4" s="48" t="s">
        <v>200</v>
      </c>
      <c r="CH4" s="48" t="s">
        <v>202</v>
      </c>
      <c r="CI4" s="48" t="s">
        <v>204</v>
      </c>
      <c r="CJ4" s="48" t="s">
        <v>206</v>
      </c>
      <c r="CK4" s="48" t="s">
        <v>208</v>
      </c>
      <c r="CL4" s="48" t="s">
        <v>209</v>
      </c>
      <c r="CM4" s="48" t="s">
        <v>211</v>
      </c>
      <c r="CN4" s="48" t="s">
        <v>212</v>
      </c>
    </row>
    <row r="5" spans="1:92">
      <c r="A5" s="121" t="s">
        <v>573</v>
      </c>
      <c r="C5" s="47" t="s">
        <v>0</v>
      </c>
      <c r="D5" s="49">
        <v>0</v>
      </c>
      <c r="E5" s="49">
        <v>508.95100000000002</v>
      </c>
      <c r="F5" s="49">
        <v>481.59199999999998</v>
      </c>
      <c r="G5" s="49">
        <v>239.52199999999999</v>
      </c>
      <c r="H5" s="49">
        <v>394.28100000000001</v>
      </c>
      <c r="I5" s="49">
        <v>407.28199999999998</v>
      </c>
      <c r="J5" s="49">
        <v>398.971</v>
      </c>
      <c r="K5" s="49">
        <v>407.28100000000001</v>
      </c>
      <c r="L5" s="49">
        <v>378.351</v>
      </c>
      <c r="M5" s="49">
        <v>365.96100000000001</v>
      </c>
      <c r="N5" s="49">
        <v>413.541</v>
      </c>
      <c r="O5" s="49">
        <v>349.26100000000002</v>
      </c>
      <c r="P5" s="49">
        <v>336.80099999999999</v>
      </c>
      <c r="Q5" s="49">
        <v>366.06200000000001</v>
      </c>
      <c r="R5" s="49">
        <v>333.17099999999999</v>
      </c>
      <c r="S5" s="49">
        <v>353.952</v>
      </c>
      <c r="T5" s="49">
        <v>360.72300000000001</v>
      </c>
      <c r="U5" s="49">
        <v>330.601</v>
      </c>
      <c r="V5" s="49">
        <v>333.17200000000003</v>
      </c>
      <c r="W5" s="49">
        <v>360.72199999999998</v>
      </c>
      <c r="X5" s="49">
        <v>328.39100000000002</v>
      </c>
      <c r="Y5" s="49">
        <v>316.96100000000001</v>
      </c>
      <c r="Z5" s="49">
        <v>340.69200000000001</v>
      </c>
      <c r="AA5" s="49">
        <v>340.69099999999997</v>
      </c>
      <c r="AB5" s="49">
        <v>292.36099999999999</v>
      </c>
      <c r="AC5" s="49">
        <v>258.42099999999999</v>
      </c>
      <c r="AD5" s="49">
        <v>245.74100000000001</v>
      </c>
      <c r="AE5" s="49">
        <v>239.17099999999999</v>
      </c>
      <c r="AF5" s="49">
        <v>239.52099999999999</v>
      </c>
      <c r="AG5" s="49">
        <v>249.43100000000001</v>
      </c>
      <c r="AH5" s="49">
        <v>249.541</v>
      </c>
      <c r="AI5" s="49">
        <v>262.61099999999999</v>
      </c>
      <c r="AJ5" s="49">
        <v>229.70099999999999</v>
      </c>
      <c r="AK5" s="49">
        <v>262.61200000000002</v>
      </c>
      <c r="AL5" s="49">
        <v>252.971</v>
      </c>
      <c r="AM5" s="49">
        <v>262.89100000000002</v>
      </c>
      <c r="AN5" s="49">
        <v>258.80099999999999</v>
      </c>
      <c r="AO5" s="49">
        <v>264.45100000000002</v>
      </c>
      <c r="AP5" s="49">
        <v>278.11099999999999</v>
      </c>
      <c r="AQ5" s="49">
        <v>285.21100000000001</v>
      </c>
      <c r="AR5" s="49">
        <v>290.05099999999999</v>
      </c>
      <c r="AS5" s="49">
        <v>295.041</v>
      </c>
      <c r="AT5" s="49">
        <v>311.37099999999998</v>
      </c>
      <c r="AU5" s="49">
        <v>318.45100000000002</v>
      </c>
      <c r="AV5" s="49">
        <v>331.27199999999999</v>
      </c>
      <c r="AW5" s="49">
        <v>331.27100000000002</v>
      </c>
      <c r="AX5" s="49">
        <v>335.791</v>
      </c>
      <c r="AY5" s="49">
        <v>344.55200000000002</v>
      </c>
      <c r="AZ5" s="49">
        <v>344.55099999999999</v>
      </c>
      <c r="BA5" s="49">
        <v>357.71100000000001</v>
      </c>
      <c r="BB5" s="49">
        <v>375.27100000000002</v>
      </c>
      <c r="BC5" s="49">
        <v>389.661</v>
      </c>
      <c r="BD5" s="49">
        <v>386.92099999999999</v>
      </c>
      <c r="BE5" s="49">
        <v>391.61099999999999</v>
      </c>
      <c r="BF5" s="49">
        <v>397.971</v>
      </c>
      <c r="BG5" s="49">
        <v>407.46100000000001</v>
      </c>
      <c r="BH5" s="49">
        <v>438.77100000000002</v>
      </c>
      <c r="BI5" s="49">
        <v>417.76100000000002</v>
      </c>
      <c r="BJ5" s="49">
        <v>426.851</v>
      </c>
      <c r="BK5" s="49">
        <v>440.98099999999999</v>
      </c>
      <c r="BL5" s="49">
        <v>448.86099999999999</v>
      </c>
      <c r="BM5" s="49">
        <v>476.43099999999998</v>
      </c>
      <c r="BN5" s="49">
        <v>474.33100000000002</v>
      </c>
      <c r="BO5" s="49">
        <v>504.17099999999999</v>
      </c>
      <c r="BP5" s="49">
        <v>0.24099999999999999</v>
      </c>
      <c r="BQ5" s="49">
        <v>103.621</v>
      </c>
      <c r="BR5" s="49">
        <v>126.211</v>
      </c>
      <c r="BS5" s="49">
        <v>131.27099999999999</v>
      </c>
      <c r="BT5" s="49">
        <v>146.101</v>
      </c>
      <c r="BU5" s="49">
        <v>164.28100000000001</v>
      </c>
      <c r="BV5" s="49">
        <v>183.321</v>
      </c>
      <c r="BW5" s="49">
        <v>216.55099999999999</v>
      </c>
      <c r="BX5" s="49">
        <v>71.540999999999997</v>
      </c>
      <c r="BY5" s="49">
        <v>111.401</v>
      </c>
      <c r="BZ5" s="49">
        <v>136.27099999999999</v>
      </c>
      <c r="CA5" s="49">
        <v>183.37100000000001</v>
      </c>
      <c r="CB5" s="49">
        <v>194.15100000000001</v>
      </c>
      <c r="CC5" s="49">
        <v>233.68100000000001</v>
      </c>
      <c r="CD5" s="49">
        <v>317.791</v>
      </c>
      <c r="CE5" s="49">
        <v>327.33100000000002</v>
      </c>
      <c r="CF5" s="49">
        <v>334.37099999999998</v>
      </c>
      <c r="CG5" s="49">
        <v>328.49099999999999</v>
      </c>
      <c r="CH5" s="49">
        <v>310.01100000000002</v>
      </c>
      <c r="CI5" s="49">
        <v>399.62099999999998</v>
      </c>
      <c r="CJ5" s="49">
        <v>474.50099999999998</v>
      </c>
      <c r="CK5" s="49">
        <v>474.50200000000001</v>
      </c>
      <c r="CL5" s="49">
        <v>475.822</v>
      </c>
      <c r="CM5" s="49">
        <v>474.50200000000001</v>
      </c>
      <c r="CN5" s="49">
        <v>481.59100000000001</v>
      </c>
    </row>
    <row r="6" spans="1:92">
      <c r="A6" s="120"/>
      <c r="C6" s="47" t="s">
        <v>215</v>
      </c>
      <c r="D6" s="49">
        <v>508.95100000000002</v>
      </c>
      <c r="E6" s="49">
        <v>0</v>
      </c>
      <c r="F6" s="49">
        <v>549.62099999999998</v>
      </c>
      <c r="G6" s="49">
        <v>307.55099999999999</v>
      </c>
      <c r="H6" s="49">
        <v>462.31</v>
      </c>
      <c r="I6" s="49">
        <v>475.31099999999998</v>
      </c>
      <c r="J6" s="49">
        <v>467</v>
      </c>
      <c r="K6" s="49">
        <v>475.31</v>
      </c>
      <c r="L6" s="49">
        <v>446.38</v>
      </c>
      <c r="M6" s="49">
        <v>433.99</v>
      </c>
      <c r="N6" s="49">
        <v>481.57</v>
      </c>
      <c r="O6" s="49">
        <v>417.29</v>
      </c>
      <c r="P6" s="49">
        <v>404.83</v>
      </c>
      <c r="Q6" s="49">
        <v>434.09100000000001</v>
      </c>
      <c r="R6" s="49">
        <v>401.2</v>
      </c>
      <c r="S6" s="49">
        <v>421.98099999999999</v>
      </c>
      <c r="T6" s="49">
        <v>428.75200000000001</v>
      </c>
      <c r="U6" s="49">
        <v>398.63</v>
      </c>
      <c r="V6" s="49">
        <v>401.20100000000002</v>
      </c>
      <c r="W6" s="49">
        <v>428.75099999999998</v>
      </c>
      <c r="X6" s="49">
        <v>396.42</v>
      </c>
      <c r="Y6" s="49">
        <v>384.99</v>
      </c>
      <c r="Z6" s="49">
        <v>408.721</v>
      </c>
      <c r="AA6" s="49">
        <v>408.72</v>
      </c>
      <c r="AB6" s="49">
        <v>360.39</v>
      </c>
      <c r="AC6" s="49">
        <v>326.45</v>
      </c>
      <c r="AD6" s="49">
        <v>313.77</v>
      </c>
      <c r="AE6" s="49">
        <v>307.2</v>
      </c>
      <c r="AF6" s="49">
        <v>307.55</v>
      </c>
      <c r="AG6" s="49">
        <v>317.45999999999998</v>
      </c>
      <c r="AH6" s="49">
        <v>317.57</v>
      </c>
      <c r="AI6" s="49">
        <v>330.64</v>
      </c>
      <c r="AJ6" s="49">
        <v>279.25</v>
      </c>
      <c r="AK6" s="49">
        <v>330.64100000000002</v>
      </c>
      <c r="AL6" s="49">
        <v>265.12</v>
      </c>
      <c r="AM6" s="49">
        <v>275.04000000000002</v>
      </c>
      <c r="AN6" s="49">
        <v>250.15</v>
      </c>
      <c r="AO6" s="49">
        <v>244.5</v>
      </c>
      <c r="AP6" s="49">
        <v>230.84</v>
      </c>
      <c r="AQ6" s="49">
        <v>223.74</v>
      </c>
      <c r="AR6" s="49">
        <v>218.9</v>
      </c>
      <c r="AS6" s="49">
        <v>213.91</v>
      </c>
      <c r="AT6" s="49">
        <v>197.58</v>
      </c>
      <c r="AU6" s="49">
        <v>190.5</v>
      </c>
      <c r="AV6" s="49">
        <v>191.96100000000001</v>
      </c>
      <c r="AW6" s="49">
        <v>191.96</v>
      </c>
      <c r="AX6" s="49">
        <v>173.16</v>
      </c>
      <c r="AY6" s="49">
        <v>164.40100000000001</v>
      </c>
      <c r="AZ6" s="49">
        <v>164.4</v>
      </c>
      <c r="BA6" s="49">
        <v>151.24</v>
      </c>
      <c r="BB6" s="49">
        <v>133.68</v>
      </c>
      <c r="BC6" s="49">
        <v>136.16999999999999</v>
      </c>
      <c r="BD6" s="49">
        <v>133.43</v>
      </c>
      <c r="BE6" s="49">
        <v>131.36000000000001</v>
      </c>
      <c r="BF6" s="49">
        <v>110.98</v>
      </c>
      <c r="BG6" s="49">
        <v>101.49</v>
      </c>
      <c r="BH6" s="49">
        <v>117.66</v>
      </c>
      <c r="BI6" s="49">
        <v>91.19</v>
      </c>
      <c r="BJ6" s="49">
        <v>82.1</v>
      </c>
      <c r="BK6" s="49">
        <v>80.97</v>
      </c>
      <c r="BL6" s="49">
        <v>60.09</v>
      </c>
      <c r="BM6" s="49">
        <v>71.680000000000007</v>
      </c>
      <c r="BN6" s="49">
        <v>34.619999999999997</v>
      </c>
      <c r="BO6" s="49">
        <v>4.78</v>
      </c>
      <c r="BP6" s="49">
        <v>508.71</v>
      </c>
      <c r="BQ6" s="49">
        <v>405.33</v>
      </c>
      <c r="BR6" s="49">
        <v>382.74</v>
      </c>
      <c r="BS6" s="49">
        <v>387.8</v>
      </c>
      <c r="BT6" s="49">
        <v>362.85</v>
      </c>
      <c r="BU6" s="49">
        <v>344.67</v>
      </c>
      <c r="BV6" s="49">
        <v>325.63</v>
      </c>
      <c r="BW6" s="49">
        <v>292.39999999999998</v>
      </c>
      <c r="BX6" s="49">
        <v>481.29</v>
      </c>
      <c r="BY6" s="49">
        <v>480.47</v>
      </c>
      <c r="BZ6" s="49">
        <v>455.6</v>
      </c>
      <c r="CA6" s="49">
        <v>408.5</v>
      </c>
      <c r="CB6" s="49">
        <v>397.72</v>
      </c>
      <c r="CC6" s="49">
        <v>358.19</v>
      </c>
      <c r="CD6" s="49">
        <v>236.66</v>
      </c>
      <c r="CE6" s="49">
        <v>246.2</v>
      </c>
      <c r="CF6" s="49">
        <v>257.5</v>
      </c>
      <c r="CG6" s="49">
        <v>279.72000000000003</v>
      </c>
      <c r="CH6" s="49">
        <v>281.86</v>
      </c>
      <c r="CI6" s="49">
        <v>467.65</v>
      </c>
      <c r="CJ6" s="49">
        <v>542.53</v>
      </c>
      <c r="CK6" s="49">
        <v>542.53099999999995</v>
      </c>
      <c r="CL6" s="49">
        <v>543.851</v>
      </c>
      <c r="CM6" s="49">
        <v>542.53099999999995</v>
      </c>
      <c r="CN6" s="49">
        <v>549.62</v>
      </c>
    </row>
    <row r="7" spans="1:92">
      <c r="A7" s="120"/>
      <c r="C7" s="47" t="s">
        <v>217</v>
      </c>
      <c r="D7" s="49">
        <v>481.59199999999998</v>
      </c>
      <c r="E7" s="49">
        <v>549.62099999999998</v>
      </c>
      <c r="F7" s="49">
        <v>0</v>
      </c>
      <c r="G7" s="49">
        <v>280.19200000000001</v>
      </c>
      <c r="H7" s="49">
        <v>87.311000000000007</v>
      </c>
      <c r="I7" s="49">
        <v>113.492</v>
      </c>
      <c r="J7" s="49">
        <v>105.181</v>
      </c>
      <c r="K7" s="49">
        <v>113.491</v>
      </c>
      <c r="L7" s="49">
        <v>103.241</v>
      </c>
      <c r="M7" s="49">
        <v>115.631</v>
      </c>
      <c r="N7" s="49">
        <v>119.751</v>
      </c>
      <c r="O7" s="49">
        <v>132.33099999999999</v>
      </c>
      <c r="P7" s="49">
        <v>144.791</v>
      </c>
      <c r="Q7" s="49">
        <v>181.59200000000001</v>
      </c>
      <c r="R7" s="49">
        <v>148.70099999999999</v>
      </c>
      <c r="S7" s="49">
        <v>169.482</v>
      </c>
      <c r="T7" s="49">
        <v>176.25299999999999</v>
      </c>
      <c r="U7" s="49">
        <v>150.99100000000001</v>
      </c>
      <c r="V7" s="49">
        <v>148.702</v>
      </c>
      <c r="W7" s="49">
        <v>176.25200000000001</v>
      </c>
      <c r="X7" s="49">
        <v>176.06100000000001</v>
      </c>
      <c r="Y7" s="49">
        <v>164.631</v>
      </c>
      <c r="Z7" s="49">
        <v>188.36199999999999</v>
      </c>
      <c r="AA7" s="49">
        <v>188.36099999999999</v>
      </c>
      <c r="AB7" s="49">
        <v>189.23099999999999</v>
      </c>
      <c r="AC7" s="49">
        <v>223.17099999999999</v>
      </c>
      <c r="AD7" s="49">
        <v>235.851</v>
      </c>
      <c r="AE7" s="49">
        <v>242.42099999999999</v>
      </c>
      <c r="AF7" s="49">
        <v>280.19099999999997</v>
      </c>
      <c r="AG7" s="49">
        <v>290.101</v>
      </c>
      <c r="AH7" s="49">
        <v>290.21100000000001</v>
      </c>
      <c r="AI7" s="49">
        <v>303.28100000000001</v>
      </c>
      <c r="AJ7" s="49">
        <v>270.37099999999998</v>
      </c>
      <c r="AK7" s="49">
        <v>303.28199999999998</v>
      </c>
      <c r="AL7" s="49">
        <v>293.64100000000002</v>
      </c>
      <c r="AM7" s="49">
        <v>303.56099999999998</v>
      </c>
      <c r="AN7" s="49">
        <v>299.471</v>
      </c>
      <c r="AO7" s="49">
        <v>305.12099999999998</v>
      </c>
      <c r="AP7" s="49">
        <v>318.78100000000001</v>
      </c>
      <c r="AQ7" s="49">
        <v>325.88099999999997</v>
      </c>
      <c r="AR7" s="49">
        <v>330.721</v>
      </c>
      <c r="AS7" s="49">
        <v>335.71100000000001</v>
      </c>
      <c r="AT7" s="49">
        <v>352.041</v>
      </c>
      <c r="AU7" s="49">
        <v>359.12099999999998</v>
      </c>
      <c r="AV7" s="49">
        <v>371.94200000000001</v>
      </c>
      <c r="AW7" s="49">
        <v>371.94099999999997</v>
      </c>
      <c r="AX7" s="49">
        <v>376.46100000000001</v>
      </c>
      <c r="AY7" s="49">
        <v>385.22199999999998</v>
      </c>
      <c r="AZ7" s="49">
        <v>385.221</v>
      </c>
      <c r="BA7" s="49">
        <v>398.38099999999997</v>
      </c>
      <c r="BB7" s="49">
        <v>415.94099999999997</v>
      </c>
      <c r="BC7" s="49">
        <v>430.33100000000002</v>
      </c>
      <c r="BD7" s="49">
        <v>427.59100000000001</v>
      </c>
      <c r="BE7" s="49">
        <v>432.28100000000001</v>
      </c>
      <c r="BF7" s="49">
        <v>438.64100000000002</v>
      </c>
      <c r="BG7" s="49">
        <v>448.13099999999997</v>
      </c>
      <c r="BH7" s="49">
        <v>479.44099999999997</v>
      </c>
      <c r="BI7" s="49">
        <v>458.43099999999998</v>
      </c>
      <c r="BJ7" s="49">
        <v>467.52100000000002</v>
      </c>
      <c r="BK7" s="49">
        <v>481.65100000000001</v>
      </c>
      <c r="BL7" s="49">
        <v>489.53100000000001</v>
      </c>
      <c r="BM7" s="49">
        <v>517.101</v>
      </c>
      <c r="BN7" s="49">
        <v>515.00099999999998</v>
      </c>
      <c r="BO7" s="49">
        <v>544.84100000000001</v>
      </c>
      <c r="BP7" s="49">
        <v>481.351</v>
      </c>
      <c r="BQ7" s="49">
        <v>377.971</v>
      </c>
      <c r="BR7" s="49">
        <v>355.38099999999997</v>
      </c>
      <c r="BS7" s="49">
        <v>360.44099999999997</v>
      </c>
      <c r="BT7" s="49">
        <v>335.49099999999999</v>
      </c>
      <c r="BU7" s="49">
        <v>317.31099999999998</v>
      </c>
      <c r="BV7" s="49">
        <v>298.27100000000002</v>
      </c>
      <c r="BW7" s="49">
        <v>265.041</v>
      </c>
      <c r="BX7" s="49">
        <v>453.93099999999998</v>
      </c>
      <c r="BY7" s="49">
        <v>493.791</v>
      </c>
      <c r="BZ7" s="49">
        <v>518.66099999999994</v>
      </c>
      <c r="CA7" s="49">
        <v>530.30100000000004</v>
      </c>
      <c r="CB7" s="49">
        <v>519.52099999999996</v>
      </c>
      <c r="CC7" s="49">
        <v>479.99099999999999</v>
      </c>
      <c r="CD7" s="49">
        <v>358.46100000000001</v>
      </c>
      <c r="CE7" s="49">
        <v>368.00099999999998</v>
      </c>
      <c r="CF7" s="49">
        <v>379.30099999999999</v>
      </c>
      <c r="CG7" s="49">
        <v>401.52100000000002</v>
      </c>
      <c r="CH7" s="49">
        <v>403.661</v>
      </c>
      <c r="CI7" s="49">
        <v>81.971000000000004</v>
      </c>
      <c r="CJ7" s="49">
        <v>7.0910000000000002</v>
      </c>
      <c r="CK7" s="49">
        <v>7.0919999999999996</v>
      </c>
      <c r="CL7" s="49">
        <v>8.4120000000000008</v>
      </c>
      <c r="CM7" s="49">
        <v>7.0919999999999996</v>
      </c>
      <c r="CN7" s="49">
        <v>9.9999999999989008E-4</v>
      </c>
    </row>
    <row r="8" spans="1:92">
      <c r="A8" s="120"/>
      <c r="C8" s="47" t="s">
        <v>218</v>
      </c>
      <c r="D8" s="49">
        <v>239.52199999999999</v>
      </c>
      <c r="E8" s="49">
        <v>307.55099999999999</v>
      </c>
      <c r="F8" s="49">
        <v>280.19200000000001</v>
      </c>
      <c r="G8" s="49">
        <v>0</v>
      </c>
      <c r="H8" s="49">
        <v>192.881</v>
      </c>
      <c r="I8" s="49">
        <v>205.88200000000001</v>
      </c>
      <c r="J8" s="49">
        <v>197.571</v>
      </c>
      <c r="K8" s="49">
        <v>205.881</v>
      </c>
      <c r="L8" s="49">
        <v>176.95099999999999</v>
      </c>
      <c r="M8" s="49">
        <v>164.56100000000001</v>
      </c>
      <c r="N8" s="49">
        <v>212.14099999999999</v>
      </c>
      <c r="O8" s="49">
        <v>147.86099999999999</v>
      </c>
      <c r="P8" s="49">
        <v>135.40100000000001</v>
      </c>
      <c r="Q8" s="49">
        <v>164.66200000000001</v>
      </c>
      <c r="R8" s="49">
        <v>131.77099999999999</v>
      </c>
      <c r="S8" s="49">
        <v>152.55199999999999</v>
      </c>
      <c r="T8" s="49">
        <v>159.32300000000001</v>
      </c>
      <c r="U8" s="49">
        <v>129.20099999999999</v>
      </c>
      <c r="V8" s="49">
        <v>131.77199999999999</v>
      </c>
      <c r="W8" s="49">
        <v>159.322</v>
      </c>
      <c r="X8" s="49">
        <v>126.991</v>
      </c>
      <c r="Y8" s="49">
        <v>115.56100000000001</v>
      </c>
      <c r="Z8" s="49">
        <v>139.292</v>
      </c>
      <c r="AA8" s="49">
        <v>139.291</v>
      </c>
      <c r="AB8" s="49">
        <v>90.960999999999999</v>
      </c>
      <c r="AC8" s="49">
        <v>57.021000000000001</v>
      </c>
      <c r="AD8" s="49">
        <v>44.341000000000001</v>
      </c>
      <c r="AE8" s="49">
        <v>37.771000000000001</v>
      </c>
      <c r="AF8" s="49">
        <v>9.9999999999989008E-4</v>
      </c>
      <c r="AG8" s="49">
        <v>9.9109999999999996</v>
      </c>
      <c r="AH8" s="49">
        <v>10.021000000000001</v>
      </c>
      <c r="AI8" s="49">
        <v>23.091000000000001</v>
      </c>
      <c r="AJ8" s="49">
        <v>28.300999999999998</v>
      </c>
      <c r="AK8" s="49">
        <v>23.091999999999999</v>
      </c>
      <c r="AL8" s="49">
        <v>51.570999999999998</v>
      </c>
      <c r="AM8" s="49">
        <v>61.491</v>
      </c>
      <c r="AN8" s="49">
        <v>57.401000000000003</v>
      </c>
      <c r="AO8" s="49">
        <v>63.051000000000002</v>
      </c>
      <c r="AP8" s="49">
        <v>76.710999999999999</v>
      </c>
      <c r="AQ8" s="49">
        <v>83.811000000000007</v>
      </c>
      <c r="AR8" s="49">
        <v>88.650999999999996</v>
      </c>
      <c r="AS8" s="49">
        <v>93.641000000000005</v>
      </c>
      <c r="AT8" s="49">
        <v>109.971</v>
      </c>
      <c r="AU8" s="49">
        <v>117.051</v>
      </c>
      <c r="AV8" s="49">
        <v>129.87200000000001</v>
      </c>
      <c r="AW8" s="49">
        <v>129.87100000000001</v>
      </c>
      <c r="AX8" s="49">
        <v>134.39099999999999</v>
      </c>
      <c r="AY8" s="49">
        <v>143.15199999999999</v>
      </c>
      <c r="AZ8" s="49">
        <v>143.15100000000001</v>
      </c>
      <c r="BA8" s="49">
        <v>156.31100000000001</v>
      </c>
      <c r="BB8" s="49">
        <v>173.87100000000001</v>
      </c>
      <c r="BC8" s="49">
        <v>188.261</v>
      </c>
      <c r="BD8" s="49">
        <v>185.52099999999999</v>
      </c>
      <c r="BE8" s="49">
        <v>190.21100000000001</v>
      </c>
      <c r="BF8" s="49">
        <v>196.571</v>
      </c>
      <c r="BG8" s="49">
        <v>206.06100000000001</v>
      </c>
      <c r="BH8" s="49">
        <v>237.37100000000001</v>
      </c>
      <c r="BI8" s="49">
        <v>216.36099999999999</v>
      </c>
      <c r="BJ8" s="49">
        <v>225.45099999999999</v>
      </c>
      <c r="BK8" s="49">
        <v>239.58099999999999</v>
      </c>
      <c r="BL8" s="49">
        <v>247.46100000000001</v>
      </c>
      <c r="BM8" s="49">
        <v>275.03100000000001</v>
      </c>
      <c r="BN8" s="49">
        <v>272.93099999999998</v>
      </c>
      <c r="BO8" s="49">
        <v>302.77100000000002</v>
      </c>
      <c r="BP8" s="49">
        <v>239.28100000000001</v>
      </c>
      <c r="BQ8" s="49">
        <v>135.90100000000001</v>
      </c>
      <c r="BR8" s="49">
        <v>113.31100000000001</v>
      </c>
      <c r="BS8" s="49">
        <v>118.371</v>
      </c>
      <c r="BT8" s="49">
        <v>93.421000000000006</v>
      </c>
      <c r="BU8" s="49">
        <v>75.241</v>
      </c>
      <c r="BV8" s="49">
        <v>56.201000000000001</v>
      </c>
      <c r="BW8" s="49">
        <v>22.971</v>
      </c>
      <c r="BX8" s="49">
        <v>211.86099999999999</v>
      </c>
      <c r="BY8" s="49">
        <v>251.721</v>
      </c>
      <c r="BZ8" s="49">
        <v>276.59100000000001</v>
      </c>
      <c r="CA8" s="49">
        <v>288.23099999999999</v>
      </c>
      <c r="CB8" s="49">
        <v>277.45100000000002</v>
      </c>
      <c r="CC8" s="49">
        <v>237.92099999999999</v>
      </c>
      <c r="CD8" s="49">
        <v>116.39100000000001</v>
      </c>
      <c r="CE8" s="49">
        <v>125.931</v>
      </c>
      <c r="CF8" s="49">
        <v>137.23099999999999</v>
      </c>
      <c r="CG8" s="49">
        <v>159.45099999999999</v>
      </c>
      <c r="CH8" s="49">
        <v>161.59100000000001</v>
      </c>
      <c r="CI8" s="49">
        <v>198.221</v>
      </c>
      <c r="CJ8" s="49">
        <v>273.101</v>
      </c>
      <c r="CK8" s="49">
        <v>273.10199999999998</v>
      </c>
      <c r="CL8" s="49">
        <v>274.42200000000003</v>
      </c>
      <c r="CM8" s="49">
        <v>273.10199999999998</v>
      </c>
      <c r="CN8" s="49">
        <v>280.19099999999997</v>
      </c>
    </row>
    <row r="9" spans="1:92">
      <c r="A9" s="120"/>
      <c r="C9" s="47" t="s">
        <v>26</v>
      </c>
      <c r="D9" s="49">
        <v>239.523</v>
      </c>
      <c r="E9" s="49">
        <v>307.55200000000002</v>
      </c>
      <c r="F9" s="49">
        <v>280.19299999999998</v>
      </c>
      <c r="G9" s="49">
        <v>9.9999999999989008E-4</v>
      </c>
      <c r="H9" s="49">
        <v>192.88200000000001</v>
      </c>
      <c r="I9" s="49">
        <v>205.88300000000001</v>
      </c>
      <c r="J9" s="49">
        <v>197.572</v>
      </c>
      <c r="K9" s="49">
        <v>205.88200000000001</v>
      </c>
      <c r="L9" s="49">
        <v>176.952</v>
      </c>
      <c r="M9" s="49">
        <v>164.56200000000001</v>
      </c>
      <c r="N9" s="49">
        <v>212.142</v>
      </c>
      <c r="O9" s="49">
        <v>147.86199999999999</v>
      </c>
      <c r="P9" s="49">
        <v>135.40199999999999</v>
      </c>
      <c r="Q9" s="49">
        <v>164.66300000000001</v>
      </c>
      <c r="R9" s="49">
        <v>131.77199999999999</v>
      </c>
      <c r="S9" s="49">
        <v>152.553</v>
      </c>
      <c r="T9" s="49">
        <v>159.32400000000001</v>
      </c>
      <c r="U9" s="49">
        <v>129.202</v>
      </c>
      <c r="V9" s="49">
        <v>131.773</v>
      </c>
      <c r="W9" s="49">
        <v>159.32300000000001</v>
      </c>
      <c r="X9" s="49">
        <v>126.992</v>
      </c>
      <c r="Y9" s="49">
        <v>115.562</v>
      </c>
      <c r="Z9" s="49">
        <v>139.29300000000001</v>
      </c>
      <c r="AA9" s="49">
        <v>139.292</v>
      </c>
      <c r="AB9" s="49">
        <v>90.962000000000003</v>
      </c>
      <c r="AC9" s="49">
        <v>57.021999999999998</v>
      </c>
      <c r="AD9" s="49">
        <v>44.341999999999999</v>
      </c>
      <c r="AE9" s="49">
        <v>37.771999999999998</v>
      </c>
      <c r="AF9" s="49">
        <v>1.9999999999997802E-3</v>
      </c>
      <c r="AG9" s="49">
        <v>9.9120000000000008</v>
      </c>
      <c r="AH9" s="49">
        <v>10.022</v>
      </c>
      <c r="AI9" s="49">
        <v>23.091999999999999</v>
      </c>
      <c r="AJ9" s="49">
        <v>28.302</v>
      </c>
      <c r="AK9" s="49">
        <v>23.093</v>
      </c>
      <c r="AL9" s="49">
        <v>51.572000000000003</v>
      </c>
      <c r="AM9" s="49">
        <v>61.491999999999997</v>
      </c>
      <c r="AN9" s="49">
        <v>57.402000000000001</v>
      </c>
      <c r="AO9" s="49">
        <v>63.052</v>
      </c>
      <c r="AP9" s="49">
        <v>76.712000000000003</v>
      </c>
      <c r="AQ9" s="49">
        <v>83.811999999999998</v>
      </c>
      <c r="AR9" s="49">
        <v>88.652000000000001</v>
      </c>
      <c r="AS9" s="49">
        <v>93.641999999999996</v>
      </c>
      <c r="AT9" s="49">
        <v>109.97199999999999</v>
      </c>
      <c r="AU9" s="49">
        <v>117.05200000000001</v>
      </c>
      <c r="AV9" s="49">
        <v>129.87299999999999</v>
      </c>
      <c r="AW9" s="49">
        <v>129.87200000000001</v>
      </c>
      <c r="AX9" s="49">
        <v>134.392</v>
      </c>
      <c r="AY9" s="49">
        <v>143.15299999999999</v>
      </c>
      <c r="AZ9" s="49">
        <v>143.15199999999999</v>
      </c>
      <c r="BA9" s="49">
        <v>156.31200000000001</v>
      </c>
      <c r="BB9" s="49">
        <v>173.87200000000001</v>
      </c>
      <c r="BC9" s="49">
        <v>188.262</v>
      </c>
      <c r="BD9" s="49">
        <v>185.52199999999999</v>
      </c>
      <c r="BE9" s="49">
        <v>190.21199999999999</v>
      </c>
      <c r="BF9" s="49">
        <v>196.572</v>
      </c>
      <c r="BG9" s="49">
        <v>206.06200000000001</v>
      </c>
      <c r="BH9" s="49">
        <v>237.37200000000001</v>
      </c>
      <c r="BI9" s="49">
        <v>216.36199999999999</v>
      </c>
      <c r="BJ9" s="49">
        <v>225.452</v>
      </c>
      <c r="BK9" s="49">
        <v>239.58199999999999</v>
      </c>
      <c r="BL9" s="49">
        <v>247.46199999999999</v>
      </c>
      <c r="BM9" s="49">
        <v>275.03199999999998</v>
      </c>
      <c r="BN9" s="49">
        <v>272.93200000000002</v>
      </c>
      <c r="BO9" s="49">
        <v>302.77199999999999</v>
      </c>
      <c r="BP9" s="49">
        <v>239.28200000000001</v>
      </c>
      <c r="BQ9" s="49">
        <v>135.90199999999999</v>
      </c>
      <c r="BR9" s="49">
        <v>113.312</v>
      </c>
      <c r="BS9" s="49">
        <v>118.372</v>
      </c>
      <c r="BT9" s="49">
        <v>93.421999999999997</v>
      </c>
      <c r="BU9" s="49">
        <v>75.242000000000004</v>
      </c>
      <c r="BV9" s="49">
        <v>56.201999999999998</v>
      </c>
      <c r="BW9" s="49">
        <v>22.972000000000001</v>
      </c>
      <c r="BX9" s="49">
        <v>211.86199999999999</v>
      </c>
      <c r="BY9" s="49">
        <v>251.72200000000001</v>
      </c>
      <c r="BZ9" s="49">
        <v>276.59199999999998</v>
      </c>
      <c r="CA9" s="49">
        <v>288.23200000000003</v>
      </c>
      <c r="CB9" s="49">
        <v>277.452</v>
      </c>
      <c r="CC9" s="49">
        <v>237.922</v>
      </c>
      <c r="CD9" s="49">
        <v>116.392</v>
      </c>
      <c r="CE9" s="49">
        <v>125.932</v>
      </c>
      <c r="CF9" s="49">
        <v>137.232</v>
      </c>
      <c r="CG9" s="49">
        <v>159.452</v>
      </c>
      <c r="CH9" s="49">
        <v>161.59200000000001</v>
      </c>
      <c r="CI9" s="49">
        <v>198.22200000000001</v>
      </c>
      <c r="CJ9" s="49">
        <v>273.10199999999998</v>
      </c>
      <c r="CK9" s="49">
        <v>273.10300000000001</v>
      </c>
      <c r="CL9" s="49">
        <v>274.423</v>
      </c>
      <c r="CM9" s="49">
        <v>273.10300000000001</v>
      </c>
      <c r="CN9" s="49">
        <v>280.19200000000001</v>
      </c>
    </row>
    <row r="10" spans="1:92"/>
    <row r="11" spans="1:92"/>
    <row r="12" spans="1:92">
      <c r="A12" s="121" t="s">
        <v>570</v>
      </c>
      <c r="C12" s="2" t="s">
        <v>4</v>
      </c>
      <c r="D12" s="41" t="s">
        <v>1</v>
      </c>
      <c r="E12" s="42"/>
      <c r="F12" s="42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4"/>
    </row>
    <row r="13" spans="1:92">
      <c r="A13" s="121"/>
      <c r="C13" s="46" t="s">
        <v>2</v>
      </c>
      <c r="D13" s="48" t="s">
        <v>0</v>
      </c>
      <c r="E13" s="48" t="s">
        <v>215</v>
      </c>
      <c r="F13" s="48" t="s">
        <v>217</v>
      </c>
      <c r="G13" s="48" t="s">
        <v>218</v>
      </c>
      <c r="H13" s="48" t="s">
        <v>54</v>
      </c>
      <c r="I13" s="48" t="s">
        <v>56</v>
      </c>
      <c r="J13" s="48" t="s">
        <v>58</v>
      </c>
      <c r="K13" s="48" t="s">
        <v>60</v>
      </c>
      <c r="L13" s="48" t="s">
        <v>61</v>
      </c>
      <c r="M13" s="48" t="s">
        <v>63</v>
      </c>
      <c r="N13" s="48" t="s">
        <v>65</v>
      </c>
      <c r="O13" s="48" t="s">
        <v>67</v>
      </c>
      <c r="P13" s="48" t="s">
        <v>69</v>
      </c>
      <c r="Q13" s="48" t="s">
        <v>71</v>
      </c>
      <c r="R13" s="48" t="s">
        <v>73</v>
      </c>
      <c r="S13" s="48" t="s">
        <v>75</v>
      </c>
      <c r="T13" s="48" t="s">
        <v>77</v>
      </c>
      <c r="U13" s="48" t="s">
        <v>79</v>
      </c>
      <c r="V13" s="48" t="s">
        <v>81</v>
      </c>
      <c r="W13" s="48" t="s">
        <v>82</v>
      </c>
      <c r="X13" s="48" t="s">
        <v>83</v>
      </c>
      <c r="Y13" s="48" t="s">
        <v>85</v>
      </c>
      <c r="Z13" s="48" t="s">
        <v>87</v>
      </c>
      <c r="AA13" s="48" t="s">
        <v>89</v>
      </c>
      <c r="AB13" s="48" t="s">
        <v>90</v>
      </c>
      <c r="AC13" s="48" t="s">
        <v>92</v>
      </c>
      <c r="AD13" s="48" t="s">
        <v>94</v>
      </c>
      <c r="AE13" s="48" t="s">
        <v>96</v>
      </c>
      <c r="AF13" s="48" t="s">
        <v>98</v>
      </c>
      <c r="AG13" s="48" t="s">
        <v>100</v>
      </c>
      <c r="AH13" s="48" t="s">
        <v>102</v>
      </c>
      <c r="AI13" s="48" t="s">
        <v>103</v>
      </c>
      <c r="AJ13" s="48" t="s">
        <v>105</v>
      </c>
      <c r="AK13" s="48" t="s">
        <v>107</v>
      </c>
      <c r="AL13" s="48" t="s">
        <v>108</v>
      </c>
      <c r="AM13" s="48" t="s">
        <v>110</v>
      </c>
      <c r="AN13" s="48" t="s">
        <v>112</v>
      </c>
      <c r="AO13" s="48" t="s">
        <v>114</v>
      </c>
      <c r="AP13" s="48" t="s">
        <v>116</v>
      </c>
      <c r="AQ13" s="48" t="s">
        <v>118</v>
      </c>
      <c r="AR13" s="48" t="s">
        <v>120</v>
      </c>
      <c r="AS13" s="48" t="s">
        <v>122</v>
      </c>
      <c r="AT13" s="48" t="s">
        <v>124</v>
      </c>
      <c r="AU13" s="48" t="s">
        <v>126</v>
      </c>
      <c r="AV13" s="48" t="s">
        <v>128</v>
      </c>
      <c r="AW13" s="48" t="s">
        <v>130</v>
      </c>
      <c r="AX13" s="48" t="s">
        <v>131</v>
      </c>
      <c r="AY13" s="48" t="s">
        <v>133</v>
      </c>
      <c r="AZ13" s="48" t="s">
        <v>135</v>
      </c>
      <c r="BA13" s="48" t="s">
        <v>136</v>
      </c>
      <c r="BB13" s="48" t="s">
        <v>138</v>
      </c>
      <c r="BC13" s="48" t="s">
        <v>140</v>
      </c>
      <c r="BD13" s="48" t="s">
        <v>142</v>
      </c>
      <c r="BE13" s="48" t="s">
        <v>144</v>
      </c>
      <c r="BF13" s="48" t="s">
        <v>146</v>
      </c>
      <c r="BG13" s="48" t="s">
        <v>148</v>
      </c>
      <c r="BH13" s="48" t="s">
        <v>150</v>
      </c>
      <c r="BI13" s="48" t="s">
        <v>152</v>
      </c>
      <c r="BJ13" s="48" t="s">
        <v>154</v>
      </c>
      <c r="BK13" s="48" t="s">
        <v>156</v>
      </c>
      <c r="BL13" s="48" t="s">
        <v>158</v>
      </c>
      <c r="BM13" s="48" t="s">
        <v>160</v>
      </c>
      <c r="BN13" s="48" t="s">
        <v>162</v>
      </c>
      <c r="BO13" s="48" t="s">
        <v>164</v>
      </c>
      <c r="BP13" s="48" t="s">
        <v>166</v>
      </c>
      <c r="BQ13" s="48" t="s">
        <v>168</v>
      </c>
      <c r="BR13" s="48" t="s">
        <v>170</v>
      </c>
      <c r="BS13" s="48" t="s">
        <v>172</v>
      </c>
      <c r="BT13" s="48" t="s">
        <v>174</v>
      </c>
      <c r="BU13" s="48" t="s">
        <v>176</v>
      </c>
      <c r="BV13" s="48" t="s">
        <v>178</v>
      </c>
      <c r="BW13" s="48" t="s">
        <v>180</v>
      </c>
      <c r="BX13" s="48" t="s">
        <v>182</v>
      </c>
      <c r="BY13" s="48" t="s">
        <v>184</v>
      </c>
      <c r="BZ13" s="48" t="s">
        <v>186</v>
      </c>
      <c r="CA13" s="48" t="s">
        <v>188</v>
      </c>
      <c r="CB13" s="48" t="s">
        <v>190</v>
      </c>
      <c r="CC13" s="48" t="s">
        <v>192</v>
      </c>
      <c r="CD13" s="48" t="s">
        <v>194</v>
      </c>
      <c r="CE13" s="48" t="s">
        <v>196</v>
      </c>
      <c r="CF13" s="48" t="s">
        <v>198</v>
      </c>
      <c r="CG13" s="48" t="s">
        <v>200</v>
      </c>
      <c r="CH13" s="48" t="s">
        <v>202</v>
      </c>
      <c r="CI13" s="48" t="s">
        <v>204</v>
      </c>
      <c r="CJ13" s="48" t="s">
        <v>206</v>
      </c>
      <c r="CK13" s="48" t="s">
        <v>208</v>
      </c>
      <c r="CL13" s="48" t="s">
        <v>209</v>
      </c>
      <c r="CM13" s="48" t="s">
        <v>211</v>
      </c>
      <c r="CN13" s="48" t="s">
        <v>212</v>
      </c>
    </row>
    <row r="14" spans="1:92">
      <c r="A14" s="120"/>
      <c r="C14" s="47" t="s">
        <v>0</v>
      </c>
      <c r="D14" s="49">
        <v>0</v>
      </c>
      <c r="E14" s="49">
        <v>508.95100000000002</v>
      </c>
      <c r="F14" s="49">
        <v>481.59199999999998</v>
      </c>
      <c r="G14" s="49">
        <v>239.52199999999999</v>
      </c>
      <c r="H14" s="49">
        <v>394.28100000000001</v>
      </c>
      <c r="I14" s="49">
        <v>387.69499999999999</v>
      </c>
      <c r="J14" s="49">
        <v>387.69299999999998</v>
      </c>
      <c r="K14" s="49">
        <v>387.69400000000002</v>
      </c>
      <c r="L14" s="49">
        <v>378.351</v>
      </c>
      <c r="M14" s="49">
        <v>365.96100000000001</v>
      </c>
      <c r="N14" s="49">
        <v>387.69400000000002</v>
      </c>
      <c r="O14" s="49">
        <v>349.26100000000002</v>
      </c>
      <c r="P14" s="49">
        <v>336.80099999999999</v>
      </c>
      <c r="Q14" s="49">
        <v>333.03699999999998</v>
      </c>
      <c r="R14" s="49">
        <v>333.03199999999998</v>
      </c>
      <c r="S14" s="49">
        <v>333.03500000000003</v>
      </c>
      <c r="T14" s="49">
        <v>333.03699999999998</v>
      </c>
      <c r="U14" s="49">
        <v>330.601</v>
      </c>
      <c r="V14" s="49">
        <v>333.03300000000002</v>
      </c>
      <c r="W14" s="49">
        <v>333.036</v>
      </c>
      <c r="X14" s="49">
        <v>316.96199999999999</v>
      </c>
      <c r="Y14" s="49">
        <v>316.96100000000001</v>
      </c>
      <c r="Z14" s="49">
        <v>316.964</v>
      </c>
      <c r="AA14" s="49">
        <v>316.96300000000002</v>
      </c>
      <c r="AB14" s="49">
        <v>292.36099999999999</v>
      </c>
      <c r="AC14" s="49">
        <v>258.42099999999999</v>
      </c>
      <c r="AD14" s="49">
        <v>245.74100000000001</v>
      </c>
      <c r="AE14" s="49">
        <v>239.17099999999999</v>
      </c>
      <c r="AF14" s="49">
        <v>239.52099999999999</v>
      </c>
      <c r="AG14" s="49">
        <v>239.52199999999999</v>
      </c>
      <c r="AH14" s="49">
        <v>239.52199999999999</v>
      </c>
      <c r="AI14" s="49">
        <v>239.523</v>
      </c>
      <c r="AJ14" s="49">
        <v>229.70099999999999</v>
      </c>
      <c r="AK14" s="49">
        <v>239.524</v>
      </c>
      <c r="AL14" s="49">
        <v>248.40199999999999</v>
      </c>
      <c r="AM14" s="49">
        <v>248.40299999999999</v>
      </c>
      <c r="AN14" s="49">
        <v>258.80099999999999</v>
      </c>
      <c r="AO14" s="49">
        <v>264.45100000000002</v>
      </c>
      <c r="AP14" s="49">
        <v>278.11099999999999</v>
      </c>
      <c r="AQ14" s="49">
        <v>285.21100000000001</v>
      </c>
      <c r="AR14" s="49">
        <v>290.05099999999999</v>
      </c>
      <c r="AS14" s="49">
        <v>295.041</v>
      </c>
      <c r="AT14" s="49">
        <v>311.37099999999998</v>
      </c>
      <c r="AU14" s="49">
        <v>318.45100000000002</v>
      </c>
      <c r="AV14" s="49">
        <v>324.13299999999998</v>
      </c>
      <c r="AW14" s="49">
        <v>324.13200000000001</v>
      </c>
      <c r="AX14" s="49">
        <v>335.791</v>
      </c>
      <c r="AY14" s="49">
        <v>344.55200000000002</v>
      </c>
      <c r="AZ14" s="49">
        <v>344.55099999999999</v>
      </c>
      <c r="BA14" s="49">
        <v>357.71100000000001</v>
      </c>
      <c r="BB14" s="49">
        <v>375.27100000000002</v>
      </c>
      <c r="BC14" s="49">
        <v>381.22300000000001</v>
      </c>
      <c r="BD14" s="49">
        <v>381.22199999999998</v>
      </c>
      <c r="BE14" s="49">
        <v>384.60199999999998</v>
      </c>
      <c r="BF14" s="49">
        <v>397.971</v>
      </c>
      <c r="BG14" s="49">
        <v>407.46100000000001</v>
      </c>
      <c r="BH14" s="49">
        <v>415.03300000000002</v>
      </c>
      <c r="BI14" s="49">
        <v>417.76100000000002</v>
      </c>
      <c r="BJ14" s="49">
        <v>426.851</v>
      </c>
      <c r="BK14" s="49">
        <v>434.48200000000003</v>
      </c>
      <c r="BL14" s="49">
        <v>448.86099999999999</v>
      </c>
      <c r="BM14" s="49">
        <v>456.85300000000001</v>
      </c>
      <c r="BN14" s="49">
        <v>474.33100000000002</v>
      </c>
      <c r="BO14" s="49">
        <v>504.17099999999999</v>
      </c>
      <c r="BP14" s="49">
        <v>0.24099999999999999</v>
      </c>
      <c r="BQ14" s="49">
        <v>103.621</v>
      </c>
      <c r="BR14" s="49">
        <v>126.211</v>
      </c>
      <c r="BS14" s="49">
        <v>126.212</v>
      </c>
      <c r="BT14" s="49">
        <v>146.101</v>
      </c>
      <c r="BU14" s="49">
        <v>164.28100000000001</v>
      </c>
      <c r="BV14" s="49">
        <v>183.321</v>
      </c>
      <c r="BW14" s="49">
        <v>216.55099999999999</v>
      </c>
      <c r="BX14" s="49">
        <v>67.292000000000002</v>
      </c>
      <c r="BY14" s="49">
        <v>111.401</v>
      </c>
      <c r="BZ14" s="49">
        <v>136.27099999999999</v>
      </c>
      <c r="CA14" s="49">
        <v>183.37100000000001</v>
      </c>
      <c r="CB14" s="49">
        <v>194.15100000000001</v>
      </c>
      <c r="CC14" s="49">
        <v>233.68100000000001</v>
      </c>
      <c r="CD14" s="49">
        <v>317.791</v>
      </c>
      <c r="CE14" s="49">
        <v>327.33100000000002</v>
      </c>
      <c r="CF14" s="49">
        <v>334.37099999999998</v>
      </c>
      <c r="CG14" s="49">
        <v>320.322</v>
      </c>
      <c r="CH14" s="49">
        <v>310.01100000000002</v>
      </c>
      <c r="CI14" s="49">
        <v>399.62099999999998</v>
      </c>
      <c r="CJ14" s="49">
        <v>474.50099999999998</v>
      </c>
      <c r="CK14" s="49">
        <v>474.50200000000001</v>
      </c>
      <c r="CL14" s="49">
        <v>474.50400000000002</v>
      </c>
      <c r="CM14" s="49">
        <v>474.50200000000001</v>
      </c>
      <c r="CN14" s="49">
        <v>481.59100000000001</v>
      </c>
    </row>
    <row r="15" spans="1:92">
      <c r="A15" s="120"/>
      <c r="C15" s="47" t="s">
        <v>215</v>
      </c>
      <c r="D15" s="49">
        <v>508.95100000000002</v>
      </c>
      <c r="E15" s="49">
        <v>0</v>
      </c>
      <c r="F15" s="49">
        <v>549.62099999999998</v>
      </c>
      <c r="G15" s="49">
        <v>307.55099999999999</v>
      </c>
      <c r="H15" s="49">
        <v>462.31</v>
      </c>
      <c r="I15" s="49">
        <v>455.72399999999999</v>
      </c>
      <c r="J15" s="49">
        <v>455.72199999999998</v>
      </c>
      <c r="K15" s="49">
        <v>455.72300000000001</v>
      </c>
      <c r="L15" s="49">
        <v>446.38</v>
      </c>
      <c r="M15" s="49">
        <v>433.99</v>
      </c>
      <c r="N15" s="49">
        <v>455.72300000000001</v>
      </c>
      <c r="O15" s="49">
        <v>417.29</v>
      </c>
      <c r="P15" s="49">
        <v>404.83</v>
      </c>
      <c r="Q15" s="49">
        <v>401.06599999999997</v>
      </c>
      <c r="R15" s="49">
        <v>401.06099999999998</v>
      </c>
      <c r="S15" s="49">
        <v>401.06400000000002</v>
      </c>
      <c r="T15" s="49">
        <v>401.06599999999997</v>
      </c>
      <c r="U15" s="49">
        <v>398.63</v>
      </c>
      <c r="V15" s="49">
        <v>401.06200000000001</v>
      </c>
      <c r="W15" s="49">
        <v>401.065</v>
      </c>
      <c r="X15" s="49">
        <v>384.99099999999999</v>
      </c>
      <c r="Y15" s="49">
        <v>384.99</v>
      </c>
      <c r="Z15" s="49">
        <v>384.99299999999999</v>
      </c>
      <c r="AA15" s="49">
        <v>384.99200000000002</v>
      </c>
      <c r="AB15" s="49">
        <v>360.39</v>
      </c>
      <c r="AC15" s="49">
        <v>326.45</v>
      </c>
      <c r="AD15" s="49">
        <v>313.77</v>
      </c>
      <c r="AE15" s="49">
        <v>307.2</v>
      </c>
      <c r="AF15" s="49">
        <v>307.55</v>
      </c>
      <c r="AG15" s="49">
        <v>307.55099999999999</v>
      </c>
      <c r="AH15" s="49">
        <v>307.55099999999999</v>
      </c>
      <c r="AI15" s="49">
        <v>307.55200000000002</v>
      </c>
      <c r="AJ15" s="49">
        <v>279.25</v>
      </c>
      <c r="AK15" s="49">
        <v>307.553</v>
      </c>
      <c r="AL15" s="49">
        <v>260.55099999999999</v>
      </c>
      <c r="AM15" s="49">
        <v>260.55200000000002</v>
      </c>
      <c r="AN15" s="49">
        <v>250.15</v>
      </c>
      <c r="AO15" s="49">
        <v>244.5</v>
      </c>
      <c r="AP15" s="49">
        <v>230.84</v>
      </c>
      <c r="AQ15" s="49">
        <v>223.74</v>
      </c>
      <c r="AR15" s="49">
        <v>218.9</v>
      </c>
      <c r="AS15" s="49">
        <v>213.91</v>
      </c>
      <c r="AT15" s="49">
        <v>197.58</v>
      </c>
      <c r="AU15" s="49">
        <v>190.5</v>
      </c>
      <c r="AV15" s="49">
        <v>184.822</v>
      </c>
      <c r="AW15" s="49">
        <v>184.821</v>
      </c>
      <c r="AX15" s="49">
        <v>173.16</v>
      </c>
      <c r="AY15" s="49">
        <v>164.40100000000001</v>
      </c>
      <c r="AZ15" s="49">
        <v>164.4</v>
      </c>
      <c r="BA15" s="49">
        <v>151.24</v>
      </c>
      <c r="BB15" s="49">
        <v>133.68</v>
      </c>
      <c r="BC15" s="49">
        <v>127.732</v>
      </c>
      <c r="BD15" s="49">
        <v>127.73099999999999</v>
      </c>
      <c r="BE15" s="49">
        <v>124.351</v>
      </c>
      <c r="BF15" s="49">
        <v>110.98</v>
      </c>
      <c r="BG15" s="49">
        <v>101.49</v>
      </c>
      <c r="BH15" s="49">
        <v>93.921999999999997</v>
      </c>
      <c r="BI15" s="49">
        <v>91.19</v>
      </c>
      <c r="BJ15" s="49">
        <v>82.1</v>
      </c>
      <c r="BK15" s="49">
        <v>74.471000000000004</v>
      </c>
      <c r="BL15" s="49">
        <v>60.09</v>
      </c>
      <c r="BM15" s="49">
        <v>52.101999999999997</v>
      </c>
      <c r="BN15" s="49">
        <v>34.619999999999997</v>
      </c>
      <c r="BO15" s="49">
        <v>4.78</v>
      </c>
      <c r="BP15" s="49">
        <v>508.71</v>
      </c>
      <c r="BQ15" s="49">
        <v>405.33</v>
      </c>
      <c r="BR15" s="49">
        <v>382.74</v>
      </c>
      <c r="BS15" s="49">
        <v>382.74099999999999</v>
      </c>
      <c r="BT15" s="49">
        <v>362.85</v>
      </c>
      <c r="BU15" s="49">
        <v>344.67</v>
      </c>
      <c r="BV15" s="49">
        <v>325.63</v>
      </c>
      <c r="BW15" s="49">
        <v>292.39999999999998</v>
      </c>
      <c r="BX15" s="49">
        <v>477.041</v>
      </c>
      <c r="BY15" s="49">
        <v>480.47</v>
      </c>
      <c r="BZ15" s="49">
        <v>455.6</v>
      </c>
      <c r="CA15" s="49">
        <v>408.5</v>
      </c>
      <c r="CB15" s="49">
        <v>397.72</v>
      </c>
      <c r="CC15" s="49">
        <v>358.19</v>
      </c>
      <c r="CD15" s="49">
        <v>236.66</v>
      </c>
      <c r="CE15" s="49">
        <v>246.2</v>
      </c>
      <c r="CF15" s="49">
        <v>257.5</v>
      </c>
      <c r="CG15" s="49">
        <v>271.55099999999999</v>
      </c>
      <c r="CH15" s="49">
        <v>281.86</v>
      </c>
      <c r="CI15" s="49">
        <v>467.65</v>
      </c>
      <c r="CJ15" s="49">
        <v>542.53</v>
      </c>
      <c r="CK15" s="49">
        <v>542.53099999999995</v>
      </c>
      <c r="CL15" s="49">
        <v>542.53300000000002</v>
      </c>
      <c r="CM15" s="49">
        <v>542.53099999999995</v>
      </c>
      <c r="CN15" s="49">
        <v>549.62</v>
      </c>
    </row>
    <row r="16" spans="1:92">
      <c r="A16" s="120"/>
      <c r="C16" s="47" t="s">
        <v>217</v>
      </c>
      <c r="D16" s="49">
        <v>481.59199999999998</v>
      </c>
      <c r="E16" s="49">
        <v>549.62099999999998</v>
      </c>
      <c r="F16" s="49">
        <v>0</v>
      </c>
      <c r="G16" s="49">
        <v>280.19200000000001</v>
      </c>
      <c r="H16" s="49">
        <v>87.311000000000007</v>
      </c>
      <c r="I16" s="49">
        <v>93.905000000000001</v>
      </c>
      <c r="J16" s="49">
        <v>93.903000000000006</v>
      </c>
      <c r="K16" s="49">
        <v>93.903999999999996</v>
      </c>
      <c r="L16" s="49">
        <v>103.241</v>
      </c>
      <c r="M16" s="49">
        <v>115.631</v>
      </c>
      <c r="N16" s="49">
        <v>93.903999999999996</v>
      </c>
      <c r="O16" s="49">
        <v>132.33099999999999</v>
      </c>
      <c r="P16" s="49">
        <v>144.791</v>
      </c>
      <c r="Q16" s="49">
        <v>148.56700000000001</v>
      </c>
      <c r="R16" s="49">
        <v>148.56200000000001</v>
      </c>
      <c r="S16" s="49">
        <v>148.565</v>
      </c>
      <c r="T16" s="49">
        <v>148.56700000000001</v>
      </c>
      <c r="U16" s="49">
        <v>150.99100000000001</v>
      </c>
      <c r="V16" s="49">
        <v>148.56299999999999</v>
      </c>
      <c r="W16" s="49">
        <v>148.566</v>
      </c>
      <c r="X16" s="49">
        <v>164.63200000000001</v>
      </c>
      <c r="Y16" s="49">
        <v>164.631</v>
      </c>
      <c r="Z16" s="49">
        <v>164.63399999999999</v>
      </c>
      <c r="AA16" s="49">
        <v>164.63300000000001</v>
      </c>
      <c r="AB16" s="49">
        <v>189.23099999999999</v>
      </c>
      <c r="AC16" s="49">
        <v>223.17099999999999</v>
      </c>
      <c r="AD16" s="49">
        <v>235.851</v>
      </c>
      <c r="AE16" s="49">
        <v>242.42099999999999</v>
      </c>
      <c r="AF16" s="49">
        <v>280.19099999999997</v>
      </c>
      <c r="AG16" s="49">
        <v>280.19200000000001</v>
      </c>
      <c r="AH16" s="49">
        <v>280.19200000000001</v>
      </c>
      <c r="AI16" s="49">
        <v>280.19299999999998</v>
      </c>
      <c r="AJ16" s="49">
        <v>270.37099999999998</v>
      </c>
      <c r="AK16" s="49">
        <v>280.19400000000002</v>
      </c>
      <c r="AL16" s="49">
        <v>289.072</v>
      </c>
      <c r="AM16" s="49">
        <v>289.07299999999998</v>
      </c>
      <c r="AN16" s="49">
        <v>299.471</v>
      </c>
      <c r="AO16" s="49">
        <v>305.12099999999998</v>
      </c>
      <c r="AP16" s="49">
        <v>318.78100000000001</v>
      </c>
      <c r="AQ16" s="49">
        <v>325.88099999999997</v>
      </c>
      <c r="AR16" s="49">
        <v>330.721</v>
      </c>
      <c r="AS16" s="49">
        <v>335.71100000000001</v>
      </c>
      <c r="AT16" s="49">
        <v>352.041</v>
      </c>
      <c r="AU16" s="49">
        <v>359.12099999999998</v>
      </c>
      <c r="AV16" s="49">
        <v>364.803</v>
      </c>
      <c r="AW16" s="49">
        <v>364.80200000000002</v>
      </c>
      <c r="AX16" s="49">
        <v>376.46100000000001</v>
      </c>
      <c r="AY16" s="49">
        <v>385.22199999999998</v>
      </c>
      <c r="AZ16" s="49">
        <v>385.221</v>
      </c>
      <c r="BA16" s="49">
        <v>398.38099999999997</v>
      </c>
      <c r="BB16" s="49">
        <v>415.94099999999997</v>
      </c>
      <c r="BC16" s="49">
        <v>421.89299999999997</v>
      </c>
      <c r="BD16" s="49">
        <v>421.892</v>
      </c>
      <c r="BE16" s="49">
        <v>425.27199999999999</v>
      </c>
      <c r="BF16" s="49">
        <v>438.64100000000002</v>
      </c>
      <c r="BG16" s="49">
        <v>448.13099999999997</v>
      </c>
      <c r="BH16" s="49">
        <v>455.70299999999997</v>
      </c>
      <c r="BI16" s="49">
        <v>458.43099999999998</v>
      </c>
      <c r="BJ16" s="49">
        <v>467.52100000000002</v>
      </c>
      <c r="BK16" s="49">
        <v>475.15199999999999</v>
      </c>
      <c r="BL16" s="49">
        <v>489.53100000000001</v>
      </c>
      <c r="BM16" s="49">
        <v>497.52300000000002</v>
      </c>
      <c r="BN16" s="49">
        <v>515.00099999999998</v>
      </c>
      <c r="BO16" s="49">
        <v>544.84100000000001</v>
      </c>
      <c r="BP16" s="49">
        <v>481.351</v>
      </c>
      <c r="BQ16" s="49">
        <v>377.971</v>
      </c>
      <c r="BR16" s="49">
        <v>355.38099999999997</v>
      </c>
      <c r="BS16" s="49">
        <v>355.38200000000001</v>
      </c>
      <c r="BT16" s="49">
        <v>335.49099999999999</v>
      </c>
      <c r="BU16" s="49">
        <v>317.31099999999998</v>
      </c>
      <c r="BV16" s="49">
        <v>298.27100000000002</v>
      </c>
      <c r="BW16" s="49">
        <v>265.041</v>
      </c>
      <c r="BX16" s="49">
        <v>449.68200000000002</v>
      </c>
      <c r="BY16" s="49">
        <v>493.791</v>
      </c>
      <c r="BZ16" s="49">
        <v>518.66099999999994</v>
      </c>
      <c r="CA16" s="49">
        <v>530.30100000000004</v>
      </c>
      <c r="CB16" s="49">
        <v>519.52099999999996</v>
      </c>
      <c r="CC16" s="49">
        <v>479.99099999999999</v>
      </c>
      <c r="CD16" s="49">
        <v>358.46100000000001</v>
      </c>
      <c r="CE16" s="49">
        <v>368.00099999999998</v>
      </c>
      <c r="CF16" s="49">
        <v>379.30099999999999</v>
      </c>
      <c r="CG16" s="49">
        <v>393.35199999999998</v>
      </c>
      <c r="CH16" s="49">
        <v>403.661</v>
      </c>
      <c r="CI16" s="49">
        <v>81.971000000000004</v>
      </c>
      <c r="CJ16" s="49">
        <v>7.0910000000000002</v>
      </c>
      <c r="CK16" s="49">
        <v>7.0919999999999996</v>
      </c>
      <c r="CL16" s="49">
        <v>7.0940000000000003</v>
      </c>
      <c r="CM16" s="49">
        <v>7.0919999999999996</v>
      </c>
      <c r="CN16" s="49">
        <v>9.9999999999989008E-4</v>
      </c>
    </row>
    <row r="17" spans="1:92">
      <c r="A17" s="120"/>
      <c r="C17" s="47" t="s">
        <v>218</v>
      </c>
      <c r="D17" s="49">
        <v>239.52199999999999</v>
      </c>
      <c r="E17" s="49">
        <v>307.55099999999999</v>
      </c>
      <c r="F17" s="49">
        <v>280.19200000000001</v>
      </c>
      <c r="G17" s="49">
        <v>0</v>
      </c>
      <c r="H17" s="49">
        <v>192.881</v>
      </c>
      <c r="I17" s="49">
        <v>186.29499999999999</v>
      </c>
      <c r="J17" s="49">
        <v>186.29300000000001</v>
      </c>
      <c r="K17" s="49">
        <v>186.29400000000001</v>
      </c>
      <c r="L17" s="49">
        <v>176.95099999999999</v>
      </c>
      <c r="M17" s="49">
        <v>164.56100000000001</v>
      </c>
      <c r="N17" s="49">
        <v>186.29400000000001</v>
      </c>
      <c r="O17" s="49">
        <v>147.86099999999999</v>
      </c>
      <c r="P17" s="49">
        <v>135.40100000000001</v>
      </c>
      <c r="Q17" s="49">
        <v>131.637</v>
      </c>
      <c r="R17" s="49">
        <v>131.63200000000001</v>
      </c>
      <c r="S17" s="49">
        <v>131.63499999999999</v>
      </c>
      <c r="T17" s="49">
        <v>131.637</v>
      </c>
      <c r="U17" s="49">
        <v>129.20099999999999</v>
      </c>
      <c r="V17" s="49">
        <v>131.63300000000001</v>
      </c>
      <c r="W17" s="49">
        <v>131.636</v>
      </c>
      <c r="X17" s="49">
        <v>115.562</v>
      </c>
      <c r="Y17" s="49">
        <v>115.56100000000001</v>
      </c>
      <c r="Z17" s="49">
        <v>115.56399999999999</v>
      </c>
      <c r="AA17" s="49">
        <v>115.563</v>
      </c>
      <c r="AB17" s="49">
        <v>90.960999999999999</v>
      </c>
      <c r="AC17" s="49">
        <v>57.021000000000001</v>
      </c>
      <c r="AD17" s="49">
        <v>44.341000000000001</v>
      </c>
      <c r="AE17" s="49">
        <v>37.771000000000001</v>
      </c>
      <c r="AF17" s="49">
        <v>9.9999999999989008E-4</v>
      </c>
      <c r="AG17" s="49">
        <v>1.9999999999997802E-3</v>
      </c>
      <c r="AH17" s="49">
        <v>1.9999999999997802E-3</v>
      </c>
      <c r="AI17" s="49">
        <v>2.99999999999967E-3</v>
      </c>
      <c r="AJ17" s="49">
        <v>28.300999999999998</v>
      </c>
      <c r="AK17" s="49">
        <v>3.9999999999995603E-3</v>
      </c>
      <c r="AL17" s="49">
        <v>47.002000000000002</v>
      </c>
      <c r="AM17" s="49">
        <v>47.003</v>
      </c>
      <c r="AN17" s="49">
        <v>57.401000000000003</v>
      </c>
      <c r="AO17" s="49">
        <v>63.051000000000002</v>
      </c>
      <c r="AP17" s="49">
        <v>76.710999999999999</v>
      </c>
      <c r="AQ17" s="49">
        <v>83.811000000000007</v>
      </c>
      <c r="AR17" s="49">
        <v>88.650999999999996</v>
      </c>
      <c r="AS17" s="49">
        <v>93.641000000000005</v>
      </c>
      <c r="AT17" s="49">
        <v>109.971</v>
      </c>
      <c r="AU17" s="49">
        <v>117.051</v>
      </c>
      <c r="AV17" s="49">
        <v>122.733</v>
      </c>
      <c r="AW17" s="49">
        <v>122.732</v>
      </c>
      <c r="AX17" s="49">
        <v>134.39099999999999</v>
      </c>
      <c r="AY17" s="49">
        <v>143.15199999999999</v>
      </c>
      <c r="AZ17" s="49">
        <v>143.15100000000001</v>
      </c>
      <c r="BA17" s="49">
        <v>156.31100000000001</v>
      </c>
      <c r="BB17" s="49">
        <v>173.87100000000001</v>
      </c>
      <c r="BC17" s="49">
        <v>179.82300000000001</v>
      </c>
      <c r="BD17" s="49">
        <v>179.822</v>
      </c>
      <c r="BE17" s="49">
        <v>183.202</v>
      </c>
      <c r="BF17" s="49">
        <v>196.571</v>
      </c>
      <c r="BG17" s="49">
        <v>206.06100000000001</v>
      </c>
      <c r="BH17" s="49">
        <v>213.63300000000001</v>
      </c>
      <c r="BI17" s="49">
        <v>216.36099999999999</v>
      </c>
      <c r="BJ17" s="49">
        <v>225.45099999999999</v>
      </c>
      <c r="BK17" s="49">
        <v>233.08199999999999</v>
      </c>
      <c r="BL17" s="49">
        <v>247.46100000000001</v>
      </c>
      <c r="BM17" s="49">
        <v>255.453</v>
      </c>
      <c r="BN17" s="49">
        <v>272.93099999999998</v>
      </c>
      <c r="BO17" s="49">
        <v>302.77100000000002</v>
      </c>
      <c r="BP17" s="49">
        <v>239.28100000000001</v>
      </c>
      <c r="BQ17" s="49">
        <v>135.90100000000001</v>
      </c>
      <c r="BR17" s="49">
        <v>113.31100000000001</v>
      </c>
      <c r="BS17" s="49">
        <v>113.312</v>
      </c>
      <c r="BT17" s="49">
        <v>93.421000000000006</v>
      </c>
      <c r="BU17" s="49">
        <v>75.241</v>
      </c>
      <c r="BV17" s="49">
        <v>56.201000000000001</v>
      </c>
      <c r="BW17" s="49">
        <v>22.971</v>
      </c>
      <c r="BX17" s="49">
        <v>207.61199999999999</v>
      </c>
      <c r="BY17" s="49">
        <v>251.721</v>
      </c>
      <c r="BZ17" s="49">
        <v>276.59100000000001</v>
      </c>
      <c r="CA17" s="49">
        <v>288.23099999999999</v>
      </c>
      <c r="CB17" s="49">
        <v>277.45100000000002</v>
      </c>
      <c r="CC17" s="49">
        <v>237.92099999999999</v>
      </c>
      <c r="CD17" s="49">
        <v>116.39100000000001</v>
      </c>
      <c r="CE17" s="49">
        <v>125.931</v>
      </c>
      <c r="CF17" s="49">
        <v>137.23099999999999</v>
      </c>
      <c r="CG17" s="49">
        <v>151.28200000000001</v>
      </c>
      <c r="CH17" s="49">
        <v>161.59100000000001</v>
      </c>
      <c r="CI17" s="49">
        <v>198.221</v>
      </c>
      <c r="CJ17" s="49">
        <v>273.101</v>
      </c>
      <c r="CK17" s="49">
        <v>273.10199999999998</v>
      </c>
      <c r="CL17" s="49">
        <v>273.10399999999998</v>
      </c>
      <c r="CM17" s="49">
        <v>273.10199999999998</v>
      </c>
      <c r="CN17" s="49">
        <v>280.19099999999997</v>
      </c>
    </row>
    <row r="18" spans="1:92">
      <c r="A18" s="120"/>
      <c r="C18" s="47" t="s">
        <v>26</v>
      </c>
      <c r="D18" s="49">
        <v>239.523</v>
      </c>
      <c r="E18" s="49">
        <v>307.55200000000002</v>
      </c>
      <c r="F18" s="49">
        <v>280.19299999999998</v>
      </c>
      <c r="G18" s="49">
        <v>9.9999999999989008E-4</v>
      </c>
      <c r="H18" s="49">
        <v>192.88200000000001</v>
      </c>
      <c r="I18" s="49">
        <v>186.29599999999999</v>
      </c>
      <c r="J18" s="49">
        <v>186.29400000000001</v>
      </c>
      <c r="K18" s="49">
        <v>186.29499999999999</v>
      </c>
      <c r="L18" s="49">
        <v>176.952</v>
      </c>
      <c r="M18" s="49">
        <v>164.56200000000001</v>
      </c>
      <c r="N18" s="49">
        <v>186.29499999999999</v>
      </c>
      <c r="O18" s="49">
        <v>147.86199999999999</v>
      </c>
      <c r="P18" s="49">
        <v>135.40199999999999</v>
      </c>
      <c r="Q18" s="49">
        <v>131.63800000000001</v>
      </c>
      <c r="R18" s="49">
        <v>131.63300000000001</v>
      </c>
      <c r="S18" s="49">
        <v>131.636</v>
      </c>
      <c r="T18" s="49">
        <v>131.63800000000001</v>
      </c>
      <c r="U18" s="49">
        <v>129.202</v>
      </c>
      <c r="V18" s="49">
        <v>131.63399999999999</v>
      </c>
      <c r="W18" s="49">
        <v>131.637</v>
      </c>
      <c r="X18" s="49">
        <v>115.563</v>
      </c>
      <c r="Y18" s="49">
        <v>115.562</v>
      </c>
      <c r="Z18" s="49">
        <v>115.565</v>
      </c>
      <c r="AA18" s="49">
        <v>115.56399999999999</v>
      </c>
      <c r="AB18" s="49">
        <v>90.962000000000003</v>
      </c>
      <c r="AC18" s="49">
        <v>57.021999999999998</v>
      </c>
      <c r="AD18" s="49">
        <v>44.341999999999999</v>
      </c>
      <c r="AE18" s="49">
        <v>37.771999999999998</v>
      </c>
      <c r="AF18" s="49">
        <v>1.9999999999997802E-3</v>
      </c>
      <c r="AG18" s="49">
        <v>2.99999999999967E-3</v>
      </c>
      <c r="AH18" s="49">
        <v>2.99999999999967E-3</v>
      </c>
      <c r="AI18" s="49">
        <v>3.9999999999995603E-3</v>
      </c>
      <c r="AJ18" s="49">
        <v>28.302</v>
      </c>
      <c r="AK18" s="49">
        <v>4.9999999999994502E-3</v>
      </c>
      <c r="AL18" s="49">
        <v>47.003</v>
      </c>
      <c r="AM18" s="49">
        <v>47.003999999999998</v>
      </c>
      <c r="AN18" s="49">
        <v>57.402000000000001</v>
      </c>
      <c r="AO18" s="49">
        <v>63.052</v>
      </c>
      <c r="AP18" s="49">
        <v>76.712000000000003</v>
      </c>
      <c r="AQ18" s="49">
        <v>83.811999999999998</v>
      </c>
      <c r="AR18" s="49">
        <v>88.652000000000001</v>
      </c>
      <c r="AS18" s="49">
        <v>93.641999999999996</v>
      </c>
      <c r="AT18" s="49">
        <v>109.97199999999999</v>
      </c>
      <c r="AU18" s="49">
        <v>117.05200000000001</v>
      </c>
      <c r="AV18" s="49">
        <v>122.73399999999999</v>
      </c>
      <c r="AW18" s="49">
        <v>122.733</v>
      </c>
      <c r="AX18" s="49">
        <v>134.392</v>
      </c>
      <c r="AY18" s="49">
        <v>143.15299999999999</v>
      </c>
      <c r="AZ18" s="49">
        <v>143.15199999999999</v>
      </c>
      <c r="BA18" s="49">
        <v>156.31200000000001</v>
      </c>
      <c r="BB18" s="49">
        <v>173.87200000000001</v>
      </c>
      <c r="BC18" s="49">
        <v>179.82400000000001</v>
      </c>
      <c r="BD18" s="49">
        <v>179.82300000000001</v>
      </c>
      <c r="BE18" s="49">
        <v>183.203</v>
      </c>
      <c r="BF18" s="49">
        <v>196.572</v>
      </c>
      <c r="BG18" s="49">
        <v>206.06200000000001</v>
      </c>
      <c r="BH18" s="49">
        <v>213.63399999999999</v>
      </c>
      <c r="BI18" s="49">
        <v>216.36199999999999</v>
      </c>
      <c r="BJ18" s="49">
        <v>225.452</v>
      </c>
      <c r="BK18" s="49">
        <v>233.083</v>
      </c>
      <c r="BL18" s="49">
        <v>247.46199999999999</v>
      </c>
      <c r="BM18" s="49">
        <v>255.45400000000001</v>
      </c>
      <c r="BN18" s="49">
        <v>272.93200000000002</v>
      </c>
      <c r="BO18" s="49">
        <v>302.77199999999999</v>
      </c>
      <c r="BP18" s="49">
        <v>239.28200000000001</v>
      </c>
      <c r="BQ18" s="49">
        <v>135.90199999999999</v>
      </c>
      <c r="BR18" s="49">
        <v>113.312</v>
      </c>
      <c r="BS18" s="49">
        <v>113.313</v>
      </c>
      <c r="BT18" s="49">
        <v>93.421999999999997</v>
      </c>
      <c r="BU18" s="49">
        <v>75.242000000000004</v>
      </c>
      <c r="BV18" s="49">
        <v>56.201999999999998</v>
      </c>
      <c r="BW18" s="49">
        <v>22.972000000000001</v>
      </c>
      <c r="BX18" s="49">
        <v>207.613</v>
      </c>
      <c r="BY18" s="49">
        <v>251.72200000000001</v>
      </c>
      <c r="BZ18" s="49">
        <v>276.59199999999998</v>
      </c>
      <c r="CA18" s="49">
        <v>288.23200000000003</v>
      </c>
      <c r="CB18" s="49">
        <v>277.452</v>
      </c>
      <c r="CC18" s="49">
        <v>237.922</v>
      </c>
      <c r="CD18" s="49">
        <v>116.392</v>
      </c>
      <c r="CE18" s="49">
        <v>125.932</v>
      </c>
      <c r="CF18" s="49">
        <v>137.232</v>
      </c>
      <c r="CG18" s="49">
        <v>151.28299999999999</v>
      </c>
      <c r="CH18" s="49">
        <v>161.59200000000001</v>
      </c>
      <c r="CI18" s="49">
        <v>198.22200000000001</v>
      </c>
      <c r="CJ18" s="49">
        <v>273.10199999999998</v>
      </c>
      <c r="CK18" s="49">
        <v>273.10300000000001</v>
      </c>
      <c r="CL18" s="49">
        <v>273.10500000000002</v>
      </c>
      <c r="CM18" s="49">
        <v>273.10300000000001</v>
      </c>
      <c r="CN18" s="49">
        <v>280.19200000000001</v>
      </c>
    </row>
    <row r="19" spans="1:92"/>
    <row r="20" spans="1:92"/>
    <row r="21" spans="1:92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 tint="0.499984740745262"/>
  </sheetPr>
  <dimension ref="B2:L23"/>
  <sheetViews>
    <sheetView showGridLines="0" workbookViewId="0">
      <selection sqref="A1:A1048576"/>
    </sheetView>
  </sheetViews>
  <sheetFormatPr defaultColWidth="8.88671875" defaultRowHeight="14.4" customHeight="1"/>
  <cols>
    <col min="1" max="1" width="8.88671875" style="1"/>
    <col min="2" max="2" width="35.6640625" style="1" customWidth="1"/>
    <col min="3" max="3" width="27.5546875" style="1" customWidth="1"/>
    <col min="4" max="5" width="11.6640625" style="1" customWidth="1"/>
    <col min="6" max="6" width="8.88671875" style="1"/>
    <col min="7" max="7" width="12" style="1" bestFit="1" customWidth="1"/>
    <col min="8" max="16384" width="8.88671875" style="1"/>
  </cols>
  <sheetData>
    <row r="2" spans="2:10" ht="28.95" customHeight="1">
      <c r="B2" s="32" t="s">
        <v>221</v>
      </c>
      <c r="C2" s="5"/>
      <c r="D2" s="5"/>
      <c r="E2" s="5"/>
    </row>
    <row r="3" spans="2:10" ht="14.4" customHeight="1">
      <c r="B3" s="37" t="s">
        <v>233</v>
      </c>
    </row>
    <row r="4" spans="2:10" ht="14.4" customHeight="1">
      <c r="B4" s="9" t="s">
        <v>2</v>
      </c>
      <c r="C4" s="9" t="s">
        <v>214</v>
      </c>
      <c r="D4" s="6"/>
      <c r="E4" s="6"/>
    </row>
    <row r="5" spans="2:10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10" ht="14.4" customHeight="1">
      <c r="B6" s="24"/>
      <c r="C6" s="24"/>
      <c r="D6" s="8"/>
      <c r="E6" s="8"/>
    </row>
    <row r="7" spans="2:10" ht="14.4" customHeight="1">
      <c r="B7" s="36" t="s">
        <v>0</v>
      </c>
      <c r="C7" s="3" t="s">
        <v>216</v>
      </c>
      <c r="D7" s="38">
        <f>(SUMPRODUCT('Input data'!D$20:D$24,'Input data'!D115:D119)+'Input data'!D$40*'Input data'!D118+'Input data'!D$41*'Input data'!D119)*'Input data'!D258/SUM('Input data'!D258:D259)</f>
        <v>18392748.289478596</v>
      </c>
      <c r="E7" s="38">
        <f>(SUMPRODUCT('Input data'!E$20:E$24,'Input data'!E115:E119)+'Input data'!E$40*'Input data'!E118+'Input data'!E$41*'Input data'!E119)*'Input data'!E258/SUM('Input data'!E258:E259)</f>
        <v>18392748.289478596</v>
      </c>
      <c r="G7"/>
      <c r="H7"/>
      <c r="I7"/>
      <c r="J7"/>
    </row>
    <row r="8" spans="2:10" ht="14.4" customHeight="1">
      <c r="B8" s="36" t="s">
        <v>215</v>
      </c>
      <c r="C8" s="3" t="s">
        <v>216</v>
      </c>
      <c r="D8" s="38">
        <f>(SUMPRODUCT('Input data'!D$20:D$24,'Input data'!D115:D119)+'Input data'!D$40*'Input data'!D118+'Input data'!D$41*'Input data'!D119)*'Input data'!D259/SUM('Input data'!D258:D259)</f>
        <v>1372593.1559312386</v>
      </c>
      <c r="E8" s="38">
        <f>(SUMPRODUCT('Input data'!E$20:E$24,'Input data'!E115:E119)+'Input data'!E$40*'Input data'!E118+'Input data'!E$41*'Input data'!E119)*'Input data'!E259/SUM('Input data'!E258:E259)</f>
        <v>1372593.1559312386</v>
      </c>
    </row>
    <row r="9" spans="2:10" ht="14.4" customHeight="1">
      <c r="B9" s="36" t="s">
        <v>217</v>
      </c>
      <c r="C9" s="3" t="s">
        <v>14</v>
      </c>
      <c r="D9" s="38">
        <f>SUMPRODUCT('Input data'!D$25:D$29,'Input data'!D120:D124)+'Input data'!D$42*'Input data'!D124</f>
        <v>182415826.68795082</v>
      </c>
      <c r="E9" s="38">
        <f>SUMPRODUCT('Input data'!E$25:E$29,'Input data'!E120:E124)+'Input data'!E$42*'Input data'!E124</f>
        <v>182415826.68795082</v>
      </c>
    </row>
    <row r="10" spans="2:10" ht="14.4" customHeight="1">
      <c r="B10" s="36" t="s">
        <v>218</v>
      </c>
      <c r="C10" s="3" t="s">
        <v>15</v>
      </c>
      <c r="D10" s="38">
        <f>SUMPRODUCT('Input data'!D$30:D$31,'Input data'!D125:D126)+'Input data'!D$43*'Input data'!D126</f>
        <v>7061251.0740085999</v>
      </c>
      <c r="E10" s="38">
        <f>SUMPRODUCT('Input data'!E$30:E$31,'Input data'!E125:E126)+'Input data'!E$43*'Input data'!E126</f>
        <v>7061251.0740085999</v>
      </c>
      <c r="G10"/>
      <c r="H10"/>
      <c r="I10"/>
      <c r="J10"/>
    </row>
    <row r="11" spans="2:10" ht="14.4" customHeight="1">
      <c r="B11" s="36" t="s">
        <v>26</v>
      </c>
      <c r="C11" s="3" t="s">
        <v>219</v>
      </c>
      <c r="D11" s="38">
        <f>'Input data'!D32</f>
        <v>1</v>
      </c>
      <c r="E11" s="38">
        <f>'Input data'!E32</f>
        <v>1</v>
      </c>
      <c r="G11"/>
      <c r="H11"/>
      <c r="I11"/>
      <c r="J11"/>
    </row>
    <row r="14" spans="2:10" ht="28.95" customHeight="1">
      <c r="B14" s="32" t="s">
        <v>262</v>
      </c>
      <c r="C14" s="5"/>
      <c r="D14" s="5"/>
      <c r="E14" s="5"/>
    </row>
    <row r="15" spans="2:10" ht="14.4" customHeight="1">
      <c r="B15" s="37" t="s">
        <v>263</v>
      </c>
    </row>
    <row r="16" spans="2:10" ht="14.4" customHeight="1">
      <c r="B16" s="9" t="s">
        <v>2</v>
      </c>
      <c r="C16" s="9" t="s">
        <v>214</v>
      </c>
      <c r="D16" s="6"/>
      <c r="E16" s="6"/>
    </row>
    <row r="17" spans="2:12" ht="14.4" customHeight="1">
      <c r="B17" s="25"/>
      <c r="C17" s="25"/>
      <c r="D17" s="23" t="str">
        <f>'Input data'!D$5</f>
        <v>2025-26</v>
      </c>
      <c r="E17" s="23" t="str">
        <f>'Input data'!E$5</f>
        <v>2026-27</v>
      </c>
    </row>
    <row r="18" spans="2:12" ht="14.4" customHeight="1">
      <c r="B18" s="24"/>
      <c r="C18" s="24"/>
      <c r="D18" s="8"/>
      <c r="E18" s="8"/>
      <c r="H18"/>
      <c r="I18"/>
      <c r="J18"/>
      <c r="K18"/>
      <c r="L18"/>
    </row>
    <row r="19" spans="2:12" ht="14.4" customHeight="1">
      <c r="B19" s="36" t="s">
        <v>0</v>
      </c>
      <c r="C19" s="3" t="s">
        <v>216</v>
      </c>
      <c r="D19" s="55">
        <f>SUMPRODUCT('A4b.CWD Exit Av. Distance'!$D7:$D95,'Distance Matrix_Exit'!C$191:C$279)/SUMIFS('A4b.CWD Exit Av. Distance'!$D$7:$D$95,'Distance Matrix_Exit'!C$191:C$279,"&gt;0")</f>
        <v>348.11161043332982</v>
      </c>
      <c r="E19" s="55">
        <f>SUMPRODUCT('A4b.CWD Exit Av. Distance'!$E7:$E95,'Distance Matrix_Exit'!C$191:C$279)/SUMIFS('A4b.CWD Exit Av. Distance'!$E$7:$E$95,'Distance Matrix_Exit'!C$191:C$279,"&gt;0")</f>
        <v>348.11161043332982</v>
      </c>
      <c r="H19"/>
      <c r="I19"/>
      <c r="J19"/>
      <c r="K19"/>
      <c r="L19"/>
    </row>
    <row r="20" spans="2:12" ht="14.4" customHeight="1">
      <c r="B20" s="36" t="s">
        <v>215</v>
      </c>
      <c r="C20" s="3" t="s">
        <v>216</v>
      </c>
      <c r="D20" s="55">
        <f>SUMPRODUCT('A4b.CWD Exit Av. Distance'!$D7:$D95,'Distance Matrix_Exit'!D$191:D$279)/SUMIFS('A4b.CWD Exit Av. Distance'!$D$7:$D$95,'Distance Matrix_Exit'!D$191:D$279,"&gt;0")</f>
        <v>340.08444927963336</v>
      </c>
      <c r="E20" s="55">
        <f>SUMPRODUCT('A4b.CWD Exit Av. Distance'!$E7:$E95,'Distance Matrix_Exit'!D$191:D$279)/SUMIFS('A4b.CWD Exit Av. Distance'!$E$7:$E$95,'Distance Matrix_Exit'!D$191:D$279,"&gt;0")</f>
        <v>340.08444927963336</v>
      </c>
    </row>
    <row r="21" spans="2:12" ht="14.4" customHeight="1">
      <c r="B21" s="36" t="s">
        <v>217</v>
      </c>
      <c r="C21" s="3" t="s">
        <v>14</v>
      </c>
      <c r="D21" s="55">
        <f>SUMPRODUCT('A4b.CWD Exit Av. Distance'!$D7:$D95,'Distance Matrix_Exit'!E$191:E$279)/SUMIFS('A4b.CWD Exit Av. Distance'!$D$7:$D$95,'Distance Matrix_Exit'!E$191:E$279,"&gt;0")</f>
        <v>335.12881055246402</v>
      </c>
      <c r="E21" s="55">
        <f>SUMPRODUCT('A4b.CWD Exit Av. Distance'!$E7:$E95,'Distance Matrix_Exit'!E$191:E$279)/SUMIFS('A4b.CWD Exit Av. Distance'!$E$7:$E$95,'Distance Matrix_Exit'!E$191:E$279,"&gt;0")</f>
        <v>335.12881055246402</v>
      </c>
    </row>
    <row r="22" spans="2:12" ht="14.4" customHeight="1">
      <c r="B22" s="36" t="s">
        <v>218</v>
      </c>
      <c r="C22" s="3" t="s">
        <v>15</v>
      </c>
      <c r="D22" s="55">
        <f>SUMPRODUCT('A4b.CWD Exit Av. Distance'!$D7:$D95,'Distance Matrix_Exit'!F$191:F$279)/SUMIFS('A4b.CWD Exit Av. Distance'!$D$7:$D$95,'Distance Matrix_Exit'!F$191:F$279,"&gt;0")</f>
        <v>177.77704484562042</v>
      </c>
      <c r="E22" s="55">
        <f>SUMPRODUCT('A4b.CWD Exit Av. Distance'!$E7:$E95,'Distance Matrix_Exit'!F$191:F$279)/SUMIFS('A4b.CWD Exit Av. Distance'!$E$7:$E$95,'Distance Matrix_Exit'!F$191:F$279,"&gt;0")</f>
        <v>177.77704484562042</v>
      </c>
    </row>
    <row r="23" spans="2:12" ht="14.4" customHeight="1">
      <c r="B23" s="36" t="s">
        <v>26</v>
      </c>
      <c r="C23" s="3" t="s">
        <v>219</v>
      </c>
      <c r="D23" s="55">
        <f>SUMPRODUCT('A4b.CWD Exit Av. Distance'!$D7:$D95,'Distance Matrix_Exit'!G$191:G$279)/SUMIFS('A4b.CWD Exit Av. Distance'!$D$7:$D$95,'Distance Matrix_Exit'!G$191:G$279,"&gt;0")</f>
        <v>174.11571196000352</v>
      </c>
      <c r="E23" s="55">
        <f>SUMPRODUCT('A4b.CWD Exit Av. Distance'!$E7:$E95,'Distance Matrix_Exit'!G$191:G$279)/SUMIFS('A4b.CWD Exit Av. Distance'!$E$7:$E$95,'Distance Matrix_Exit'!G$191:G$279,"&gt;0")</f>
        <v>174.11571196000352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H191"/>
  <sheetViews>
    <sheetView showGridLines="0" workbookViewId="0">
      <selection sqref="A1:A1048576"/>
    </sheetView>
  </sheetViews>
  <sheetFormatPr defaultRowHeight="14.4" customHeight="1"/>
  <cols>
    <col min="1" max="1" width="8.88671875" style="1"/>
    <col min="2" max="2" width="35.6640625" style="1" customWidth="1"/>
    <col min="3" max="3" width="27.5546875" style="1" customWidth="1"/>
    <col min="4" max="5" width="11.6640625" style="1" customWidth="1"/>
    <col min="6" max="8" width="8.88671875" style="1"/>
  </cols>
  <sheetData>
    <row r="2" spans="2:7" ht="28.95" customHeight="1">
      <c r="B2" s="32" t="s">
        <v>222</v>
      </c>
      <c r="C2" s="5"/>
      <c r="D2" s="5"/>
      <c r="E2" s="5"/>
    </row>
    <row r="3" spans="2:7" ht="14.4" customHeight="1">
      <c r="B3" s="37" t="s">
        <v>233</v>
      </c>
    </row>
    <row r="4" spans="2:7" ht="14.4" customHeight="1">
      <c r="B4" s="9" t="s">
        <v>1</v>
      </c>
      <c r="C4" s="9" t="s">
        <v>214</v>
      </c>
      <c r="D4" s="6"/>
      <c r="E4" s="6"/>
    </row>
    <row r="5" spans="2:7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7" ht="14.4" customHeight="1">
      <c r="B6" s="24"/>
      <c r="C6" s="24"/>
      <c r="D6" s="8"/>
      <c r="E6" s="8"/>
    </row>
    <row r="7" spans="2:7" ht="14.4" customHeight="1">
      <c r="B7" s="36" t="s">
        <v>0</v>
      </c>
      <c r="C7" s="3" t="s">
        <v>216</v>
      </c>
      <c r="D7" s="38">
        <f>(SUMPRODUCT('Input data'!D$65:D$69,'Input data'!D133:D137)+'Input data'!D$91*'Input data'!D136+'Input data'!D$92*'Input data'!D137)*'Input data'!D260/SUM('Input data'!D260:D261)</f>
        <v>53723308.416250005</v>
      </c>
      <c r="E7" s="38">
        <f>(SUMPRODUCT('Input data'!E$65:E$69,'Input data'!E133:E137)+'Input data'!E$91*'Input data'!E136+'Input data'!E$92*'Input data'!E137)*'Input data'!E260/SUM('Input data'!E260:E261)</f>
        <v>53723308.416250005</v>
      </c>
      <c r="G7"/>
    </row>
    <row r="8" spans="2:7" ht="14.4" customHeight="1">
      <c r="B8" s="36" t="s">
        <v>215</v>
      </c>
      <c r="C8" s="3" t="s">
        <v>216</v>
      </c>
      <c r="D8" s="38">
        <f>(SUMPRODUCT('Input data'!D$65:D$69,'Input data'!D133:D137)+'Input data'!D$91*'Input data'!D136+'Input data'!D$92*'Input data'!D137)*'Input data'!D261/SUM('Input data'!D260:D261)</f>
        <v>24419685.643750001</v>
      </c>
      <c r="E8" s="38">
        <f>(SUMPRODUCT('Input data'!E$65:E$69,'Input data'!E133:E137)+'Input data'!E$91*'Input data'!E136+'Input data'!E$92*'Input data'!E137)*'Input data'!E261/SUM('Input data'!E260:E261)</f>
        <v>24419685.643750001</v>
      </c>
      <c r="G8"/>
    </row>
    <row r="9" spans="2:7" ht="14.4" customHeight="1">
      <c r="B9" s="36" t="s">
        <v>217</v>
      </c>
      <c r="C9" s="3" t="s">
        <v>14</v>
      </c>
      <c r="D9" s="38">
        <f>SUMPRODUCT('Input data'!D$70:D$74,'Input data'!D138:D142)+'Input data'!D$93*'Input data'!D141+'Input data'!D$94*'Input data'!D142</f>
        <v>1.94</v>
      </c>
      <c r="E9" s="38">
        <f>SUMPRODUCT('Input data'!E$70:E$74,'Input data'!E138:E142)+'Input data'!E$93*'Input data'!E141+'Input data'!E$94*'Input data'!E142</f>
        <v>1.94</v>
      </c>
      <c r="G9"/>
    </row>
    <row r="10" spans="2:7" ht="14.4" customHeight="1">
      <c r="B10" s="36" t="s">
        <v>218</v>
      </c>
      <c r="C10" s="3" t="s">
        <v>15</v>
      </c>
      <c r="D10" s="38">
        <f>SUMPRODUCT('Input data'!D$75:D$76,'Input data'!D143:D144)+'Input data'!D$95*'Input data'!D144</f>
        <v>7345604.5458560269</v>
      </c>
      <c r="E10" s="38">
        <f>SUMPRODUCT('Input data'!E$75:E$76,'Input data'!E143:E144)+'Input data'!E$95*'Input data'!E144</f>
        <v>7345604.5458560269</v>
      </c>
      <c r="G10"/>
    </row>
    <row r="11" spans="2:7" ht="14.4" customHeight="1">
      <c r="B11" s="36" t="s">
        <v>54</v>
      </c>
      <c r="C11" s="3" t="s">
        <v>220</v>
      </c>
      <c r="D11" s="38">
        <f>(SUM('Input data'!D$77:D$78)+SUMPRODUCT('Input data'!D$79:D$83,'Input data'!D$145:D$149))*'Input data'!D267</f>
        <v>666910.5112026704</v>
      </c>
      <c r="E11" s="38">
        <f>(SUM('Input data'!E$77:E$78)+SUMPRODUCT('Input data'!E$79:E$83,'Input data'!E$145:E$149))*'Input data'!E267</f>
        <v>666910.5112026704</v>
      </c>
      <c r="G11"/>
    </row>
    <row r="12" spans="2:7" ht="14.4" customHeight="1">
      <c r="B12" s="36" t="s">
        <v>56</v>
      </c>
      <c r="C12" s="3" t="s">
        <v>220</v>
      </c>
      <c r="D12" s="38">
        <f>(SUM('Input data'!D$77:D$78)+SUMPRODUCT('Input data'!D$79:D$83,'Input data'!D$145:D$149))*'Input data'!D268</f>
        <v>2332158.2540969248</v>
      </c>
      <c r="E12" s="38">
        <f>(SUM('Input data'!E$77:E$78)+SUMPRODUCT('Input data'!E$79:E$83,'Input data'!E$145:E$149))*'Input data'!E268</f>
        <v>2332158.2540969248</v>
      </c>
      <c r="G12"/>
    </row>
    <row r="13" spans="2:7" ht="14.4" customHeight="1">
      <c r="B13" s="36" t="s">
        <v>58</v>
      </c>
      <c r="C13" s="3" t="s">
        <v>220</v>
      </c>
      <c r="D13" s="38">
        <f>(SUM('Input data'!D$77:D$78)+SUMPRODUCT('Input data'!D$79:D$83,'Input data'!D$145:D$149))*'Input data'!D269</f>
        <v>803267.76100691583</v>
      </c>
      <c r="E13" s="38">
        <f>(SUM('Input data'!E$77:E$78)+SUMPRODUCT('Input data'!E$79:E$83,'Input data'!E$145:E$149))*'Input data'!E269</f>
        <v>803267.76100691583</v>
      </c>
      <c r="G13"/>
    </row>
    <row r="14" spans="2:7" ht="14.4" customHeight="1">
      <c r="B14" s="36" t="s">
        <v>60</v>
      </c>
      <c r="C14" s="3" t="s">
        <v>220</v>
      </c>
      <c r="D14" s="38">
        <f>(SUM('Input data'!D$77:D$78)+SUMPRODUCT('Input data'!D$79:D$83,'Input data'!D$145:D$149))*'Input data'!D270</f>
        <v>1329246.8609014102</v>
      </c>
      <c r="E14" s="38">
        <f>(SUM('Input data'!E$77:E$78)+SUMPRODUCT('Input data'!E$79:E$83,'Input data'!E$145:E$149))*'Input data'!E270</f>
        <v>1329246.8609014102</v>
      </c>
      <c r="G14"/>
    </row>
    <row r="15" spans="2:7" ht="14.4" customHeight="1">
      <c r="B15" s="36" t="s">
        <v>61</v>
      </c>
      <c r="C15" s="3" t="s">
        <v>220</v>
      </c>
      <c r="D15" s="38">
        <f>(SUM('Input data'!D$77:D$78)+SUMPRODUCT('Input data'!D$79:D$83,'Input data'!D$145:D$149))*'Input data'!D271</f>
        <v>344806.80672130937</v>
      </c>
      <c r="E15" s="38">
        <f>(SUM('Input data'!E$77:E$78)+SUMPRODUCT('Input data'!E$79:E$83,'Input data'!E$145:E$149))*'Input data'!E271</f>
        <v>344806.80672130937</v>
      </c>
      <c r="G15"/>
    </row>
    <row r="16" spans="2:7" ht="14.4" customHeight="1">
      <c r="B16" s="36" t="s">
        <v>63</v>
      </c>
      <c r="C16" s="3" t="s">
        <v>220</v>
      </c>
      <c r="D16" s="38">
        <f>(SUM('Input data'!D$77:D$78)+SUMPRODUCT('Input data'!D$79:D$83,'Input data'!D$145:D$149))*'Input data'!D272</f>
        <v>754881.43370667647</v>
      </c>
      <c r="E16" s="38">
        <f>(SUM('Input data'!E$77:E$78)+SUMPRODUCT('Input data'!E$79:E$83,'Input data'!E$145:E$149))*'Input data'!E272</f>
        <v>754881.43370667647</v>
      </c>
      <c r="G16"/>
    </row>
    <row r="17" spans="2:7" ht="14.4" customHeight="1">
      <c r="B17" s="36" t="s">
        <v>65</v>
      </c>
      <c r="C17" s="3" t="s">
        <v>220</v>
      </c>
      <c r="D17" s="38">
        <f>(SUM('Input data'!D$77:D$78)+SUMPRODUCT('Input data'!D$79:D$83,'Input data'!D$145:D$149))*'Input data'!D273</f>
        <v>1735374.5441289404</v>
      </c>
      <c r="E17" s="38">
        <f>(SUM('Input data'!E$77:E$78)+SUMPRODUCT('Input data'!E$79:E$83,'Input data'!E$145:E$149))*'Input data'!E273</f>
        <v>1735374.5441289404</v>
      </c>
      <c r="G17"/>
    </row>
    <row r="18" spans="2:7" ht="14.4" customHeight="1">
      <c r="B18" s="36" t="s">
        <v>67</v>
      </c>
      <c r="C18" s="3" t="s">
        <v>220</v>
      </c>
      <c r="D18" s="38">
        <f>(SUM('Input data'!D$77:D$78)+SUMPRODUCT('Input data'!D$79:D$83,'Input data'!D$145:D$149))*'Input data'!D274</f>
        <v>2053723.6069065251</v>
      </c>
      <c r="E18" s="38">
        <f>(SUM('Input data'!E$77:E$78)+SUMPRODUCT('Input data'!E$79:E$83,'Input data'!E$145:E$149))*'Input data'!E274</f>
        <v>2053723.6069065251</v>
      </c>
      <c r="G18"/>
    </row>
    <row r="19" spans="2:7" ht="14.4" customHeight="1">
      <c r="B19" s="36" t="s">
        <v>69</v>
      </c>
      <c r="C19" s="3" t="s">
        <v>220</v>
      </c>
      <c r="D19" s="38">
        <f>(SUM('Input data'!D$77:D$78)+SUMPRODUCT('Input data'!D$79:D$83,'Input data'!D$145:D$149))*'Input data'!D275</f>
        <v>1464905.3387068885</v>
      </c>
      <c r="E19" s="38">
        <f>(SUM('Input data'!E$77:E$78)+SUMPRODUCT('Input data'!E$79:E$83,'Input data'!E$145:E$149))*'Input data'!E275</f>
        <v>1464905.3387068885</v>
      </c>
      <c r="G19"/>
    </row>
    <row r="20" spans="2:7" ht="14.4" customHeight="1">
      <c r="B20" s="36" t="s">
        <v>71</v>
      </c>
      <c r="C20" s="3" t="s">
        <v>220</v>
      </c>
      <c r="D20" s="38">
        <f>(SUM('Input data'!D$77:D$78)+SUMPRODUCT('Input data'!D$79:D$83,'Input data'!D$145:D$149))*'Input data'!D276</f>
        <v>10835067.213507725</v>
      </c>
      <c r="E20" s="38">
        <f>(SUM('Input data'!E$77:E$78)+SUMPRODUCT('Input data'!E$79:E$83,'Input data'!E$145:E$149))*'Input data'!E276</f>
        <v>10835067.213507725</v>
      </c>
      <c r="G20"/>
    </row>
    <row r="21" spans="2:7" ht="14.4" customHeight="1">
      <c r="B21" s="36" t="s">
        <v>73</v>
      </c>
      <c r="C21" s="3" t="s">
        <v>220</v>
      </c>
      <c r="D21" s="38">
        <f>(SUM('Input data'!D$77:D$78)+SUMPRODUCT('Input data'!D$79:D$83,'Input data'!D$145:D$149))*'Input data'!D277</f>
        <v>0</v>
      </c>
      <c r="E21" s="38">
        <f>(SUM('Input data'!E$77:E$78)+SUMPRODUCT('Input data'!E$79:E$83,'Input data'!E$145:E$149))*'Input data'!E277</f>
        <v>0</v>
      </c>
      <c r="G21"/>
    </row>
    <row r="22" spans="2:7" ht="14.4" customHeight="1">
      <c r="B22" s="36" t="s">
        <v>75</v>
      </c>
      <c r="C22" s="3" t="s">
        <v>220</v>
      </c>
      <c r="D22" s="38">
        <f>(SUM('Input data'!D$77:D$78)+SUMPRODUCT('Input data'!D$79:D$83,'Input data'!D$145:D$149))*'Input data'!D278</f>
        <v>576490.25308858522</v>
      </c>
      <c r="E22" s="38">
        <f>(SUM('Input data'!E$77:E$78)+SUMPRODUCT('Input data'!E$79:E$83,'Input data'!E$145:E$149))*'Input data'!E278</f>
        <v>576490.25308858522</v>
      </c>
      <c r="G22"/>
    </row>
    <row r="23" spans="2:7" ht="14.4" customHeight="1">
      <c r="B23" s="36" t="s">
        <v>77</v>
      </c>
      <c r="C23" s="3" t="s">
        <v>220</v>
      </c>
      <c r="D23" s="38">
        <f>(SUM('Input data'!D$77:D$78)+SUMPRODUCT('Input data'!D$79:D$83,'Input data'!D$145:D$149))*'Input data'!D279</f>
        <v>2361795.6901438399</v>
      </c>
      <c r="E23" s="38">
        <f>(SUM('Input data'!E$77:E$78)+SUMPRODUCT('Input data'!E$79:E$83,'Input data'!E$145:E$149))*'Input data'!E279</f>
        <v>2361795.6901438399</v>
      </c>
      <c r="G23"/>
    </row>
    <row r="24" spans="2:7" ht="14.4" customHeight="1">
      <c r="B24" s="36" t="s">
        <v>79</v>
      </c>
      <c r="C24" s="3" t="s">
        <v>220</v>
      </c>
      <c r="D24" s="38">
        <f>(SUM('Input data'!D$77:D$78)+SUMPRODUCT('Input data'!D$79:D$83,'Input data'!D$145:D$149))*'Input data'!D280</f>
        <v>1449049.0840196612</v>
      </c>
      <c r="E24" s="38">
        <f>(SUM('Input data'!E$77:E$78)+SUMPRODUCT('Input data'!E$79:E$83,'Input data'!E$145:E$149))*'Input data'!E280</f>
        <v>1449049.0840196612</v>
      </c>
      <c r="G24"/>
    </row>
    <row r="25" spans="2:7" ht="14.4" customHeight="1">
      <c r="B25" s="36" t="s">
        <v>81</v>
      </c>
      <c r="C25" s="3" t="s">
        <v>220</v>
      </c>
      <c r="D25" s="38">
        <f>(SUM('Input data'!D$77:D$78)+SUMPRODUCT('Input data'!D$79:D$83,'Input data'!D$145:D$149))*'Input data'!D281</f>
        <v>33383544.906060047</v>
      </c>
      <c r="E25" s="38">
        <f>(SUM('Input data'!E$77:E$78)+SUMPRODUCT('Input data'!E$79:E$83,'Input data'!E$145:E$149))*'Input data'!E281</f>
        <v>33383544.906060047</v>
      </c>
      <c r="G25"/>
    </row>
    <row r="26" spans="2:7" ht="14.4" customHeight="1">
      <c r="B26" s="36" t="s">
        <v>82</v>
      </c>
      <c r="C26" s="3" t="s">
        <v>220</v>
      </c>
      <c r="D26" s="38">
        <f>(SUM('Input data'!D$77:D$78)+SUMPRODUCT('Input data'!D$79:D$83,'Input data'!D$145:D$149))*'Input data'!D282</f>
        <v>565428.97185689898</v>
      </c>
      <c r="E26" s="38">
        <f>(SUM('Input data'!E$77:E$78)+SUMPRODUCT('Input data'!E$79:E$83,'Input data'!E$145:E$149))*'Input data'!E282</f>
        <v>565428.97185689898</v>
      </c>
      <c r="G26"/>
    </row>
    <row r="27" spans="2:7" ht="14.4" customHeight="1">
      <c r="B27" s="36" t="s">
        <v>83</v>
      </c>
      <c r="C27" s="3" t="s">
        <v>220</v>
      </c>
      <c r="D27" s="38">
        <f>(SUM('Input data'!D$77:D$78)+SUMPRODUCT('Input data'!D$79:D$83,'Input data'!D$145:D$149))*'Input data'!D283</f>
        <v>407175.56171688158</v>
      </c>
      <c r="E27" s="38">
        <f>(SUM('Input data'!E$77:E$78)+SUMPRODUCT('Input data'!E$79:E$83,'Input data'!E$145:E$149))*'Input data'!E283</f>
        <v>407175.56171688158</v>
      </c>
      <c r="G27"/>
    </row>
    <row r="28" spans="2:7" ht="14.4" customHeight="1">
      <c r="B28" s="36" t="s">
        <v>85</v>
      </c>
      <c r="C28" s="3" t="s">
        <v>220</v>
      </c>
      <c r="D28" s="38">
        <f>(SUM('Input data'!D$77:D$78)+SUMPRODUCT('Input data'!D$79:D$83,'Input data'!D$145:D$149))*'Input data'!D284</f>
        <v>39812.6743841645</v>
      </c>
      <c r="E28" s="38">
        <f>(SUM('Input data'!E$77:E$78)+SUMPRODUCT('Input data'!E$79:E$83,'Input data'!E$145:E$149))*'Input data'!E284</f>
        <v>39812.6743841645</v>
      </c>
      <c r="G28"/>
    </row>
    <row r="29" spans="2:7" ht="14.4" customHeight="1">
      <c r="B29" s="36" t="s">
        <v>87</v>
      </c>
      <c r="C29" s="3" t="s">
        <v>220</v>
      </c>
      <c r="D29" s="38">
        <f>(SUM('Input data'!D$77:D$78)+SUMPRODUCT('Input data'!D$79:D$83,'Input data'!D$145:D$149))*'Input data'!D285</f>
        <v>0</v>
      </c>
      <c r="E29" s="38">
        <f>(SUM('Input data'!E$77:E$78)+SUMPRODUCT('Input data'!E$79:E$83,'Input data'!E$145:E$149))*'Input data'!E285</f>
        <v>0</v>
      </c>
      <c r="G29"/>
    </row>
    <row r="30" spans="2:7" ht="14.4" customHeight="1">
      <c r="B30" s="36" t="s">
        <v>89</v>
      </c>
      <c r="C30" s="3" t="s">
        <v>220</v>
      </c>
      <c r="D30" s="38">
        <f>(SUM('Input data'!D$77:D$78)+SUMPRODUCT('Input data'!D$79:D$83,'Input data'!D$145:D$149))*'Input data'!D286</f>
        <v>1311485.7537455433</v>
      </c>
      <c r="E30" s="38">
        <f>(SUM('Input data'!E$77:E$78)+SUMPRODUCT('Input data'!E$79:E$83,'Input data'!E$145:E$149))*'Input data'!E286</f>
        <v>1311485.7537455433</v>
      </c>
      <c r="G30"/>
    </row>
    <row r="31" spans="2:7" ht="14.4" customHeight="1">
      <c r="B31" s="36" t="s">
        <v>90</v>
      </c>
      <c r="C31" s="3" t="s">
        <v>220</v>
      </c>
      <c r="D31" s="38">
        <f>(SUM('Input data'!D$77:D$78)+SUMPRODUCT('Input data'!D$79:D$83,'Input data'!D$145:D$149))*'Input data'!D287</f>
        <v>744114.75474967051</v>
      </c>
      <c r="E31" s="38">
        <f>(SUM('Input data'!E$77:E$78)+SUMPRODUCT('Input data'!E$79:E$83,'Input data'!E$145:E$149))*'Input data'!E287</f>
        <v>744114.75474967051</v>
      </c>
      <c r="G31"/>
    </row>
    <row r="32" spans="2:7" ht="14.4" customHeight="1">
      <c r="B32" s="36" t="s">
        <v>92</v>
      </c>
      <c r="C32" s="3" t="s">
        <v>220</v>
      </c>
      <c r="D32" s="38">
        <f>(SUM('Input data'!D$77:D$78)+SUMPRODUCT('Input data'!D$79:D$83,'Input data'!D$145:D$149))*'Input data'!D288</f>
        <v>1350349.4957553819</v>
      </c>
      <c r="E32" s="38">
        <f>(SUM('Input data'!E$77:E$78)+SUMPRODUCT('Input data'!E$79:E$83,'Input data'!E$145:E$149))*'Input data'!E288</f>
        <v>1350349.4957553819</v>
      </c>
      <c r="G32"/>
    </row>
    <row r="33" spans="2:7" ht="14.4" customHeight="1">
      <c r="B33" s="36" t="s">
        <v>94</v>
      </c>
      <c r="C33" s="3" t="s">
        <v>220</v>
      </c>
      <c r="D33" s="38">
        <f>(SUM('Input data'!D$77:D$78)+SUMPRODUCT('Input data'!D$79:D$83,'Input data'!D$145:D$149))*'Input data'!D289</f>
        <v>1373519.9367081057</v>
      </c>
      <c r="E33" s="38">
        <f>(SUM('Input data'!E$77:E$78)+SUMPRODUCT('Input data'!E$79:E$83,'Input data'!E$145:E$149))*'Input data'!E289</f>
        <v>1373519.9367081057</v>
      </c>
      <c r="G33"/>
    </row>
    <row r="34" spans="2:7" ht="14.4" customHeight="1">
      <c r="B34" s="36" t="s">
        <v>96</v>
      </c>
      <c r="C34" s="3" t="s">
        <v>220</v>
      </c>
      <c r="D34" s="38">
        <f>(SUM('Input data'!D$77:D$78)+SUMPRODUCT('Input data'!D$79:D$83,'Input data'!D$145:D$149))*'Input data'!D290</f>
        <v>3525428.5561790178</v>
      </c>
      <c r="E34" s="38">
        <f>(SUM('Input data'!E$77:E$78)+SUMPRODUCT('Input data'!E$79:E$83,'Input data'!E$145:E$149))*'Input data'!E290</f>
        <v>3525428.5561790178</v>
      </c>
      <c r="G34"/>
    </row>
    <row r="35" spans="2:7" ht="14.4" customHeight="1">
      <c r="B35" s="36" t="s">
        <v>98</v>
      </c>
      <c r="C35" s="3" t="s">
        <v>220</v>
      </c>
      <c r="D35" s="38">
        <f>(SUM('Input data'!D$77:D$78)+SUMPRODUCT('Input data'!D$79:D$83,'Input data'!D$145:D$149))*'Input data'!D291</f>
        <v>0</v>
      </c>
      <c r="E35" s="38">
        <f>(SUM('Input data'!E$77:E$78)+SUMPRODUCT('Input data'!E$79:E$83,'Input data'!E$145:E$149))*'Input data'!E291</f>
        <v>0</v>
      </c>
      <c r="G35"/>
    </row>
    <row r="36" spans="2:7" ht="14.4" customHeight="1">
      <c r="B36" s="36" t="s">
        <v>100</v>
      </c>
      <c r="C36" s="3" t="s">
        <v>220</v>
      </c>
      <c r="D36" s="38">
        <f>(SUM('Input data'!D$77:D$78)+SUMPRODUCT('Input data'!D$79:D$83,'Input data'!D$145:D$149))*'Input data'!D292</f>
        <v>7839231.5264920266</v>
      </c>
      <c r="E36" s="38">
        <f>(SUM('Input data'!E$77:E$78)+SUMPRODUCT('Input data'!E$79:E$83,'Input data'!E$145:E$149))*'Input data'!E292</f>
        <v>7839231.5264920266</v>
      </c>
      <c r="G36"/>
    </row>
    <row r="37" spans="2:7" ht="14.4" customHeight="1">
      <c r="B37" s="36" t="s">
        <v>102</v>
      </c>
      <c r="C37" s="3" t="s">
        <v>220</v>
      </c>
      <c r="D37" s="38">
        <f>(SUM('Input data'!D$77:D$78)+SUMPRODUCT('Input data'!D$79:D$83,'Input data'!D$145:D$149))*'Input data'!D293</f>
        <v>0</v>
      </c>
      <c r="E37" s="38">
        <f>(SUM('Input data'!E$77:E$78)+SUMPRODUCT('Input data'!E$79:E$83,'Input data'!E$145:E$149))*'Input data'!E293</f>
        <v>0</v>
      </c>
      <c r="G37"/>
    </row>
    <row r="38" spans="2:7" ht="14.4" customHeight="1">
      <c r="B38" s="36" t="s">
        <v>103</v>
      </c>
      <c r="C38" s="3" t="s">
        <v>220</v>
      </c>
      <c r="D38" s="38">
        <f>(SUM('Input data'!D$77:D$78)+SUMPRODUCT('Input data'!D$79:D$83,'Input data'!D$145:D$149))*'Input data'!D294</f>
        <v>28794214.18007151</v>
      </c>
      <c r="E38" s="38">
        <f>(SUM('Input data'!E$77:E$78)+SUMPRODUCT('Input data'!E$79:E$83,'Input data'!E$145:E$149))*'Input data'!E294</f>
        <v>28794214.18007151</v>
      </c>
      <c r="G38"/>
    </row>
    <row r="39" spans="2:7" ht="14.4" customHeight="1">
      <c r="B39" s="36" t="s">
        <v>105</v>
      </c>
      <c r="C39" s="3" t="s">
        <v>220</v>
      </c>
      <c r="D39" s="38">
        <f>(SUM('Input data'!D$77:D$78)+SUMPRODUCT('Input data'!D$79:D$83,'Input data'!D$145:D$149))*'Input data'!D295</f>
        <v>1032552.4628568233</v>
      </c>
      <c r="E39" s="38">
        <f>(SUM('Input data'!E$77:E$78)+SUMPRODUCT('Input data'!E$79:E$83,'Input data'!E$145:E$149))*'Input data'!E295</f>
        <v>1032552.4628568233</v>
      </c>
      <c r="G39"/>
    </row>
    <row r="40" spans="2:7" ht="14.4" customHeight="1">
      <c r="B40" s="36" t="s">
        <v>107</v>
      </c>
      <c r="C40" s="3" t="s">
        <v>220</v>
      </c>
      <c r="D40" s="38">
        <f>(SUM('Input data'!D$77:D$78)+SUMPRODUCT('Input data'!D$79:D$83,'Input data'!D$145:D$149))*'Input data'!D296</f>
        <v>0</v>
      </c>
      <c r="E40" s="38">
        <f>(SUM('Input data'!E$77:E$78)+SUMPRODUCT('Input data'!E$79:E$83,'Input data'!E$145:E$149))*'Input data'!E296</f>
        <v>0</v>
      </c>
      <c r="G40"/>
    </row>
    <row r="41" spans="2:7" ht="14.4" customHeight="1">
      <c r="B41" s="36" t="s">
        <v>108</v>
      </c>
      <c r="C41" s="3" t="s">
        <v>220</v>
      </c>
      <c r="D41" s="38">
        <f>(SUM('Input data'!D$77:D$78)+SUMPRODUCT('Input data'!D$79:D$83,'Input data'!D$145:D$149))*'Input data'!D297</f>
        <v>38182.020047841215</v>
      </c>
      <c r="E41" s="38">
        <f>(SUM('Input data'!E$77:E$78)+SUMPRODUCT('Input data'!E$79:E$83,'Input data'!E$145:E$149))*'Input data'!E297</f>
        <v>38182.020047841215</v>
      </c>
      <c r="G41"/>
    </row>
    <row r="42" spans="2:7" ht="14.4" customHeight="1">
      <c r="B42" s="36" t="s">
        <v>110</v>
      </c>
      <c r="C42" s="3" t="s">
        <v>220</v>
      </c>
      <c r="D42" s="38">
        <f>(SUM('Input data'!D$77:D$78)+SUMPRODUCT('Input data'!D$79:D$83,'Input data'!D$145:D$149))*'Input data'!D298</f>
        <v>1347360.1491446556</v>
      </c>
      <c r="E42" s="38">
        <f>(SUM('Input data'!E$77:E$78)+SUMPRODUCT('Input data'!E$79:E$83,'Input data'!E$145:E$149))*'Input data'!E298</f>
        <v>1347360.1491446556</v>
      </c>
      <c r="G42"/>
    </row>
    <row r="43" spans="2:7" ht="14.4" customHeight="1">
      <c r="B43" s="36" t="s">
        <v>112</v>
      </c>
      <c r="C43" s="3" t="s">
        <v>220</v>
      </c>
      <c r="D43" s="38">
        <f>(SUM('Input data'!D$77:D$78)+SUMPRODUCT('Input data'!D$79:D$83,'Input data'!D$145:D$149))*'Input data'!D299</f>
        <v>383984.4371129942</v>
      </c>
      <c r="E43" s="38">
        <f>(SUM('Input data'!E$77:E$78)+SUMPRODUCT('Input data'!E$79:E$83,'Input data'!E$145:E$149))*'Input data'!E299</f>
        <v>383984.4371129942</v>
      </c>
      <c r="G43"/>
    </row>
    <row r="44" spans="2:7" ht="14.4" customHeight="1">
      <c r="B44" s="36" t="s">
        <v>114</v>
      </c>
      <c r="C44" s="3" t="s">
        <v>220</v>
      </c>
      <c r="D44" s="38">
        <f>(SUM('Input data'!D$77:D$78)+SUMPRODUCT('Input data'!D$79:D$83,'Input data'!D$145:D$149))*'Input data'!D300</f>
        <v>0</v>
      </c>
      <c r="E44" s="38">
        <f>(SUM('Input data'!E$77:E$78)+SUMPRODUCT('Input data'!E$79:E$83,'Input data'!E$145:E$149))*'Input data'!E300</f>
        <v>0</v>
      </c>
      <c r="G44"/>
    </row>
    <row r="45" spans="2:7" ht="14.4" customHeight="1">
      <c r="B45" s="36" t="s">
        <v>116</v>
      </c>
      <c r="C45" s="3" t="s">
        <v>220</v>
      </c>
      <c r="D45" s="38">
        <f>(SUM('Input data'!D$77:D$78)+SUMPRODUCT('Input data'!D$79:D$83,'Input data'!D$145:D$149))*'Input data'!D301</f>
        <v>914189.43054723344</v>
      </c>
      <c r="E45" s="38">
        <f>(SUM('Input data'!E$77:E$78)+SUMPRODUCT('Input data'!E$79:E$83,'Input data'!E$145:E$149))*'Input data'!E301</f>
        <v>914189.43054723344</v>
      </c>
      <c r="G45"/>
    </row>
    <row r="46" spans="2:7" ht="14.4" customHeight="1">
      <c r="B46" s="36" t="s">
        <v>118</v>
      </c>
      <c r="C46" s="3" t="s">
        <v>220</v>
      </c>
      <c r="D46" s="38">
        <f>(SUM('Input data'!D$77:D$78)+SUMPRODUCT('Input data'!D$79:D$83,'Input data'!D$145:D$149))*'Input data'!D302</f>
        <v>0</v>
      </c>
      <c r="E46" s="38">
        <f>(SUM('Input data'!E$77:E$78)+SUMPRODUCT('Input data'!E$79:E$83,'Input data'!E$145:E$149))*'Input data'!E302</f>
        <v>0</v>
      </c>
      <c r="G46"/>
    </row>
    <row r="47" spans="2:7" ht="14.4" customHeight="1">
      <c r="B47" s="36" t="s">
        <v>120</v>
      </c>
      <c r="C47" s="3" t="s">
        <v>220</v>
      </c>
      <c r="D47" s="38">
        <f>(SUM('Input data'!D$77:D$78)+SUMPRODUCT('Input data'!D$79:D$83,'Input data'!D$145:D$149))*'Input data'!D303</f>
        <v>411010.98146371538</v>
      </c>
      <c r="E47" s="38">
        <f>(SUM('Input data'!E$77:E$78)+SUMPRODUCT('Input data'!E$79:E$83,'Input data'!E$145:E$149))*'Input data'!E303</f>
        <v>411010.98146371538</v>
      </c>
      <c r="G47"/>
    </row>
    <row r="48" spans="2:7" ht="14.4" customHeight="1">
      <c r="B48" s="36" t="s">
        <v>122</v>
      </c>
      <c r="C48" s="3" t="s">
        <v>220</v>
      </c>
      <c r="D48" s="38">
        <f>(SUM('Input data'!D$77:D$78)+SUMPRODUCT('Input data'!D$79:D$83,'Input data'!D$145:D$149))*'Input data'!D304</f>
        <v>1168923.4085922446</v>
      </c>
      <c r="E48" s="38">
        <f>(SUM('Input data'!E$77:E$78)+SUMPRODUCT('Input data'!E$79:E$83,'Input data'!E$145:E$149))*'Input data'!E304</f>
        <v>1168923.4085922446</v>
      </c>
      <c r="G48"/>
    </row>
    <row r="49" spans="2:7" ht="14.4" customHeight="1">
      <c r="B49" s="36" t="s">
        <v>124</v>
      </c>
      <c r="C49" s="3" t="s">
        <v>220</v>
      </c>
      <c r="D49" s="38">
        <f>(SUM('Input data'!D$77:D$78)+SUMPRODUCT('Input data'!D$79:D$83,'Input data'!D$145:D$149))*'Input data'!D305</f>
        <v>2433973.8064581072</v>
      </c>
      <c r="E49" s="38">
        <f>(SUM('Input data'!E$77:E$78)+SUMPRODUCT('Input data'!E$79:E$83,'Input data'!E$145:E$149))*'Input data'!E305</f>
        <v>2433973.8064581072</v>
      </c>
      <c r="G49"/>
    </row>
    <row r="50" spans="2:7" ht="14.4" customHeight="1">
      <c r="B50" s="36" t="s">
        <v>126</v>
      </c>
      <c r="C50" s="3" t="s">
        <v>220</v>
      </c>
      <c r="D50" s="38">
        <f>(SUM('Input data'!D$77:D$78)+SUMPRODUCT('Input data'!D$79:D$83,'Input data'!D$145:D$149))*'Input data'!D306</f>
        <v>625683.52229300095</v>
      </c>
      <c r="E50" s="38">
        <f>(SUM('Input data'!E$77:E$78)+SUMPRODUCT('Input data'!E$79:E$83,'Input data'!E$145:E$149))*'Input data'!E306</f>
        <v>625683.52229300095</v>
      </c>
      <c r="G50"/>
    </row>
    <row r="51" spans="2:7" ht="14.4" customHeight="1">
      <c r="B51" s="36" t="s">
        <v>128</v>
      </c>
      <c r="C51" s="3" t="s">
        <v>220</v>
      </c>
      <c r="D51" s="38">
        <f>(SUM('Input data'!D$77:D$78)+SUMPRODUCT('Input data'!D$79:D$83,'Input data'!D$145:D$149))*'Input data'!D307</f>
        <v>2321914.5361037962</v>
      </c>
      <c r="E51" s="38">
        <f>(SUM('Input data'!E$77:E$78)+SUMPRODUCT('Input data'!E$79:E$83,'Input data'!E$145:E$149))*'Input data'!E307</f>
        <v>2321914.5361037962</v>
      </c>
      <c r="G51"/>
    </row>
    <row r="52" spans="2:7" ht="14.4" customHeight="1">
      <c r="B52" s="36" t="s">
        <v>130</v>
      </c>
      <c r="C52" s="3" t="s">
        <v>220</v>
      </c>
      <c r="D52" s="38">
        <f>(SUM('Input data'!D$77:D$78)+SUMPRODUCT('Input data'!D$79:D$83,'Input data'!D$145:D$149))*'Input data'!D308</f>
        <v>1734226.6014893656</v>
      </c>
      <c r="E52" s="38">
        <f>(SUM('Input data'!E$77:E$78)+SUMPRODUCT('Input data'!E$79:E$83,'Input data'!E$145:E$149))*'Input data'!E308</f>
        <v>1734226.6014893656</v>
      </c>
      <c r="G52"/>
    </row>
    <row r="53" spans="2:7" ht="14.4" customHeight="1">
      <c r="B53" s="36" t="s">
        <v>131</v>
      </c>
      <c r="C53" s="3" t="s">
        <v>220</v>
      </c>
      <c r="D53" s="38">
        <f>(SUM('Input data'!D$77:D$78)+SUMPRODUCT('Input data'!D$79:D$83,'Input data'!D$145:D$149))*'Input data'!D309</f>
        <v>55150.719757105908</v>
      </c>
      <c r="E53" s="38">
        <f>(SUM('Input data'!E$77:E$78)+SUMPRODUCT('Input data'!E$79:E$83,'Input data'!E$145:E$149))*'Input data'!E309</f>
        <v>55150.719757105908</v>
      </c>
      <c r="G53"/>
    </row>
    <row r="54" spans="2:7" ht="14.4" customHeight="1">
      <c r="B54" s="36" t="s">
        <v>133</v>
      </c>
      <c r="C54" s="3" t="s">
        <v>220</v>
      </c>
      <c r="D54" s="38">
        <f>(SUM('Input data'!D$77:D$78)+SUMPRODUCT('Input data'!D$79:D$83,'Input data'!D$145:D$149))*'Input data'!D310</f>
        <v>2331301.8391352356</v>
      </c>
      <c r="E54" s="38">
        <f>(SUM('Input data'!E$77:E$78)+SUMPRODUCT('Input data'!E$79:E$83,'Input data'!E$145:E$149))*'Input data'!E310</f>
        <v>2331301.8391352356</v>
      </c>
      <c r="G54"/>
    </row>
    <row r="55" spans="2:7" ht="14.4" customHeight="1">
      <c r="B55" s="36" t="s">
        <v>135</v>
      </c>
      <c r="C55" s="3" t="s">
        <v>220</v>
      </c>
      <c r="D55" s="38">
        <f>(SUM('Input data'!D$77:D$78)+SUMPRODUCT('Input data'!D$79:D$83,'Input data'!D$145:D$149))*'Input data'!D311</f>
        <v>1811724.0497670483</v>
      </c>
      <c r="E55" s="38">
        <f>(SUM('Input data'!E$77:E$78)+SUMPRODUCT('Input data'!E$79:E$83,'Input data'!E$145:E$149))*'Input data'!E311</f>
        <v>1811724.0497670483</v>
      </c>
      <c r="G55"/>
    </row>
    <row r="56" spans="2:7" ht="14.4" customHeight="1">
      <c r="B56" s="36" t="s">
        <v>136</v>
      </c>
      <c r="C56" s="3" t="s">
        <v>220</v>
      </c>
      <c r="D56" s="38">
        <f>(SUM('Input data'!D$77:D$78)+SUMPRODUCT('Input data'!D$79:D$83,'Input data'!D$145:D$149))*'Input data'!D312</f>
        <v>2994680.1976385373</v>
      </c>
      <c r="E56" s="38">
        <f>(SUM('Input data'!E$77:E$78)+SUMPRODUCT('Input data'!E$79:E$83,'Input data'!E$145:E$149))*'Input data'!E312</f>
        <v>2994680.1976385373</v>
      </c>
      <c r="G56"/>
    </row>
    <row r="57" spans="2:7" ht="14.4" customHeight="1">
      <c r="B57" s="36" t="s">
        <v>138</v>
      </c>
      <c r="C57" s="3" t="s">
        <v>220</v>
      </c>
      <c r="D57" s="38">
        <f>(SUM('Input data'!D$77:D$78)+SUMPRODUCT('Input data'!D$79:D$83,'Input data'!D$145:D$149))*'Input data'!D313</f>
        <v>676229.89359582961</v>
      </c>
      <c r="E57" s="38">
        <f>(SUM('Input data'!E$77:E$78)+SUMPRODUCT('Input data'!E$79:E$83,'Input data'!E$145:E$149))*'Input data'!E313</f>
        <v>676229.89359582961</v>
      </c>
      <c r="G57"/>
    </row>
    <row r="58" spans="2:7" ht="14.4" customHeight="1">
      <c r="B58" s="36" t="s">
        <v>140</v>
      </c>
      <c r="C58" s="3" t="s">
        <v>220</v>
      </c>
      <c r="D58" s="38">
        <f>(SUM('Input data'!D$77:D$78)+SUMPRODUCT('Input data'!D$79:D$83,'Input data'!D$145:D$149))*'Input data'!D314</f>
        <v>1458839.4387399897</v>
      </c>
      <c r="E58" s="38">
        <f>(SUM('Input data'!E$77:E$78)+SUMPRODUCT('Input data'!E$79:E$83,'Input data'!E$145:E$149))*'Input data'!E314</f>
        <v>1458839.4387399897</v>
      </c>
      <c r="G58"/>
    </row>
    <row r="59" spans="2:7" ht="14.4" customHeight="1">
      <c r="B59" s="36" t="s">
        <v>142</v>
      </c>
      <c r="C59" s="3" t="s">
        <v>220</v>
      </c>
      <c r="D59" s="38">
        <f>(SUM('Input data'!D$77:D$78)+SUMPRODUCT('Input data'!D$79:D$83,'Input data'!D$145:D$149))*'Input data'!D315</f>
        <v>1277645.6233892427</v>
      </c>
      <c r="E59" s="38">
        <f>(SUM('Input data'!E$77:E$78)+SUMPRODUCT('Input data'!E$79:E$83,'Input data'!E$145:E$149))*'Input data'!E315</f>
        <v>1277645.6233892427</v>
      </c>
      <c r="G59"/>
    </row>
    <row r="60" spans="2:7" ht="14.4" customHeight="1">
      <c r="B60" s="36" t="s">
        <v>144</v>
      </c>
      <c r="C60" s="3" t="s">
        <v>220</v>
      </c>
      <c r="D60" s="38">
        <f>(SUM('Input data'!D$77:D$78)+SUMPRODUCT('Input data'!D$79:D$83,'Input data'!D$145:D$149))*'Input data'!D316</f>
        <v>33992041.432271369</v>
      </c>
      <c r="E60" s="38">
        <f>(SUM('Input data'!E$77:E$78)+SUMPRODUCT('Input data'!E$79:E$83,'Input data'!E$145:E$149))*'Input data'!E316</f>
        <v>33992041.432271369</v>
      </c>
      <c r="G60"/>
    </row>
    <row r="61" spans="2:7" ht="14.4" customHeight="1">
      <c r="B61" s="36" t="s">
        <v>146</v>
      </c>
      <c r="C61" s="3" t="s">
        <v>220</v>
      </c>
      <c r="D61" s="38">
        <f>(SUM('Input data'!D$77:D$78)+SUMPRODUCT('Input data'!D$79:D$83,'Input data'!D$145:D$149))*'Input data'!D317</f>
        <v>4177722.7137290742</v>
      </c>
      <c r="E61" s="38">
        <f>(SUM('Input data'!E$77:E$78)+SUMPRODUCT('Input data'!E$79:E$83,'Input data'!E$145:E$149))*'Input data'!E317</f>
        <v>4177722.7137290742</v>
      </c>
      <c r="G61"/>
    </row>
    <row r="62" spans="2:7" ht="14.4" customHeight="1">
      <c r="B62" s="36" t="s">
        <v>148</v>
      </c>
      <c r="C62" s="3" t="s">
        <v>220</v>
      </c>
      <c r="D62" s="38">
        <f>(SUM('Input data'!D$77:D$78)+SUMPRODUCT('Input data'!D$79:D$83,'Input data'!D$145:D$149))*'Input data'!D318</f>
        <v>3559238.7790937712</v>
      </c>
      <c r="E62" s="38">
        <f>(SUM('Input data'!E$77:E$78)+SUMPRODUCT('Input data'!E$79:E$83,'Input data'!E$145:E$149))*'Input data'!E318</f>
        <v>3559238.7790937712</v>
      </c>
      <c r="G62"/>
    </row>
    <row r="63" spans="2:7" ht="14.4" customHeight="1">
      <c r="B63" s="36" t="s">
        <v>150</v>
      </c>
      <c r="C63" s="3" t="s">
        <v>220</v>
      </c>
      <c r="D63" s="38">
        <f>(SUM('Input data'!D$77:D$78)+SUMPRODUCT('Input data'!D$79:D$83,'Input data'!D$145:D$149))*'Input data'!D319</f>
        <v>10014787.149418822</v>
      </c>
      <c r="E63" s="38">
        <f>(SUM('Input data'!E$77:E$78)+SUMPRODUCT('Input data'!E$79:E$83,'Input data'!E$145:E$149))*'Input data'!E319</f>
        <v>10014787.149418822</v>
      </c>
      <c r="G63"/>
    </row>
    <row r="64" spans="2:7" ht="14.4" customHeight="1">
      <c r="B64" s="36" t="s">
        <v>152</v>
      </c>
      <c r="C64" s="3" t="s">
        <v>220</v>
      </c>
      <c r="D64" s="38">
        <f>(SUM('Input data'!D$77:D$78)+SUMPRODUCT('Input data'!D$79:D$83,'Input data'!D$145:D$149))*'Input data'!D320</f>
        <v>6964392.1832657726</v>
      </c>
      <c r="E64" s="38">
        <f>(SUM('Input data'!E$77:E$78)+SUMPRODUCT('Input data'!E$79:E$83,'Input data'!E$145:E$149))*'Input data'!E320</f>
        <v>6964392.1832657726</v>
      </c>
      <c r="G64"/>
    </row>
    <row r="65" spans="2:7" ht="14.4" customHeight="1">
      <c r="B65" s="36" t="s">
        <v>154</v>
      </c>
      <c r="C65" s="3" t="s">
        <v>220</v>
      </c>
      <c r="D65" s="38">
        <f>(SUM('Input data'!D$77:D$78)+SUMPRODUCT('Input data'!D$79:D$83,'Input data'!D$145:D$149))*'Input data'!D321</f>
        <v>6403653.3690645993</v>
      </c>
      <c r="E65" s="38">
        <f>(SUM('Input data'!E$77:E$78)+SUMPRODUCT('Input data'!E$79:E$83,'Input data'!E$145:E$149))*'Input data'!E321</f>
        <v>6403653.3690645993</v>
      </c>
      <c r="G65"/>
    </row>
    <row r="66" spans="2:7" ht="14.4" customHeight="1">
      <c r="B66" s="36" t="s">
        <v>156</v>
      </c>
      <c r="C66" s="3" t="s">
        <v>220</v>
      </c>
      <c r="D66" s="38">
        <f>(SUM('Input data'!D$77:D$78)+SUMPRODUCT('Input data'!D$79:D$83,'Input data'!D$145:D$149))*'Input data'!D322</f>
        <v>803369.50220993639</v>
      </c>
      <c r="E66" s="38">
        <f>(SUM('Input data'!E$77:E$78)+SUMPRODUCT('Input data'!E$79:E$83,'Input data'!E$145:E$149))*'Input data'!E322</f>
        <v>803369.50220993639</v>
      </c>
      <c r="G66"/>
    </row>
    <row r="67" spans="2:7" ht="14.4" customHeight="1">
      <c r="B67" s="36" t="s">
        <v>158</v>
      </c>
      <c r="C67" s="3" t="s">
        <v>220</v>
      </c>
      <c r="D67" s="38">
        <f>(SUM('Input data'!D$77:D$78)+SUMPRODUCT('Input data'!D$79:D$83,'Input data'!D$145:D$149))*'Input data'!D323</f>
        <v>3434404.559057998</v>
      </c>
      <c r="E67" s="38">
        <f>(SUM('Input data'!E$77:E$78)+SUMPRODUCT('Input data'!E$79:E$83,'Input data'!E$145:E$149))*'Input data'!E323</f>
        <v>3434404.559057998</v>
      </c>
      <c r="G67"/>
    </row>
    <row r="68" spans="2:7" ht="14.4" customHeight="1">
      <c r="B68" s="36" t="s">
        <v>160</v>
      </c>
      <c r="C68" s="3" t="s">
        <v>220</v>
      </c>
      <c r="D68" s="38">
        <f>(SUM('Input data'!D$77:D$78)+SUMPRODUCT('Input data'!D$79:D$83,'Input data'!D$145:D$149))*'Input data'!D324</f>
        <v>4611620.1552052135</v>
      </c>
      <c r="E68" s="38">
        <f>(SUM('Input data'!E$77:E$78)+SUMPRODUCT('Input data'!E$79:E$83,'Input data'!E$145:E$149))*'Input data'!E324</f>
        <v>4611620.1552052135</v>
      </c>
      <c r="G68"/>
    </row>
    <row r="69" spans="2:7" ht="14.4" customHeight="1">
      <c r="B69" s="36" t="s">
        <v>162</v>
      </c>
      <c r="C69" s="3" t="s">
        <v>220</v>
      </c>
      <c r="D69" s="38">
        <f>(SUM('Input data'!D$77:D$78)+SUMPRODUCT('Input data'!D$79:D$83,'Input data'!D$145:D$149))*'Input data'!D325</f>
        <v>48718.104245253999</v>
      </c>
      <c r="E69" s="38">
        <f>(SUM('Input data'!E$77:E$78)+SUMPRODUCT('Input data'!E$79:E$83,'Input data'!E$145:E$149))*'Input data'!E325</f>
        <v>48718.104245253999</v>
      </c>
      <c r="G69"/>
    </row>
    <row r="70" spans="2:7" ht="14.4" customHeight="1">
      <c r="B70" s="36" t="s">
        <v>164</v>
      </c>
      <c r="C70" s="3" t="s">
        <v>220</v>
      </c>
      <c r="D70" s="38">
        <f>(SUM('Input data'!D$77:D$78)+SUMPRODUCT('Input data'!D$79:D$83,'Input data'!D$145:D$149))*'Input data'!D326</f>
        <v>165127.37004629069</v>
      </c>
      <c r="E70" s="38">
        <f>(SUM('Input data'!E$77:E$78)+SUMPRODUCT('Input data'!E$79:E$83,'Input data'!E$145:E$149))*'Input data'!E326</f>
        <v>165127.37004629069</v>
      </c>
      <c r="G70"/>
    </row>
    <row r="71" spans="2:7" ht="14.4" customHeight="1">
      <c r="B71" s="36" t="s">
        <v>166</v>
      </c>
      <c r="C71" s="3" t="s">
        <v>220</v>
      </c>
      <c r="D71" s="38">
        <f>(SUM('Input data'!D$77:D$78)+SUMPRODUCT('Input data'!D$79:D$83,'Input data'!D$145:D$149))*'Input data'!D327</f>
        <v>148489.04973804319</v>
      </c>
      <c r="E71" s="38">
        <f>(SUM('Input data'!E$77:E$78)+SUMPRODUCT('Input data'!E$79:E$83,'Input data'!E$145:E$149))*'Input data'!E327</f>
        <v>148489.04973804319</v>
      </c>
      <c r="G71"/>
    </row>
    <row r="72" spans="2:7" ht="14.4" customHeight="1">
      <c r="B72" s="36" t="s">
        <v>168</v>
      </c>
      <c r="C72" s="3" t="s">
        <v>220</v>
      </c>
      <c r="D72" s="38">
        <f>(SUM('Input data'!D$77:D$78)+SUMPRODUCT('Input data'!D$79:D$83,'Input data'!D$145:D$149))*'Input data'!D328</f>
        <v>51921.554596402631</v>
      </c>
      <c r="E72" s="38">
        <f>(SUM('Input data'!E$77:E$78)+SUMPRODUCT('Input data'!E$79:E$83,'Input data'!E$145:E$149))*'Input data'!E328</f>
        <v>51921.554596402631</v>
      </c>
      <c r="G72"/>
    </row>
    <row r="73" spans="2:7" ht="14.4" customHeight="1">
      <c r="B73" s="36" t="s">
        <v>170</v>
      </c>
      <c r="C73" s="3" t="s">
        <v>220</v>
      </c>
      <c r="D73" s="38">
        <f>(SUM('Input data'!D$77:D$78)+SUMPRODUCT('Input data'!D$79:D$83,'Input data'!D$145:D$149))*'Input data'!D329</f>
        <v>183498.085893882</v>
      </c>
      <c r="E73" s="38">
        <f>(SUM('Input data'!E$77:E$78)+SUMPRODUCT('Input data'!E$79:E$83,'Input data'!E$145:E$149))*'Input data'!E329</f>
        <v>183498.085893882</v>
      </c>
      <c r="G73"/>
    </row>
    <row r="74" spans="2:7" ht="14.4" customHeight="1">
      <c r="B74" s="36" t="s">
        <v>172</v>
      </c>
      <c r="C74" s="3" t="s">
        <v>220</v>
      </c>
      <c r="D74" s="38">
        <f>(SUM('Input data'!D$77:D$78)+SUMPRODUCT('Input data'!D$79:D$83,'Input data'!D$145:D$149))*'Input data'!D330</f>
        <v>26553353.003192723</v>
      </c>
      <c r="E74" s="38">
        <f>(SUM('Input data'!E$77:E$78)+SUMPRODUCT('Input data'!E$79:E$83,'Input data'!E$145:E$149))*'Input data'!E330</f>
        <v>26553353.003192723</v>
      </c>
      <c r="G74"/>
    </row>
    <row r="75" spans="2:7" ht="14.4" customHeight="1">
      <c r="B75" s="36" t="s">
        <v>174</v>
      </c>
      <c r="C75" s="3" t="s">
        <v>220</v>
      </c>
      <c r="D75" s="38">
        <f>(SUM('Input data'!D$77:D$78)+SUMPRODUCT('Input data'!D$79:D$83,'Input data'!D$145:D$149))*'Input data'!D331</f>
        <v>420347.41389364447</v>
      </c>
      <c r="E75" s="38">
        <f>(SUM('Input data'!E$77:E$78)+SUMPRODUCT('Input data'!E$79:E$83,'Input data'!E$145:E$149))*'Input data'!E331</f>
        <v>420347.41389364447</v>
      </c>
      <c r="G75"/>
    </row>
    <row r="76" spans="2:7" ht="14.4" customHeight="1">
      <c r="B76" s="36" t="s">
        <v>176</v>
      </c>
      <c r="C76" s="3" t="s">
        <v>220</v>
      </c>
      <c r="D76" s="38">
        <f>(SUM('Input data'!D$77:D$78)+SUMPRODUCT('Input data'!D$79:D$83,'Input data'!D$145:D$149))*'Input data'!D332</f>
        <v>2271229.2489276128</v>
      </c>
      <c r="E76" s="38">
        <f>(SUM('Input data'!E$77:E$78)+SUMPRODUCT('Input data'!E$79:E$83,'Input data'!E$145:E$149))*'Input data'!E332</f>
        <v>2271229.2489276128</v>
      </c>
      <c r="G76"/>
    </row>
    <row r="77" spans="2:7" ht="14.4" customHeight="1">
      <c r="B77" s="36" t="s">
        <v>178</v>
      </c>
      <c r="C77" s="3" t="s">
        <v>220</v>
      </c>
      <c r="D77" s="38">
        <f>(SUM('Input data'!D$77:D$78)+SUMPRODUCT('Input data'!D$79:D$83,'Input data'!D$145:D$149))*'Input data'!D333</f>
        <v>452075.29625207168</v>
      </c>
      <c r="E77" s="38">
        <f>(SUM('Input data'!E$77:E$78)+SUMPRODUCT('Input data'!E$79:E$83,'Input data'!E$145:E$149))*'Input data'!E333</f>
        <v>452075.29625207168</v>
      </c>
      <c r="G77"/>
    </row>
    <row r="78" spans="2:7" ht="14.4" customHeight="1">
      <c r="B78" s="36" t="s">
        <v>180</v>
      </c>
      <c r="C78" s="3" t="s">
        <v>220</v>
      </c>
      <c r="D78" s="38">
        <f>(SUM('Input data'!D$77:D$78)+SUMPRODUCT('Input data'!D$79:D$83,'Input data'!D$145:D$149))*'Input data'!D334</f>
        <v>1295117.15942882</v>
      </c>
      <c r="E78" s="38">
        <f>(SUM('Input data'!E$77:E$78)+SUMPRODUCT('Input data'!E$79:E$83,'Input data'!E$145:E$149))*'Input data'!E334</f>
        <v>1295117.15942882</v>
      </c>
      <c r="G78"/>
    </row>
    <row r="79" spans="2:7" ht="14.4" customHeight="1">
      <c r="B79" s="36" t="s">
        <v>182</v>
      </c>
      <c r="C79" s="3" t="s">
        <v>220</v>
      </c>
      <c r="D79" s="38">
        <f>(SUM('Input data'!D$77:D$78)+SUMPRODUCT('Input data'!D$79:D$83,'Input data'!D$145:D$149))*'Input data'!D335</f>
        <v>394330.45532674226</v>
      </c>
      <c r="E79" s="38">
        <f>(SUM('Input data'!E$77:E$78)+SUMPRODUCT('Input data'!E$79:E$83,'Input data'!E$145:E$149))*'Input data'!E335</f>
        <v>394330.45532674226</v>
      </c>
      <c r="G79"/>
    </row>
    <row r="80" spans="2:7" ht="14.4" customHeight="1">
      <c r="B80" s="36" t="s">
        <v>184</v>
      </c>
      <c r="C80" s="3" t="s">
        <v>220</v>
      </c>
      <c r="D80" s="38">
        <f>(SUM('Input data'!D$77:D$78)+SUMPRODUCT('Input data'!D$79:D$83,'Input data'!D$145:D$149))*'Input data'!D336</f>
        <v>1497422.8334239228</v>
      </c>
      <c r="E80" s="38">
        <f>(SUM('Input data'!E$77:E$78)+SUMPRODUCT('Input data'!E$79:E$83,'Input data'!E$145:E$149))*'Input data'!E336</f>
        <v>1497422.8334239228</v>
      </c>
      <c r="G80"/>
    </row>
    <row r="81" spans="2:7" ht="14.4" customHeight="1">
      <c r="B81" s="36" t="s">
        <v>186</v>
      </c>
      <c r="C81" s="3" t="s">
        <v>220</v>
      </c>
      <c r="D81" s="38">
        <f>(SUM('Input data'!D$77:D$78)+SUMPRODUCT('Input data'!D$79:D$83,'Input data'!D$145:D$149))*'Input data'!D337</f>
        <v>232104.66612813275</v>
      </c>
      <c r="E81" s="38">
        <f>(SUM('Input data'!E$77:E$78)+SUMPRODUCT('Input data'!E$79:E$83,'Input data'!E$145:E$149))*'Input data'!E337</f>
        <v>232104.66612813275</v>
      </c>
      <c r="G81"/>
    </row>
    <row r="82" spans="2:7" ht="14.4" customHeight="1">
      <c r="B82" s="36" t="s">
        <v>188</v>
      </c>
      <c r="C82" s="3" t="s">
        <v>220</v>
      </c>
      <c r="D82" s="38">
        <f>(SUM('Input data'!D$77:D$78)+SUMPRODUCT('Input data'!D$79:D$83,'Input data'!D$145:D$149))*'Input data'!D338</f>
        <v>64609.85655001858</v>
      </c>
      <c r="E82" s="38">
        <f>(SUM('Input data'!E$77:E$78)+SUMPRODUCT('Input data'!E$79:E$83,'Input data'!E$145:E$149))*'Input data'!E338</f>
        <v>64609.85655001858</v>
      </c>
      <c r="G82"/>
    </row>
    <row r="83" spans="2:7" ht="14.4" customHeight="1">
      <c r="B83" s="36" t="s">
        <v>190</v>
      </c>
      <c r="C83" s="3" t="s">
        <v>220</v>
      </c>
      <c r="D83" s="38">
        <f>(SUM('Input data'!D$77:D$78)+SUMPRODUCT('Input data'!D$79:D$83,'Input data'!D$145:D$149))*'Input data'!D339</f>
        <v>358776.09750306542</v>
      </c>
      <c r="E83" s="38">
        <f>(SUM('Input data'!E$77:E$78)+SUMPRODUCT('Input data'!E$79:E$83,'Input data'!E$145:E$149))*'Input data'!E339</f>
        <v>358776.09750306542</v>
      </c>
      <c r="G83"/>
    </row>
    <row r="84" spans="2:7" ht="14.4" customHeight="1">
      <c r="B84" s="36" t="s">
        <v>192</v>
      </c>
      <c r="C84" s="3" t="s">
        <v>220</v>
      </c>
      <c r="D84" s="38">
        <f>(SUM('Input data'!D$77:D$78)+SUMPRODUCT('Input data'!D$79:D$83,'Input data'!D$145:D$149))*'Input data'!D340</f>
        <v>365550.83178551379</v>
      </c>
      <c r="E84" s="38">
        <f>(SUM('Input data'!E$77:E$78)+SUMPRODUCT('Input data'!E$79:E$83,'Input data'!E$145:E$149))*'Input data'!E340</f>
        <v>365550.83178551379</v>
      </c>
      <c r="G84"/>
    </row>
    <row r="85" spans="2:7" ht="14.4" customHeight="1">
      <c r="B85" s="36" t="s">
        <v>194</v>
      </c>
      <c r="C85" s="3" t="s">
        <v>220</v>
      </c>
      <c r="D85" s="38">
        <f>(SUM('Input data'!D$77:D$78)+SUMPRODUCT('Input data'!D$79:D$83,'Input data'!D$145:D$149))*'Input data'!D341</f>
        <v>252345.29584442524</v>
      </c>
      <c r="E85" s="38">
        <f>(SUM('Input data'!E$77:E$78)+SUMPRODUCT('Input data'!E$79:E$83,'Input data'!E$145:E$149))*'Input data'!E341</f>
        <v>252345.29584442524</v>
      </c>
      <c r="G85"/>
    </row>
    <row r="86" spans="2:7" ht="14.4" customHeight="1">
      <c r="B86" s="36" t="s">
        <v>196</v>
      </c>
      <c r="C86" s="3" t="s">
        <v>220</v>
      </c>
      <c r="D86" s="38">
        <f>(SUM('Input data'!D$77:D$78)+SUMPRODUCT('Input data'!D$79:D$83,'Input data'!D$145:D$149))*'Input data'!D342</f>
        <v>149209.06440557295</v>
      </c>
      <c r="E86" s="38">
        <f>(SUM('Input data'!E$77:E$78)+SUMPRODUCT('Input data'!E$79:E$83,'Input data'!E$145:E$149))*'Input data'!E342</f>
        <v>149209.06440557295</v>
      </c>
      <c r="G86"/>
    </row>
    <row r="87" spans="2:7" ht="14.4" customHeight="1">
      <c r="B87" s="36" t="s">
        <v>198</v>
      </c>
      <c r="C87" s="3" t="s">
        <v>220</v>
      </c>
      <c r="D87" s="38">
        <f>(SUM('Input data'!D$77:D$78)+SUMPRODUCT('Input data'!D$79:D$83,'Input data'!D$145:D$149))*'Input data'!D343</f>
        <v>181438.94456791464</v>
      </c>
      <c r="E87" s="38">
        <f>(SUM('Input data'!E$77:E$78)+SUMPRODUCT('Input data'!E$79:E$83,'Input data'!E$145:E$149))*'Input data'!E343</f>
        <v>181438.94456791464</v>
      </c>
      <c r="G87"/>
    </row>
    <row r="88" spans="2:7" ht="14.4" customHeight="1">
      <c r="B88" s="36" t="s">
        <v>200</v>
      </c>
      <c r="C88" s="3" t="s">
        <v>220</v>
      </c>
      <c r="D88" s="38">
        <f>(SUM('Input data'!D$77:D$78)+SUMPRODUCT('Input data'!D$79:D$83,'Input data'!D$145:D$149))*'Input data'!D344</f>
        <v>598355.94696521095</v>
      </c>
      <c r="E88" s="38">
        <f>(SUM('Input data'!E$77:E$78)+SUMPRODUCT('Input data'!E$79:E$83,'Input data'!E$145:E$149))*'Input data'!E344</f>
        <v>598355.94696521095</v>
      </c>
      <c r="G88"/>
    </row>
    <row r="89" spans="2:7" ht="14.4" customHeight="1">
      <c r="B89" s="36" t="s">
        <v>202</v>
      </c>
      <c r="C89" s="3" t="s">
        <v>220</v>
      </c>
      <c r="D89" s="38">
        <f>(SUM('Input data'!D$77:D$78)+SUMPRODUCT('Input data'!D$79:D$83,'Input data'!D$145:D$149))*'Input data'!D345</f>
        <v>749374.83084759105</v>
      </c>
      <c r="E89" s="38">
        <f>(SUM('Input data'!E$77:E$78)+SUMPRODUCT('Input data'!E$79:E$83,'Input data'!E$145:E$149))*'Input data'!E345</f>
        <v>749374.83084759105</v>
      </c>
      <c r="G89"/>
    </row>
    <row r="90" spans="2:7" ht="14.4" customHeight="1">
      <c r="B90" s="36" t="s">
        <v>204</v>
      </c>
      <c r="C90" s="3" t="s">
        <v>220</v>
      </c>
      <c r="D90" s="38">
        <f>(SUM('Input data'!D$77:D$78)+SUMPRODUCT('Input data'!D$79:D$83,'Input data'!D$145:D$149))*'Input data'!D346</f>
        <v>5401382.0510199564</v>
      </c>
      <c r="E90" s="38">
        <f>(SUM('Input data'!E$77:E$78)+SUMPRODUCT('Input data'!E$79:E$83,'Input data'!E$145:E$149))*'Input data'!E346</f>
        <v>5401382.0510199564</v>
      </c>
      <c r="G90"/>
    </row>
    <row r="91" spans="2:7" ht="14.4" customHeight="1">
      <c r="B91" s="36" t="s">
        <v>206</v>
      </c>
      <c r="C91" s="3" t="s">
        <v>220</v>
      </c>
      <c r="D91" s="38">
        <f>(SUM('Input data'!D$77:D$78)+SUMPRODUCT('Input data'!D$79:D$83,'Input data'!D$145:D$149))*'Input data'!D347</f>
        <v>11635727.995941641</v>
      </c>
      <c r="E91" s="38">
        <f>(SUM('Input data'!E$77:E$78)+SUMPRODUCT('Input data'!E$79:E$83,'Input data'!E$145:E$149))*'Input data'!E347</f>
        <v>11635727.995941641</v>
      </c>
      <c r="G91"/>
    </row>
    <row r="92" spans="2:7" ht="14.4" customHeight="1">
      <c r="B92" s="36" t="s">
        <v>208</v>
      </c>
      <c r="C92" s="3" t="s">
        <v>220</v>
      </c>
      <c r="D92" s="38">
        <f>(SUM('Input data'!D$77:D$78)+SUMPRODUCT('Input data'!D$79:D$83,'Input data'!D$145:D$149))*'Input data'!D348</f>
        <v>4906553.3683041083</v>
      </c>
      <c r="E92" s="38">
        <f>(SUM('Input data'!E$77:E$78)+SUMPRODUCT('Input data'!E$79:E$83,'Input data'!E$145:E$149))*'Input data'!E348</f>
        <v>4906553.3683041083</v>
      </c>
      <c r="G92"/>
    </row>
    <row r="93" spans="2:7" ht="14.4" customHeight="1">
      <c r="B93" s="36" t="s">
        <v>209</v>
      </c>
      <c r="C93" s="3" t="s">
        <v>220</v>
      </c>
      <c r="D93" s="38">
        <f>(SUM('Input data'!D$77:D$78)+SUMPRODUCT('Input data'!D$79:D$83,'Input data'!D$145:D$149))*'Input data'!D349</f>
        <v>121161.4744102531</v>
      </c>
      <c r="E93" s="38">
        <f>(SUM('Input data'!E$77:E$78)+SUMPRODUCT('Input data'!E$79:E$83,'Input data'!E$145:E$149))*'Input data'!E349</f>
        <v>121161.4744102531</v>
      </c>
      <c r="G93"/>
    </row>
    <row r="94" spans="2:7" ht="14.4" customHeight="1">
      <c r="B94" s="36" t="s">
        <v>211</v>
      </c>
      <c r="C94" s="3" t="s">
        <v>220</v>
      </c>
      <c r="D94" s="38">
        <f>(SUM('Input data'!D$77:D$78)+SUMPRODUCT('Input data'!D$79:D$83,'Input data'!D$145:D$149))*'Input data'!D350</f>
        <v>9527360.139222715</v>
      </c>
      <c r="E94" s="38">
        <f>(SUM('Input data'!E$77:E$78)+SUMPRODUCT('Input data'!E$79:E$83,'Input data'!E$145:E$149))*'Input data'!E350</f>
        <v>9527360.139222715</v>
      </c>
      <c r="G94"/>
    </row>
    <row r="95" spans="2:7" ht="14.4" customHeight="1">
      <c r="B95" s="36" t="s">
        <v>212</v>
      </c>
      <c r="C95" s="3" t="s">
        <v>220</v>
      </c>
      <c r="D95" s="38">
        <f>(SUM('Input data'!D$77:D$78)+SUMPRODUCT('Input data'!D$79:D$83,'Input data'!D$145:D$149))*'Input data'!D351</f>
        <v>35532.835646114778</v>
      </c>
      <c r="E95" s="38">
        <f>(SUM('Input data'!E$77:E$78)+SUMPRODUCT('Input data'!E$79:E$83,'Input data'!E$145:E$149))*'Input data'!E351</f>
        <v>35532.835646114778</v>
      </c>
      <c r="G95"/>
    </row>
    <row r="98" spans="2:5" ht="28.95" customHeight="1">
      <c r="B98" s="32" t="s">
        <v>264</v>
      </c>
      <c r="C98" s="5"/>
      <c r="D98" s="5"/>
      <c r="E98" s="5"/>
    </row>
    <row r="99" spans="2:5" ht="14.4" customHeight="1">
      <c r="B99" s="37" t="s">
        <v>263</v>
      </c>
    </row>
    <row r="100" spans="2:5" ht="14.4" customHeight="1">
      <c r="B100" s="9" t="s">
        <v>1</v>
      </c>
      <c r="C100" s="9" t="s">
        <v>214</v>
      </c>
      <c r="D100" s="6"/>
      <c r="E100" s="6"/>
    </row>
    <row r="101" spans="2:5" ht="14.4" customHeight="1">
      <c r="B101" s="25"/>
      <c r="C101" s="25"/>
      <c r="D101" s="23" t="str">
        <f>'Input data'!D$5</f>
        <v>2025-26</v>
      </c>
      <c r="E101" s="23" t="str">
        <f>'Input data'!E$5</f>
        <v>2026-27</v>
      </c>
    </row>
    <row r="102" spans="2:5" ht="14.4" customHeight="1">
      <c r="B102" s="24"/>
      <c r="C102" s="24"/>
      <c r="D102" s="8"/>
      <c r="E102" s="8"/>
    </row>
    <row r="103" spans="2:5" ht="14.4" customHeight="1">
      <c r="B103" s="36" t="s">
        <v>0</v>
      </c>
      <c r="C103" s="3" t="s">
        <v>216</v>
      </c>
      <c r="D103" s="55">
        <f>SUMPRODUCT('A4a.CWD Entry Av. Distance'!$D7:$D11,'Distance Matrix_Entry'!C$23:C$27)/SUMIFS('A4a.CWD Entry Av. Distance'!$D7:$D11,'Distance Matrix_Entry'!C$23:C$27,"&gt;0")</f>
        <v>472.83241190848685</v>
      </c>
      <c r="E103" s="55">
        <f>SUMPRODUCT('A4a.CWD Entry Av. Distance'!$E7:$E11,'Distance Matrix_Entry'!C$23:C$27)/SUMIFS('A4a.CWD Entry Av. Distance'!$E7:$E11,'Distance Matrix_Entry'!C$23:C$27,"&gt;0")</f>
        <v>472.83241190848685</v>
      </c>
    </row>
    <row r="104" spans="2:5" ht="14.4" customHeight="1">
      <c r="B104" s="36" t="s">
        <v>215</v>
      </c>
      <c r="C104" s="3" t="s">
        <v>216</v>
      </c>
      <c r="D104" s="55">
        <f>SUMPRODUCT('A4a.CWD Entry Av. Distance'!$D7:$D11,'Distance Matrix_Entry'!D$23:D$27)/SUMIFS('A4a.CWD Entry Av. Distance'!$D7:$D11,'Distance Matrix_Entry'!D$23:D$27,"&gt;0")</f>
        <v>537.79941724629282</v>
      </c>
      <c r="E104" s="55">
        <f>SUMPRODUCT('A4a.CWD Entry Av. Distance'!$E7:$E11,'Distance Matrix_Entry'!D$23:D$27)/SUMIFS('A4a.CWD Entry Av. Distance'!$E7:$E11,'Distance Matrix_Entry'!D$23:D$27,"&gt;0")</f>
        <v>537.79941724629282</v>
      </c>
    </row>
    <row r="105" spans="2:5" ht="14.4" customHeight="1">
      <c r="B105" s="36" t="s">
        <v>217</v>
      </c>
      <c r="C105" s="3" t="s">
        <v>14</v>
      </c>
      <c r="D105" s="55">
        <f>SUMPRODUCT('A4a.CWD Entry Av. Distance'!$D7:$D11,'Distance Matrix_Entry'!E$23:E$27)/SUMIFS('A4a.CWD Entry Av. Distance'!$D7:$D11,'Distance Matrix_Entry'!E$23:E$27,"&gt;0")</f>
        <v>432.06055177726307</v>
      </c>
      <c r="E105" s="55">
        <f>SUMPRODUCT('A4a.CWD Entry Av. Distance'!$E7:$E11,'Distance Matrix_Entry'!E$23:E$27)/SUMIFS('A4a.CWD Entry Av. Distance'!$E7:$E11,'Distance Matrix_Entry'!E$23:E$27,"&gt;0")</f>
        <v>432.06055177726307</v>
      </c>
    </row>
    <row r="106" spans="2:5" ht="14.4" customHeight="1">
      <c r="B106" s="36" t="s">
        <v>218</v>
      </c>
      <c r="C106" s="3" t="s">
        <v>15</v>
      </c>
      <c r="D106" s="55">
        <f>SUMPRODUCT('A4a.CWD Entry Av. Distance'!$D7:$D11,'Distance Matrix_Entry'!F$23:F$27)/SUMIFS('A4a.CWD Entry Av. Distance'!$D7:$D11,'Distance Matrix_Entry'!F$23:F$27,"&gt;0")</f>
        <v>276.67792111710298</v>
      </c>
      <c r="E106" s="55">
        <f>SUMPRODUCT('A4a.CWD Entry Av. Distance'!$E7:$E11,'Distance Matrix_Entry'!F$23:F$27)/SUMIFS('A4a.CWD Entry Av. Distance'!$E7:$E11,'Distance Matrix_Entry'!F$23:F$27,"&gt;0")</f>
        <v>276.67792111710298</v>
      </c>
    </row>
    <row r="107" spans="2:5" ht="14.4" customHeight="1">
      <c r="B107" s="36" t="s">
        <v>54</v>
      </c>
      <c r="C107" s="3" t="s">
        <v>220</v>
      </c>
      <c r="D107" s="55">
        <f>SUMPRODUCT('A4a.CWD Entry Av. Distance'!$D7:$D11,'Distance Matrix_Entry'!G$23:G$27)/SUMIFS('A4a.CWD Entry Av. Distance'!$D7:$D11,'Distance Matrix_Entry'!G$23:G$27,"&gt;0")</f>
        <v>120.31673267080365</v>
      </c>
      <c r="E107" s="55">
        <f>SUMPRODUCT('A4a.CWD Entry Av. Distance'!$E7:$E11,'Distance Matrix_Entry'!G$23:G$27)/SUMIFS('A4a.CWD Entry Av. Distance'!$E7:$E11,'Distance Matrix_Entry'!G$23:G$27,"&gt;0")</f>
        <v>120.31673267080365</v>
      </c>
    </row>
    <row r="108" spans="2:5" ht="14.4" customHeight="1">
      <c r="B108" s="36" t="s">
        <v>56</v>
      </c>
      <c r="C108" s="3" t="s">
        <v>220</v>
      </c>
      <c r="D108" s="55">
        <f>SUMPRODUCT('A4a.CWD Entry Av. Distance'!$D7:$D11,'Distance Matrix_Entry'!H$23:H$27)/SUMIFS('A4a.CWD Entry Av. Distance'!$D7:$D11,'Distance Matrix_Entry'!H$23:H$27,"&gt;0")</f>
        <v>144.80794862875553</v>
      </c>
      <c r="E108" s="55">
        <f>SUMPRODUCT('A4a.CWD Entry Av. Distance'!$E7:$E11,'Distance Matrix_Entry'!H$23:H$27)/SUMIFS('A4a.CWD Entry Av. Distance'!$E7:$E11,'Distance Matrix_Entry'!H$23:H$27,"&gt;0")</f>
        <v>144.80794862875553</v>
      </c>
    </row>
    <row r="109" spans="2:5" ht="14.4" customHeight="1">
      <c r="B109" s="36" t="s">
        <v>58</v>
      </c>
      <c r="C109" s="3" t="s">
        <v>220</v>
      </c>
      <c r="D109" s="55">
        <f>SUMPRODUCT('A4a.CWD Entry Av. Distance'!$D7:$D11,'Distance Matrix_Entry'!I$23:I$27)/SUMIFS('A4a.CWD Entry Av. Distance'!$D7:$D11,'Distance Matrix_Entry'!I$23:I$27,"&gt;0")</f>
        <v>136.49694862875555</v>
      </c>
      <c r="E109" s="55">
        <f>SUMPRODUCT('A4a.CWD Entry Av. Distance'!$E7:$E11,'Distance Matrix_Entry'!I$23:I$27)/SUMIFS('A4a.CWD Entry Av. Distance'!$E7:$E11,'Distance Matrix_Entry'!I$23:I$27,"&gt;0")</f>
        <v>136.49694862875555</v>
      </c>
    </row>
    <row r="110" spans="2:5" ht="14.4" customHeight="1">
      <c r="B110" s="36" t="s">
        <v>60</v>
      </c>
      <c r="C110" s="3" t="s">
        <v>220</v>
      </c>
      <c r="D110" s="55">
        <f>SUMPRODUCT('A4a.CWD Entry Av. Distance'!$D7:$D11,'Distance Matrix_Entry'!J$23:J$27)/SUMIFS('A4a.CWD Entry Av. Distance'!$D7:$D11,'Distance Matrix_Entry'!J$23:J$27,"&gt;0")</f>
        <v>144.80694862875555</v>
      </c>
      <c r="E110" s="55">
        <f>SUMPRODUCT('A4a.CWD Entry Av. Distance'!$E7:$E11,'Distance Matrix_Entry'!J$23:J$27)/SUMIFS('A4a.CWD Entry Av. Distance'!$E7:$E11,'Distance Matrix_Entry'!J$23:J$27,"&gt;0")</f>
        <v>144.80694862875555</v>
      </c>
    </row>
    <row r="111" spans="2:5" ht="14.4" customHeight="1">
      <c r="B111" s="36" t="s">
        <v>61</v>
      </c>
      <c r="C111" s="3" t="s">
        <v>220</v>
      </c>
      <c r="D111" s="55">
        <f>SUMPRODUCT('A4a.CWD Entry Av. Distance'!$D7:$D11,'Distance Matrix_Entry'!K$23:K$27)/SUMIFS('A4a.CWD Entry Av. Distance'!$D7:$D11,'Distance Matrix_Entry'!K$23:K$27,"&gt;0")</f>
        <v>132.16201950087552</v>
      </c>
      <c r="E111" s="55">
        <f>SUMPRODUCT('A4a.CWD Entry Av. Distance'!$E7:$E11,'Distance Matrix_Entry'!K$23:K$27)/SUMIFS('A4a.CWD Entry Av. Distance'!$E7:$E11,'Distance Matrix_Entry'!K$23:K$27,"&gt;0")</f>
        <v>132.16201950087552</v>
      </c>
    </row>
    <row r="112" spans="2:5" ht="14.4" customHeight="1">
      <c r="B112" s="36" t="s">
        <v>63</v>
      </c>
      <c r="C112" s="3" t="s">
        <v>220</v>
      </c>
      <c r="D112" s="55">
        <f>SUMPRODUCT('A4a.CWD Entry Av. Distance'!$D7:$D11,'Distance Matrix_Entry'!L$23:L$27)/SUMIFS('A4a.CWD Entry Av. Distance'!$D7:$D11,'Distance Matrix_Entry'!L$23:L$27,"&gt;0")</f>
        <v>141.37502036870924</v>
      </c>
      <c r="E112" s="55">
        <f>SUMPRODUCT('A4a.CWD Entry Av. Distance'!$E7:$E11,'Distance Matrix_Entry'!L$23:L$27)/SUMIFS('A4a.CWD Entry Av. Distance'!$E7:$E11,'Distance Matrix_Entry'!L$23:L$27,"&gt;0")</f>
        <v>141.37502036870924</v>
      </c>
    </row>
    <row r="113" spans="2:5" ht="14.4" customHeight="1">
      <c r="B113" s="36" t="s">
        <v>65</v>
      </c>
      <c r="C113" s="3" t="s">
        <v>220</v>
      </c>
      <c r="D113" s="55">
        <f>SUMPRODUCT('A4a.CWD Entry Av. Distance'!$D7:$D11,'Distance Matrix_Entry'!M$23:M$27)/SUMIFS('A4a.CWD Entry Av. Distance'!$D7:$D11,'Distance Matrix_Entry'!M$23:M$27,"&gt;0")</f>
        <v>151.06694862875554</v>
      </c>
      <c r="E113" s="55">
        <f>SUMPRODUCT('A4a.CWD Entry Av. Distance'!$E7:$E11,'Distance Matrix_Entry'!M$23:M$27)/SUMIFS('A4a.CWD Entry Av. Distance'!$E7:$E11,'Distance Matrix_Entry'!M$23:M$27,"&gt;0")</f>
        <v>151.06694862875554</v>
      </c>
    </row>
    <row r="114" spans="2:5" ht="14.4" customHeight="1">
      <c r="B114" s="36" t="s">
        <v>67</v>
      </c>
      <c r="C114" s="3" t="s">
        <v>220</v>
      </c>
      <c r="D114" s="55">
        <f>SUMPRODUCT('A4a.CWD Entry Av. Distance'!$D7:$D11,'Distance Matrix_Entry'!N$23:N$27)/SUMIFS('A4a.CWD Entry Av. Distance'!$D7:$D11,'Distance Matrix_Entry'!N$23:N$27,"&gt;0")</f>
        <v>153.79286657474819</v>
      </c>
      <c r="E114" s="55">
        <f>SUMPRODUCT('A4a.CWD Entry Av. Distance'!$E7:$E11,'Distance Matrix_Entry'!N$23:N$27)/SUMIFS('A4a.CWD Entry Av. Distance'!$E7:$E11,'Distance Matrix_Entry'!N$23:N$27,"&gt;0")</f>
        <v>153.79286657474819</v>
      </c>
    </row>
    <row r="115" spans="2:5" ht="14.4" customHeight="1">
      <c r="B115" s="36" t="s">
        <v>69</v>
      </c>
      <c r="C115" s="3" t="s">
        <v>220</v>
      </c>
      <c r="D115" s="55">
        <f>SUMPRODUCT('A4a.CWD Entry Av. Distance'!$D7:$D11,'Distance Matrix_Entry'!O$23:O$27)/SUMIFS('A4a.CWD Entry Av. Distance'!$D7:$D11,'Distance Matrix_Entry'!O$23:O$27,"&gt;0")</f>
        <v>163.05791829494251</v>
      </c>
      <c r="E115" s="55">
        <f>SUMPRODUCT('A4a.CWD Entry Av. Distance'!$E7:$E11,'Distance Matrix_Entry'!O$23:O$27)/SUMIFS('A4a.CWD Entry Av. Distance'!$E7:$E11,'Distance Matrix_Entry'!O$23:O$27,"&gt;0")</f>
        <v>163.05791829494251</v>
      </c>
    </row>
    <row r="116" spans="2:5" ht="14.4" customHeight="1">
      <c r="B116" s="36" t="s">
        <v>71</v>
      </c>
      <c r="C116" s="3" t="s">
        <v>220</v>
      </c>
      <c r="D116" s="55">
        <f>SUMPRODUCT('A4a.CWD Entry Av. Distance'!$D7:$D11,'Distance Matrix_Entry'!P$23:P$27)/SUMIFS('A4a.CWD Entry Av. Distance'!$D7:$D11,'Distance Matrix_Entry'!P$23:P$27,"&gt;0")</f>
        <v>198.8922284863657</v>
      </c>
      <c r="E116" s="55">
        <f>SUMPRODUCT('A4a.CWD Entry Av. Distance'!$E7:$E11,'Distance Matrix_Entry'!P$23:P$27)/SUMIFS('A4a.CWD Entry Av. Distance'!$E7:$E11,'Distance Matrix_Entry'!P$23:P$27,"&gt;0")</f>
        <v>198.8922284863657</v>
      </c>
    </row>
    <row r="117" spans="2:5" ht="14.4" customHeight="1">
      <c r="B117" s="36" t="s">
        <v>73</v>
      </c>
      <c r="C117" s="3" t="s">
        <v>220</v>
      </c>
      <c r="D117" s="55">
        <f>SUMPRODUCT('A4a.CWD Entry Av. Distance'!$D7:$D11,'Distance Matrix_Entry'!Q$23:Q$27)/SUMIFS('A4a.CWD Entry Av. Distance'!$D7:$D11,'Distance Matrix_Entry'!Q$23:Q$27,"&gt;0")</f>
        <v>166.0012284863657</v>
      </c>
      <c r="E117" s="55">
        <f>SUMPRODUCT('A4a.CWD Entry Av. Distance'!$E7:$E11,'Distance Matrix_Entry'!Q$23:Q$27)/SUMIFS('A4a.CWD Entry Av. Distance'!$E7:$E11,'Distance Matrix_Entry'!Q$23:Q$27,"&gt;0")</f>
        <v>166.0012284863657</v>
      </c>
    </row>
    <row r="118" spans="2:5" ht="14.4" customHeight="1">
      <c r="B118" s="36" t="s">
        <v>75</v>
      </c>
      <c r="C118" s="3" t="s">
        <v>220</v>
      </c>
      <c r="D118" s="55">
        <f>SUMPRODUCT('A4a.CWD Entry Av. Distance'!$D7:$D11,'Distance Matrix_Entry'!R$23:R$27)/SUMIFS('A4a.CWD Entry Av. Distance'!$D7:$D11,'Distance Matrix_Entry'!R$23:R$27,"&gt;0")</f>
        <v>186.78222848636571</v>
      </c>
      <c r="E118" s="55">
        <f>SUMPRODUCT('A4a.CWD Entry Av. Distance'!$E7:$E11,'Distance Matrix_Entry'!R$23:R$27)/SUMIFS('A4a.CWD Entry Av. Distance'!$E7:$E11,'Distance Matrix_Entry'!R$23:R$27,"&gt;0")</f>
        <v>186.78222848636571</v>
      </c>
    </row>
    <row r="119" spans="2:5" ht="14.4" customHeight="1">
      <c r="B119" s="36" t="s">
        <v>77</v>
      </c>
      <c r="C119" s="3" t="s">
        <v>220</v>
      </c>
      <c r="D119" s="55">
        <f>SUMPRODUCT('A4a.CWD Entry Av. Distance'!$D7:$D11,'Distance Matrix_Entry'!S$23:S$27)/SUMIFS('A4a.CWD Entry Av. Distance'!$D7:$D11,'Distance Matrix_Entry'!S$23:S$27,"&gt;0")</f>
        <v>193.55322848636567</v>
      </c>
      <c r="E119" s="55">
        <f>SUMPRODUCT('A4a.CWD Entry Av. Distance'!$E7:$E11,'Distance Matrix_Entry'!S$23:S$27)/SUMIFS('A4a.CWD Entry Av. Distance'!$E7:$E11,'Distance Matrix_Entry'!S$23:S$27,"&gt;0")</f>
        <v>193.55322848636567</v>
      </c>
    </row>
    <row r="120" spans="2:5" ht="14.4" customHeight="1">
      <c r="B120" s="36" t="s">
        <v>79</v>
      </c>
      <c r="C120" s="3" t="s">
        <v>220</v>
      </c>
      <c r="D120" s="55">
        <f>SUMPRODUCT('A4a.CWD Entry Av. Distance'!$D7:$D11,'Distance Matrix_Entry'!T$23:T$27)/SUMIFS('A4a.CWD Entry Av. Distance'!$D7:$D11,'Distance Matrix_Entry'!T$23:T$27,"&gt;0")</f>
        <v>167.66813664688513</v>
      </c>
      <c r="E120" s="55">
        <f>SUMPRODUCT('A4a.CWD Entry Av. Distance'!$E7:$E11,'Distance Matrix_Entry'!T$23:T$27)/SUMIFS('A4a.CWD Entry Av. Distance'!$E7:$E11,'Distance Matrix_Entry'!T$23:T$27,"&gt;0")</f>
        <v>167.66813664688513</v>
      </c>
    </row>
    <row r="121" spans="2:5" ht="14.4" customHeight="1">
      <c r="B121" s="36" t="s">
        <v>81</v>
      </c>
      <c r="C121" s="3" t="s">
        <v>220</v>
      </c>
      <c r="D121" s="55">
        <f>SUMPRODUCT('A4a.CWD Entry Av. Distance'!$D7:$D11,'Distance Matrix_Entry'!U$23:U$27)/SUMIFS('A4a.CWD Entry Av. Distance'!$D7:$D11,'Distance Matrix_Entry'!U$23:U$27,"&gt;0")</f>
        <v>166.00222848636571</v>
      </c>
      <c r="E121" s="55">
        <f>SUMPRODUCT('A4a.CWD Entry Av. Distance'!$E7:$E11,'Distance Matrix_Entry'!U$23:U$27)/SUMIFS('A4a.CWD Entry Av. Distance'!$E7:$E11,'Distance Matrix_Entry'!U$23:U$27,"&gt;0")</f>
        <v>166.00222848636571</v>
      </c>
    </row>
    <row r="122" spans="2:5" ht="14.4" customHeight="1">
      <c r="B122" s="36" t="s">
        <v>82</v>
      </c>
      <c r="C122" s="3" t="s">
        <v>220</v>
      </c>
      <c r="D122" s="55">
        <f>SUMPRODUCT('A4a.CWD Entry Av. Distance'!$D7:$D11,'Distance Matrix_Entry'!V$23:V$27)/SUMIFS('A4a.CWD Entry Av. Distance'!$D7:$D11,'Distance Matrix_Entry'!V$23:V$27,"&gt;0")</f>
        <v>193.55222848636569</v>
      </c>
      <c r="E122" s="55">
        <f>SUMPRODUCT('A4a.CWD Entry Av. Distance'!$E7:$E11,'Distance Matrix_Entry'!V$23:V$27)/SUMIFS('A4a.CWD Entry Av. Distance'!$E7:$E11,'Distance Matrix_Entry'!V$23:V$27,"&gt;0")</f>
        <v>193.55222848636569</v>
      </c>
    </row>
    <row r="123" spans="2:5" ht="14.4" customHeight="1">
      <c r="B123" s="36" t="s">
        <v>83</v>
      </c>
      <c r="C123" s="3" t="s">
        <v>220</v>
      </c>
      <c r="D123" s="55">
        <f>SUMPRODUCT('A4a.CWD Entry Av. Distance'!$D7:$D11,'Distance Matrix_Entry'!W$23:W$27)/SUMIFS('A4a.CWD Entry Av. Distance'!$D7:$D11,'Distance Matrix_Entry'!W$23:W$27,"&gt;0")</f>
        <v>189.24061702115887</v>
      </c>
      <c r="E123" s="55">
        <f>SUMPRODUCT('A4a.CWD Entry Av. Distance'!$E7:$E11,'Distance Matrix_Entry'!W$23:W$27)/SUMIFS('A4a.CWD Entry Av. Distance'!$E7:$E11,'Distance Matrix_Entry'!W$23:W$27,"&gt;0")</f>
        <v>189.24061702115887</v>
      </c>
    </row>
    <row r="124" spans="2:5" ht="14.4" customHeight="1">
      <c r="B124" s="36" t="s">
        <v>85</v>
      </c>
      <c r="C124" s="3" t="s">
        <v>220</v>
      </c>
      <c r="D124" s="55">
        <f>SUMPRODUCT('A4a.CWD Entry Av. Distance'!$D7:$D11,'Distance Matrix_Entry'!X$23:X$27)/SUMIFS('A4a.CWD Entry Av. Distance'!$D7:$D11,'Distance Matrix_Entry'!X$23:X$27,"&gt;0")</f>
        <v>177.81061702115886</v>
      </c>
      <c r="E124" s="55">
        <f>SUMPRODUCT('A4a.CWD Entry Av. Distance'!$E7:$E11,'Distance Matrix_Entry'!X$23:X$27)/SUMIFS('A4a.CWD Entry Av. Distance'!$E7:$E11,'Distance Matrix_Entry'!X$23:X$27,"&gt;0")</f>
        <v>177.81061702115886</v>
      </c>
    </row>
    <row r="125" spans="2:5" ht="14.4" customHeight="1">
      <c r="B125" s="36" t="s">
        <v>87</v>
      </c>
      <c r="C125" s="3" t="s">
        <v>220</v>
      </c>
      <c r="D125" s="55">
        <f>SUMPRODUCT('A4a.CWD Entry Av. Distance'!$D7:$D11,'Distance Matrix_Entry'!Y$23:Y$27)/SUMIFS('A4a.CWD Entry Av. Distance'!$D7:$D11,'Distance Matrix_Entry'!Y$23:Y$27,"&gt;0")</f>
        <v>201.54161702115888</v>
      </c>
      <c r="E125" s="55">
        <f>SUMPRODUCT('A4a.CWD Entry Av. Distance'!$E7:$E11,'Distance Matrix_Entry'!Y$23:Y$27)/SUMIFS('A4a.CWD Entry Av. Distance'!$E7:$E11,'Distance Matrix_Entry'!Y$23:Y$27,"&gt;0")</f>
        <v>201.54161702115888</v>
      </c>
    </row>
    <row r="126" spans="2:5" ht="14.4" customHeight="1">
      <c r="B126" s="36" t="s">
        <v>89</v>
      </c>
      <c r="C126" s="3" t="s">
        <v>220</v>
      </c>
      <c r="D126" s="55">
        <f>SUMPRODUCT('A4a.CWD Entry Av. Distance'!$D7:$D11,'Distance Matrix_Entry'!Z$23:Z$27)/SUMIFS('A4a.CWD Entry Av. Distance'!$D7:$D11,'Distance Matrix_Entry'!Z$23:Z$27,"&gt;0")</f>
        <v>201.54061702115888</v>
      </c>
      <c r="E126" s="55">
        <f>SUMPRODUCT('A4a.CWD Entry Av. Distance'!$E7:$E11,'Distance Matrix_Entry'!Z$23:Z$27)/SUMIFS('A4a.CWD Entry Av. Distance'!$E7:$E11,'Distance Matrix_Entry'!Z$23:Z$27,"&gt;0")</f>
        <v>201.54061702115888</v>
      </c>
    </row>
    <row r="127" spans="2:5" ht="14.4" customHeight="1">
      <c r="B127" s="36" t="s">
        <v>90</v>
      </c>
      <c r="C127" s="3" t="s">
        <v>220</v>
      </c>
      <c r="D127" s="55">
        <f>SUMPRODUCT('A4a.CWD Entry Av. Distance'!$D7:$D11,'Distance Matrix_Entry'!AA$23:AA$27)/SUMIFS('A4a.CWD Entry Av. Distance'!$D7:$D11,'Distance Matrix_Entry'!AA$23:AA$27,"&gt;0")</f>
        <v>196.10277370789888</v>
      </c>
      <c r="E127" s="55">
        <f>SUMPRODUCT('A4a.CWD Entry Av. Distance'!$E7:$E11,'Distance Matrix_Entry'!AA$23:AA$27)/SUMIFS('A4a.CWD Entry Av. Distance'!$E7:$E11,'Distance Matrix_Entry'!AA$23:AA$27,"&gt;0")</f>
        <v>196.10277370789888</v>
      </c>
    </row>
    <row r="128" spans="2:5" ht="14.4" customHeight="1">
      <c r="B128" s="36" t="s">
        <v>92</v>
      </c>
      <c r="C128" s="3" t="s">
        <v>220</v>
      </c>
      <c r="D128" s="55">
        <f>SUMPRODUCT('A4a.CWD Entry Av. Distance'!$D7:$D11,'Distance Matrix_Entry'!AB$23:AB$27)/SUMIFS('A4a.CWD Entry Av. Distance'!$D7:$D11,'Distance Matrix_Entry'!AB$23:AB$27,"&gt;0")</f>
        <v>221.34000126675895</v>
      </c>
      <c r="E128" s="55">
        <f>SUMPRODUCT('A4a.CWD Entry Av. Distance'!$E7:$E11,'Distance Matrix_Entry'!AB$23:AB$27)/SUMIFS('A4a.CWD Entry Av. Distance'!$E7:$E11,'Distance Matrix_Entry'!AB$23:AB$27,"&gt;0")</f>
        <v>221.34000126675895</v>
      </c>
    </row>
    <row r="129" spans="2:5" ht="14.4" customHeight="1">
      <c r="B129" s="36" t="s">
        <v>94</v>
      </c>
      <c r="C129" s="3" t="s">
        <v>220</v>
      </c>
      <c r="D129" s="55">
        <f>SUMPRODUCT('A4a.CWD Entry Av. Distance'!$D7:$D11,'Distance Matrix_Entry'!AC$23:AC$27)/SUMIFS('A4a.CWD Entry Av. Distance'!$D7:$D11,'Distance Matrix_Entry'!AC$23:AC$27,"&gt;0")</f>
        <v>230.76864138008671</v>
      </c>
      <c r="E129" s="55">
        <f>SUMPRODUCT('A4a.CWD Entry Av. Distance'!$E7:$E11,'Distance Matrix_Entry'!AC$23:AC$27)/SUMIFS('A4a.CWD Entry Av. Distance'!$E7:$E11,'Distance Matrix_Entry'!AC$23:AC$27,"&gt;0")</f>
        <v>230.76864138008671</v>
      </c>
    </row>
    <row r="130" spans="2:5" ht="14.4" customHeight="1">
      <c r="B130" s="36" t="s">
        <v>96</v>
      </c>
      <c r="C130" s="3" t="s">
        <v>220</v>
      </c>
      <c r="D130" s="55">
        <f>SUMPRODUCT('A4a.CWD Entry Av. Distance'!$D7:$D11,'Distance Matrix_Entry'!AD$23:AD$27)/SUMIFS('A4a.CWD Entry Av. Distance'!$D7:$D11,'Distance Matrix_Entry'!AD$23:AD$27,"&gt;0")</f>
        <v>235.65398566593555</v>
      </c>
      <c r="E130" s="55">
        <f>SUMPRODUCT('A4a.CWD Entry Av. Distance'!$E7:$E11,'Distance Matrix_Entry'!AD$23:AD$27)/SUMIFS('A4a.CWD Entry Av. Distance'!$E7:$E11,'Distance Matrix_Entry'!AD$23:AD$27,"&gt;0")</f>
        <v>235.65398566593555</v>
      </c>
    </row>
    <row r="131" spans="2:5" ht="14.4" customHeight="1">
      <c r="B131" s="36" t="s">
        <v>98</v>
      </c>
      <c r="C131" s="3" t="s">
        <v>220</v>
      </c>
      <c r="D131" s="55">
        <f>SUMPRODUCT('A4a.CWD Entry Av. Distance'!$D7:$D11,'Distance Matrix_Entry'!AE$23:AE$27)/SUMIFS('A4a.CWD Entry Av. Distance'!$D7:$D11,'Distance Matrix_Entry'!AE$23:AE$27,"&gt;0")</f>
        <v>267.34000873001492</v>
      </c>
      <c r="E131" s="55">
        <f>SUMPRODUCT('A4a.CWD Entry Av. Distance'!$E7:$E11,'Distance Matrix_Entry'!AE$23:AE$27)/SUMIFS('A4a.CWD Entry Av. Distance'!$E7:$E11,'Distance Matrix_Entry'!AE$23:AE$27,"&gt;0")</f>
        <v>267.34000873001492</v>
      </c>
    </row>
    <row r="132" spans="2:5" ht="14.4" customHeight="1">
      <c r="B132" s="36" t="s">
        <v>100</v>
      </c>
      <c r="C132" s="3" t="s">
        <v>220</v>
      </c>
      <c r="D132" s="55">
        <f>SUMPRODUCT('A4a.CWD Entry Av. Distance'!$D7:$D11,'Distance Matrix_Entry'!AF$23:AF$27)/SUMIFS('A4a.CWD Entry Av. Distance'!$D7:$D11,'Distance Matrix_Entry'!AF$23:AF$27,"&gt;0")</f>
        <v>277.25000873001494</v>
      </c>
      <c r="E132" s="55">
        <f>SUMPRODUCT('A4a.CWD Entry Av. Distance'!$E7:$E11,'Distance Matrix_Entry'!AF$23:AF$27)/SUMIFS('A4a.CWD Entry Av. Distance'!$E7:$E11,'Distance Matrix_Entry'!AF$23:AF$27,"&gt;0")</f>
        <v>277.25000873001494</v>
      </c>
    </row>
    <row r="133" spans="2:5" ht="14.4" customHeight="1">
      <c r="B133" s="36" t="s">
        <v>102</v>
      </c>
      <c r="C133" s="3" t="s">
        <v>220</v>
      </c>
      <c r="D133" s="55">
        <f>SUMPRODUCT('A4a.CWD Entry Av. Distance'!$D7:$D11,'Distance Matrix_Entry'!AG$23:AG$27)/SUMIFS('A4a.CWD Entry Av. Distance'!$D7:$D11,'Distance Matrix_Entry'!AG$23:AG$27,"&gt;0")</f>
        <v>277.36000873001495</v>
      </c>
      <c r="E133" s="55">
        <f>SUMPRODUCT('A4a.CWD Entry Av. Distance'!$E7:$E11,'Distance Matrix_Entry'!AG$23:AG$27)/SUMIFS('A4a.CWD Entry Av. Distance'!$E7:$E11,'Distance Matrix_Entry'!AG$23:AG$27,"&gt;0")</f>
        <v>277.36000873001495</v>
      </c>
    </row>
    <row r="134" spans="2:5" ht="14.4" customHeight="1">
      <c r="B134" s="36" t="s">
        <v>103</v>
      </c>
      <c r="C134" s="3" t="s">
        <v>220</v>
      </c>
      <c r="D134" s="55">
        <f>SUMPRODUCT('A4a.CWD Entry Av. Distance'!$D7:$D11,'Distance Matrix_Entry'!AH$23:AH$27)/SUMIFS('A4a.CWD Entry Av. Distance'!$D7:$D11,'Distance Matrix_Entry'!AH$23:AH$27,"&gt;0")</f>
        <v>290.43000873001495</v>
      </c>
      <c r="E134" s="55">
        <f>SUMPRODUCT('A4a.CWD Entry Av. Distance'!$E7:$E11,'Distance Matrix_Entry'!AH$23:AH$27)/SUMIFS('A4a.CWD Entry Av. Distance'!$E7:$E11,'Distance Matrix_Entry'!AH$23:AH$27,"&gt;0")</f>
        <v>290.43000873001495</v>
      </c>
    </row>
    <row r="135" spans="2:5" ht="14.4" customHeight="1">
      <c r="B135" s="36" t="s">
        <v>105</v>
      </c>
      <c r="C135" s="3" t="s">
        <v>220</v>
      </c>
      <c r="D135" s="55">
        <f>SUMPRODUCT('A4a.CWD Entry Av. Distance'!$D7:$D11,'Distance Matrix_Entry'!AI$23:AI$27)/SUMIFS('A4a.CWD Entry Av. Distance'!$D7:$D11,'Distance Matrix_Entry'!AI$23:AI$27,"&gt;0")</f>
        <v>258.68520939677251</v>
      </c>
      <c r="E135" s="55">
        <f>SUMPRODUCT('A4a.CWD Entry Av. Distance'!$E7:$E11,'Distance Matrix_Entry'!AI$23:AI$27)/SUMIFS('A4a.CWD Entry Av. Distance'!$E7:$E11,'Distance Matrix_Entry'!AI$23:AI$27,"&gt;0")</f>
        <v>258.68520939677251</v>
      </c>
    </row>
    <row r="136" spans="2:5" ht="14.4" customHeight="1">
      <c r="B136" s="36" t="s">
        <v>107</v>
      </c>
      <c r="C136" s="3" t="s">
        <v>220</v>
      </c>
      <c r="D136" s="55">
        <f>SUMPRODUCT('A4a.CWD Entry Av. Distance'!$D7:$D11,'Distance Matrix_Entry'!AJ$23:AJ$27)/SUMIFS('A4a.CWD Entry Av. Distance'!$D7:$D11,'Distance Matrix_Entry'!AJ$23:AJ$27,"&gt;0")</f>
        <v>290.43100873001492</v>
      </c>
      <c r="E136" s="55">
        <f>SUMPRODUCT('A4a.CWD Entry Av. Distance'!$E7:$E11,'Distance Matrix_Entry'!AJ$23:AJ$27)/SUMIFS('A4a.CWD Entry Av. Distance'!$E7:$E11,'Distance Matrix_Entry'!AJ$23:AJ$27,"&gt;0")</f>
        <v>290.43100873001492</v>
      </c>
    </row>
    <row r="137" spans="2:5" ht="14.4" customHeight="1">
      <c r="B137" s="36" t="s">
        <v>108</v>
      </c>
      <c r="C137" s="3" t="s">
        <v>220</v>
      </c>
      <c r="D137" s="55">
        <f>SUMPRODUCT('A4a.CWD Entry Av. Distance'!$D7:$D11,'Distance Matrix_Entry'!AK$23:AK$27)/SUMIFS('A4a.CWD Entry Av. Distance'!$D7:$D11,'Distance Matrix_Entry'!AK$23:AK$27,"&gt;0")</f>
        <v>281.70987203171552</v>
      </c>
      <c r="E137" s="55">
        <f>SUMPRODUCT('A4a.CWD Entry Av. Distance'!$E7:$E11,'Distance Matrix_Entry'!AK$23:AK$27)/SUMIFS('A4a.CWD Entry Av. Distance'!$E7:$E11,'Distance Matrix_Entry'!AK$23:AK$27,"&gt;0")</f>
        <v>281.70987203171552</v>
      </c>
    </row>
    <row r="138" spans="2:5" ht="14.4" customHeight="1">
      <c r="B138" s="36" t="s">
        <v>110</v>
      </c>
      <c r="C138" s="3" t="s">
        <v>220</v>
      </c>
      <c r="D138" s="55">
        <f>SUMPRODUCT('A4a.CWD Entry Av. Distance'!$D7:$D11,'Distance Matrix_Entry'!AL$23:AL$27)/SUMIFS('A4a.CWD Entry Av. Distance'!$D7:$D11,'Distance Matrix_Entry'!AL$23:AL$27,"&gt;0")</f>
        <v>291.62987203171548</v>
      </c>
      <c r="E138" s="55">
        <f>SUMPRODUCT('A4a.CWD Entry Av. Distance'!$E7:$E11,'Distance Matrix_Entry'!AL$23:AL$27)/SUMIFS('A4a.CWD Entry Av. Distance'!$E7:$E11,'Distance Matrix_Entry'!AL$23:AL$27,"&gt;0")</f>
        <v>291.62987203171548</v>
      </c>
    </row>
    <row r="139" spans="2:5" ht="14.4" customHeight="1">
      <c r="B139" s="36" t="s">
        <v>112</v>
      </c>
      <c r="C139" s="3" t="s">
        <v>220</v>
      </c>
      <c r="D139" s="55">
        <f>SUMPRODUCT('A4a.CWD Entry Av. Distance'!$D7:$D11,'Distance Matrix_Entry'!AM$23:AM$27)/SUMIFS('A4a.CWD Entry Av. Distance'!$D7:$D11,'Distance Matrix_Entry'!AM$23:AM$27,"&gt;0")</f>
        <v>287.40342772173727</v>
      </c>
      <c r="E139" s="55">
        <f>SUMPRODUCT('A4a.CWD Entry Av. Distance'!$E7:$E11,'Distance Matrix_Entry'!AM$23:AM$27)/SUMIFS('A4a.CWD Entry Av. Distance'!$E7:$E11,'Distance Matrix_Entry'!AM$23:AM$27,"&gt;0")</f>
        <v>287.40342772173727</v>
      </c>
    </row>
    <row r="140" spans="2:5" ht="14.4" customHeight="1">
      <c r="B140" s="36" t="s">
        <v>114</v>
      </c>
      <c r="C140" s="3" t="s">
        <v>220</v>
      </c>
      <c r="D140" s="55">
        <f>SUMPRODUCT('A4a.CWD Entry Av. Distance'!$D7:$D11,'Distance Matrix_Entry'!AN$23:AN$27)/SUMIFS('A4a.CWD Entry Av. Distance'!$D7:$D11,'Distance Matrix_Entry'!AN$23:AN$27,"&gt;0")</f>
        <v>292.97930172641259</v>
      </c>
      <c r="E140" s="55">
        <f>SUMPRODUCT('A4a.CWD Entry Av. Distance'!$E7:$E11,'Distance Matrix_Entry'!AN$23:AN$27)/SUMIFS('A4a.CWD Entry Av. Distance'!$E7:$E11,'Distance Matrix_Entry'!AN$23:AN$27,"&gt;0")</f>
        <v>292.97930172641259</v>
      </c>
    </row>
    <row r="141" spans="2:5" ht="14.4" customHeight="1">
      <c r="B141" s="36" t="s">
        <v>116</v>
      </c>
      <c r="C141" s="3" t="s">
        <v>220</v>
      </c>
      <c r="D141" s="55">
        <f>SUMPRODUCT('A4a.CWD Entry Av. Distance'!$D7:$D11,'Distance Matrix_Entry'!AO$23:AO$27)/SUMIFS('A4a.CWD Entry Av. Distance'!$D7:$D11,'Distance Matrix_Entry'!AO$23:AO$27,"&gt;0")</f>
        <v>306.46008737311422</v>
      </c>
      <c r="E141" s="55">
        <f>SUMPRODUCT('A4a.CWD Entry Av. Distance'!$E7:$E11,'Distance Matrix_Entry'!AO$23:AO$27)/SUMIFS('A4a.CWD Entry Av. Distance'!$E7:$E11,'Distance Matrix_Entry'!AO$23:AO$27,"&gt;0")</f>
        <v>306.46008737311422</v>
      </c>
    </row>
    <row r="142" spans="2:5" ht="14.4" customHeight="1">
      <c r="B142" s="36" t="s">
        <v>118</v>
      </c>
      <c r="C142" s="3" t="s">
        <v>220</v>
      </c>
      <c r="D142" s="55">
        <f>SUMPRODUCT('A4a.CWD Entry Av. Distance'!$D7:$D11,'Distance Matrix_Entry'!AP$23:AP$27)/SUMIFS('A4a.CWD Entry Av. Distance'!$D7:$D11,'Distance Matrix_Entry'!AP$23:AP$27,"&gt;0")</f>
        <v>313.46693789226367</v>
      </c>
      <c r="E142" s="55">
        <f>SUMPRODUCT('A4a.CWD Entry Av. Distance'!$E7:$E11,'Distance Matrix_Entry'!AP$23:AP$27)/SUMIFS('A4a.CWD Entry Av. Distance'!$E7:$E11,'Distance Matrix_Entry'!AP$23:AP$27,"&gt;0")</f>
        <v>313.46693789226367</v>
      </c>
    </row>
    <row r="143" spans="2:5" ht="14.4" customHeight="1">
      <c r="B143" s="36" t="s">
        <v>120</v>
      </c>
      <c r="C143" s="3" t="s">
        <v>220</v>
      </c>
      <c r="D143" s="55">
        <f>SUMPRODUCT('A4a.CWD Entry Av. Distance'!$D7:$D11,'Distance Matrix_Entry'!AQ$23:AQ$27)/SUMIFS('A4a.CWD Entry Av. Distance'!$D7:$D11,'Distance Matrix_Entry'!AQ$23:AQ$27,"&gt;0")</f>
        <v>318.24343880954308</v>
      </c>
      <c r="E143" s="55">
        <f>SUMPRODUCT('A4a.CWD Entry Av. Distance'!$E7:$E11,'Distance Matrix_Entry'!AQ$23:AQ$27)/SUMIFS('A4a.CWD Entry Av. Distance'!$E7:$E11,'Distance Matrix_Entry'!AQ$23:AQ$27,"&gt;0")</f>
        <v>318.24343880954308</v>
      </c>
    </row>
    <row r="144" spans="2:5" ht="14.4" customHeight="1">
      <c r="B144" s="36" t="s">
        <v>122</v>
      </c>
      <c r="C144" s="3" t="s">
        <v>220</v>
      </c>
      <c r="D144" s="55">
        <f>SUMPRODUCT('A4a.CWD Entry Av. Distance'!$D7:$D11,'Distance Matrix_Entry'!AR$23:AR$27)/SUMIFS('A4a.CWD Entry Av. Distance'!$D7:$D11,'Distance Matrix_Entry'!AR$23:AR$27,"&gt;0")</f>
        <v>323.16797178004396</v>
      </c>
      <c r="E144" s="55">
        <f>SUMPRODUCT('A4a.CWD Entry Av. Distance'!$E7:$E11,'Distance Matrix_Entry'!AR$23:AR$27)/SUMIFS('A4a.CWD Entry Av. Distance'!$E7:$E11,'Distance Matrix_Entry'!AR$23:AR$27,"&gt;0")</f>
        <v>323.16797178004396</v>
      </c>
    </row>
    <row r="145" spans="2:5" ht="14.4" customHeight="1">
      <c r="B145" s="36" t="s">
        <v>124</v>
      </c>
      <c r="C145" s="3" t="s">
        <v>220</v>
      </c>
      <c r="D145" s="55">
        <f>SUMPRODUCT('A4a.CWD Entry Av. Distance'!$D7:$D11,'Distance Matrix_Entry'!AS$23:AS$27)/SUMIFS('A4a.CWD Entry Av. Distance'!$D7:$D11,'Distance Matrix_Entry'!AS$23:AS$27,"&gt;0")</f>
        <v>339.2837279740877</v>
      </c>
      <c r="E145" s="55">
        <f>SUMPRODUCT('A4a.CWD Entry Av. Distance'!$E7:$E11,'Distance Matrix_Entry'!AS$23:AS$27)/SUMIFS('A4a.CWD Entry Av. Distance'!$E7:$E11,'Distance Matrix_Entry'!AS$23:AS$27,"&gt;0")</f>
        <v>339.2837279740877</v>
      </c>
    </row>
    <row r="146" spans="2:5" ht="14.4" customHeight="1">
      <c r="B146" s="36" t="s">
        <v>126</v>
      </c>
      <c r="C146" s="3" t="s">
        <v>220</v>
      </c>
      <c r="D146" s="55">
        <f>SUMPRODUCT('A4a.CWD Entry Av. Distance'!$D7:$D11,'Distance Matrix_Entry'!AT$23:AT$27)/SUMIFS('A4a.CWD Entry Av. Distance'!$D7:$D11,'Distance Matrix_Entry'!AT$23:AT$27,"&gt;0")</f>
        <v>346.270840886141</v>
      </c>
      <c r="E146" s="55">
        <f>SUMPRODUCT('A4a.CWD Entry Av. Distance'!$E7:$E11,'Distance Matrix_Entry'!AT$23:AT$27)/SUMIFS('A4a.CWD Entry Av. Distance'!$E7:$E11,'Distance Matrix_Entry'!AT$23:AT$27,"&gt;0")</f>
        <v>346.270840886141</v>
      </c>
    </row>
    <row r="147" spans="2:5" ht="14.4" customHeight="1">
      <c r="B147" s="36" t="s">
        <v>128</v>
      </c>
      <c r="C147" s="3" t="s">
        <v>220</v>
      </c>
      <c r="D147" s="55">
        <f>SUMPRODUCT('A4a.CWD Entry Av. Distance'!$D7:$D11,'Distance Matrix_Entry'!AU$23:AU$27)/SUMIFS('A4a.CWD Entry Av. Distance'!$D7:$D11,'Distance Matrix_Entry'!AU$23:AU$27,"&gt;0")</f>
        <v>359.01732130146053</v>
      </c>
      <c r="E147" s="55">
        <f>SUMPRODUCT('A4a.CWD Entry Av. Distance'!$E7:$E11,'Distance Matrix_Entry'!AU$23:AU$27)/SUMIFS('A4a.CWD Entry Av. Distance'!$E7:$E11,'Distance Matrix_Entry'!AU$23:AU$27,"&gt;0")</f>
        <v>359.01732130146053</v>
      </c>
    </row>
    <row r="148" spans="2:5" ht="14.4" customHeight="1">
      <c r="B148" s="36" t="s">
        <v>130</v>
      </c>
      <c r="C148" s="3" t="s">
        <v>220</v>
      </c>
      <c r="D148" s="55">
        <f>SUMPRODUCT('A4a.CWD Entry Av. Distance'!$D7:$D11,'Distance Matrix_Entry'!AV$23:AV$27)/SUMIFS('A4a.CWD Entry Av. Distance'!$D7:$D11,'Distance Matrix_Entry'!AV$23:AV$27,"&gt;0")</f>
        <v>359.01632130146055</v>
      </c>
      <c r="E148" s="55">
        <f>SUMPRODUCT('A4a.CWD Entry Av. Distance'!$E7:$E11,'Distance Matrix_Entry'!AV$23:AV$27)/SUMIFS('A4a.CWD Entry Av. Distance'!$E7:$E11,'Distance Matrix_Entry'!AV$23:AV$27,"&gt;0")</f>
        <v>359.01632130146055</v>
      </c>
    </row>
    <row r="149" spans="2:5" ht="14.4" customHeight="1">
      <c r="B149" s="36" t="s">
        <v>131</v>
      </c>
      <c r="C149" s="3" t="s">
        <v>220</v>
      </c>
      <c r="D149" s="55">
        <f>SUMPRODUCT('A4a.CWD Entry Av. Distance'!$D7:$D11,'Distance Matrix_Entry'!AW$23:AW$27)/SUMIFS('A4a.CWD Entry Av. Distance'!$D7:$D11,'Distance Matrix_Entry'!AW$23:AW$27,"&gt;0")</f>
        <v>363.38334623854269</v>
      </c>
      <c r="E149" s="55">
        <f>SUMPRODUCT('A4a.CWD Entry Av. Distance'!$E7:$E11,'Distance Matrix_Entry'!AW$23:AW$27)/SUMIFS('A4a.CWD Entry Av. Distance'!$E7:$E11,'Distance Matrix_Entry'!AW$23:AW$27,"&gt;0")</f>
        <v>363.38334623854269</v>
      </c>
    </row>
    <row r="150" spans="2:5" ht="14.4" customHeight="1">
      <c r="B150" s="36" t="s">
        <v>133</v>
      </c>
      <c r="C150" s="3" t="s">
        <v>220</v>
      </c>
      <c r="D150" s="55">
        <f>SUMPRODUCT('A4a.CWD Entry Av. Distance'!$D7:$D11,'Distance Matrix_Entry'!AX$23:AX$27)/SUMIFS('A4a.CWD Entry Av. Distance'!$D7:$D11,'Distance Matrix_Entry'!AX$23:AX$27,"&gt;0")</f>
        <v>372.02941814667633</v>
      </c>
      <c r="E150" s="55">
        <f>SUMPRODUCT('A4a.CWD Entry Av. Distance'!$E7:$E11,'Distance Matrix_Entry'!AX$23:AX$27)/SUMIFS('A4a.CWD Entry Av. Distance'!$E7:$E11,'Distance Matrix_Entry'!AX$23:AX$27,"&gt;0")</f>
        <v>372.02941814667633</v>
      </c>
    </row>
    <row r="151" spans="2:5" ht="14.4" customHeight="1">
      <c r="B151" s="36" t="s">
        <v>135</v>
      </c>
      <c r="C151" s="3" t="s">
        <v>220</v>
      </c>
      <c r="D151" s="55">
        <f>SUMPRODUCT('A4a.CWD Entry Av. Distance'!$D7:$D11,'Distance Matrix_Entry'!AY$23:AY$27)/SUMIFS('A4a.CWD Entry Av. Distance'!$D7:$D11,'Distance Matrix_Entry'!AY$23:AY$27,"&gt;0")</f>
        <v>372.02841814667636</v>
      </c>
      <c r="E151" s="55">
        <f>SUMPRODUCT('A4a.CWD Entry Av. Distance'!$E7:$E11,'Distance Matrix_Entry'!AY$23:AY$27)/SUMIFS('A4a.CWD Entry Av. Distance'!$E7:$E11,'Distance Matrix_Entry'!AY$23:AY$27,"&gt;0")</f>
        <v>372.02841814667636</v>
      </c>
    </row>
    <row r="152" spans="2:5" ht="14.4" customHeight="1">
      <c r="B152" s="36" t="s">
        <v>136</v>
      </c>
      <c r="C152" s="3" t="s">
        <v>220</v>
      </c>
      <c r="D152" s="55">
        <f>SUMPRODUCT('A4a.CWD Entry Av. Distance'!$D7:$D11,'Distance Matrix_Entry'!AZ$23:AZ$27)/SUMIFS('A4a.CWD Entry Av. Distance'!$D7:$D11,'Distance Matrix_Entry'!AZ$23:AZ$27,"&gt;0")</f>
        <v>385.01576361597319</v>
      </c>
      <c r="E152" s="55">
        <f>SUMPRODUCT('A4a.CWD Entry Av. Distance'!$E7:$E11,'Distance Matrix_Entry'!AZ$23:AZ$27)/SUMIFS('A4a.CWD Entry Av. Distance'!$E7:$E11,'Distance Matrix_Entry'!AZ$23:AZ$27,"&gt;0")</f>
        <v>385.01576361597319</v>
      </c>
    </row>
    <row r="153" spans="2:5" ht="14.4" customHeight="1">
      <c r="B153" s="36" t="s">
        <v>138</v>
      </c>
      <c r="C153" s="3" t="s">
        <v>220</v>
      </c>
      <c r="D153" s="55">
        <f>SUMPRODUCT('A4a.CWD Entry Av. Distance'!$D7:$D11,'Distance Matrix_Entry'!BA$23:BA$27)/SUMIFS('A4a.CWD Entry Av. Distance'!$D7:$D11,'Distance Matrix_Entry'!BA$23:BA$27,"&gt;0")</f>
        <v>402.34538264643299</v>
      </c>
      <c r="E153" s="55">
        <f>SUMPRODUCT('A4a.CWD Entry Av. Distance'!$E7:$E11,'Distance Matrix_Entry'!BA$23:BA$27)/SUMIFS('A4a.CWD Entry Av. Distance'!$E7:$E11,'Distance Matrix_Entry'!BA$23:BA$27,"&gt;0")</f>
        <v>402.34538264643299</v>
      </c>
    </row>
    <row r="154" spans="2:5" ht="14.4" customHeight="1">
      <c r="B154" s="36" t="s">
        <v>140</v>
      </c>
      <c r="C154" s="3" t="s">
        <v>220</v>
      </c>
      <c r="D154" s="55">
        <f>SUMPRODUCT('A4a.CWD Entry Av. Distance'!$D7:$D11,'Distance Matrix_Entry'!BB$23:BB$27)/SUMIFS('A4a.CWD Entry Av. Distance'!$D7:$D11,'Distance Matrix_Entry'!BB$23:BB$27,"&gt;0")</f>
        <v>416.65732075755113</v>
      </c>
      <c r="E154" s="55">
        <f>SUMPRODUCT('A4a.CWD Entry Av. Distance'!$E7:$E11,'Distance Matrix_Entry'!BB$23:BB$27)/SUMIFS('A4a.CWD Entry Av. Distance'!$E7:$E11,'Distance Matrix_Entry'!BB$23:BB$27,"&gt;0")</f>
        <v>416.65732075755113</v>
      </c>
    </row>
    <row r="155" spans="2:5" ht="14.4" customHeight="1">
      <c r="B155" s="36" t="s">
        <v>142</v>
      </c>
      <c r="C155" s="3" t="s">
        <v>220</v>
      </c>
      <c r="D155" s="55">
        <f>SUMPRODUCT('A4a.CWD Entry Av. Distance'!$D7:$D11,'Distance Matrix_Entry'!BC$23:BC$27)/SUMIFS('A4a.CWD Entry Av. Distance'!$D7:$D11,'Distance Matrix_Entry'!BC$23:BC$27,"&gt;0")</f>
        <v>413.91732075755124</v>
      </c>
      <c r="E155" s="55">
        <f>SUMPRODUCT('A4a.CWD Entry Av. Distance'!$E7:$E11,'Distance Matrix_Entry'!BC$23:BC$27)/SUMIFS('A4a.CWD Entry Av. Distance'!$E7:$E11,'Distance Matrix_Entry'!BC$23:BC$27,"&gt;0")</f>
        <v>413.91732075755124</v>
      </c>
    </row>
    <row r="156" spans="2:5" ht="14.4" customHeight="1">
      <c r="B156" s="36" t="s">
        <v>144</v>
      </c>
      <c r="C156" s="3" t="s">
        <v>220</v>
      </c>
      <c r="D156" s="55">
        <f>SUMPRODUCT('A4a.CWD Entry Av. Distance'!$D7:$D11,'Distance Matrix_Entry'!BD$23:BD$27)/SUMIFS('A4a.CWD Entry Av. Distance'!$D7:$D11,'Distance Matrix_Entry'!BD$23:BD$27,"&gt;0")</f>
        <v>418.56297635680829</v>
      </c>
      <c r="E156" s="55">
        <f>SUMPRODUCT('A4a.CWD Entry Av. Distance'!$E7:$E11,'Distance Matrix_Entry'!BD$23:BD$27)/SUMIFS('A4a.CWD Entry Av. Distance'!$E7:$E11,'Distance Matrix_Entry'!BD$23:BD$27,"&gt;0")</f>
        <v>418.56297635680829</v>
      </c>
    </row>
    <row r="157" spans="2:5" ht="14.4" customHeight="1">
      <c r="B157" s="36" t="s">
        <v>146</v>
      </c>
      <c r="C157" s="3" t="s">
        <v>220</v>
      </c>
      <c r="D157" s="55">
        <f>SUMPRODUCT('A4a.CWD Entry Av. Distance'!$D7:$D11,'Distance Matrix_Entry'!BE$23:BE$27)/SUMIFS('A4a.CWD Entry Av. Distance'!$D7:$D11,'Distance Matrix_Entry'!BE$23:BE$27,"&gt;0")</f>
        <v>424.74756670061521</v>
      </c>
      <c r="E157" s="55">
        <f>SUMPRODUCT('A4a.CWD Entry Av. Distance'!$E7:$E11,'Distance Matrix_Entry'!BE$23:BE$27)/SUMIFS('A4a.CWD Entry Av. Distance'!$E7:$E11,'Distance Matrix_Entry'!BE$23:BE$27,"&gt;0")</f>
        <v>424.74756670061521</v>
      </c>
    </row>
    <row r="158" spans="2:5" ht="14.4" customHeight="1">
      <c r="B158" s="36" t="s">
        <v>148</v>
      </c>
      <c r="C158" s="3" t="s">
        <v>220</v>
      </c>
      <c r="D158" s="55">
        <f>SUMPRODUCT('A4a.CWD Entry Av. Distance'!$D7:$D11,'Distance Matrix_Entry'!BF$23:BF$27)/SUMIFS('A4a.CWD Entry Av. Distance'!$D7:$D11,'Distance Matrix_Entry'!BF$23:BF$27,"&gt;0")</f>
        <v>434.11306126775986</v>
      </c>
      <c r="E158" s="55">
        <f>SUMPRODUCT('A4a.CWD Entry Av. Distance'!$E7:$E11,'Distance Matrix_Entry'!BF$23:BF$27)/SUMIFS('A4a.CWD Entry Av. Distance'!$E7:$E11,'Distance Matrix_Entry'!BF$23:BF$27,"&gt;0")</f>
        <v>434.11306126775986</v>
      </c>
    </row>
    <row r="159" spans="2:5" ht="14.4" customHeight="1">
      <c r="B159" s="36" t="s">
        <v>150</v>
      </c>
      <c r="C159" s="3" t="s">
        <v>220</v>
      </c>
      <c r="D159" s="55">
        <f>SUMPRODUCT('A4a.CWD Entry Av. Distance'!$D7:$D11,'Distance Matrix_Entry'!BG$23:BG$27)/SUMIFS('A4a.CWD Entry Av. Distance'!$D7:$D11,'Distance Matrix_Entry'!BG$23:BG$27,"&gt;0")</f>
        <v>465.32374555366994</v>
      </c>
      <c r="E159" s="55">
        <f>SUMPRODUCT('A4a.CWD Entry Av. Distance'!$E7:$E11,'Distance Matrix_Entry'!BG$23:BG$27)/SUMIFS('A4a.CWD Entry Av. Distance'!$E7:$E11,'Distance Matrix_Entry'!BG$23:BG$27,"&gt;0")</f>
        <v>465.32374555366994</v>
      </c>
    </row>
    <row r="160" spans="2:5" ht="14.4" customHeight="1">
      <c r="B160" s="36" t="s">
        <v>152</v>
      </c>
      <c r="C160" s="3" t="s">
        <v>220</v>
      </c>
      <c r="D160" s="55">
        <f>SUMPRODUCT('A4a.CWD Entry Av. Distance'!$D7:$D11,'Distance Matrix_Entry'!BH$23:BH$27)/SUMIFS('A4a.CWD Entry Av. Distance'!$D7:$D11,'Distance Matrix_Entry'!BH$23:BH$27,"&gt;0")</f>
        <v>444.2779289223007</v>
      </c>
      <c r="E160" s="55">
        <f>SUMPRODUCT('A4a.CWD Entry Av. Distance'!$E7:$E11,'Distance Matrix_Entry'!BH$23:BH$27)/SUMIFS('A4a.CWD Entry Av. Distance'!$E7:$E11,'Distance Matrix_Entry'!BH$23:BH$27,"&gt;0")</f>
        <v>444.2779289223007</v>
      </c>
    </row>
    <row r="161" spans="2:5" ht="14.4" customHeight="1">
      <c r="B161" s="36" t="s">
        <v>154</v>
      </c>
      <c r="C161" s="3" t="s">
        <v>220</v>
      </c>
      <c r="D161" s="55">
        <f>SUMPRODUCT('A4a.CWD Entry Av. Distance'!$D7:$D11,'Distance Matrix_Entry'!BI$23:BI$27)/SUMIFS('A4a.CWD Entry Av. Distance'!$D7:$D11,'Distance Matrix_Entry'!BI$23:BI$27,"&gt;0")</f>
        <v>453.24867134752174</v>
      </c>
      <c r="E161" s="55">
        <f>SUMPRODUCT('A4a.CWD Entry Av. Distance'!$E7:$E11,'Distance Matrix_Entry'!BI$23:BI$27)/SUMIFS('A4a.CWD Entry Av. Distance'!$E7:$E11,'Distance Matrix_Entry'!BI$23:BI$27,"&gt;0")</f>
        <v>453.24867134752174</v>
      </c>
    </row>
    <row r="162" spans="2:5" ht="14.4" customHeight="1">
      <c r="B162" s="36" t="s">
        <v>156</v>
      </c>
      <c r="C162" s="3" t="s">
        <v>220</v>
      </c>
      <c r="D162" s="55">
        <f>SUMPRODUCT('A4a.CWD Entry Av. Distance'!$D7:$D11,'Distance Matrix_Entry'!BJ$23:BJ$27)/SUMIFS('A4a.CWD Entry Av. Distance'!$D7:$D11,'Distance Matrix_Entry'!BJ$23:BJ$27,"&gt;0")</f>
        <v>467.27856845472041</v>
      </c>
      <c r="E162" s="55">
        <f>SUMPRODUCT('A4a.CWD Entry Av. Distance'!$E7:$E11,'Distance Matrix_Entry'!BJ$23:BJ$27)/SUMIFS('A4a.CWD Entry Av. Distance'!$E7:$E11,'Distance Matrix_Entry'!BJ$23:BJ$27,"&gt;0")</f>
        <v>467.27856845472041</v>
      </c>
    </row>
    <row r="163" spans="2:5" ht="14.4" customHeight="1">
      <c r="B163" s="36" t="s">
        <v>158</v>
      </c>
      <c r="C163" s="3" t="s">
        <v>220</v>
      </c>
      <c r="D163" s="55">
        <f>SUMPRODUCT('A4a.CWD Entry Av. Distance'!$D7:$D11,'Distance Matrix_Entry'!BK$23:BK$27)/SUMIFS('A4a.CWD Entry Av. Distance'!$D7:$D11,'Distance Matrix_Entry'!BK$23:BK$27,"&gt;0")</f>
        <v>474.96990795688515</v>
      </c>
      <c r="E163" s="55">
        <f>SUMPRODUCT('A4a.CWD Entry Av. Distance'!$E7:$E11,'Distance Matrix_Entry'!BK$23:BK$27)/SUMIFS('A4a.CWD Entry Av. Distance'!$E7:$E11,'Distance Matrix_Entry'!BK$23:BK$27,"&gt;0")</f>
        <v>474.96990795688515</v>
      </c>
    </row>
    <row r="164" spans="2:5" ht="14.4" customHeight="1">
      <c r="B164" s="36" t="s">
        <v>160</v>
      </c>
      <c r="C164" s="3" t="s">
        <v>220</v>
      </c>
      <c r="D164" s="55">
        <f>SUMPRODUCT('A4a.CWD Entry Av. Distance'!$D7:$D11,'Distance Matrix_Entry'!BL$23:BL$27)/SUMIFS('A4a.CWD Entry Av. Distance'!$D7:$D11,'Distance Matrix_Entry'!BL$23:BL$27,"&gt;0")</f>
        <v>502.43508199181531</v>
      </c>
      <c r="E164" s="55">
        <f>SUMPRODUCT('A4a.CWD Entry Av. Distance'!$E7:$E11,'Distance Matrix_Entry'!BL$23:BL$27)/SUMIFS('A4a.CWD Entry Av. Distance'!$E7:$E11,'Distance Matrix_Entry'!BL$23:BL$27,"&gt;0")</f>
        <v>502.43508199181531</v>
      </c>
    </row>
    <row r="165" spans="2:5" ht="14.4" customHeight="1">
      <c r="B165" s="36" t="s">
        <v>162</v>
      </c>
      <c r="C165" s="3" t="s">
        <v>220</v>
      </c>
      <c r="D165" s="55">
        <f>SUMPRODUCT('A4a.CWD Entry Av. Distance'!$D7:$D11,'Distance Matrix_Entry'!BM$23:BM$27)/SUMIFS('A4a.CWD Entry Av. Distance'!$D7:$D11,'Distance Matrix_Entry'!BM$23:BM$27,"&gt;0")</f>
        <v>500.10575059389032</v>
      </c>
      <c r="E165" s="55">
        <f>SUMPRODUCT('A4a.CWD Entry Av. Distance'!$E7:$E11,'Distance Matrix_Entry'!BM$23:BM$27)/SUMIFS('A4a.CWD Entry Av. Distance'!$E7:$E11,'Distance Matrix_Entry'!BM$23:BM$27,"&gt;0")</f>
        <v>500.10575059389032</v>
      </c>
    </row>
    <row r="166" spans="2:5" ht="14.4" customHeight="1">
      <c r="B166" s="36" t="s">
        <v>164</v>
      </c>
      <c r="C166" s="3" t="s">
        <v>220</v>
      </c>
      <c r="D166" s="55">
        <f>SUMPRODUCT('A4a.CWD Entry Av. Distance'!$D7:$D11,'Distance Matrix_Entry'!BN$23:BN$27)/SUMIFS('A4a.CWD Entry Av. Distance'!$D7:$D11,'Distance Matrix_Entry'!BN$23:BN$27,"&gt;0")</f>
        <v>529.55426038141434</v>
      </c>
      <c r="E166" s="55">
        <f>SUMPRODUCT('A4a.CWD Entry Av. Distance'!$E7:$E11,'Distance Matrix_Entry'!BN$23:BN$27)/SUMIFS('A4a.CWD Entry Av. Distance'!$E7:$E11,'Distance Matrix_Entry'!BN$23:BN$27,"&gt;0")</f>
        <v>529.55426038141434</v>
      </c>
    </row>
    <row r="167" spans="2:5" ht="14.4" customHeight="1">
      <c r="B167" s="36" t="s">
        <v>166</v>
      </c>
      <c r="C167" s="3" t="s">
        <v>220</v>
      </c>
      <c r="D167" s="55">
        <f>SUMPRODUCT('A4a.CWD Entry Av. Distance'!$D7:$D11,'Distance Matrix_Entry'!BO$23:BO$27)/SUMIFS('A4a.CWD Entry Av. Distance'!$D7:$D11,'Distance Matrix_Entry'!BO$23:BO$27,"&gt;0")</f>
        <v>431.07104418355664</v>
      </c>
      <c r="E167" s="55">
        <f>SUMPRODUCT('A4a.CWD Entry Av. Distance'!$E7:$E11,'Distance Matrix_Entry'!BO$23:BO$27)/SUMIFS('A4a.CWD Entry Av. Distance'!$E7:$E11,'Distance Matrix_Entry'!BO$23:BO$27,"&gt;0")</f>
        <v>431.07104418355664</v>
      </c>
    </row>
    <row r="168" spans="2:5" ht="14.4" customHeight="1">
      <c r="B168" s="36" t="s">
        <v>168</v>
      </c>
      <c r="C168" s="3" t="s">
        <v>220</v>
      </c>
      <c r="D168" s="55">
        <f>SUMPRODUCT('A4a.CWD Entry Av. Distance'!$D7:$D11,'Distance Matrix_Entry'!BP$23:BP$27)/SUMIFS('A4a.CWD Entry Av. Distance'!$D7:$D11,'Distance Matrix_Entry'!BP$23:BP$27,"&gt;0")</f>
        <v>345.86558370839947</v>
      </c>
      <c r="E168" s="55">
        <f>SUMPRODUCT('A4a.CWD Entry Av. Distance'!$E7:$E11,'Distance Matrix_Entry'!BP$23:BP$27)/SUMIFS('A4a.CWD Entry Av. Distance'!$E7:$E11,'Distance Matrix_Entry'!BP$23:BP$27,"&gt;0")</f>
        <v>345.86558370839947</v>
      </c>
    </row>
    <row r="169" spans="2:5" ht="14.4" customHeight="1">
      <c r="B169" s="36" t="s">
        <v>170</v>
      </c>
      <c r="C169" s="3" t="s">
        <v>220</v>
      </c>
      <c r="D169" s="55">
        <f>SUMPRODUCT('A4a.CWD Entry Av. Distance'!$D7:$D11,'Distance Matrix_Entry'!BQ$23:BQ$27)/SUMIFS('A4a.CWD Entry Av. Distance'!$D7:$D11,'Distance Matrix_Entry'!BQ$23:BQ$27,"&gt;0")</f>
        <v>327.24697902534854</v>
      </c>
      <c r="E169" s="55">
        <f>SUMPRODUCT('A4a.CWD Entry Av. Distance'!$E7:$E11,'Distance Matrix_Entry'!BQ$23:BQ$27)/SUMIFS('A4a.CWD Entry Av. Distance'!$E7:$E11,'Distance Matrix_Entry'!BQ$23:BQ$27,"&gt;0")</f>
        <v>327.24697902534854</v>
      </c>
    </row>
    <row r="170" spans="2:5" ht="14.4" customHeight="1">
      <c r="B170" s="36" t="s">
        <v>172</v>
      </c>
      <c r="C170" s="3" t="s">
        <v>220</v>
      </c>
      <c r="D170" s="55">
        <f>SUMPRODUCT('A4a.CWD Entry Av. Distance'!$D7:$D11,'Distance Matrix_Entry'!BR$23:BR$27)/SUMIFS('A4a.CWD Entry Av. Distance'!$D7:$D11,'Distance Matrix_Entry'!BR$23:BR$27,"&gt;0")</f>
        <v>332.30697902534848</v>
      </c>
      <c r="E170" s="55">
        <f>SUMPRODUCT('A4a.CWD Entry Av. Distance'!$E7:$E11,'Distance Matrix_Entry'!BR$23:BR$27)/SUMIFS('A4a.CWD Entry Av. Distance'!$E7:$E11,'Distance Matrix_Entry'!BR$23:BR$27,"&gt;0")</f>
        <v>332.30697902534848</v>
      </c>
    </row>
    <row r="171" spans="2:5" ht="14.4" customHeight="1">
      <c r="B171" s="36" t="s">
        <v>174</v>
      </c>
      <c r="C171" s="3" t="s">
        <v>220</v>
      </c>
      <c r="D171" s="55">
        <f>SUMPRODUCT('A4a.CWD Entry Av. Distance'!$D7:$D11,'Distance Matrix_Entry'!BS$23:BS$27)/SUMIFS('A4a.CWD Entry Av. Distance'!$D7:$D11,'Distance Matrix_Entry'!BS$23:BS$27,"&gt;0")</f>
        <v>310.85370557931572</v>
      </c>
      <c r="E171" s="55">
        <f>SUMPRODUCT('A4a.CWD Entry Av. Distance'!$E7:$E11,'Distance Matrix_Entry'!BS$23:BS$27)/SUMIFS('A4a.CWD Entry Av. Distance'!$E7:$E11,'Distance Matrix_Entry'!BS$23:BS$27,"&gt;0")</f>
        <v>310.85370557931572</v>
      </c>
    </row>
    <row r="172" spans="2:5" ht="14.4" customHeight="1">
      <c r="B172" s="36" t="s">
        <v>176</v>
      </c>
      <c r="C172" s="3" t="s">
        <v>220</v>
      </c>
      <c r="D172" s="55">
        <f>SUMPRODUCT('A4a.CWD Entry Av. Distance'!$D7:$D11,'Distance Matrix_Entry'!BT$23:BT$27)/SUMIFS('A4a.CWD Entry Av. Distance'!$D7:$D11,'Distance Matrix_Entry'!BT$23:BT$27,"&gt;0")</f>
        <v>295.86980858339422</v>
      </c>
      <c r="E172" s="55">
        <f>SUMPRODUCT('A4a.CWD Entry Av. Distance'!$E7:$E11,'Distance Matrix_Entry'!BT$23:BT$27)/SUMIFS('A4a.CWD Entry Av. Distance'!$E7:$E11,'Distance Matrix_Entry'!BT$23:BT$27,"&gt;0")</f>
        <v>295.86980858339422</v>
      </c>
    </row>
    <row r="173" spans="2:5" ht="14.4" customHeight="1">
      <c r="B173" s="36" t="s">
        <v>178</v>
      </c>
      <c r="C173" s="3" t="s">
        <v>220</v>
      </c>
      <c r="D173" s="55">
        <f>SUMPRODUCT('A4a.CWD Entry Av. Distance'!$D7:$D11,'Distance Matrix_Entry'!BU$23:BU$27)/SUMIFS('A4a.CWD Entry Av. Distance'!$D7:$D11,'Distance Matrix_Entry'!BU$23:BU$27,"&gt;0")</f>
        <v>280.17710237864492</v>
      </c>
      <c r="E173" s="55">
        <f>SUMPRODUCT('A4a.CWD Entry Av. Distance'!$E7:$E11,'Distance Matrix_Entry'!BU$23:BU$27)/SUMIFS('A4a.CWD Entry Av. Distance'!$E7:$E11,'Distance Matrix_Entry'!BU$23:BU$27,"&gt;0")</f>
        <v>280.17710237864492</v>
      </c>
    </row>
    <row r="174" spans="2:5" ht="14.4" customHeight="1">
      <c r="B174" s="36" t="s">
        <v>180</v>
      </c>
      <c r="C174" s="3" t="s">
        <v>220</v>
      </c>
      <c r="D174" s="55">
        <f>SUMPRODUCT('A4a.CWD Entry Av. Distance'!$D7:$D11,'Distance Matrix_Entry'!BV$23:BV$27)/SUMIFS('A4a.CWD Entry Av. Distance'!$D7:$D11,'Distance Matrix_Entry'!BV$23:BV$27,"&gt;0")</f>
        <v>252.78904422823402</v>
      </c>
      <c r="E174" s="55">
        <f>SUMPRODUCT('A4a.CWD Entry Av. Distance'!$E7:$E11,'Distance Matrix_Entry'!BV$23:BV$27)/SUMIFS('A4a.CWD Entry Av. Distance'!$E7:$E11,'Distance Matrix_Entry'!BV$23:BV$27,"&gt;0")</f>
        <v>252.78904422823402</v>
      </c>
    </row>
    <row r="175" spans="2:5" ht="14.4" customHeight="1">
      <c r="B175" s="36" t="s">
        <v>182</v>
      </c>
      <c r="C175" s="3" t="s">
        <v>220</v>
      </c>
      <c r="D175" s="55">
        <f>SUMPRODUCT('A4a.CWD Entry Av. Distance'!$D7:$D11,'Distance Matrix_Entry'!BW$23:BW$27)/SUMIFS('A4a.CWD Entry Av. Distance'!$D7:$D11,'Distance Matrix_Entry'!BW$23:BW$27,"&gt;0")</f>
        <v>412.32869238384927</v>
      </c>
      <c r="E175" s="55">
        <f>SUMPRODUCT('A4a.CWD Entry Av. Distance'!$E7:$E11,'Distance Matrix_Entry'!BW$23:BW$27)/SUMIFS('A4a.CWD Entry Av. Distance'!$E7:$E11,'Distance Matrix_Entry'!BW$23:BW$27,"&gt;0")</f>
        <v>412.32869238384927</v>
      </c>
    </row>
    <row r="176" spans="2:5" ht="14.4" customHeight="1">
      <c r="B176" s="36" t="s">
        <v>184</v>
      </c>
      <c r="C176" s="3" t="s">
        <v>220</v>
      </c>
      <c r="D176" s="55">
        <f>SUMPRODUCT('A4a.CWD Entry Av. Distance'!$D7:$D11,'Distance Matrix_Entry'!BX$23:BX$27)/SUMIFS('A4a.CWD Entry Av. Distance'!$D7:$D11,'Distance Matrix_Entry'!BX$23:BX$27,"&gt;0")</f>
        <v>451.92183880068023</v>
      </c>
      <c r="E176" s="55">
        <f>SUMPRODUCT('A4a.CWD Entry Av. Distance'!$E7:$E11,'Distance Matrix_Entry'!BX$23:BX$27)/SUMIFS('A4a.CWD Entry Av. Distance'!$E7:$E11,'Distance Matrix_Entry'!BX$23:BX$27,"&gt;0")</f>
        <v>451.92183880068023</v>
      </c>
    </row>
    <row r="177" spans="2:5" ht="14.4" customHeight="1">
      <c r="B177" s="36" t="s">
        <v>186</v>
      </c>
      <c r="C177" s="3" t="s">
        <v>220</v>
      </c>
      <c r="D177" s="55">
        <f>SUMPRODUCT('A4a.CWD Entry Av. Distance'!$D7:$D11,'Distance Matrix_Entry'!BY$23:BY$27)/SUMIFS('A4a.CWD Entry Av. Distance'!$D7:$D11,'Distance Matrix_Entry'!BY$23:BY$27,"&gt;0")</f>
        <v>476.46555322479952</v>
      </c>
      <c r="E177" s="55">
        <f>SUMPRODUCT('A4a.CWD Entry Av. Distance'!$E7:$E11,'Distance Matrix_Entry'!BY$23:BY$27)/SUMIFS('A4a.CWD Entry Av. Distance'!$E7:$E11,'Distance Matrix_Entry'!BY$23:BY$27,"&gt;0")</f>
        <v>476.46555322479952</v>
      </c>
    </row>
    <row r="178" spans="2:5" ht="14.4" customHeight="1">
      <c r="B178" s="36" t="s">
        <v>188</v>
      </c>
      <c r="C178" s="3" t="s">
        <v>220</v>
      </c>
      <c r="D178" s="55">
        <f>SUMPRODUCT('A4a.CWD Entry Av. Distance'!$D7:$D11,'Distance Matrix_Entry'!BZ$23:BZ$27)/SUMIFS('A4a.CWD Entry Av. Distance'!$D7:$D11,'Distance Matrix_Entry'!BZ$23:BZ$27,"&gt;0")</f>
        <v>490.83722078914457</v>
      </c>
      <c r="E178" s="55">
        <f>SUMPRODUCT('A4a.CWD Entry Av. Distance'!$E7:$E11,'Distance Matrix_Entry'!BZ$23:BZ$27)/SUMIFS('A4a.CWD Entry Av. Distance'!$E7:$E11,'Distance Matrix_Entry'!BZ$23:BZ$27,"&gt;0")</f>
        <v>490.83722078914457</v>
      </c>
    </row>
    <row r="179" spans="2:5" ht="14.4" customHeight="1">
      <c r="B179" s="36" t="s">
        <v>190</v>
      </c>
      <c r="C179" s="3" t="s">
        <v>220</v>
      </c>
      <c r="D179" s="55">
        <f>SUMPRODUCT('A4a.CWD Entry Av. Distance'!$D7:$D11,'Distance Matrix_Entry'!CA$23:CA$27)/SUMIFS('A4a.CWD Entry Av. Distance'!$D7:$D11,'Distance Matrix_Entry'!CA$23:CA$27,"&gt;0")</f>
        <v>481.95237977616137</v>
      </c>
      <c r="E179" s="55">
        <f>SUMPRODUCT('A4a.CWD Entry Av. Distance'!$E7:$E11,'Distance Matrix_Entry'!CA$23:CA$27)/SUMIFS('A4a.CWD Entry Av. Distance'!$E7:$E11,'Distance Matrix_Entry'!CA$23:CA$27,"&gt;0")</f>
        <v>481.95237977616137</v>
      </c>
    </row>
    <row r="180" spans="2:5" ht="14.4" customHeight="1">
      <c r="B180" s="36" t="s">
        <v>192</v>
      </c>
      <c r="C180" s="3" t="s">
        <v>220</v>
      </c>
      <c r="D180" s="55">
        <f>SUMPRODUCT('A4a.CWD Entry Av. Distance'!$D7:$D11,'Distance Matrix_Entry'!CB$23:CB$27)/SUMIFS('A4a.CWD Entry Av. Distance'!$D7:$D11,'Distance Matrix_Entry'!CB$23:CB$27,"&gt;0")</f>
        <v>449.3718820727085</v>
      </c>
      <c r="E180" s="55">
        <f>SUMPRODUCT('A4a.CWD Entry Av. Distance'!$E7:$E11,'Distance Matrix_Entry'!CB$23:CB$27)/SUMIFS('A4a.CWD Entry Av. Distance'!$E7:$E11,'Distance Matrix_Entry'!CB$23:CB$27,"&gt;0")</f>
        <v>449.3718820727085</v>
      </c>
    </row>
    <row r="181" spans="2:5" ht="14.4" customHeight="1">
      <c r="B181" s="36" t="s">
        <v>194</v>
      </c>
      <c r="C181" s="3" t="s">
        <v>220</v>
      </c>
      <c r="D181" s="55">
        <f>SUMPRODUCT('A4a.CWD Entry Av. Distance'!$D7:$D11,'Distance Matrix_Entry'!CC$23:CC$27)/SUMIFS('A4a.CWD Entry Av. Distance'!$D7:$D11,'Distance Matrix_Entry'!CC$23:CC$27,"&gt;0")</f>
        <v>345.9179717800439</v>
      </c>
      <c r="E181" s="55">
        <f>SUMPRODUCT('A4a.CWD Entry Av. Distance'!$E7:$E11,'Distance Matrix_Entry'!CC$23:CC$27)/SUMIFS('A4a.CWD Entry Av. Distance'!$E7:$E11,'Distance Matrix_Entry'!CC$23:CC$27,"&gt;0")</f>
        <v>345.9179717800439</v>
      </c>
    </row>
    <row r="182" spans="2:5" ht="14.4" customHeight="1">
      <c r="B182" s="36" t="s">
        <v>196</v>
      </c>
      <c r="C182" s="3" t="s">
        <v>220</v>
      </c>
      <c r="D182" s="55">
        <f>SUMPRODUCT('A4a.CWD Entry Av. Distance'!$D7:$D11,'Distance Matrix_Entry'!CD$23:CD$27)/SUMIFS('A4a.CWD Entry Av. Distance'!$D7:$D11,'Distance Matrix_Entry'!CD$23:CD$27,"&gt;0")</f>
        <v>355.45797178004392</v>
      </c>
      <c r="E182" s="55">
        <f>SUMPRODUCT('A4a.CWD Entry Av. Distance'!$E7:$E11,'Distance Matrix_Entry'!CD$23:CD$27)/SUMIFS('A4a.CWD Entry Av. Distance'!$E7:$E11,'Distance Matrix_Entry'!CD$23:CD$27,"&gt;0")</f>
        <v>355.45797178004392</v>
      </c>
    </row>
    <row r="183" spans="2:5" ht="14.4" customHeight="1">
      <c r="B183" s="36" t="s">
        <v>198</v>
      </c>
      <c r="C183" s="3" t="s">
        <v>220</v>
      </c>
      <c r="D183" s="55">
        <f>SUMPRODUCT('A4a.CWD Entry Av. Distance'!$D7:$D11,'Distance Matrix_Entry'!CE$23:CE$27)/SUMIFS('A4a.CWD Entry Av. Distance'!$D7:$D11,'Distance Matrix_Entry'!CE$23:CE$27,"&gt;0")</f>
        <v>366.38351086702477</v>
      </c>
      <c r="E183" s="55">
        <f>SUMPRODUCT('A4a.CWD Entry Av. Distance'!$E7:$E11,'Distance Matrix_Entry'!CE$23:CE$27)/SUMIFS('A4a.CWD Entry Av. Distance'!$E7:$E11,'Distance Matrix_Entry'!CE$23:CE$27,"&gt;0")</f>
        <v>366.38351086702477</v>
      </c>
    </row>
    <row r="184" spans="2:5" ht="14.4" customHeight="1">
      <c r="B184" s="36" t="s">
        <v>200</v>
      </c>
      <c r="C184" s="3" t="s">
        <v>220</v>
      </c>
      <c r="D184" s="55">
        <f>SUMPRODUCT('A4a.CWD Entry Av. Distance'!$D7:$D11,'Distance Matrix_Entry'!CF$23:CF$27)/SUMIFS('A4a.CWD Entry Av. Distance'!$D7:$D11,'Distance Matrix_Entry'!CF$23:CF$27,"&gt;0")</f>
        <v>386.13347526706309</v>
      </c>
      <c r="E184" s="55">
        <f>SUMPRODUCT('A4a.CWD Entry Av. Distance'!$E7:$E11,'Distance Matrix_Entry'!CF$23:CF$27)/SUMIFS('A4a.CWD Entry Av. Distance'!$E7:$E11,'Distance Matrix_Entry'!CF$23:CF$27,"&gt;0")</f>
        <v>386.13347526706309</v>
      </c>
    </row>
    <row r="185" spans="2:5" ht="14.4" customHeight="1">
      <c r="B185" s="36" t="s">
        <v>202</v>
      </c>
      <c r="C185" s="3" t="s">
        <v>220</v>
      </c>
      <c r="D185" s="55">
        <f>SUMPRODUCT('A4a.CWD Entry Av. Distance'!$D7:$D11,'Distance Matrix_Entry'!CG$23:CG$27)/SUMIFS('A4a.CWD Entry Av. Distance'!$D7:$D11,'Distance Matrix_Entry'!CG$23:CG$27,"&gt;0")</f>
        <v>386.46094380545424</v>
      </c>
      <c r="E185" s="55">
        <f>SUMPRODUCT('A4a.CWD Entry Av. Distance'!$E7:$E11,'Distance Matrix_Entry'!CG$23:CG$27)/SUMIFS('A4a.CWD Entry Av. Distance'!$E7:$E11,'Distance Matrix_Entry'!CG$23:CG$27,"&gt;0")</f>
        <v>386.46094380545424</v>
      </c>
    </row>
    <row r="186" spans="2:5" ht="14.4" customHeight="1">
      <c r="B186" s="36" t="s">
        <v>204</v>
      </c>
      <c r="C186" s="3" t="s">
        <v>220</v>
      </c>
      <c r="D186" s="55">
        <f>SUMPRODUCT('A4a.CWD Entry Av. Distance'!$D7:$D11,'Distance Matrix_Entry'!CH$23:CH$27)/SUMIFS('A4a.CWD Entry Av. Distance'!$D7:$D11,'Distance Matrix_Entry'!CH$23:CH$27,"&gt;0")</f>
        <v>116.34599621929178</v>
      </c>
      <c r="E186" s="55">
        <f>SUMPRODUCT('A4a.CWD Entry Av. Distance'!$E7:$E11,'Distance Matrix_Entry'!CH$23:CH$27)/SUMIFS('A4a.CWD Entry Av. Distance'!$E7:$E11,'Distance Matrix_Entry'!CH$23:CH$27,"&gt;0")</f>
        <v>116.34599621929178</v>
      </c>
    </row>
    <row r="187" spans="2:5" ht="14.4" customHeight="1">
      <c r="B187" s="36" t="s">
        <v>206</v>
      </c>
      <c r="C187" s="3" t="s">
        <v>220</v>
      </c>
      <c r="D187" s="55">
        <f>SUMPRODUCT('A4a.CWD Entry Av. Distance'!$D7:$D11,'Distance Matrix_Entry'!CI$23:CI$27)/SUMIFS('A4a.CWD Entry Av. Distance'!$D7:$D11,'Distance Matrix_Entry'!CI$23:CI$27,"&gt;0")</f>
        <v>60.666455865507487</v>
      </c>
      <c r="E187" s="55">
        <f>SUMPRODUCT('A4a.CWD Entry Av. Distance'!$E7:$E11,'Distance Matrix_Entry'!CI$23:CI$27)/SUMIFS('A4a.CWD Entry Av. Distance'!$E7:$E11,'Distance Matrix_Entry'!CI$23:CI$27,"&gt;0")</f>
        <v>60.666455865507487</v>
      </c>
    </row>
    <row r="188" spans="2:5" ht="14.4" customHeight="1">
      <c r="B188" s="36" t="s">
        <v>208</v>
      </c>
      <c r="C188" s="3" t="s">
        <v>220</v>
      </c>
      <c r="D188" s="55">
        <f>SUMPRODUCT('A4a.CWD Entry Av. Distance'!$D7:$D11,'Distance Matrix_Entry'!CJ$23:CJ$27)/SUMIFS('A4a.CWD Entry Av. Distance'!$D7:$D11,'Distance Matrix_Entry'!CJ$23:CJ$27,"&gt;0")</f>
        <v>60.667455865507499</v>
      </c>
      <c r="E188" s="55">
        <f>SUMPRODUCT('A4a.CWD Entry Av. Distance'!$E7:$E11,'Distance Matrix_Entry'!CJ$23:CJ$27)/SUMIFS('A4a.CWD Entry Av. Distance'!$E7:$E11,'Distance Matrix_Entry'!CJ$23:CJ$27,"&gt;0")</f>
        <v>60.667455865507499</v>
      </c>
    </row>
    <row r="189" spans="2:5" ht="14.4" customHeight="1">
      <c r="B189" s="36" t="s">
        <v>209</v>
      </c>
      <c r="C189" s="3" t="s">
        <v>220</v>
      </c>
      <c r="D189" s="55">
        <f>SUMPRODUCT('A4a.CWD Entry Av. Distance'!$D7:$D11,'Distance Matrix_Entry'!CK$23:CK$27)/SUMIFS('A4a.CWD Entry Av. Distance'!$D7:$D11,'Distance Matrix_Entry'!CK$23:CK$27,"&gt;0")</f>
        <v>61.987455865507492</v>
      </c>
      <c r="E189" s="55">
        <f>SUMPRODUCT('A4a.CWD Entry Av. Distance'!$E7:$E11,'Distance Matrix_Entry'!CK$23:CK$27)/SUMIFS('A4a.CWD Entry Av. Distance'!$E7:$E11,'Distance Matrix_Entry'!CK$23:CK$27,"&gt;0")</f>
        <v>61.987455865507492</v>
      </c>
    </row>
    <row r="190" spans="2:5" ht="14.4" customHeight="1">
      <c r="B190" s="36" t="s">
        <v>211</v>
      </c>
      <c r="C190" s="3" t="s">
        <v>220</v>
      </c>
      <c r="D190" s="55">
        <f>SUMPRODUCT('A4a.CWD Entry Av. Distance'!$D7:$D11,'Distance Matrix_Entry'!CL$23:CL$27)/SUMIFS('A4a.CWD Entry Av. Distance'!$D7:$D11,'Distance Matrix_Entry'!CL$23:CL$27,"&gt;0")</f>
        <v>60.667455865507499</v>
      </c>
      <c r="E190" s="55">
        <f>SUMPRODUCT('A4a.CWD Entry Av. Distance'!$E7:$E11,'Distance Matrix_Entry'!CL$23:CL$27)/SUMIFS('A4a.CWD Entry Av. Distance'!$E7:$E11,'Distance Matrix_Entry'!CL$23:CL$27,"&gt;0")</f>
        <v>60.667455865507499</v>
      </c>
    </row>
    <row r="191" spans="2:5" ht="14.4" customHeight="1">
      <c r="B191" s="36" t="s">
        <v>212</v>
      </c>
      <c r="C191" s="3" t="s">
        <v>220</v>
      </c>
      <c r="D191" s="55">
        <f>SUMPRODUCT('A4a.CWD Entry Av. Distance'!$D7:$D11,'Distance Matrix_Entry'!CM$23:CM$27)/SUMIFS('A4a.CWD Entry Av. Distance'!$D7:$D11,'Distance Matrix_Entry'!CM$23:CM$27,"&gt;0")</f>
        <v>55.394448104979567</v>
      </c>
      <c r="E191" s="55">
        <f>SUMPRODUCT('A4a.CWD Entry Av. Distance'!$E7:$E11,'Distance Matrix_Entry'!CM$23:CM$27)/SUMIFS('A4a.CWD Entry Av. Distance'!$E7:$E11,'Distance Matrix_Entry'!CM$23:CM$27,"&gt;0")</f>
        <v>55.394448104979567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 tint="0.499984740745262"/>
  </sheetPr>
  <dimension ref="A1:C5"/>
  <sheetViews>
    <sheetView showGridLines="0" zoomScale="130" zoomScaleNormal="130" workbookViewId="0">
      <selection sqref="A1:A1048576"/>
    </sheetView>
  </sheetViews>
  <sheetFormatPr defaultColWidth="8.88671875" defaultRowHeight="12"/>
  <cols>
    <col min="1" max="1" width="26.5546875" style="122" customWidth="1"/>
    <col min="2" max="2" width="20.6640625" style="122" bestFit="1" customWidth="1"/>
    <col min="3" max="3" width="85.109375" style="122" customWidth="1"/>
    <col min="4" max="16384" width="8.88671875" style="122"/>
  </cols>
  <sheetData>
    <row r="1" spans="1:3">
      <c r="A1" s="122" t="s">
        <v>560</v>
      </c>
      <c r="B1" s="122" t="s">
        <v>556</v>
      </c>
      <c r="C1" s="122" t="s">
        <v>557</v>
      </c>
    </row>
    <row r="2" spans="1:3" ht="36">
      <c r="A2" s="123" t="s">
        <v>35</v>
      </c>
      <c r="B2" s="124">
        <v>0.56000000000000005</v>
      </c>
      <c r="C2" s="125" t="s">
        <v>561</v>
      </c>
    </row>
    <row r="3" spans="1:3">
      <c r="A3" s="123" t="s">
        <v>555</v>
      </c>
      <c r="B3" s="123" t="s">
        <v>558</v>
      </c>
      <c r="C3" s="123" t="s">
        <v>562</v>
      </c>
    </row>
    <row r="4" spans="1:3">
      <c r="A4" s="123" t="s">
        <v>43</v>
      </c>
      <c r="B4" s="124">
        <v>1</v>
      </c>
      <c r="C4" s="123" t="s">
        <v>563</v>
      </c>
    </row>
    <row r="5" spans="1:3">
      <c r="A5" s="123" t="s">
        <v>559</v>
      </c>
      <c r="B5" s="124">
        <v>0.5</v>
      </c>
      <c r="C5" s="123" t="s">
        <v>564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B2:L265"/>
  <sheetViews>
    <sheetView showGridLines="0" workbookViewId="0">
      <selection sqref="A1:A1048576"/>
    </sheetView>
  </sheetViews>
  <sheetFormatPr defaultColWidth="8.88671875" defaultRowHeight="14.4" customHeight="1"/>
  <cols>
    <col min="1" max="1" width="8.88671875" style="1"/>
    <col min="2" max="2" width="42.44140625" style="1" customWidth="1"/>
    <col min="3" max="3" width="10.33203125" style="1" customWidth="1"/>
    <col min="4" max="5" width="11.6640625" style="1" customWidth="1"/>
    <col min="6" max="6" width="8.88671875" style="1"/>
    <col min="7" max="7" width="8.88671875" style="1" customWidth="1"/>
    <col min="8" max="8" width="24.33203125" style="1" customWidth="1"/>
    <col min="9" max="9" width="16.33203125" style="1" customWidth="1"/>
    <col min="10" max="10" width="10.33203125" style="1" customWidth="1"/>
    <col min="11" max="16384" width="8.88671875" style="1"/>
  </cols>
  <sheetData>
    <row r="2" spans="2:12" ht="28.95" customHeight="1" thickBot="1">
      <c r="B2" s="32" t="s">
        <v>619</v>
      </c>
      <c r="C2" s="32"/>
      <c r="D2" s="5"/>
      <c r="E2" s="5"/>
      <c r="H2"/>
      <c r="I2"/>
      <c r="J2"/>
    </row>
    <row r="3" spans="2:12" ht="14.4" customHeight="1" thickBot="1">
      <c r="B3" s="37" t="s">
        <v>253</v>
      </c>
      <c r="C3" s="37"/>
      <c r="H3" s="101" t="s">
        <v>546</v>
      </c>
      <c r="I3" s="102"/>
      <c r="J3" s="103"/>
    </row>
    <row r="4" spans="2:12" ht="14.4" customHeight="1">
      <c r="B4" s="26" t="s">
        <v>242</v>
      </c>
      <c r="C4" s="27"/>
      <c r="D4" s="6"/>
      <c r="E4" s="6"/>
      <c r="H4" s="104" t="str">
        <f>B7</f>
        <v>Cross-system network use</v>
      </c>
      <c r="I4" s="105" t="s">
        <v>547</v>
      </c>
      <c r="J4" s="106">
        <f>D11/10^6</f>
        <v>11.037482373935241</v>
      </c>
      <c r="L4"/>
    </row>
    <row r="5" spans="2:12" ht="14.4" customHeight="1" thickBot="1">
      <c r="B5" s="28"/>
      <c r="C5" s="29"/>
      <c r="D5" s="23" t="str">
        <f>'Input data'!D$5</f>
        <v>2025-26</v>
      </c>
      <c r="E5" s="23" t="str">
        <f>'Input data'!E$5</f>
        <v>2026-27</v>
      </c>
      <c r="H5" s="107" t="str">
        <f>B9</f>
        <v>Intra-system network use</v>
      </c>
      <c r="I5" s="108" t="str">
        <f>I4</f>
        <v>million €</v>
      </c>
      <c r="J5" s="109">
        <f>D12/10^6</f>
        <v>59.619995537828117</v>
      </c>
      <c r="L5"/>
    </row>
    <row r="6" spans="2:12" ht="14.4" customHeight="1" thickBot="1">
      <c r="B6" s="30"/>
      <c r="C6" s="31"/>
      <c r="D6" s="8"/>
      <c r="E6" s="8"/>
      <c r="H6" s="101" t="s">
        <v>548</v>
      </c>
      <c r="I6" s="102"/>
      <c r="J6" s="103"/>
      <c r="L6"/>
    </row>
    <row r="7" spans="2:12" ht="14.4" customHeight="1">
      <c r="B7" s="74" t="s">
        <v>241</v>
      </c>
      <c r="C7" s="36" t="s">
        <v>7</v>
      </c>
      <c r="D7" s="38">
        <f>SUMPRODUCT('Entry Tariff_2'!D175:D179,'Exit Tariff_2'!D143:D147)</f>
        <v>8158695.5239026137</v>
      </c>
      <c r="E7" s="38">
        <f>SUMPRODUCT('Entry Tariff_2'!E175:E179,'Exit Tariff_2'!E143:E147)</f>
        <v>8158695.5239026137</v>
      </c>
      <c r="H7" s="104" t="str">
        <f>H4</f>
        <v>Cross-system network use</v>
      </c>
      <c r="I7" s="105" t="s">
        <v>44</v>
      </c>
      <c r="J7" s="113">
        <f>D247</f>
        <v>0.15546550883317775</v>
      </c>
      <c r="L7"/>
    </row>
    <row r="8" spans="2:12" ht="14.4" customHeight="1" thickBot="1">
      <c r="B8" s="75"/>
      <c r="C8" s="36" t="s">
        <v>16</v>
      </c>
      <c r="D8" s="38">
        <f>+SUM('Exit Tariff_2'!D280:D284)</f>
        <v>2878786.8500326285</v>
      </c>
      <c r="E8" s="38">
        <f>+SUM('Exit Tariff_2'!E280:E284)</f>
        <v>2878786.8500326285</v>
      </c>
      <c r="H8" s="107" t="str">
        <f>H5</f>
        <v>Intra-system network use</v>
      </c>
      <c r="I8" s="108" t="str">
        <f>I7</f>
        <v>%</v>
      </c>
      <c r="J8" s="114">
        <f>D248</f>
        <v>0.84453449116682222</v>
      </c>
      <c r="L8"/>
    </row>
    <row r="9" spans="2:12" ht="14.4" customHeight="1" thickBot="1">
      <c r="B9" s="74" t="s">
        <v>240</v>
      </c>
      <c r="C9" s="36" t="s">
        <v>7</v>
      </c>
      <c r="D9" s="38">
        <f>'Entry Tariff_2'!D217-SUMPRODUCT('Entry Tariff_2'!D175:D179,'Exit Tariff_2'!D143:D147)</f>
        <v>11625398.291391127</v>
      </c>
      <c r="E9" s="38">
        <f>'Entry Tariff_2'!E217-SUMPRODUCT('Entry Tariff_2'!E175:E179,'Exit Tariff_2'!E143:E147)</f>
        <v>11625398.291391127</v>
      </c>
      <c r="H9" s="101" t="s">
        <v>549</v>
      </c>
      <c r="I9" s="102"/>
      <c r="J9" s="103"/>
    </row>
    <row r="10" spans="2:12" ht="14.4" customHeight="1">
      <c r="B10" s="75"/>
      <c r="C10" s="36" t="s">
        <v>16</v>
      </c>
      <c r="D10" s="38">
        <f>+'Exit Tariff_2'!D307-SUM('Exit Tariff_2'!D280:D284)</f>
        <v>47994597.246436991</v>
      </c>
      <c r="E10" s="38">
        <f>+'Exit Tariff_2'!E307-SUM('Exit Tariff_2'!E280:E284)</f>
        <v>47994597.246436991</v>
      </c>
      <c r="H10" s="104" t="str">
        <f>H7</f>
        <v>Cross-system network use</v>
      </c>
      <c r="I10" s="105" t="str">
        <f>I4</f>
        <v>million €</v>
      </c>
      <c r="J10" s="110">
        <f>J4/J7</f>
        <v>70.996341611559714</v>
      </c>
    </row>
    <row r="11" spans="2:12" ht="14.4" customHeight="1" thickBot="1">
      <c r="B11" s="76" t="s">
        <v>241</v>
      </c>
      <c r="C11" s="77"/>
      <c r="D11" s="78">
        <f t="shared" ref="D11:E11" si="0">D7+D8</f>
        <v>11037482.373935241</v>
      </c>
      <c r="E11" s="78">
        <f t="shared" si="0"/>
        <v>11037482.373935241</v>
      </c>
      <c r="H11" s="107" t="str">
        <f>H8</f>
        <v>Intra-system network use</v>
      </c>
      <c r="I11" s="108" t="str">
        <f>I5</f>
        <v>million €</v>
      </c>
      <c r="J11" s="111">
        <f>J5/J8</f>
        <v>70.595098437550121</v>
      </c>
    </row>
    <row r="12" spans="2:12" ht="14.4" customHeight="1" thickBot="1">
      <c r="B12" s="76" t="s">
        <v>240</v>
      </c>
      <c r="C12" s="77"/>
      <c r="D12" s="78">
        <f t="shared" ref="D12:E12" si="1">D9+D10</f>
        <v>59619995.537828118</v>
      </c>
      <c r="E12" s="78">
        <f t="shared" si="1"/>
        <v>59619995.537828118</v>
      </c>
      <c r="H12" s="99" t="s">
        <v>550</v>
      </c>
      <c r="I12" s="100"/>
      <c r="J12" s="112">
        <f>IF(J11="-",0,2*(J11-J10)/(J11+J10))</f>
        <v>-5.6676190858773023E-3</v>
      </c>
    </row>
    <row r="13" spans="2:12" ht="14.4" customHeight="1">
      <c r="D13" s="63">
        <f>'Input data'!D9-SUM(D11:D12)</f>
        <v>0</v>
      </c>
      <c r="E13" s="63">
        <f>'Input data'!E9-SUM(E11:E12)</f>
        <v>0</v>
      </c>
    </row>
    <row r="14" spans="2:12" ht="28.95" customHeight="1"/>
    <row r="15" spans="2:12" ht="28.95" customHeight="1">
      <c r="B15" s="32" t="s">
        <v>245</v>
      </c>
      <c r="C15" s="32"/>
      <c r="D15" s="5"/>
      <c r="E15" s="5"/>
    </row>
    <row r="17" spans="2:7" ht="28.95" customHeight="1">
      <c r="B17" s="35" t="s">
        <v>620</v>
      </c>
      <c r="C17" s="35"/>
      <c r="D17" s="5"/>
      <c r="E17" s="5"/>
    </row>
    <row r="18" spans="2:7" ht="14.4" customHeight="1">
      <c r="B18" s="115" t="s">
        <v>249</v>
      </c>
      <c r="C18" s="37"/>
    </row>
    <row r="19" spans="2:7" ht="14.4" customHeight="1">
      <c r="B19" s="26" t="s">
        <v>265</v>
      </c>
      <c r="C19" s="27"/>
      <c r="D19" s="6"/>
      <c r="E19" s="6"/>
    </row>
    <row r="20" spans="2:7" ht="14.4" customHeight="1">
      <c r="B20" s="28"/>
      <c r="C20" s="29"/>
      <c r="D20" s="23" t="str">
        <f>'Input data'!D$5</f>
        <v>2025-26</v>
      </c>
      <c r="E20" s="23" t="str">
        <f>'Input data'!E$5</f>
        <v>2026-27</v>
      </c>
    </row>
    <row r="21" spans="2:7" ht="14.4" customHeight="1">
      <c r="B21" s="30"/>
      <c r="C21" s="31"/>
      <c r="D21" s="8"/>
      <c r="E21" s="8"/>
    </row>
    <row r="22" spans="2:7" ht="14.4" customHeight="1">
      <c r="B22" s="74" t="str">
        <f>+B7</f>
        <v>Cross-system network use</v>
      </c>
      <c r="C22" s="36" t="str">
        <f>+C7</f>
        <v>Entry</v>
      </c>
      <c r="D22" s="38">
        <f>SUMPRODUCT('Exit Tariff_2'!D143:D147,'Input data'!D115:D119)+SUMPRODUCT('Exit Tariff_2'!D165:D166,'Input data'!D136:D137)</f>
        <v>78142994.060000002</v>
      </c>
      <c r="E22" s="38">
        <f>SUMPRODUCT('Exit Tariff_2'!E143:E147,'Input data'!E115:E119)+SUMPRODUCT('Exit Tariff_2'!E165:E166,'Input data'!E136:E137)</f>
        <v>78142994.060000002</v>
      </c>
    </row>
    <row r="23" spans="2:7" ht="14.4" customHeight="1">
      <c r="B23" s="75"/>
      <c r="C23" s="36" t="str">
        <f>+C8</f>
        <v>Exit</v>
      </c>
      <c r="D23" s="38">
        <f>SUMPRODUCT('Exit Tariff_2'!D143:D147,'Input data'!D115:D119)+SUMPRODUCT('Exit Tariff_2'!D165:D166,'Input data'!D136:D137)</f>
        <v>78142994.060000002</v>
      </c>
      <c r="E23" s="38">
        <f>SUMPRODUCT('Exit Tariff_2'!E143:E147,'Input data'!E115:E119)+SUMPRODUCT('Exit Tariff_2'!E165:E166,'Input data'!E136:E137)</f>
        <v>78142994.060000002</v>
      </c>
    </row>
    <row r="24" spans="2:7" ht="14.4" customHeight="1">
      <c r="B24" s="74" t="str">
        <f>+B9</f>
        <v>Intra-system network use</v>
      </c>
      <c r="C24" s="36" t="str">
        <f>+C9</f>
        <v>Entry</v>
      </c>
      <c r="D24" s="38">
        <f>SUMPRODUCT('Input data'!D20:D32,'Input data'!D115:D127)+SUMPRODUCT('Input data'!D40:D41,'Input data'!D118:D119)+'Input data'!D42*'Input data'!D124+'Input data'!D43*'Input data'!D126-D22</f>
        <v>131099426.14736924</v>
      </c>
      <c r="E24" s="38">
        <f>SUMPRODUCT('Input data'!E20:E32,'Input data'!E115:E127)+SUMPRODUCT('Input data'!E40:E41,'Input data'!E118:E119)+'Input data'!E42*'Input data'!E124+'Input data'!E43*'Input data'!E126-E22</f>
        <v>131099426.14736924</v>
      </c>
    </row>
    <row r="25" spans="2:7" ht="14.4" customHeight="1">
      <c r="B25" s="75"/>
      <c r="C25" s="36" t="str">
        <f>+C10</f>
        <v>Exit</v>
      </c>
      <c r="D25" s="38">
        <f>SUMPRODUCT('Input data'!D65:D76,'Input data'!D133:D144)+SUM('Input data'!D77:D78)+SUMPRODUCT('Input data'!D79:D83,'Input data'!D145:D149)+SUMPRODUCT('Input data'!D91:D92,'Input data'!D136:D137)+SUMPRODUCT('Input data'!D93:D94,'Input data'!D141:D142)+'Input data'!D95*'Input data'!D144-D23</f>
        <v>278427506.09727025</v>
      </c>
      <c r="E25" s="38">
        <f>SUMPRODUCT('Input data'!E65:E76,'Input data'!E133:E144)+SUM('Input data'!E77:E78)+SUMPRODUCT('Input data'!E79:E83,'Input data'!E145:E149)+SUMPRODUCT('Input data'!E91:E92,'Input data'!E136:E137)+SUMPRODUCT('Input data'!E93:E94,'Input data'!E141:E142)+'Input data'!E95*'Input data'!E144-E23</f>
        <v>278427506.09727025</v>
      </c>
    </row>
    <row r="26" spans="2:7" ht="14.4" customHeight="1">
      <c r="B26" s="76" t="str">
        <f>+B11</f>
        <v>Cross-system network use</v>
      </c>
      <c r="C26" s="77"/>
      <c r="D26" s="78">
        <f t="shared" ref="D26:E26" si="2">AVERAGE(D22:D23)</f>
        <v>78142994.060000002</v>
      </c>
      <c r="E26" s="78">
        <f t="shared" si="2"/>
        <v>78142994.060000002</v>
      </c>
    </row>
    <row r="27" spans="2:7" ht="14.4" customHeight="1">
      <c r="B27" s="76" t="str">
        <f>+B12</f>
        <v>Intra-system network use</v>
      </c>
      <c r="C27" s="77"/>
      <c r="D27" s="78">
        <f t="shared" ref="D27:E27" si="3">AVERAGE(D24:D25)</f>
        <v>204763466.12231976</v>
      </c>
      <c r="E27" s="78">
        <f t="shared" si="3"/>
        <v>204763466.12231976</v>
      </c>
    </row>
    <row r="28" spans="2:7" ht="14.4" customHeight="1">
      <c r="D28" s="63">
        <f>AVERAGE(SUM('Input capacity'!D7:D11),SUM('Input capacity'!D19:D107))-SUM(D26:D27)</f>
        <v>0</v>
      </c>
      <c r="E28" s="63">
        <f>AVERAGE(SUM('Input capacity'!E7:E11),SUM('Input capacity'!E19:E107))-SUM(E26:E27)</f>
        <v>0</v>
      </c>
      <c r="G28"/>
    </row>
    <row r="30" spans="2:7" ht="28.95" customHeight="1">
      <c r="B30" s="35" t="s">
        <v>243</v>
      </c>
      <c r="C30" s="35"/>
      <c r="D30" s="5"/>
      <c r="E30" s="5"/>
    </row>
    <row r="31" spans="2:7" ht="14.4" customHeight="1">
      <c r="B31" s="37" t="s">
        <v>252</v>
      </c>
      <c r="C31" s="37"/>
    </row>
    <row r="32" spans="2:7" ht="14.4" customHeight="1">
      <c r="B32" s="26" t="str">
        <f>B4</f>
        <v>Network use</v>
      </c>
      <c r="C32" s="27"/>
      <c r="D32" s="6"/>
      <c r="E32" s="6"/>
    </row>
    <row r="33" spans="2:5" ht="14.4" customHeight="1">
      <c r="B33" s="28"/>
      <c r="C33" s="29"/>
      <c r="D33" s="23" t="str">
        <f>'Input data'!D$5</f>
        <v>2025-26</v>
      </c>
      <c r="E33" s="23" t="str">
        <f>'Input data'!E$5</f>
        <v>2026-27</v>
      </c>
    </row>
    <row r="34" spans="2:5" ht="14.4" customHeight="1">
      <c r="B34" s="30"/>
      <c r="C34" s="31"/>
      <c r="D34" s="8"/>
      <c r="E34" s="8"/>
    </row>
    <row r="35" spans="2:5" ht="14.4" customHeight="1">
      <c r="B35" s="76" t="str">
        <f>B11</f>
        <v>Cross-system network use</v>
      </c>
      <c r="C35" s="77"/>
      <c r="D35" s="80">
        <f t="shared" ref="D35:E36" si="4">D11/D26</f>
        <v>0.14124724176117959</v>
      </c>
      <c r="E35" s="80">
        <f t="shared" si="4"/>
        <v>0.14124724176117959</v>
      </c>
    </row>
    <row r="36" spans="2:5" ht="14.4" customHeight="1">
      <c r="B36" s="76" t="str">
        <f>B12</f>
        <v>Intra-system network use</v>
      </c>
      <c r="C36" s="77"/>
      <c r="D36" s="80">
        <f t="shared" si="4"/>
        <v>0.29116519986144823</v>
      </c>
      <c r="E36" s="80">
        <f t="shared" si="4"/>
        <v>0.29116519986144823</v>
      </c>
    </row>
    <row r="39" spans="2:5" ht="28.95" customHeight="1">
      <c r="B39" s="35" t="s">
        <v>244</v>
      </c>
      <c r="C39" s="35"/>
      <c r="D39" s="5"/>
      <c r="E39" s="5"/>
    </row>
    <row r="40" spans="2:5" ht="14.4" customHeight="1">
      <c r="B40" s="37" t="s">
        <v>247</v>
      </c>
      <c r="C40" s="37"/>
    </row>
    <row r="41" spans="2:5" ht="14.4" customHeight="1">
      <c r="B41" s="26"/>
      <c r="C41" s="27"/>
      <c r="D41" s="6"/>
      <c r="E41" s="6"/>
    </row>
    <row r="42" spans="2:5" ht="14.4" customHeight="1">
      <c r="B42" s="28"/>
      <c r="C42" s="29"/>
      <c r="D42" s="23" t="str">
        <f>'Input data'!D$5</f>
        <v>2025-26</v>
      </c>
      <c r="E42" s="23" t="str">
        <f>'Input data'!E$5</f>
        <v>2026-27</v>
      </c>
    </row>
    <row r="43" spans="2:5" ht="14.4" customHeight="1">
      <c r="B43" s="30"/>
      <c r="C43" s="31"/>
      <c r="D43" s="8"/>
      <c r="E43" s="8"/>
    </row>
    <row r="44" spans="2:5" ht="14.4" customHeight="1">
      <c r="B44" s="76" t="s">
        <v>246</v>
      </c>
      <c r="C44" s="77"/>
      <c r="D44" s="81">
        <f t="shared" ref="D44:E44" si="5">IF(D35="-",0,2*(D36-D35)/(D36+D35))</f>
        <v>0.69340261134809844</v>
      </c>
      <c r="E44" s="81">
        <f t="shared" si="5"/>
        <v>0.69340261134809844</v>
      </c>
    </row>
    <row r="47" spans="2:5" ht="28.95" customHeight="1">
      <c r="B47" s="32" t="s">
        <v>248</v>
      </c>
      <c r="C47" s="32"/>
      <c r="D47" s="5"/>
      <c r="E47" s="5"/>
    </row>
    <row r="49" spans="2:5" ht="28.95" customHeight="1">
      <c r="B49" s="35" t="s">
        <v>621</v>
      </c>
      <c r="C49" s="35"/>
      <c r="D49" s="5"/>
      <c r="E49" s="5"/>
    </row>
    <row r="50" spans="2:5" ht="14.4" customHeight="1">
      <c r="B50" s="37" t="str">
        <f>B18</f>
        <v>Measured in equivalent capacity.</v>
      </c>
      <c r="C50" s="37"/>
    </row>
    <row r="51" spans="2:5" ht="14.4" customHeight="1">
      <c r="B51" s="26" t="str">
        <f>B19</f>
        <v>Forecasted capacity</v>
      </c>
      <c r="C51" s="27"/>
      <c r="D51" s="6"/>
      <c r="E51" s="6"/>
    </row>
    <row r="52" spans="2:5" ht="14.4" customHeight="1">
      <c r="B52" s="28"/>
      <c r="C52" s="29"/>
      <c r="D52" s="23" t="str">
        <f>D20</f>
        <v>2025-26</v>
      </c>
      <c r="E52" s="23" t="str">
        <f>E20</f>
        <v>2026-27</v>
      </c>
    </row>
    <row r="53" spans="2:5" ht="14.4" customHeight="1">
      <c r="B53" s="30"/>
      <c r="C53" s="31"/>
      <c r="D53" s="8"/>
      <c r="E53" s="8"/>
    </row>
    <row r="54" spans="2:5" ht="14.4" customHeight="1">
      <c r="B54" s="74" t="str">
        <f>B22</f>
        <v>Cross-system network use</v>
      </c>
      <c r="C54" s="36" t="str">
        <f>C22</f>
        <v>Entry</v>
      </c>
      <c r="D54" s="38">
        <f>SUM('Exit Tariff_1'!D199:D200)</f>
        <v>11293316.503426366</v>
      </c>
      <c r="E54" s="38">
        <f>SUM('Exit Tariff_1'!E199:E200)</f>
        <v>11293316.503426366</v>
      </c>
    </row>
    <row r="55" spans="2:5" ht="14.4" customHeight="1">
      <c r="B55" s="75"/>
      <c r="C55" s="36" t="str">
        <f>C23</f>
        <v>Exit</v>
      </c>
      <c r="D55" s="38">
        <f>SUM('Exit Tariff_1'!D199:D200)</f>
        <v>11293316.503426366</v>
      </c>
      <c r="E55" s="38">
        <f>SUM('Exit Tariff_1'!E199:E200)</f>
        <v>11293316.503426366</v>
      </c>
    </row>
    <row r="56" spans="2:5" ht="14.4" customHeight="1">
      <c r="B56" s="74" t="str">
        <f>B24</f>
        <v>Intra-system network use</v>
      </c>
      <c r="C56" s="36" t="str">
        <f>C24</f>
        <v>Entry</v>
      </c>
      <c r="D56" s="38">
        <f>SUM('Entry Tariff_1'!D31:D35)-SUM('Exit Tariff_1'!D199:D200)</f>
        <v>175560730.04039803</v>
      </c>
      <c r="E56" s="38">
        <f>SUM('Entry Tariff_1'!E31:E35)-SUM('Exit Tariff_1'!E199:E200)</f>
        <v>175560730.04039803</v>
      </c>
    </row>
    <row r="57" spans="2:5" ht="14.4" customHeight="1">
      <c r="B57" s="75"/>
      <c r="C57" s="36" t="str">
        <f>C25</f>
        <v>Exit</v>
      </c>
      <c r="D57" s="38">
        <f>SUM('Exit Tariff_1'!D201:D287)</f>
        <v>130851487.67453192</v>
      </c>
      <c r="E57" s="38">
        <f>SUM('Exit Tariff_1'!E201:E287)</f>
        <v>130851487.67453192</v>
      </c>
    </row>
    <row r="58" spans="2:5" ht="14.4" customHeight="1">
      <c r="B58" s="76" t="str">
        <f>B26</f>
        <v>Cross-system network use</v>
      </c>
      <c r="C58" s="77"/>
      <c r="D58" s="78">
        <f t="shared" ref="D58:E58" si="6">AVERAGE(D54:D55)</f>
        <v>11293316.503426366</v>
      </c>
      <c r="E58" s="78">
        <f t="shared" si="6"/>
        <v>11293316.503426366</v>
      </c>
    </row>
    <row r="59" spans="2:5" ht="14.4" customHeight="1">
      <c r="B59" s="76" t="str">
        <f>B27</f>
        <v>Intra-system network use</v>
      </c>
      <c r="C59" s="77"/>
      <c r="D59" s="78">
        <f t="shared" ref="D59:E59" si="7">AVERAGE(D56:D57)</f>
        <v>153206108.85746497</v>
      </c>
      <c r="E59" s="78">
        <f t="shared" si="7"/>
        <v>153206108.85746497</v>
      </c>
    </row>
    <row r="60" spans="2:5" ht="14.4" customHeight="1">
      <c r="D60" s="63">
        <f>AVERAGE(SUM('Entry Tariff_1'!D31:D35),SUM('Exit Tariff_1'!D199:D287))-SUM(D58:D59)</f>
        <v>0</v>
      </c>
      <c r="E60" s="63">
        <f>AVERAGE(SUM('Entry Tariff_1'!E31:E35),SUM('Exit Tariff_1'!E199:E287))-SUM(E58:E59)</f>
        <v>0</v>
      </c>
    </row>
    <row r="62" spans="2:5" ht="28.95" customHeight="1">
      <c r="B62" s="35" t="s">
        <v>251</v>
      </c>
      <c r="C62" s="35"/>
      <c r="D62" s="5"/>
      <c r="E62" s="5"/>
    </row>
    <row r="63" spans="2:5" ht="14.4" customHeight="1">
      <c r="B63" s="37" t="str">
        <f>B31</f>
        <v>Ratio between revenues and the cost driver.</v>
      </c>
      <c r="C63" s="37"/>
    </row>
    <row r="64" spans="2:5" ht="14.4" customHeight="1">
      <c r="B64" s="9" t="str">
        <f>B32</f>
        <v>Network use</v>
      </c>
      <c r="C64" s="72"/>
      <c r="D64" s="6"/>
      <c r="E64" s="6"/>
    </row>
    <row r="65" spans="2:7" ht="14.4" customHeight="1">
      <c r="B65" s="25"/>
      <c r="C65" s="73"/>
      <c r="D65" s="23" t="str">
        <f t="shared" ref="D65:E65" si="8">D33</f>
        <v>2025-26</v>
      </c>
      <c r="E65" s="23" t="str">
        <f t="shared" si="8"/>
        <v>2026-27</v>
      </c>
    </row>
    <row r="66" spans="2:7" ht="14.4" customHeight="1">
      <c r="B66" s="24"/>
      <c r="C66" s="31"/>
      <c r="D66" s="8"/>
      <c r="E66" s="8"/>
    </row>
    <row r="67" spans="2:7" ht="14.4" customHeight="1">
      <c r="B67" s="76" t="str">
        <f>B35</f>
        <v>Cross-system network use</v>
      </c>
      <c r="C67" s="77"/>
      <c r="D67" s="80">
        <f t="shared" ref="D67:E68" si="9">D11/D58</f>
        <v>0.97734641286166868</v>
      </c>
      <c r="E67" s="80">
        <f t="shared" si="9"/>
        <v>0.97734641286166868</v>
      </c>
    </row>
    <row r="68" spans="2:7" ht="14.4" customHeight="1">
      <c r="B68" s="76" t="str">
        <f>B36</f>
        <v>Intra-system network use</v>
      </c>
      <c r="C68" s="77"/>
      <c r="D68" s="80">
        <f t="shared" si="9"/>
        <v>0.38914894440205039</v>
      </c>
      <c r="E68" s="80">
        <f t="shared" si="9"/>
        <v>0.38914894440205039</v>
      </c>
    </row>
    <row r="71" spans="2:7" ht="28.95" customHeight="1">
      <c r="B71" s="35" t="s">
        <v>250</v>
      </c>
      <c r="C71" s="35"/>
      <c r="D71" s="5"/>
      <c r="E71" s="5"/>
    </row>
    <row r="72" spans="2:7" ht="14.4" customHeight="1">
      <c r="B72" s="37" t="str">
        <f>B40</f>
        <v>A positive result (+) implies that cross-system users are being subsidized.</v>
      </c>
      <c r="C72" s="37"/>
    </row>
    <row r="73" spans="2:7" ht="14.4" customHeight="1">
      <c r="B73" s="26"/>
      <c r="C73" s="27"/>
      <c r="D73" s="6"/>
      <c r="E73" s="6"/>
    </row>
    <row r="74" spans="2:7" ht="14.4" customHeight="1">
      <c r="B74" s="28"/>
      <c r="C74" s="29"/>
      <c r="D74" s="23" t="str">
        <f t="shared" ref="D74:E74" si="10">D42</f>
        <v>2025-26</v>
      </c>
      <c r="E74" s="23" t="str">
        <f t="shared" si="10"/>
        <v>2026-27</v>
      </c>
    </row>
    <row r="75" spans="2:7" ht="14.4" customHeight="1">
      <c r="B75" s="30"/>
      <c r="C75" s="31"/>
      <c r="D75" s="8"/>
      <c r="E75" s="8"/>
    </row>
    <row r="76" spans="2:7" ht="14.4" customHeight="1">
      <c r="B76" s="76" t="str">
        <f>B44</f>
        <v>Capacity cost allocation comparison index</v>
      </c>
      <c r="C76" s="77"/>
      <c r="D76" s="81">
        <f t="shared" ref="D76:E76" si="11">IF(D67="-",0,2*(D68-D67)/(D68+D67))</f>
        <v>-0.86088469358202502</v>
      </c>
      <c r="E76" s="81">
        <f t="shared" si="11"/>
        <v>-0.86088469358202502</v>
      </c>
    </row>
    <row r="79" spans="2:7" ht="28.95" customHeight="1">
      <c r="B79" s="32" t="s">
        <v>261</v>
      </c>
      <c r="C79" s="32"/>
      <c r="D79" s="5"/>
      <c r="E79" s="5"/>
      <c r="G79"/>
    </row>
    <row r="80" spans="2:7" ht="14.4" customHeight="1">
      <c r="G80"/>
    </row>
    <row r="81" spans="2:10" ht="28.95" customHeight="1">
      <c r="B81" s="35" t="s">
        <v>270</v>
      </c>
      <c r="C81" s="35"/>
      <c r="D81" s="5"/>
      <c r="E81" s="5"/>
      <c r="G81"/>
    </row>
    <row r="82" spans="2:10" ht="14.4" customHeight="1">
      <c r="B82" s="37"/>
      <c r="C82" s="37"/>
      <c r="G82"/>
    </row>
    <row r="83" spans="2:10" ht="14.4" customHeight="1">
      <c r="B83" s="26" t="s">
        <v>265</v>
      </c>
      <c r="C83" s="27"/>
      <c r="D83" s="6"/>
      <c r="E83" s="6"/>
    </row>
    <row r="84" spans="2:10" ht="14.4" customHeight="1">
      <c r="B84" s="28"/>
      <c r="C84" s="29"/>
      <c r="D84" s="23" t="str">
        <f>'Input data'!D$5</f>
        <v>2025-26</v>
      </c>
      <c r="E84" s="23" t="str">
        <f>'Input data'!E$5</f>
        <v>2026-27</v>
      </c>
    </row>
    <row r="85" spans="2:10" ht="14.4" customHeight="1">
      <c r="B85" s="30"/>
      <c r="C85" s="31"/>
      <c r="D85" s="8"/>
      <c r="E85" s="8"/>
    </row>
    <row r="86" spans="2:10" ht="14.4" customHeight="1">
      <c r="B86" s="74" t="str">
        <f t="shared" ref="B86:E86" si="12">B22</f>
        <v>Cross-system network use</v>
      </c>
      <c r="C86" s="36" t="str">
        <f t="shared" si="12"/>
        <v>Entry</v>
      </c>
      <c r="D86" s="38">
        <f t="shared" si="12"/>
        <v>78142994.060000002</v>
      </c>
      <c r="E86" s="38">
        <f t="shared" si="12"/>
        <v>78142994.060000002</v>
      </c>
      <c r="G86"/>
      <c r="H86"/>
      <c r="I86"/>
      <c r="J86"/>
    </row>
    <row r="87" spans="2:10" ht="14.4" customHeight="1">
      <c r="B87" s="75"/>
      <c r="C87" s="36" t="str">
        <f t="shared" ref="C87:E89" si="13">C23</f>
        <v>Exit</v>
      </c>
      <c r="D87" s="38">
        <f t="shared" si="13"/>
        <v>78142994.060000002</v>
      </c>
      <c r="E87" s="38">
        <f t="shared" si="13"/>
        <v>78142994.060000002</v>
      </c>
      <c r="G87"/>
      <c r="H87"/>
    </row>
    <row r="88" spans="2:10" ht="14.4" customHeight="1">
      <c r="B88" s="74" t="str">
        <f>B24</f>
        <v>Intra-system network use</v>
      </c>
      <c r="C88" s="36" t="str">
        <f t="shared" si="13"/>
        <v>Entry</v>
      </c>
      <c r="D88" s="38">
        <f t="shared" si="13"/>
        <v>131099426.14736924</v>
      </c>
      <c r="E88" s="38">
        <f t="shared" si="13"/>
        <v>131099426.14736924</v>
      </c>
    </row>
    <row r="89" spans="2:10" ht="14.4" customHeight="1">
      <c r="B89" s="75"/>
      <c r="C89" s="36" t="str">
        <f t="shared" si="13"/>
        <v>Exit</v>
      </c>
      <c r="D89" s="38">
        <f t="shared" si="13"/>
        <v>278427506.09727025</v>
      </c>
      <c r="E89" s="38">
        <f t="shared" si="13"/>
        <v>278427506.09727025</v>
      </c>
    </row>
    <row r="90" spans="2:10" ht="14.4" customHeight="1">
      <c r="D90" s="63">
        <f>SUM(D22:D25)-SUM(D86:D89)</f>
        <v>0</v>
      </c>
      <c r="E90" s="63">
        <f>SUM(E22:E25)-SUM(E86:E89)</f>
        <v>0</v>
      </c>
    </row>
    <row r="91" spans="2:10" ht="14.4" customHeight="1">
      <c r="B91" s="37"/>
      <c r="C91" s="37"/>
    </row>
    <row r="92" spans="2:10" ht="14.4" customHeight="1">
      <c r="B92" s="26" t="s">
        <v>272</v>
      </c>
      <c r="C92" s="27"/>
      <c r="D92" s="6"/>
      <c r="E92" s="6"/>
      <c r="G92"/>
    </row>
    <row r="93" spans="2:10" ht="14.4" customHeight="1">
      <c r="B93" s="82" t="s">
        <v>271</v>
      </c>
      <c r="C93" s="29"/>
      <c r="D93" s="23" t="str">
        <f>'Input data'!D$5</f>
        <v>2025-26</v>
      </c>
      <c r="E93" s="23" t="str">
        <f>'Input data'!E$5</f>
        <v>2026-27</v>
      </c>
      <c r="G93"/>
    </row>
    <row r="94" spans="2:10" ht="14.4" customHeight="1">
      <c r="B94" s="30"/>
      <c r="C94" s="31"/>
      <c r="D94" s="8"/>
      <c r="E94" s="8"/>
      <c r="G94"/>
    </row>
    <row r="95" spans="2:10" ht="14.4" customHeight="1">
      <c r="B95" s="74" t="str">
        <f>B22</f>
        <v>Cross-system network use</v>
      </c>
      <c r="C95" s="36" t="str">
        <f>C22</f>
        <v>Entry</v>
      </c>
      <c r="D95" s="56">
        <f t="shared" ref="D95:E95" si="14">D86/SUM(D86,D88)</f>
        <v>0.37345674926984956</v>
      </c>
      <c r="E95" s="56">
        <f t="shared" si="14"/>
        <v>0.37345674926984956</v>
      </c>
      <c r="G95"/>
    </row>
    <row r="96" spans="2:10" ht="14.4" customHeight="1">
      <c r="B96" s="75"/>
      <c r="C96" s="36" t="str">
        <f>C23</f>
        <v>Exit</v>
      </c>
      <c r="D96" s="56">
        <f t="shared" ref="D96:E96" si="15">D87/SUM(D87,D89)</f>
        <v>0.21915159561863357</v>
      </c>
      <c r="E96" s="56">
        <f t="shared" si="15"/>
        <v>0.21915159561863357</v>
      </c>
      <c r="G96"/>
    </row>
    <row r="97" spans="2:7" ht="14.4" customHeight="1">
      <c r="B97" s="74" t="str">
        <f>B24</f>
        <v>Intra-system network use</v>
      </c>
      <c r="C97" s="36" t="str">
        <f>C24</f>
        <v>Entry</v>
      </c>
      <c r="D97" s="56">
        <f t="shared" ref="D97:E97" si="16">D88/SUM(D86,D88)</f>
        <v>0.62654325073015038</v>
      </c>
      <c r="E97" s="56">
        <f t="shared" si="16"/>
        <v>0.62654325073015038</v>
      </c>
      <c r="G97"/>
    </row>
    <row r="98" spans="2:7" ht="14.4" customHeight="1">
      <c r="B98" s="75"/>
      <c r="C98" s="36" t="str">
        <f>C25</f>
        <v>Exit</v>
      </c>
      <c r="D98" s="56">
        <f t="shared" ref="D98:E98" si="17">D89/SUM(D87,D89)</f>
        <v>0.78084840438136649</v>
      </c>
      <c r="E98" s="56">
        <f t="shared" si="17"/>
        <v>0.78084840438136649</v>
      </c>
      <c r="G98"/>
    </row>
    <row r="99" spans="2:7" ht="14.4" customHeight="1">
      <c r="D99"/>
      <c r="E99"/>
      <c r="G99"/>
    </row>
    <row r="100" spans="2:7" ht="14.4" customHeight="1">
      <c r="G100"/>
    </row>
    <row r="101" spans="2:7" ht="14.4" customHeight="1">
      <c r="B101" s="26" t="s">
        <v>266</v>
      </c>
      <c r="C101" s="27"/>
      <c r="D101" s="6"/>
      <c r="E101" s="6"/>
    </row>
    <row r="102" spans="2:7" ht="14.4" customHeight="1">
      <c r="B102" s="28"/>
      <c r="C102" s="29"/>
      <c r="D102" s="23" t="str">
        <f>'Input data'!D$5</f>
        <v>2025-26</v>
      </c>
      <c r="E102" s="23" t="str">
        <f>'Input data'!E$5</f>
        <v>2026-27</v>
      </c>
    </row>
    <row r="103" spans="2:7" ht="14.4" customHeight="1">
      <c r="B103" s="30"/>
      <c r="C103" s="31"/>
      <c r="D103" s="8"/>
      <c r="E103" s="8"/>
    </row>
    <row r="104" spans="2:7" ht="14.4" customHeight="1">
      <c r="B104" s="74" t="str">
        <f>B95</f>
        <v>Cross-system network use</v>
      </c>
      <c r="C104" s="36" t="str">
        <f>C95</f>
        <v>Entry</v>
      </c>
      <c r="D104" s="55">
        <f>'A4a.CWD Entry Av. Distance'!D21</f>
        <v>335.12881055246402</v>
      </c>
      <c r="E104" s="55">
        <f>'A4a.CWD Entry Av. Distance'!E21</f>
        <v>335.12881055246402</v>
      </c>
    </row>
    <row r="105" spans="2:7" ht="14.4" customHeight="1">
      <c r="B105" s="75"/>
      <c r="C105" s="36" t="str">
        <f>C96</f>
        <v>Exit</v>
      </c>
      <c r="D105" s="55">
        <f>SUMPRODUCT('A4b.CWD Exit Av. Distance'!D7:D8,'A4b.CWD Exit Av. Distance'!D103:D104)/SUM('A4b.CWD Exit Av. Distance'!D7:D8)</f>
        <v>493.13460107655123</v>
      </c>
      <c r="E105" s="55">
        <f>SUMPRODUCT('A4b.CWD Exit Av. Distance'!E7:E8,'A4b.CWD Exit Av. Distance'!E103:E104)/SUM('A4b.CWD Exit Av. Distance'!E7:E8)</f>
        <v>493.13460107655123</v>
      </c>
    </row>
    <row r="106" spans="2:7" ht="14.4" customHeight="1">
      <c r="B106" s="74" t="str">
        <f>B97</f>
        <v>Intra-system network use</v>
      </c>
      <c r="C106" s="36" t="str">
        <f>C97</f>
        <v>Entry</v>
      </c>
      <c r="D106" s="55">
        <f>(SUMPRODUCT('A4a.CWD Entry Av. Distance'!D7:D11,'A4a.CWD Entry Av. Distance'!D19:D23)-D86*D104)/(SUM('A4a.CWD Entry Av. Distance'!D7:D11)-D86)</f>
        <v>328.52688203957211</v>
      </c>
      <c r="E106" s="55">
        <f>(SUMPRODUCT('A4a.CWD Entry Av. Distance'!E7:E11,'A4a.CWD Entry Av. Distance'!E19:E23)-E86*E104)/(SUM('A4a.CWD Entry Av. Distance'!E7:E11)-E86)</f>
        <v>328.52688203957211</v>
      </c>
    </row>
    <row r="107" spans="2:7" ht="14.4" customHeight="1">
      <c r="B107" s="75"/>
      <c r="C107" s="36" t="str">
        <f>C98</f>
        <v>Exit</v>
      </c>
      <c r="D107" s="55">
        <f>(SUMPRODUCT('A4b.CWD Exit Av. Distance'!D7:D95,'A4b.CWD Exit Av. Distance'!D103:D191)-D87*D105)/(SUM('A4b.CWD Exit Av. Distance'!D7:D95)-D87)</f>
        <v>287.80304162886449</v>
      </c>
      <c r="E107" s="55">
        <f>(SUMPRODUCT('A4b.CWD Exit Av. Distance'!E7:E95,'A4b.CWD Exit Av. Distance'!E103:E191)-E87*E105)/(SUM('A4b.CWD Exit Av. Distance'!E7:E95)-E87)</f>
        <v>287.80304162886449</v>
      </c>
    </row>
    <row r="108" spans="2:7" ht="14.4" customHeight="1">
      <c r="D108" s="63"/>
      <c r="E108" s="63"/>
    </row>
    <row r="110" spans="2:7" ht="14.4" customHeight="1">
      <c r="B110" s="26" t="s">
        <v>273</v>
      </c>
      <c r="C110" s="27"/>
      <c r="D110" s="6"/>
      <c r="E110" s="6"/>
    </row>
    <row r="111" spans="2:7" ht="14.4" customHeight="1">
      <c r="B111" s="28"/>
      <c r="C111" s="29"/>
      <c r="D111" s="23" t="str">
        <f>'Input data'!D$5</f>
        <v>2025-26</v>
      </c>
      <c r="E111" s="23" t="str">
        <f>'Input data'!E$5</f>
        <v>2026-27</v>
      </c>
    </row>
    <row r="112" spans="2:7" ht="14.4" customHeight="1">
      <c r="B112" s="30"/>
      <c r="C112" s="31"/>
      <c r="D112" s="8"/>
      <c r="E112" s="8"/>
    </row>
    <row r="113" spans="2:5" ht="14.4" customHeight="1">
      <c r="B113" s="83" t="str">
        <f>C7</f>
        <v>Entry</v>
      </c>
      <c r="C113" s="84"/>
      <c r="D113" s="54">
        <f>'Input data'!D190</f>
        <v>0.28000000000000003</v>
      </c>
      <c r="E113" s="54">
        <f>'Input data'!E190</f>
        <v>0.28000000000000003</v>
      </c>
    </row>
    <row r="114" spans="2:5" ht="14.4" customHeight="1">
      <c r="B114" s="83" t="str">
        <f>C8</f>
        <v>Exit</v>
      </c>
      <c r="C114" s="84"/>
      <c r="D114" s="54">
        <f>'Input data'!D191</f>
        <v>0.72</v>
      </c>
      <c r="E114" s="54">
        <f>'Input data'!E191</f>
        <v>0.72</v>
      </c>
    </row>
    <row r="117" spans="2:5" ht="14.4" customHeight="1">
      <c r="B117" s="26" t="str">
        <f>B92&amp;" x "&amp;B101&amp;" x "&amp;B110</f>
        <v>Forecasted capacity (%) x Average distance x E/X split</v>
      </c>
      <c r="C117" s="27"/>
      <c r="D117" s="6"/>
      <c r="E117" s="6"/>
    </row>
    <row r="118" spans="2:5" ht="14.4" customHeight="1">
      <c r="B118" s="28"/>
      <c r="C118" s="29"/>
      <c r="D118" s="23" t="str">
        <f>'Input data'!D$5</f>
        <v>2025-26</v>
      </c>
      <c r="E118" s="23" t="str">
        <f>'Input data'!E$5</f>
        <v>2026-27</v>
      </c>
    </row>
    <row r="119" spans="2:5" ht="14.4" customHeight="1">
      <c r="B119" s="30"/>
      <c r="C119" s="31"/>
      <c r="D119" s="8"/>
      <c r="E119" s="8"/>
    </row>
    <row r="120" spans="2:5" ht="14.4" customHeight="1">
      <c r="B120" s="74" t="str">
        <f>B104</f>
        <v>Cross-system network use</v>
      </c>
      <c r="C120" s="36" t="str">
        <f>C104</f>
        <v>Entry</v>
      </c>
      <c r="D120" s="38">
        <f t="shared" ref="D120:E120" si="18">D95*D104*D113</f>
        <v>35.043712529166456</v>
      </c>
      <c r="E120" s="38">
        <f t="shared" si="18"/>
        <v>35.043712529166456</v>
      </c>
    </row>
    <row r="121" spans="2:5" ht="14.4" customHeight="1">
      <c r="B121" s="75"/>
      <c r="C121" s="36" t="str">
        <f>C105</f>
        <v>Exit</v>
      </c>
      <c r="D121" s="38">
        <f t="shared" ref="D121:E121" si="19">D96*D105*D114</f>
        <v>77.81128897009286</v>
      </c>
      <c r="E121" s="38">
        <f t="shared" si="19"/>
        <v>77.81128897009286</v>
      </c>
    </row>
    <row r="122" spans="2:5" ht="14.4" customHeight="1">
      <c r="B122" s="74" t="str">
        <f>B106</f>
        <v>Intra-system network use</v>
      </c>
      <c r="C122" s="36" t="str">
        <f>C106</f>
        <v>Entry</v>
      </c>
      <c r="D122" s="38">
        <f t="shared" ref="D122:E122" si="20">D97*D106*D113</f>
        <v>57.634164175087975</v>
      </c>
      <c r="E122" s="38">
        <f t="shared" si="20"/>
        <v>57.634164175087975</v>
      </c>
    </row>
    <row r="123" spans="2:5" ht="14.4" customHeight="1">
      <c r="B123" s="75"/>
      <c r="C123" s="36" t="str">
        <f>C107</f>
        <v>Exit</v>
      </c>
      <c r="D123" s="38">
        <f t="shared" ref="D123:E123" si="21">D98*D107*D114</f>
        <v>161.80599299904205</v>
      </c>
      <c r="E123" s="38">
        <f t="shared" si="21"/>
        <v>161.80599299904205</v>
      </c>
    </row>
    <row r="124" spans="2:5" ht="14.4" customHeight="1">
      <c r="B124" s="76" t="str">
        <f>B120</f>
        <v>Cross-system network use</v>
      </c>
      <c r="C124" s="77"/>
      <c r="D124" s="78">
        <f t="shared" ref="D124:E124" si="22">SUM(D120:D121)</f>
        <v>112.85500149925932</v>
      </c>
      <c r="E124" s="78">
        <f t="shared" si="22"/>
        <v>112.85500149925932</v>
      </c>
    </row>
    <row r="125" spans="2:5" ht="14.4" customHeight="1">
      <c r="B125" s="76" t="str">
        <f>B122</f>
        <v>Intra-system network use</v>
      </c>
      <c r="C125" s="77"/>
      <c r="D125" s="78">
        <f t="shared" ref="D125:E125" si="23">SUM(D122:D123)</f>
        <v>219.44015717413004</v>
      </c>
      <c r="E125" s="78">
        <f t="shared" si="23"/>
        <v>219.44015717413004</v>
      </c>
    </row>
    <row r="126" spans="2:5" ht="14.4" customHeight="1">
      <c r="D126" s="63"/>
      <c r="E126" s="63"/>
    </row>
    <row r="128" spans="2:5" ht="28.95" customHeight="1">
      <c r="B128" s="35" t="s">
        <v>257</v>
      </c>
      <c r="C128" s="35"/>
      <c r="D128" s="5"/>
      <c r="E128" s="5"/>
    </row>
    <row r="129" spans="2:5" ht="14.4" customHeight="1">
      <c r="B129" s="37" t="s">
        <v>252</v>
      </c>
      <c r="C129" s="37"/>
    </row>
    <row r="130" spans="2:5" ht="14.4" customHeight="1">
      <c r="B130" s="26" t="str">
        <f>B64</f>
        <v>Network use</v>
      </c>
      <c r="C130" s="27"/>
      <c r="D130" s="6"/>
      <c r="E130" s="6"/>
    </row>
    <row r="131" spans="2:5" ht="14.4" customHeight="1">
      <c r="B131" s="28"/>
      <c r="C131" s="29"/>
      <c r="D131" s="23" t="str">
        <f>'Input data'!D$5</f>
        <v>2025-26</v>
      </c>
      <c r="E131" s="23" t="str">
        <f>'Input data'!E$5</f>
        <v>2026-27</v>
      </c>
    </row>
    <row r="132" spans="2:5" ht="14.4" customHeight="1">
      <c r="B132" s="30"/>
      <c r="C132" s="31"/>
      <c r="D132" s="8"/>
      <c r="E132" s="8"/>
    </row>
    <row r="133" spans="2:5" ht="14.4" customHeight="1">
      <c r="B133" s="76" t="str">
        <f>B124</f>
        <v>Cross-system network use</v>
      </c>
      <c r="C133" s="77"/>
      <c r="D133" s="79">
        <f t="shared" ref="D133:E134" si="24">D11/D124</f>
        <v>97802.332438121332</v>
      </c>
      <c r="E133" s="79">
        <f t="shared" si="24"/>
        <v>97802.332438121332</v>
      </c>
    </row>
    <row r="134" spans="2:5" ht="14.4" customHeight="1">
      <c r="B134" s="76" t="str">
        <f>B125</f>
        <v>Intra-system network use</v>
      </c>
      <c r="C134" s="77"/>
      <c r="D134" s="79">
        <f t="shared" si="24"/>
        <v>271691.36363003281</v>
      </c>
      <c r="E134" s="79">
        <f t="shared" si="24"/>
        <v>271691.36363003281</v>
      </c>
    </row>
    <row r="137" spans="2:5" ht="28.95" customHeight="1">
      <c r="B137" s="35" t="s">
        <v>258</v>
      </c>
      <c r="C137" s="35"/>
      <c r="D137" s="5"/>
      <c r="E137" s="5"/>
    </row>
    <row r="138" spans="2:5" ht="14.4" customHeight="1">
      <c r="B138" s="37" t="s">
        <v>247</v>
      </c>
      <c r="C138" s="37"/>
    </row>
    <row r="139" spans="2:5" ht="14.4" customHeight="1">
      <c r="B139" s="26"/>
      <c r="C139" s="27"/>
      <c r="D139" s="6"/>
      <c r="E139" s="6"/>
    </row>
    <row r="140" spans="2:5" ht="14.4" customHeight="1">
      <c r="B140" s="28"/>
      <c r="C140" s="29"/>
      <c r="D140" s="23" t="str">
        <f>'Input data'!D$5</f>
        <v>2025-26</v>
      </c>
      <c r="E140" s="23" t="str">
        <f>'Input data'!E$5</f>
        <v>2026-27</v>
      </c>
    </row>
    <row r="141" spans="2:5" ht="14.4" customHeight="1">
      <c r="B141" s="30"/>
      <c r="C141" s="31"/>
      <c r="D141" s="8"/>
      <c r="E141" s="8"/>
    </row>
    <row r="142" spans="2:5" ht="14.4" customHeight="1">
      <c r="B142" s="76" t="s">
        <v>246</v>
      </c>
      <c r="C142" s="77"/>
      <c r="D142" s="81">
        <f>IF(D133="-",0,2*(D134-D133)/(D134+D133))</f>
        <v>0.9412286761170463</v>
      </c>
      <c r="E142" s="81">
        <f>IF(E133="-",0,2*(E134-E133)/(E134+E133))</f>
        <v>0.9412286761170463</v>
      </c>
    </row>
    <row r="145" spans="2:5" ht="28.95" customHeight="1">
      <c r="B145" s="32" t="s">
        <v>267</v>
      </c>
      <c r="C145" s="32"/>
      <c r="D145" s="5"/>
      <c r="E145" s="5"/>
    </row>
    <row r="147" spans="2:5" ht="28.95" customHeight="1">
      <c r="B147" s="35" t="s">
        <v>274</v>
      </c>
      <c r="C147" s="35"/>
      <c r="D147" s="5"/>
      <c r="E147" s="5"/>
    </row>
    <row r="148" spans="2:5" ht="14.4" customHeight="1">
      <c r="B148" s="37"/>
      <c r="C148" s="37"/>
    </row>
    <row r="149" spans="2:5" ht="14.4" customHeight="1">
      <c r="B149" s="26" t="s">
        <v>268</v>
      </c>
      <c r="C149" s="27"/>
      <c r="D149" s="6"/>
      <c r="E149" s="6"/>
    </row>
    <row r="150" spans="2:5" ht="14.4" customHeight="1">
      <c r="B150" s="28"/>
      <c r="C150" s="29"/>
      <c r="D150" s="23" t="str">
        <f>'Input data'!D$5</f>
        <v>2025-26</v>
      </c>
      <c r="E150" s="23" t="str">
        <f>'Input data'!E$5</f>
        <v>2026-27</v>
      </c>
    </row>
    <row r="151" spans="2:5" ht="14.4" customHeight="1">
      <c r="B151" s="30"/>
      <c r="C151" s="31"/>
      <c r="D151" s="8"/>
      <c r="E151" s="8"/>
    </row>
    <row r="152" spans="2:5" ht="14.4" customHeight="1">
      <c r="B152" s="74" t="str">
        <f>B86</f>
        <v>Cross-system network use</v>
      </c>
      <c r="C152" s="36" t="str">
        <f t="shared" ref="C152:C155" si="25">C86</f>
        <v>Entry</v>
      </c>
      <c r="D152" s="38">
        <f t="shared" ref="D152:E152" si="26">D54</f>
        <v>11293316.503426366</v>
      </c>
      <c r="E152" s="38">
        <f t="shared" si="26"/>
        <v>11293316.503426366</v>
      </c>
    </row>
    <row r="153" spans="2:5" ht="14.4" customHeight="1">
      <c r="B153" s="75"/>
      <c r="C153" s="36" t="str">
        <f t="shared" si="25"/>
        <v>Exit</v>
      </c>
      <c r="D153" s="38">
        <f t="shared" ref="D153:E153" si="27">D55</f>
        <v>11293316.503426366</v>
      </c>
      <c r="E153" s="38">
        <f t="shared" si="27"/>
        <v>11293316.503426366</v>
      </c>
    </row>
    <row r="154" spans="2:5" ht="14.4" customHeight="1">
      <c r="B154" s="74" t="str">
        <f>B88</f>
        <v>Intra-system network use</v>
      </c>
      <c r="C154" s="36" t="str">
        <f t="shared" si="25"/>
        <v>Entry</v>
      </c>
      <c r="D154" s="38">
        <f t="shared" ref="D154:E154" si="28">D56</f>
        <v>175560730.04039803</v>
      </c>
      <c r="E154" s="38">
        <f t="shared" si="28"/>
        <v>175560730.04039803</v>
      </c>
    </row>
    <row r="155" spans="2:5" ht="14.4" customHeight="1">
      <c r="B155" s="75"/>
      <c r="C155" s="36" t="str">
        <f t="shared" si="25"/>
        <v>Exit</v>
      </c>
      <c r="D155" s="38">
        <f t="shared" ref="D155:E155" si="29">D57</f>
        <v>130851487.67453192</v>
      </c>
      <c r="E155" s="38">
        <f t="shared" si="29"/>
        <v>130851487.67453192</v>
      </c>
    </row>
    <row r="156" spans="2:5" ht="14.4" customHeight="1">
      <c r="D156" s="63">
        <f t="shared" ref="D156:E156" si="30">SUM(D54:D57)-SUM(D152:D155)</f>
        <v>0</v>
      </c>
      <c r="E156" s="63">
        <f t="shared" si="30"/>
        <v>0</v>
      </c>
    </row>
    <row r="157" spans="2:5" ht="14.4" customHeight="1">
      <c r="B157" s="37"/>
      <c r="C157" s="37"/>
    </row>
    <row r="158" spans="2:5" ht="14.4" customHeight="1">
      <c r="B158" s="26" t="s">
        <v>275</v>
      </c>
      <c r="C158" s="27"/>
      <c r="D158" s="6"/>
      <c r="E158" s="6"/>
    </row>
    <row r="159" spans="2:5" ht="14.4" customHeight="1">
      <c r="B159" s="82" t="s">
        <v>271</v>
      </c>
      <c r="C159" s="29"/>
      <c r="D159" s="23" t="str">
        <f>'Input data'!D$5</f>
        <v>2025-26</v>
      </c>
      <c r="E159" s="23" t="str">
        <f>'Input data'!E$5</f>
        <v>2026-27</v>
      </c>
    </row>
    <row r="160" spans="2:5" ht="14.4" customHeight="1">
      <c r="B160" s="30"/>
      <c r="C160" s="31"/>
      <c r="D160" s="8"/>
      <c r="E160" s="8"/>
    </row>
    <row r="161" spans="2:9" ht="14.4" customHeight="1">
      <c r="B161" s="74" t="str">
        <f>B152</f>
        <v>Cross-system network use</v>
      </c>
      <c r="C161" s="36" t="str">
        <f t="shared" ref="C161:C164" si="31">C152</f>
        <v>Entry</v>
      </c>
      <c r="D161" s="56">
        <f t="shared" ref="D161:E161" si="32">D152/SUM(D152,D154)</f>
        <v>6.0439239675645191E-2</v>
      </c>
      <c r="E161" s="56">
        <f t="shared" si="32"/>
        <v>6.0439239675645191E-2</v>
      </c>
    </row>
    <row r="162" spans="2:9" ht="14.4" customHeight="1">
      <c r="B162" s="75"/>
      <c r="C162" s="36" t="str">
        <f t="shared" si="31"/>
        <v>Exit</v>
      </c>
      <c r="D162" s="56">
        <f t="shared" ref="D162:E162" si="33">D153/SUM(D153,D155)</f>
        <v>7.9449379586802843E-2</v>
      </c>
      <c r="E162" s="56">
        <f t="shared" si="33"/>
        <v>7.9449379586802843E-2</v>
      </c>
    </row>
    <row r="163" spans="2:9" ht="14.4" customHeight="1">
      <c r="B163" s="74" t="str">
        <f>B154</f>
        <v>Intra-system network use</v>
      </c>
      <c r="C163" s="36" t="str">
        <f t="shared" si="31"/>
        <v>Entry</v>
      </c>
      <c r="D163" s="56">
        <f t="shared" ref="D163:E163" si="34">D154/SUM(D152,D154)</f>
        <v>0.93956076032435476</v>
      </c>
      <c r="E163" s="56">
        <f t="shared" si="34"/>
        <v>0.93956076032435476</v>
      </c>
    </row>
    <row r="164" spans="2:9" ht="14.4" customHeight="1">
      <c r="B164" s="75"/>
      <c r="C164" s="36" t="str">
        <f t="shared" si="31"/>
        <v>Exit</v>
      </c>
      <c r="D164" s="56">
        <f t="shared" ref="D164:E164" si="35">D155/SUM(D153,D155)</f>
        <v>0.92055062041319724</v>
      </c>
      <c r="E164" s="56">
        <f t="shared" si="35"/>
        <v>0.92055062041319724</v>
      </c>
    </row>
    <row r="165" spans="2:9" ht="14.4" customHeight="1">
      <c r="D165" s="63">
        <f t="shared" ref="D165:E165" si="36">ABS(SUM(D161,D163)-1)+ABS(SUM(D162,D164)-1)</f>
        <v>0</v>
      </c>
      <c r="E165" s="63">
        <f t="shared" si="36"/>
        <v>0</v>
      </c>
    </row>
    <row r="167" spans="2:9" ht="14.4" customHeight="1">
      <c r="B167" s="26" t="s">
        <v>266</v>
      </c>
      <c r="C167" s="27"/>
      <c r="D167" s="6"/>
      <c r="E167" s="6"/>
    </row>
    <row r="168" spans="2:9" ht="14.4" customHeight="1">
      <c r="B168" s="28"/>
      <c r="C168" s="29"/>
      <c r="D168" s="23" t="str">
        <f>'Input data'!D$5</f>
        <v>2025-26</v>
      </c>
      <c r="E168" s="23" t="str">
        <f>'Input data'!E$5</f>
        <v>2026-27</v>
      </c>
    </row>
    <row r="169" spans="2:9" ht="14.4" customHeight="1">
      <c r="B169" s="30"/>
      <c r="C169" s="31"/>
      <c r="D169" s="8"/>
      <c r="E169" s="8"/>
    </row>
    <row r="170" spans="2:9" ht="14.4" customHeight="1">
      <c r="B170" s="74" t="str">
        <f>B161</f>
        <v>Cross-system network use</v>
      </c>
      <c r="C170" s="36" t="str">
        <f>C161</f>
        <v>Entry</v>
      </c>
      <c r="D170" s="55">
        <f>'Entry Tariff_1'!D45</f>
        <v>709.73735265661117</v>
      </c>
      <c r="E170" s="55">
        <f>'Entry Tariff_1'!E45</f>
        <v>709.73735265661117</v>
      </c>
      <c r="G170"/>
      <c r="H170"/>
      <c r="I170"/>
    </row>
    <row r="171" spans="2:9" ht="14.4" customHeight="1">
      <c r="B171" s="75"/>
      <c r="C171" s="36" t="str">
        <f>C162</f>
        <v>Exit</v>
      </c>
      <c r="D171" s="55">
        <f>SUMPRODUCT('Exit Tariff_1'!D199:D200,'Exit Tariff_1'!D295:D296)/SUM('Exit Tariff_1'!D199:D200)</f>
        <v>501.28960592533281</v>
      </c>
      <c r="E171" s="55">
        <f>SUMPRODUCT('Exit Tariff_1'!E199:E200,'Exit Tariff_1'!E295:E296)/SUM('Exit Tariff_1'!E199:E200)</f>
        <v>501.28960592533281</v>
      </c>
      <c r="G171"/>
      <c r="H171"/>
      <c r="I171"/>
    </row>
    <row r="172" spans="2:9" ht="14.4" customHeight="1">
      <c r="B172" s="74" t="str">
        <f>B163</f>
        <v>Intra-system network use</v>
      </c>
      <c r="C172" s="36" t="str">
        <f>C163</f>
        <v>Entry</v>
      </c>
      <c r="D172" s="55">
        <f>(SUMPRODUCT('Entry Tariff_1'!D31:D35,'Entry Tariff_1'!D43:D47)-D152*D170)/(SUM('Entry Tariff_1'!D31:D35)-D152)</f>
        <v>712.18700959607713</v>
      </c>
      <c r="E172" s="55">
        <f>(SUMPRODUCT('Entry Tariff_1'!E31:E35,'Entry Tariff_1'!E43:E47)-E152*E170)/(SUM('Entry Tariff_1'!E31:E35)-E152)</f>
        <v>712.18700959607713</v>
      </c>
      <c r="G172"/>
      <c r="H172"/>
      <c r="I172"/>
    </row>
    <row r="173" spans="2:9" ht="14.4" customHeight="1">
      <c r="B173" s="75"/>
      <c r="C173" s="36" t="str">
        <f>C164</f>
        <v>Exit</v>
      </c>
      <c r="D173" s="55">
        <f>(SUMPRODUCT('Exit Tariff_1'!D199:D287,'Exit Tariff_1'!D295:D383)-D153*D171)/(SUM('Exit Tariff_1'!D199:D287)-D153)</f>
        <v>729.57106087887371</v>
      </c>
      <c r="E173" s="55">
        <f>(SUMPRODUCT('Exit Tariff_1'!E199:E287,'Exit Tariff_1'!E295:E383)-E153*E171)/(SUM('Exit Tariff_1'!E199:E287)-E153)</f>
        <v>729.57106087887371</v>
      </c>
      <c r="G173"/>
      <c r="H173"/>
      <c r="I173"/>
    </row>
    <row r="174" spans="2:9" ht="14.4" customHeight="1">
      <c r="D174"/>
      <c r="E174"/>
    </row>
    <row r="176" spans="2:9" ht="14.4" customHeight="1">
      <c r="B176" s="26" t="s">
        <v>273</v>
      </c>
      <c r="C176" s="27"/>
      <c r="D176" s="6"/>
      <c r="E176" s="6"/>
    </row>
    <row r="177" spans="2:5" ht="14.4" customHeight="1">
      <c r="B177" s="28"/>
      <c r="C177" s="29"/>
      <c r="D177" s="23" t="str">
        <f>'Input data'!D$5</f>
        <v>2025-26</v>
      </c>
      <c r="E177" s="23" t="str">
        <f>'Input data'!E$5</f>
        <v>2026-27</v>
      </c>
    </row>
    <row r="178" spans="2:5" ht="14.4" customHeight="1">
      <c r="B178" s="30"/>
      <c r="C178" s="31"/>
      <c r="D178" s="8"/>
      <c r="E178" s="8"/>
    </row>
    <row r="179" spans="2:5" ht="14.4" customHeight="1">
      <c r="B179" s="83" t="str">
        <f>C170</f>
        <v>Entry</v>
      </c>
      <c r="C179" s="84"/>
      <c r="D179" s="54">
        <f>'Input data'!D190</f>
        <v>0.28000000000000003</v>
      </c>
      <c r="E179" s="54">
        <f>'Input data'!E190</f>
        <v>0.28000000000000003</v>
      </c>
    </row>
    <row r="180" spans="2:5" ht="14.4" customHeight="1">
      <c r="B180" s="83" t="str">
        <f>C171</f>
        <v>Exit</v>
      </c>
      <c r="C180" s="84"/>
      <c r="D180" s="54">
        <f>'Input data'!D191</f>
        <v>0.72</v>
      </c>
      <c r="E180" s="54">
        <f>'Input data'!E191</f>
        <v>0.72</v>
      </c>
    </row>
    <row r="183" spans="2:5" ht="14.4" customHeight="1">
      <c r="B183" s="26" t="str">
        <f>B158&amp;" x "&amp;B167&amp;" x "&amp;B176</f>
        <v>Effective capacity (%) x Average distance x E/X split</v>
      </c>
      <c r="C183" s="27"/>
      <c r="D183" s="6"/>
      <c r="E183" s="6"/>
    </row>
    <row r="184" spans="2:5" ht="14.4" customHeight="1">
      <c r="B184" s="28"/>
      <c r="C184" s="29"/>
      <c r="D184" s="23" t="str">
        <f>'Input data'!D$5</f>
        <v>2025-26</v>
      </c>
      <c r="E184" s="23" t="str">
        <f>'Input data'!E$5</f>
        <v>2026-27</v>
      </c>
    </row>
    <row r="185" spans="2:5" ht="14.4" customHeight="1">
      <c r="B185" s="30"/>
      <c r="C185" s="31"/>
      <c r="D185" s="8"/>
      <c r="E185" s="8"/>
    </row>
    <row r="186" spans="2:5" ht="14.4" customHeight="1">
      <c r="B186" s="74" t="str">
        <f>B170</f>
        <v>Cross-system network use</v>
      </c>
      <c r="C186" s="36" t="str">
        <f>C170</f>
        <v>Entry</v>
      </c>
      <c r="D186" s="38">
        <f t="shared" ref="D186:E186" si="37">D161*D170*D179</f>
        <v>12.010876069911836</v>
      </c>
      <c r="E186" s="38">
        <f t="shared" si="37"/>
        <v>12.010876069911836</v>
      </c>
    </row>
    <row r="187" spans="2:5" ht="14.4" customHeight="1">
      <c r="B187" s="75"/>
      <c r="C187" s="36" t="str">
        <f>C171</f>
        <v>Exit</v>
      </c>
      <c r="D187" s="38">
        <f t="shared" ref="D187:E187" si="38">D162*D171*D180</f>
        <v>28.675546692538013</v>
      </c>
      <c r="E187" s="38">
        <f t="shared" si="38"/>
        <v>28.675546692538013</v>
      </c>
    </row>
    <row r="188" spans="2:5" ht="14.4" customHeight="1">
      <c r="B188" s="74" t="str">
        <f>B172</f>
        <v>Intra-system network use</v>
      </c>
      <c r="C188" s="36" t="str">
        <f>C172</f>
        <v>Entry</v>
      </c>
      <c r="D188" s="38">
        <f t="shared" ref="D188:E188" si="39">D163*D172*D179</f>
        <v>187.36003110418127</v>
      </c>
      <c r="E188" s="38">
        <f t="shared" si="39"/>
        <v>187.36003110418127</v>
      </c>
    </row>
    <row r="189" spans="2:5" ht="14.4" customHeight="1">
      <c r="B189" s="75"/>
      <c r="C189" s="36" t="str">
        <f>C173</f>
        <v>Exit</v>
      </c>
      <c r="D189" s="38">
        <f t="shared" ref="D189:E189" si="40">D164*D173*D180</f>
        <v>483.55710676384444</v>
      </c>
      <c r="E189" s="38">
        <f t="shared" si="40"/>
        <v>483.55710676384444</v>
      </c>
    </row>
    <row r="190" spans="2:5" ht="14.4" customHeight="1">
      <c r="B190" s="76" t="str">
        <f>B186</f>
        <v>Cross-system network use</v>
      </c>
      <c r="C190" s="77"/>
      <c r="D190" s="78">
        <f t="shared" ref="D190:E190" si="41">SUM(D186:D187)</f>
        <v>40.686422762449851</v>
      </c>
      <c r="E190" s="78">
        <f t="shared" si="41"/>
        <v>40.686422762449851</v>
      </c>
    </row>
    <row r="191" spans="2:5" ht="14.4" customHeight="1">
      <c r="B191" s="76" t="str">
        <f>B188</f>
        <v>Intra-system network use</v>
      </c>
      <c r="C191" s="77"/>
      <c r="D191" s="78">
        <f t="shared" ref="D191:E191" si="42">SUM(D188:D189)</f>
        <v>670.91713786802575</v>
      </c>
      <c r="E191" s="78">
        <f t="shared" si="42"/>
        <v>670.91713786802575</v>
      </c>
    </row>
    <row r="192" spans="2:5" ht="14.4" customHeight="1">
      <c r="D192"/>
      <c r="E192"/>
    </row>
    <row r="194" spans="2:5" ht="28.95" customHeight="1">
      <c r="B194" s="35" t="s">
        <v>259</v>
      </c>
      <c r="C194" s="35"/>
      <c r="D194" s="5"/>
      <c r="E194" s="5"/>
    </row>
    <row r="195" spans="2:5" ht="14.4" customHeight="1">
      <c r="B195" s="37" t="s">
        <v>252</v>
      </c>
      <c r="C195" s="37"/>
    </row>
    <row r="196" spans="2:5" ht="14.4" customHeight="1">
      <c r="B196" s="26" t="str">
        <f>B130</f>
        <v>Network use</v>
      </c>
      <c r="C196" s="27"/>
      <c r="D196" s="6"/>
      <c r="E196" s="6"/>
    </row>
    <row r="197" spans="2:5" ht="14.4" customHeight="1">
      <c r="B197" s="28"/>
      <c r="C197" s="29"/>
      <c r="D197" s="23" t="str">
        <f>'Input data'!D$5</f>
        <v>2025-26</v>
      </c>
      <c r="E197" s="23" t="str">
        <f>'Input data'!E$5</f>
        <v>2026-27</v>
      </c>
    </row>
    <row r="198" spans="2:5" ht="14.4" customHeight="1">
      <c r="B198" s="30"/>
      <c r="C198" s="31"/>
      <c r="D198" s="8"/>
      <c r="E198" s="8"/>
    </row>
    <row r="199" spans="2:5" ht="14.4" customHeight="1">
      <c r="B199" s="76" t="str">
        <f>B190</f>
        <v>Cross-system network use</v>
      </c>
      <c r="C199" s="77"/>
      <c r="D199" s="79">
        <f t="shared" ref="D199:E200" si="43">D11/D190</f>
        <v>271281.71081488911</v>
      </c>
      <c r="E199" s="79">
        <f t="shared" si="43"/>
        <v>271281.71081488911</v>
      </c>
    </row>
    <row r="200" spans="2:5" ht="14.4" customHeight="1">
      <c r="B200" s="76" t="str">
        <f>B191</f>
        <v>Intra-system network use</v>
      </c>
      <c r="C200" s="77"/>
      <c r="D200" s="79">
        <f t="shared" si="43"/>
        <v>88863.426156145986</v>
      </c>
      <c r="E200" s="79">
        <f t="shared" si="43"/>
        <v>88863.426156145986</v>
      </c>
    </row>
    <row r="203" spans="2:5" ht="28.95" customHeight="1">
      <c r="B203" s="35" t="s">
        <v>260</v>
      </c>
      <c r="C203" s="35"/>
      <c r="D203" s="5"/>
      <c r="E203" s="5"/>
    </row>
    <row r="204" spans="2:5" ht="14.4" customHeight="1">
      <c r="B204" s="37" t="s">
        <v>247</v>
      </c>
      <c r="C204" s="37"/>
    </row>
    <row r="205" spans="2:5" ht="14.4" customHeight="1">
      <c r="B205" s="26"/>
      <c r="C205" s="27"/>
      <c r="D205" s="6"/>
      <c r="E205" s="6"/>
    </row>
    <row r="206" spans="2:5" ht="14.4" customHeight="1">
      <c r="B206" s="28"/>
      <c r="C206" s="29"/>
      <c r="D206" s="23" t="str">
        <f>'Input data'!D$5</f>
        <v>2025-26</v>
      </c>
      <c r="E206" s="23" t="str">
        <f>'Input data'!E$5</f>
        <v>2026-27</v>
      </c>
    </row>
    <row r="207" spans="2:5" ht="14.4" customHeight="1">
      <c r="B207" s="30"/>
      <c r="C207" s="31"/>
      <c r="D207" s="8"/>
      <c r="E207" s="8"/>
    </row>
    <row r="208" spans="2:5" ht="14.4" customHeight="1">
      <c r="B208" s="76" t="s">
        <v>246</v>
      </c>
      <c r="C208" s="77"/>
      <c r="D208" s="81">
        <f>IF(D199="-",0,2*(D200-D199)/(D200+D199))</f>
        <v>-1.0130265047750138</v>
      </c>
      <c r="E208" s="81">
        <f>IF(E199="-",0,2*(E200-E199)/(E200+E199))</f>
        <v>-1.0130265047750138</v>
      </c>
    </row>
    <row r="211" spans="2:5" ht="28.95" customHeight="1">
      <c r="B211" s="32" t="s">
        <v>298</v>
      </c>
      <c r="C211" s="32"/>
      <c r="D211" s="5"/>
      <c r="E211" s="5"/>
    </row>
    <row r="213" spans="2:5" ht="28.95" customHeight="1">
      <c r="B213" s="35" t="s">
        <v>296</v>
      </c>
      <c r="C213" s="35"/>
      <c r="D213" s="5"/>
      <c r="E213" s="5"/>
    </row>
    <row r="214" spans="2:5" ht="14.4" customHeight="1">
      <c r="B214" s="37"/>
      <c r="C214" s="37"/>
    </row>
    <row r="215" spans="2:5" ht="14.4" customHeight="1">
      <c r="B215" s="26" t="str">
        <f>B19</f>
        <v>Forecasted capacity</v>
      </c>
      <c r="C215" s="27"/>
      <c r="D215" s="6"/>
      <c r="E215" s="6"/>
    </row>
    <row r="216" spans="2:5" ht="14.4" customHeight="1">
      <c r="B216" s="98" t="s">
        <v>299</v>
      </c>
      <c r="C216" s="29"/>
      <c r="D216" s="23" t="str">
        <f>'Input data'!D$5</f>
        <v>2025-26</v>
      </c>
      <c r="E216" s="23" t="str">
        <f>'Input data'!E$5</f>
        <v>2026-27</v>
      </c>
    </row>
    <row r="217" spans="2:5" ht="14.4" customHeight="1">
      <c r="B217" s="30"/>
      <c r="C217" s="31"/>
      <c r="D217" s="8"/>
      <c r="E217" s="8"/>
    </row>
    <row r="218" spans="2:5" ht="14.4" customHeight="1">
      <c r="B218" s="74" t="str">
        <f>B152</f>
        <v>Cross-system network use</v>
      </c>
      <c r="C218" s="36" t="str">
        <f t="shared" ref="C218:C221" si="44">C152</f>
        <v>Entry</v>
      </c>
      <c r="D218" s="38">
        <f>SUMPRODUCT('Exit Tariff_2'!D143:D147,'Input data'!D115:D119)+SUMPRODUCT('Exit Tariff_2'!D165:D166,'Input data'!D136:D137)</f>
        <v>78142994.060000002</v>
      </c>
      <c r="E218" s="38">
        <f>SUMPRODUCT('Exit Tariff_2'!E143:E147,'Input data'!E115:E119)+SUMPRODUCT('Exit Tariff_2'!E165:E166,'Input data'!E136:E137)</f>
        <v>78142994.060000002</v>
      </c>
    </row>
    <row r="219" spans="2:5" ht="14.4" customHeight="1">
      <c r="B219" s="75"/>
      <c r="C219" s="36" t="str">
        <f t="shared" si="44"/>
        <v>Exit</v>
      </c>
      <c r="D219" s="38">
        <f>SUMPRODUCT('Exit Tariff_2'!D143:D147,'Input data'!D115:D119)+SUMPRODUCT('Exit Tariff_2'!D165:D166,'Input data'!D136:D137)</f>
        <v>78142994.060000002</v>
      </c>
      <c r="E219" s="38">
        <f>SUMPRODUCT('Exit Tariff_2'!E143:E147,'Input data'!E115:E119)+SUMPRODUCT('Exit Tariff_2'!E165:E166,'Input data'!E136:E137)</f>
        <v>78142994.060000002</v>
      </c>
    </row>
    <row r="220" spans="2:5" ht="14.4" customHeight="1">
      <c r="B220" s="74" t="str">
        <f>B154</f>
        <v>Intra-system network use</v>
      </c>
      <c r="C220" s="36" t="str">
        <f t="shared" si="44"/>
        <v>Entry</v>
      </c>
      <c r="D220" s="38">
        <f>SUMPRODUCT('Input data'!D20:D32,'Input data'!D115:D127)+SUMPRODUCT('Input data'!D40:D41,'Input data'!D118:D119)+'Input data'!D42*'Input data'!D124+'Input data'!D43*'Input data'!D126-D218</f>
        <v>131099426.14736924</v>
      </c>
      <c r="E220" s="38">
        <f>SUMPRODUCT('Input data'!E20:E32,'Input data'!E115:E127)+SUMPRODUCT('Input data'!E40:E41,'Input data'!E118:E119)+'Input data'!E42*'Input data'!E124+'Input data'!E43*'Input data'!E126-E218</f>
        <v>131099426.14736924</v>
      </c>
    </row>
    <row r="221" spans="2:5" ht="14.4" customHeight="1">
      <c r="B221" s="75"/>
      <c r="C221" s="36" t="str">
        <f t="shared" si="44"/>
        <v>Exit</v>
      </c>
      <c r="D221" s="38">
        <f>SUMPRODUCT('Input data'!D65:D76,'Input data'!D133:D144)+SUM('Input data'!D77:D78)+SUMPRODUCT('Input data'!D79:D83,'Input data'!D145:D149)+SUMPRODUCT('Input data'!D91:D92,'Input data'!D136:D137)+SUMPRODUCT('Input data'!D93:D94,'Input data'!D141:D142)+'Input data'!D95*'Input data'!D144-D219</f>
        <v>278427506.09727025</v>
      </c>
      <c r="E221" s="38">
        <f>SUMPRODUCT('Input data'!E65:E76,'Input data'!E133:E144)+SUM('Input data'!E77:E78)+SUMPRODUCT('Input data'!E79:E83,'Input data'!E145:E149)+SUMPRODUCT('Input data'!E91:E92,'Input data'!E136:E137)+SUMPRODUCT('Input data'!E93:E94,'Input data'!E141:E142)+'Input data'!E95*'Input data'!E144-E219</f>
        <v>278427506.09727025</v>
      </c>
    </row>
    <row r="222" spans="2:5" ht="14.4" customHeight="1">
      <c r="D222" s="63">
        <f>SUM('Input capacity'!D7:D11,'Input capacity'!D19:D107)-SUM(D218:D221)</f>
        <v>0</v>
      </c>
      <c r="E222" s="63">
        <f>SUM('Input capacity'!E7:E11,'Input capacity'!E19:E107)-SUM(E218:E221)</f>
        <v>0</v>
      </c>
    </row>
    <row r="223" spans="2:5" ht="14.4" customHeight="1">
      <c r="B223" s="37"/>
      <c r="C223" s="37"/>
    </row>
    <row r="224" spans="2:5" ht="14.4" customHeight="1">
      <c r="B224" s="26" t="s">
        <v>297</v>
      </c>
      <c r="C224" s="27"/>
      <c r="D224" s="6"/>
      <c r="E224" s="6"/>
    </row>
    <row r="225" spans="2:5" ht="14.4" customHeight="1">
      <c r="B225" s="82"/>
      <c r="C225" s="29"/>
      <c r="D225" s="23" t="str">
        <f>'Input data'!D$5</f>
        <v>2025-26</v>
      </c>
      <c r="E225" s="23" t="str">
        <f>'Input data'!E$5</f>
        <v>2026-27</v>
      </c>
    </row>
    <row r="226" spans="2:5" ht="14.4" customHeight="1">
      <c r="B226" s="30"/>
      <c r="C226" s="31"/>
      <c r="D226" s="8"/>
      <c r="E226" s="8"/>
    </row>
    <row r="227" spans="2:5" ht="14.4" customHeight="1">
      <c r="B227" s="74" t="str">
        <f>B218</f>
        <v>Cross-system network use</v>
      </c>
      <c r="C227" s="36" t="str">
        <f t="shared" ref="C227:C230" si="45">C218</f>
        <v>Entry</v>
      </c>
      <c r="D227" s="56">
        <f>'Entry Tariff_1'!D57*D218/'Input capacity'!D9</f>
        <v>0.41128155964387991</v>
      </c>
      <c r="E227" s="56">
        <f>'Entry Tariff_1'!E57*E218/'Input capacity'!E9</f>
        <v>0.41128155964387991</v>
      </c>
    </row>
    <row r="228" spans="2:5" ht="14.4" customHeight="1">
      <c r="B228" s="75"/>
      <c r="C228" s="36" t="str">
        <f t="shared" si="45"/>
        <v>Exit</v>
      </c>
      <c r="D228" s="56">
        <f>SUM('Exit Tariff_1'!D391:D392)</f>
        <v>5.5981489073460247E-2</v>
      </c>
      <c r="E228" s="56">
        <f>SUM('Exit Tariff_1'!E391:E392)</f>
        <v>5.5981489073460247E-2</v>
      </c>
    </row>
    <row r="229" spans="2:5" ht="14.4" customHeight="1">
      <c r="B229" s="74" t="str">
        <f>B220</f>
        <v>Intra-system network use</v>
      </c>
      <c r="C229" s="36" t="str">
        <f t="shared" si="45"/>
        <v>Entry</v>
      </c>
      <c r="D229" s="56">
        <f t="shared" ref="D229:E229" si="46">1-D227</f>
        <v>0.58871844035612009</v>
      </c>
      <c r="E229" s="56">
        <f t="shared" si="46"/>
        <v>0.58871844035612009</v>
      </c>
    </row>
    <row r="230" spans="2:5" ht="14.4" customHeight="1">
      <c r="B230" s="75"/>
      <c r="C230" s="36" t="str">
        <f t="shared" si="45"/>
        <v>Exit</v>
      </c>
      <c r="D230" s="56">
        <f t="shared" ref="D230:E230" si="47">1-D228</f>
        <v>0.94401851092653977</v>
      </c>
      <c r="E230" s="56">
        <f t="shared" si="47"/>
        <v>0.94401851092653977</v>
      </c>
    </row>
    <row r="231" spans="2:5" ht="14.4" customHeight="1">
      <c r="D231" s="63">
        <f t="shared" ref="D231:E231" si="48">ABS(SUM(D227,D229)-1)+ABS(SUM(D228,D230)-1)</f>
        <v>0</v>
      </c>
      <c r="E231" s="63">
        <f t="shared" si="48"/>
        <v>0</v>
      </c>
    </row>
    <row r="233" spans="2:5" ht="14.4" customHeight="1">
      <c r="B233" s="26" t="s">
        <v>273</v>
      </c>
      <c r="C233" s="27"/>
      <c r="D233" s="6"/>
      <c r="E233" s="6"/>
    </row>
    <row r="234" spans="2:5" ht="14.4" customHeight="1">
      <c r="B234" s="28"/>
      <c r="C234" s="29"/>
      <c r="D234" s="23" t="str">
        <f>'Input data'!D$5</f>
        <v>2025-26</v>
      </c>
      <c r="E234" s="23" t="str">
        <f>'Input data'!E$5</f>
        <v>2026-27</v>
      </c>
    </row>
    <row r="235" spans="2:5" ht="14.4" customHeight="1">
      <c r="B235" s="30"/>
      <c r="C235" s="31"/>
      <c r="D235" s="8"/>
      <c r="E235" s="8"/>
    </row>
    <row r="236" spans="2:5" ht="14.4" customHeight="1">
      <c r="B236" s="83" t="str">
        <f>C229</f>
        <v>Entry</v>
      </c>
      <c r="C236" s="84"/>
      <c r="D236" s="54">
        <f>'Input data'!D190</f>
        <v>0.28000000000000003</v>
      </c>
      <c r="E236" s="54">
        <f>'Input data'!E190</f>
        <v>0.28000000000000003</v>
      </c>
    </row>
    <row r="237" spans="2:5" ht="14.4" customHeight="1">
      <c r="B237" s="83" t="str">
        <f>C230</f>
        <v>Exit</v>
      </c>
      <c r="C237" s="84"/>
      <c r="D237" s="54">
        <f>'Input data'!D191</f>
        <v>0.72</v>
      </c>
      <c r="E237" s="54">
        <f>'Input data'!E191</f>
        <v>0.72</v>
      </c>
    </row>
    <row r="240" spans="2:5" ht="14.4" customHeight="1">
      <c r="B240" s="26" t="str">
        <f>B224&amp;" x "&amp;B233</f>
        <v>Weight of cost (%) x E/X split</v>
      </c>
      <c r="C240" s="27"/>
      <c r="D240" s="6"/>
      <c r="E240" s="6"/>
    </row>
    <row r="241" spans="2:5" ht="14.4" customHeight="1">
      <c r="B241" s="28"/>
      <c r="C241" s="29"/>
      <c r="D241" s="23" t="str">
        <f>'Input data'!D$5</f>
        <v>2025-26</v>
      </c>
      <c r="E241" s="23" t="str">
        <f>'Input data'!E$5</f>
        <v>2026-27</v>
      </c>
    </row>
    <row r="242" spans="2:5" ht="14.4" customHeight="1">
      <c r="B242" s="30"/>
      <c r="C242" s="31"/>
      <c r="D242" s="8"/>
      <c r="E242" s="8"/>
    </row>
    <row r="243" spans="2:5" ht="14.4" customHeight="1">
      <c r="B243" s="74" t="str">
        <f>B227</f>
        <v>Cross-system network use</v>
      </c>
      <c r="C243" s="36" t="str">
        <f t="shared" ref="C243:C246" si="49">C227</f>
        <v>Entry</v>
      </c>
      <c r="D243" s="54">
        <f t="shared" ref="D243:E244" si="50">D227*D236</f>
        <v>0.11515883670028638</v>
      </c>
      <c r="E243" s="54">
        <f t="shared" si="50"/>
        <v>0.11515883670028638</v>
      </c>
    </row>
    <row r="244" spans="2:5" ht="14.4" customHeight="1">
      <c r="B244" s="75"/>
      <c r="C244" s="36" t="str">
        <f t="shared" si="49"/>
        <v>Exit</v>
      </c>
      <c r="D244" s="54">
        <f t="shared" si="50"/>
        <v>4.0306672132891373E-2</v>
      </c>
      <c r="E244" s="54">
        <f t="shared" si="50"/>
        <v>4.0306672132891373E-2</v>
      </c>
    </row>
    <row r="245" spans="2:5" ht="14.4" customHeight="1">
      <c r="B245" s="74" t="str">
        <f>B229</f>
        <v>Intra-system network use</v>
      </c>
      <c r="C245" s="36" t="str">
        <f t="shared" si="49"/>
        <v>Entry</v>
      </c>
      <c r="D245" s="54">
        <f t="shared" ref="D245:E246" si="51">D229*D236</f>
        <v>0.16484116329971363</v>
      </c>
      <c r="E245" s="54">
        <f t="shared" si="51"/>
        <v>0.16484116329971363</v>
      </c>
    </row>
    <row r="246" spans="2:5" ht="14.4" customHeight="1">
      <c r="B246" s="75"/>
      <c r="C246" s="36" t="str">
        <f t="shared" si="49"/>
        <v>Exit</v>
      </c>
      <c r="D246" s="54">
        <f t="shared" si="51"/>
        <v>0.67969332786710857</v>
      </c>
      <c r="E246" s="54">
        <f t="shared" si="51"/>
        <v>0.67969332786710857</v>
      </c>
    </row>
    <row r="247" spans="2:5" ht="14.4" customHeight="1">
      <c r="B247" s="76" t="str">
        <f>B243</f>
        <v>Cross-system network use</v>
      </c>
      <c r="C247" s="77"/>
      <c r="D247" s="97">
        <f t="shared" ref="D247:E247" si="52">SUM(D243:D244)</f>
        <v>0.15546550883317775</v>
      </c>
      <c r="E247" s="97">
        <f t="shared" si="52"/>
        <v>0.15546550883317775</v>
      </c>
    </row>
    <row r="248" spans="2:5" ht="14.4" customHeight="1">
      <c r="B248" s="76" t="str">
        <f>B245</f>
        <v>Intra-system network use</v>
      </c>
      <c r="C248" s="77"/>
      <c r="D248" s="97">
        <f t="shared" ref="D248:E248" si="53">SUM(D245:D246)</f>
        <v>0.84453449116682222</v>
      </c>
      <c r="E248" s="97">
        <f t="shared" si="53"/>
        <v>0.84453449116682222</v>
      </c>
    </row>
    <row r="249" spans="2:5" ht="14.4" customHeight="1">
      <c r="D249" s="63"/>
      <c r="E249" s="63"/>
    </row>
    <row r="251" spans="2:5" ht="28.95" customHeight="1">
      <c r="B251" s="35" t="s">
        <v>276</v>
      </c>
      <c r="C251" s="35"/>
      <c r="D251" s="5"/>
      <c r="E251" s="5"/>
    </row>
    <row r="252" spans="2:5" ht="14.4" customHeight="1">
      <c r="B252" s="37" t="s">
        <v>252</v>
      </c>
      <c r="C252" s="37"/>
    </row>
    <row r="253" spans="2:5" ht="14.4" customHeight="1">
      <c r="B253" s="26" t="str">
        <f>B196</f>
        <v>Network use</v>
      </c>
      <c r="C253" s="27"/>
      <c r="D253" s="6"/>
      <c r="E253" s="6"/>
    </row>
    <row r="254" spans="2:5" ht="14.4" customHeight="1">
      <c r="B254" s="28"/>
      <c r="C254" s="29"/>
      <c r="D254" s="23" t="str">
        <f>'Input data'!D$5</f>
        <v>2025-26</v>
      </c>
      <c r="E254" s="23" t="str">
        <f>'Input data'!E$5</f>
        <v>2026-27</v>
      </c>
    </row>
    <row r="255" spans="2:5" ht="14.4" customHeight="1">
      <c r="B255" s="30"/>
      <c r="C255" s="31"/>
      <c r="D255" s="8"/>
      <c r="E255" s="8"/>
    </row>
    <row r="256" spans="2:5" ht="14.4" customHeight="1">
      <c r="B256" s="76" t="str">
        <f>B247</f>
        <v>Cross-system network use</v>
      </c>
      <c r="C256" s="77"/>
      <c r="D256" s="78">
        <f t="shared" ref="D256:E257" si="54">D11/D247</f>
        <v>70996341.611559704</v>
      </c>
      <c r="E256" s="78">
        <f t="shared" si="54"/>
        <v>70996341.611559704</v>
      </c>
    </row>
    <row r="257" spans="2:5" ht="14.4" customHeight="1">
      <c r="B257" s="76" t="str">
        <f>B248</f>
        <v>Intra-system network use</v>
      </c>
      <c r="C257" s="77"/>
      <c r="D257" s="78">
        <f t="shared" si="54"/>
        <v>70595098.437550128</v>
      </c>
      <c r="E257" s="78">
        <f t="shared" si="54"/>
        <v>70595098.437550128</v>
      </c>
    </row>
    <row r="260" spans="2:5" ht="28.95" customHeight="1">
      <c r="B260" s="35" t="s">
        <v>277</v>
      </c>
      <c r="C260" s="35"/>
      <c r="D260" s="5"/>
      <c r="E260" s="5"/>
    </row>
    <row r="261" spans="2:5" ht="14.4" customHeight="1">
      <c r="B261" s="37" t="s">
        <v>247</v>
      </c>
      <c r="C261" s="37"/>
    </row>
    <row r="262" spans="2:5" ht="14.4" customHeight="1">
      <c r="B262" s="26"/>
      <c r="C262" s="27"/>
      <c r="D262" s="6"/>
      <c r="E262" s="6"/>
    </row>
    <row r="263" spans="2:5" ht="14.4" customHeight="1">
      <c r="B263" s="28"/>
      <c r="C263" s="29"/>
      <c r="D263" s="23" t="str">
        <f>'Input data'!D$5</f>
        <v>2025-26</v>
      </c>
      <c r="E263" s="23" t="str">
        <f>'Input data'!E$5</f>
        <v>2026-27</v>
      </c>
    </row>
    <row r="264" spans="2:5" ht="14.4" customHeight="1">
      <c r="B264" s="30"/>
      <c r="C264" s="31"/>
      <c r="D264" s="8"/>
      <c r="E264" s="8"/>
    </row>
    <row r="265" spans="2:5" ht="14.4" customHeight="1">
      <c r="B265" s="76" t="s">
        <v>246</v>
      </c>
      <c r="C265" s="77"/>
      <c r="D265" s="81">
        <f>IF(D256="-",0,2*(D257-D256)/(D257+D256))</f>
        <v>-5.6676190858770637E-3</v>
      </c>
      <c r="E265" s="81">
        <f>IF(E256="-",0,2*(E257-E256)/(E257+E256))</f>
        <v>-5.6676190858770637E-3</v>
      </c>
    </row>
  </sheetData>
  <conditionalFormatting sqref="D13:E13 D28:E28 D60:E60 D90:E90 D108:E108 D126:E126 D156:E156 D165:E165 D222:E222 D231:E231 D249:E249">
    <cfRule type="cellIs" dxfId="2" priority="73" operator="equal">
      <formula>0</formula>
    </cfRule>
    <cfRule type="cellIs" dxfId="1" priority="74" operator="lessThan">
      <formula>0</formula>
    </cfRule>
    <cfRule type="cellIs" dxfId="0" priority="75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9743-3C9D-4DC9-A4EE-9E9A1D093962}">
  <sheetPr>
    <tabColor theme="6"/>
  </sheetPr>
  <dimension ref="B2:F11"/>
  <sheetViews>
    <sheetView showGridLines="0" workbookViewId="0">
      <selection sqref="A1:A1048576"/>
    </sheetView>
  </sheetViews>
  <sheetFormatPr defaultColWidth="8.88671875" defaultRowHeight="14.4"/>
  <cols>
    <col min="1" max="1" width="8.88671875" style="1"/>
    <col min="2" max="2" width="23.5546875" style="1" customWidth="1"/>
    <col min="3" max="3" width="48.44140625" style="1" customWidth="1"/>
    <col min="4" max="4" width="2.33203125" style="1" customWidth="1"/>
    <col min="5" max="5" width="12.109375" style="1" bestFit="1" customWidth="1"/>
    <col min="6" max="6" width="10" style="1" customWidth="1"/>
    <col min="7" max="16384" width="8.88671875" style="1"/>
  </cols>
  <sheetData>
    <row r="2" spans="2:6" ht="15" thickBot="1"/>
    <row r="3" spans="2:6" ht="15" thickBot="1">
      <c r="B3" s="227" t="s">
        <v>653</v>
      </c>
      <c r="C3" s="228" t="s">
        <v>648</v>
      </c>
      <c r="D3" s="229"/>
      <c r="E3" s="230" t="s">
        <v>803</v>
      </c>
      <c r="F3" s="231"/>
    </row>
    <row r="4" spans="2:6" ht="15" thickBot="1">
      <c r="B4" s="232" t="s">
        <v>654</v>
      </c>
      <c r="C4" s="233" t="s">
        <v>655</v>
      </c>
      <c r="D4" s="234"/>
      <c r="E4" s="235"/>
      <c r="F4" s="236">
        <f>'Input data'!D7/1000</f>
        <v>70657.477911763373</v>
      </c>
    </row>
    <row r="5" spans="2:6" ht="29.4" thickBot="1">
      <c r="B5" s="232" t="s">
        <v>656</v>
      </c>
      <c r="C5" s="233" t="s">
        <v>657</v>
      </c>
      <c r="D5" s="234"/>
      <c r="E5" s="235"/>
      <c r="F5" s="236">
        <f>+F4</f>
        <v>70657.477911763373</v>
      </c>
    </row>
    <row r="6" spans="2:6">
      <c r="B6" s="237" t="s">
        <v>658</v>
      </c>
      <c r="C6" s="238" t="s">
        <v>659</v>
      </c>
      <c r="D6" s="239"/>
      <c r="E6" s="240" t="s">
        <v>660</v>
      </c>
      <c r="F6" s="241">
        <v>1</v>
      </c>
    </row>
    <row r="7" spans="2:6" ht="15" thickBot="1">
      <c r="B7" s="242"/>
      <c r="C7" s="243"/>
      <c r="D7" s="244"/>
      <c r="E7" s="245" t="s">
        <v>661</v>
      </c>
      <c r="F7" s="246">
        <v>0</v>
      </c>
    </row>
    <row r="8" spans="2:6">
      <c r="B8" s="237" t="s">
        <v>662</v>
      </c>
      <c r="C8" s="321" t="s">
        <v>663</v>
      </c>
      <c r="D8" s="247"/>
      <c r="E8" s="240" t="s">
        <v>664</v>
      </c>
      <c r="F8" s="248">
        <f>'Input data'!D190</f>
        <v>0.28000000000000003</v>
      </c>
    </row>
    <row r="9" spans="2:6" ht="15" thickBot="1">
      <c r="B9" s="242"/>
      <c r="C9" s="322"/>
      <c r="D9" s="249"/>
      <c r="E9" s="245" t="s">
        <v>665</v>
      </c>
      <c r="F9" s="250">
        <f>1-F8</f>
        <v>0.72</v>
      </c>
    </row>
    <row r="10" spans="2:6" ht="28.8">
      <c r="B10" s="237" t="s">
        <v>666</v>
      </c>
      <c r="C10" s="321" t="s">
        <v>667</v>
      </c>
      <c r="D10" s="247"/>
      <c r="E10" s="240" t="s">
        <v>668</v>
      </c>
      <c r="F10" s="251">
        <f>CAA!D12/SUM(CAA!D11:D12)</f>
        <v>0.84378889963042858</v>
      </c>
    </row>
    <row r="11" spans="2:6" ht="29.4" thickBot="1">
      <c r="B11" s="197"/>
      <c r="C11" s="322"/>
      <c r="D11" s="249"/>
      <c r="E11" s="245" t="s">
        <v>669</v>
      </c>
      <c r="F11" s="252">
        <f>1-F10</f>
        <v>0.15621110036957142</v>
      </c>
    </row>
  </sheetData>
  <mergeCells count="2">
    <mergeCell ref="C8:C9"/>
    <mergeCell ref="C10:C11"/>
  </mergeCells>
  <pageMargins left="0.7" right="0.7" top="0.75" bottom="0.75" header="0.3" footer="0.3"/>
  <pageSetup paperSize="9" orientation="portrait" r:id="rId1"/>
  <ignoredErrors>
    <ignoredError sqref="F10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8AD9-3968-41CB-9266-4DB2EC1BAD52}">
  <sheetPr>
    <tabColor theme="6"/>
  </sheetPr>
  <dimension ref="B1:Z56"/>
  <sheetViews>
    <sheetView showGridLines="0" topLeftCell="E6" zoomScaleNormal="100" workbookViewId="0">
      <selection sqref="A1:A1048576"/>
    </sheetView>
  </sheetViews>
  <sheetFormatPr defaultColWidth="0" defaultRowHeight="14.4" zeroHeight="1"/>
  <cols>
    <col min="1" max="1" width="9.109375" style="1" customWidth="1"/>
    <col min="2" max="2" width="43.109375" style="1" bestFit="1" customWidth="1"/>
    <col min="3" max="3" width="10.88671875" style="1" bestFit="1" customWidth="1"/>
    <col min="4" max="4" width="9.88671875" style="1" bestFit="1" customWidth="1"/>
    <col min="5" max="5" width="9.109375" style="1" customWidth="1"/>
    <col min="6" max="6" width="8.33203125" style="1" customWidth="1"/>
    <col min="7" max="7" width="32.6640625" style="1" customWidth="1"/>
    <col min="8" max="8" width="57.6640625" style="1" bestFit="1" customWidth="1"/>
    <col min="9" max="9" width="10.88671875" style="1" bestFit="1" customWidth="1"/>
    <col min="10" max="10" width="2.6640625" style="1" customWidth="1"/>
    <col min="11" max="11" width="9.33203125" style="1" customWidth="1"/>
    <col min="12" max="12" width="11.33203125" style="1" customWidth="1"/>
    <col min="13" max="13" width="12.44140625" style="1" customWidth="1"/>
    <col min="14" max="26" width="12.44140625" style="1" hidden="1" customWidth="1"/>
    <col min="27" max="35" width="0" style="1" hidden="1" customWidth="1"/>
    <col min="36" max="16384" width="0" style="1" hidden="1"/>
  </cols>
  <sheetData>
    <row r="1" spans="2:12"/>
    <row r="2" spans="2:12">
      <c r="B2" s="253" t="s">
        <v>670</v>
      </c>
    </row>
    <row r="3" spans="2:12">
      <c r="B3" s="254"/>
      <c r="C3" s="255" t="str">
        <f>+Input!C10</f>
        <v>Entry</v>
      </c>
      <c r="D3" s="256" t="str">
        <f>+Input!C23</f>
        <v>Exit</v>
      </c>
    </row>
    <row r="4" spans="2:12">
      <c r="B4" s="257" t="str">
        <f>+Labels!B54</f>
        <v>Interconnection point (Campo Maior)</v>
      </c>
      <c r="C4" s="258">
        <f>'Input data'!$D$258</f>
        <v>134</v>
      </c>
      <c r="D4" s="258">
        <f>'Input data'!$D$260</f>
        <v>55</v>
      </c>
    </row>
    <row r="5" spans="2:12">
      <c r="B5" s="131" t="str">
        <f>+Labels!B55</f>
        <v>Interconnection point (Valença do Minho)</v>
      </c>
      <c r="C5" s="259">
        <f>'Input data'!$D$259</f>
        <v>10</v>
      </c>
      <c r="D5" s="259">
        <f>'Input data'!$D$261</f>
        <v>25</v>
      </c>
    </row>
    <row r="6" spans="2:12">
      <c r="B6" s="131" t="str">
        <f>+Labels!B56</f>
        <v>LNG terminal</v>
      </c>
      <c r="C6" s="259">
        <f>'Input data'!$D$241</f>
        <v>200</v>
      </c>
      <c r="D6" s="259">
        <f>'Input data'!$D$250</f>
        <v>5</v>
      </c>
    </row>
    <row r="7" spans="2:12">
      <c r="B7" s="131" t="str">
        <f>+Labels!B57</f>
        <v>Underground Storage</v>
      </c>
      <c r="C7" s="259">
        <f>'Input data'!$D$242</f>
        <v>85.68</v>
      </c>
      <c r="D7" s="259">
        <f>'Input data'!$D$251</f>
        <v>24</v>
      </c>
    </row>
    <row r="8" spans="2:12">
      <c r="B8" s="131" t="str">
        <f>+Labels!B30</f>
        <v>Gas producers</v>
      </c>
      <c r="C8" s="260" t="s">
        <v>671</v>
      </c>
      <c r="D8" s="260" t="s">
        <v>671</v>
      </c>
    </row>
    <row r="9" spans="2:12" ht="15" thickBot="1">
      <c r="F9" s="253" t="s">
        <v>672</v>
      </c>
    </row>
    <row r="10" spans="2:12" ht="15" thickBot="1">
      <c r="C10"/>
      <c r="D10"/>
      <c r="G10" s="261" t="str">
        <f>+Labels!B23</f>
        <v>Point</v>
      </c>
      <c r="H10" s="262" t="str">
        <f>+Labels!B24</f>
        <v>Product</v>
      </c>
      <c r="I10" s="263" t="str">
        <f>'Input data'!D238</f>
        <v>2025-26</v>
      </c>
      <c r="K10" s="264" t="str">
        <f>+Input!J9</f>
        <v>Unit</v>
      </c>
      <c r="L10" s="264" t="str">
        <f>+Labels!B58</f>
        <v>Type</v>
      </c>
    </row>
    <row r="11" spans="2:12">
      <c r="C11"/>
      <c r="D11"/>
      <c r="F11" s="265" t="str">
        <f>+Labels!B25</f>
        <v>Entry</v>
      </c>
      <c r="G11" s="183" t="str">
        <f>+Labels!B27</f>
        <v>VIP Iberico</v>
      </c>
      <c r="H11" s="184" t="str">
        <f>+Labels!B33</f>
        <v>Yearly</v>
      </c>
      <c r="I11" s="266">
        <f>'Input data'!D20</f>
        <v>8676558</v>
      </c>
      <c r="K11" s="188" t="str">
        <f>Labels!$B$47</f>
        <v>kWh/day</v>
      </c>
      <c r="L11" s="188" t="str">
        <f>+Labels!B59</f>
        <v>Contracted</v>
      </c>
    </row>
    <row r="12" spans="2:12">
      <c r="C12"/>
      <c r="D12"/>
      <c r="F12" s="267"/>
      <c r="G12" s="190"/>
      <c r="H12" s="191" t="str">
        <f>+Labels!B34</f>
        <v>Quarterly</v>
      </c>
      <c r="I12" s="268">
        <f>'Input data'!D21</f>
        <v>1596384</v>
      </c>
      <c r="K12" s="194" t="str">
        <f>Labels!$B$47</f>
        <v>kWh/day</v>
      </c>
      <c r="L12" s="194" t="str">
        <f>+$L$11</f>
        <v>Contracted</v>
      </c>
    </row>
    <row r="13" spans="2:12">
      <c r="C13"/>
      <c r="D13"/>
      <c r="F13" s="267"/>
      <c r="G13" s="190"/>
      <c r="H13" s="191" t="str">
        <f>+Labels!B35</f>
        <v>Monthly</v>
      </c>
      <c r="I13" s="268">
        <f>'Input data'!D22</f>
        <v>2512022</v>
      </c>
      <c r="K13" s="194" t="str">
        <f>Labels!$B$47</f>
        <v>kWh/day</v>
      </c>
      <c r="L13" s="194" t="str">
        <f t="shared" ref="L13:L35" si="0">+$L$11</f>
        <v>Contracted</v>
      </c>
    </row>
    <row r="14" spans="2:12">
      <c r="C14"/>
      <c r="D14"/>
      <c r="F14" s="267"/>
      <c r="G14" s="190"/>
      <c r="H14" s="191" t="str">
        <f>+Labels!B36</f>
        <v>Daily</v>
      </c>
      <c r="I14" s="268">
        <f>'Input data'!D23</f>
        <v>2568168.3524590163</v>
      </c>
      <c r="K14" s="194" t="str">
        <f>Labels!$B$47</f>
        <v>kWh/day</v>
      </c>
      <c r="L14" s="194" t="str">
        <f t="shared" si="0"/>
        <v>Contracted</v>
      </c>
    </row>
    <row r="15" spans="2:12" ht="15" thickBot="1">
      <c r="F15" s="267"/>
      <c r="G15" s="197"/>
      <c r="H15" s="198" t="str">
        <f>+Labels!B37</f>
        <v>Intraday</v>
      </c>
      <c r="I15" s="269">
        <f>'Input data'!D24</f>
        <v>390410.33879781421</v>
      </c>
      <c r="K15" s="201" t="str">
        <f>Labels!$B$47</f>
        <v>kWh/day</v>
      </c>
      <c r="L15" s="201" t="str">
        <f t="shared" si="0"/>
        <v>Contracted</v>
      </c>
    </row>
    <row r="16" spans="2:12">
      <c r="F16" s="267"/>
      <c r="G16" s="183" t="str">
        <f>+Labels!B28</f>
        <v>LNG terminal</v>
      </c>
      <c r="H16" s="184" t="str">
        <f>+H11</f>
        <v>Yearly</v>
      </c>
      <c r="I16" s="266">
        <f>'Input data'!D25</f>
        <v>182000000</v>
      </c>
      <c r="K16" s="188" t="str">
        <f>Labels!$B$47</f>
        <v>kWh/day</v>
      </c>
      <c r="L16" s="202" t="str">
        <f t="shared" si="0"/>
        <v>Contracted</v>
      </c>
    </row>
    <row r="17" spans="6:12">
      <c r="F17" s="267"/>
      <c r="G17" s="190"/>
      <c r="H17" s="191" t="str">
        <f t="shared" ref="H17:H20" si="1">+H12</f>
        <v>Quarterly</v>
      </c>
      <c r="I17" s="268">
        <f>'Input data'!D26</f>
        <v>0</v>
      </c>
      <c r="K17" s="194" t="str">
        <f>Labels!$B$47</f>
        <v>kWh/day</v>
      </c>
      <c r="L17" s="194" t="str">
        <f t="shared" si="0"/>
        <v>Contracted</v>
      </c>
    </row>
    <row r="18" spans="6:12">
      <c r="F18" s="267"/>
      <c r="G18" s="190"/>
      <c r="H18" s="191" t="str">
        <f t="shared" si="1"/>
        <v>Monthly</v>
      </c>
      <c r="I18" s="268">
        <f>'Input data'!D27</f>
        <v>0</v>
      </c>
      <c r="K18" s="194" t="str">
        <f>Labels!$B$47</f>
        <v>kWh/day</v>
      </c>
      <c r="L18" s="194" t="str">
        <f t="shared" si="0"/>
        <v>Contracted</v>
      </c>
    </row>
    <row r="19" spans="6:12">
      <c r="F19" s="267"/>
      <c r="G19" s="190"/>
      <c r="H19" s="191" t="str">
        <f t="shared" si="1"/>
        <v>Daily</v>
      </c>
      <c r="I19" s="268">
        <f>'Input data'!D28</f>
        <v>16422.295081967215</v>
      </c>
      <c r="K19" s="194" t="str">
        <f>Labels!$B$47</f>
        <v>kWh/day</v>
      </c>
      <c r="L19" s="194" t="str">
        <f t="shared" si="0"/>
        <v>Contracted</v>
      </c>
    </row>
    <row r="20" spans="6:12" ht="15" thickBot="1">
      <c r="F20" s="267"/>
      <c r="G20" s="197"/>
      <c r="H20" s="198" t="str">
        <f t="shared" si="1"/>
        <v>Intraday</v>
      </c>
      <c r="I20" s="269">
        <f>'Input data'!D29</f>
        <v>180266.40163934426</v>
      </c>
      <c r="K20" s="201" t="str">
        <f>Labels!$B$47</f>
        <v>kWh/day</v>
      </c>
      <c r="L20" s="201" t="str">
        <f t="shared" si="0"/>
        <v>Contracted</v>
      </c>
    </row>
    <row r="21" spans="6:12">
      <c r="F21" s="267"/>
      <c r="G21" s="183" t="str">
        <f>+Labels!B29</f>
        <v>Underground Storage</v>
      </c>
      <c r="H21" s="184" t="str">
        <f>+H14</f>
        <v>Daily</v>
      </c>
      <c r="I21" s="266">
        <f>'Input data'!D30</f>
        <v>4951057.1361363269</v>
      </c>
      <c r="K21" s="202" t="str">
        <f>Labels!$B$47</f>
        <v>kWh/day</v>
      </c>
      <c r="L21" s="202" t="str">
        <f t="shared" si="0"/>
        <v>Contracted</v>
      </c>
    </row>
    <row r="22" spans="6:12" ht="15" thickBot="1">
      <c r="F22" s="270"/>
      <c r="G22" s="197"/>
      <c r="H22" s="198" t="str">
        <f>+H15</f>
        <v>Intraday</v>
      </c>
      <c r="I22" s="269">
        <f>'Input data'!D31</f>
        <v>1918358.1253384296</v>
      </c>
      <c r="K22" s="201" t="str">
        <f>Labels!$B$47</f>
        <v>kWh/day</v>
      </c>
      <c r="L22" s="201" t="str">
        <f t="shared" si="0"/>
        <v>Contracted</v>
      </c>
    </row>
    <row r="23" spans="6:12" ht="15" thickBot="1">
      <c r="F23" s="271"/>
      <c r="G23" s="190" t="str">
        <f>+Labels!B30</f>
        <v>Gas producers</v>
      </c>
      <c r="H23" s="205" t="str">
        <f>+Labels!B38</f>
        <v>Used capacity at injection</v>
      </c>
      <c r="I23" s="272">
        <f>'Input data'!D32</f>
        <v>1</v>
      </c>
      <c r="K23" s="208" t="str">
        <f>Labels!$B$47</f>
        <v>kWh/day</v>
      </c>
      <c r="L23" s="208" t="str">
        <f>+Labels!B60</f>
        <v>Used</v>
      </c>
    </row>
    <row r="24" spans="6:12">
      <c r="F24" s="265" t="str">
        <f>+Labels!B26</f>
        <v>Exit</v>
      </c>
      <c r="G24" s="183" t="str">
        <f>+G11</f>
        <v>VIP Iberico</v>
      </c>
      <c r="H24" s="184" t="str">
        <f>+H11</f>
        <v>Yearly</v>
      </c>
      <c r="I24" s="266">
        <f>'Input data'!D65</f>
        <v>0</v>
      </c>
      <c r="K24" s="202" t="str">
        <f>Labels!$B$47</f>
        <v>kWh/day</v>
      </c>
      <c r="L24" s="202" t="str">
        <f t="shared" si="0"/>
        <v>Contracted</v>
      </c>
    </row>
    <row r="25" spans="6:12">
      <c r="F25" s="270"/>
      <c r="G25" s="190"/>
      <c r="H25" s="191" t="str">
        <f t="shared" ref="H25:H35" si="2">+H12</f>
        <v>Quarterly</v>
      </c>
      <c r="I25" s="268">
        <f>'Input data'!D66</f>
        <v>0</v>
      </c>
      <c r="K25" s="194" t="str">
        <f>Labels!$B$47</f>
        <v>kWh/day</v>
      </c>
      <c r="L25" s="194" t="str">
        <f t="shared" si="0"/>
        <v>Contracted</v>
      </c>
    </row>
    <row r="26" spans="6:12">
      <c r="F26" s="270"/>
      <c r="G26" s="190"/>
      <c r="H26" s="191" t="str">
        <f t="shared" si="2"/>
        <v>Monthly</v>
      </c>
      <c r="I26" s="268">
        <f>'Input data'!D67</f>
        <v>13013032</v>
      </c>
      <c r="K26" s="194" t="str">
        <f>Labels!$B$47</f>
        <v>kWh/day</v>
      </c>
      <c r="L26" s="194" t="str">
        <f t="shared" si="0"/>
        <v>Contracted</v>
      </c>
    </row>
    <row r="27" spans="6:12">
      <c r="F27" s="270"/>
      <c r="G27" s="190"/>
      <c r="H27" s="191" t="str">
        <f t="shared" si="2"/>
        <v>Daily</v>
      </c>
      <c r="I27" s="268">
        <f>'Input data'!D68</f>
        <v>31102189</v>
      </c>
      <c r="K27" s="194" t="str">
        <f>Labels!$B$47</f>
        <v>kWh/day</v>
      </c>
      <c r="L27" s="194" t="str">
        <f t="shared" si="0"/>
        <v>Contracted</v>
      </c>
    </row>
    <row r="28" spans="6:12" ht="15" thickBot="1">
      <c r="F28" s="270"/>
      <c r="G28" s="197"/>
      <c r="H28" s="198" t="str">
        <f t="shared" si="2"/>
        <v>Intraday</v>
      </c>
      <c r="I28" s="269">
        <f>'Input data'!D69</f>
        <v>111340</v>
      </c>
      <c r="K28" s="201" t="str">
        <f>Labels!$B$47</f>
        <v>kWh/day</v>
      </c>
      <c r="L28" s="201" t="str">
        <f t="shared" si="0"/>
        <v>Contracted</v>
      </c>
    </row>
    <row r="29" spans="6:12">
      <c r="F29" s="270"/>
      <c r="G29" s="183" t="str">
        <f>+G16</f>
        <v>LNG terminal</v>
      </c>
      <c r="H29" s="184" t="str">
        <f t="shared" si="2"/>
        <v>Yearly</v>
      </c>
      <c r="I29" s="266">
        <f>'Input data'!D70</f>
        <v>0</v>
      </c>
      <c r="K29" s="202" t="str">
        <f>Labels!$B$47</f>
        <v>kWh/day</v>
      </c>
      <c r="L29" s="202" t="str">
        <f t="shared" si="0"/>
        <v>Contracted</v>
      </c>
    </row>
    <row r="30" spans="6:12">
      <c r="F30" s="270"/>
      <c r="G30" s="190"/>
      <c r="H30" s="191" t="str">
        <f t="shared" si="2"/>
        <v>Quarterly</v>
      </c>
      <c r="I30" s="268">
        <f>'Input data'!D71</f>
        <v>0</v>
      </c>
      <c r="K30" s="194" t="str">
        <f>Labels!$B$47</f>
        <v>kWh/day</v>
      </c>
      <c r="L30" s="194" t="str">
        <f t="shared" si="0"/>
        <v>Contracted</v>
      </c>
    </row>
    <row r="31" spans="6:12">
      <c r="F31" s="270"/>
      <c r="G31" s="190"/>
      <c r="H31" s="191" t="str">
        <f t="shared" si="2"/>
        <v>Monthly</v>
      </c>
      <c r="I31" s="268">
        <f>'Input data'!D72</f>
        <v>0</v>
      </c>
      <c r="K31" s="194" t="str">
        <f>Labels!$B$47</f>
        <v>kWh/day</v>
      </c>
      <c r="L31" s="194" t="str">
        <f t="shared" si="0"/>
        <v>Contracted</v>
      </c>
    </row>
    <row r="32" spans="6:12">
      <c r="F32" s="270"/>
      <c r="G32" s="190"/>
      <c r="H32" s="191" t="str">
        <f t="shared" si="2"/>
        <v>Daily</v>
      </c>
      <c r="I32" s="268">
        <f>'Input data'!D73</f>
        <v>0</v>
      </c>
      <c r="K32" s="194" t="str">
        <f>Labels!$B$47</f>
        <v>kWh/day</v>
      </c>
      <c r="L32" s="194" t="str">
        <f t="shared" si="0"/>
        <v>Contracted</v>
      </c>
    </row>
    <row r="33" spans="6:18" ht="15" thickBot="1">
      <c r="F33" s="270"/>
      <c r="G33" s="197"/>
      <c r="H33" s="198" t="str">
        <f t="shared" si="2"/>
        <v>Intraday</v>
      </c>
      <c r="I33" s="269">
        <f>'Input data'!D74</f>
        <v>0</v>
      </c>
      <c r="K33" s="201" t="str">
        <f>Labels!$B$47</f>
        <v>kWh/day</v>
      </c>
      <c r="L33" s="201" t="str">
        <f t="shared" si="0"/>
        <v>Contracted</v>
      </c>
    </row>
    <row r="34" spans="6:18">
      <c r="F34" s="270"/>
      <c r="G34" s="183" t="str">
        <f>+G21</f>
        <v>Underground Storage</v>
      </c>
      <c r="H34" s="184" t="str">
        <f t="shared" si="2"/>
        <v>Daily</v>
      </c>
      <c r="I34" s="266">
        <f>'Input data'!D75</f>
        <v>6593617.2301879274</v>
      </c>
      <c r="K34" s="202" t="str">
        <f>Labels!$B$47</f>
        <v>kWh/day</v>
      </c>
      <c r="L34" s="202" t="str">
        <f t="shared" si="0"/>
        <v>Contracted</v>
      </c>
    </row>
    <row r="35" spans="6:18" ht="15" thickBot="1">
      <c r="F35" s="270"/>
      <c r="G35" s="197"/>
      <c r="H35" s="198" t="str">
        <f t="shared" si="2"/>
        <v>Intraday</v>
      </c>
      <c r="I35" s="269">
        <f>'Input data'!D76</f>
        <v>683624.83242554544</v>
      </c>
      <c r="K35" s="201" t="str">
        <f>Labels!$B$47</f>
        <v>kWh/day</v>
      </c>
      <c r="L35" s="201" t="str">
        <f t="shared" si="0"/>
        <v>Contracted</v>
      </c>
    </row>
    <row r="36" spans="6:18" ht="15" thickBot="1">
      <c r="F36" s="270"/>
      <c r="G36" s="209" t="str">
        <f>+Labels!B31</f>
        <v>Distribution networks and HP Customers</v>
      </c>
      <c r="H36" s="210" t="str">
        <f>+Labels!B39</f>
        <v>Long Uses</v>
      </c>
      <c r="I36" s="273">
        <f>'Input data'!D77</f>
        <v>157646327.37832683</v>
      </c>
      <c r="K36" s="213" t="str">
        <f>Labels!$B$47</f>
        <v>kWh/day</v>
      </c>
      <c r="L36" s="213" t="str">
        <f>+Labels!B60</f>
        <v>Used</v>
      </c>
    </row>
    <row r="37" spans="6:18">
      <c r="F37" s="270"/>
      <c r="G37" s="183" t="str">
        <f>+Labels!B32</f>
        <v>HP Customers</v>
      </c>
      <c r="H37" s="184" t="str">
        <f>+Labels!B40</f>
        <v>Annual Flexible Rate - Annual Base Capacity</v>
      </c>
      <c r="I37" s="266">
        <f>'Input data'!D78</f>
        <v>110137542.48308744</v>
      </c>
      <c r="K37" s="214" t="str">
        <f>Labels!$B$47</f>
        <v>kWh/day</v>
      </c>
      <c r="L37" s="214" t="str">
        <f>+$L$36</f>
        <v>Used</v>
      </c>
    </row>
    <row r="38" spans="6:18">
      <c r="F38" s="270"/>
      <c r="G38" s="190"/>
      <c r="H38" s="191" t="str">
        <f>+Labels!B41</f>
        <v>Annual Flexible Rate - Additional Monthly Capacity (April to September)</v>
      </c>
      <c r="I38" s="268">
        <f>'Input data'!D79</f>
        <v>0</v>
      </c>
      <c r="K38" s="194" t="str">
        <f>Labels!$B$47</f>
        <v>kWh/day</v>
      </c>
      <c r="L38" s="194" t="str">
        <f t="shared" ref="L38:L42" si="3">+$L$36</f>
        <v>Used</v>
      </c>
    </row>
    <row r="39" spans="6:18">
      <c r="F39" s="270"/>
      <c r="G39" s="190"/>
      <c r="H39" s="191" t="str">
        <f>+Labels!B42</f>
        <v>Flexible Monthly Rate - Monthly Capacity (October to March)</v>
      </c>
      <c r="I39" s="268">
        <f>'Input data'!D80</f>
        <v>732895.5</v>
      </c>
      <c r="K39" s="194" t="str">
        <f>Labels!$B$47</f>
        <v>kWh/day</v>
      </c>
      <c r="L39" s="194" t="str">
        <f t="shared" si="3"/>
        <v>Used</v>
      </c>
    </row>
    <row r="40" spans="6:18">
      <c r="F40" s="270"/>
      <c r="G40" s="190"/>
      <c r="H40" s="191" t="str">
        <f>+Labels!B43</f>
        <v>Flexible Monthly Rate - Monthly Capacity (April to September)</v>
      </c>
      <c r="I40" s="268">
        <f>'Input data'!D81</f>
        <v>732895.5</v>
      </c>
      <c r="K40" s="194" t="str">
        <f>Labels!$B$47</f>
        <v>kWh/day</v>
      </c>
      <c r="L40" s="194" t="str">
        <f t="shared" si="3"/>
        <v>Used</v>
      </c>
    </row>
    <row r="41" spans="6:18">
      <c r="F41" s="270"/>
      <c r="G41" s="190"/>
      <c r="H41" s="191" t="str">
        <f>+Labels!B44</f>
        <v>Daily Flexible Rate - Daily Capacity (October to March)</v>
      </c>
      <c r="I41" s="268">
        <f>'Input data'!D82</f>
        <v>0</v>
      </c>
      <c r="K41" s="194" t="str">
        <f>Labels!$B$47</f>
        <v>kWh/day</v>
      </c>
      <c r="L41" s="194" t="str">
        <f t="shared" si="3"/>
        <v>Used</v>
      </c>
    </row>
    <row r="42" spans="6:18" ht="15" thickBot="1">
      <c r="F42" s="271"/>
      <c r="G42" s="197"/>
      <c r="H42" s="198" t="str">
        <f>+Labels!B45</f>
        <v>Daily Flexible Rate - Daily Capacity (April to September)</v>
      </c>
      <c r="I42" s="269">
        <f>'Input data'!D83</f>
        <v>0</v>
      </c>
      <c r="K42" s="201" t="str">
        <f>Labels!$B$47</f>
        <v>kWh/day</v>
      </c>
      <c r="L42" s="201" t="str">
        <f t="shared" si="3"/>
        <v>Used</v>
      </c>
    </row>
    <row r="43" spans="6:18">
      <c r="R43" s="253"/>
    </row>
    <row r="44" spans="6:18" hidden="1">
      <c r="M44"/>
      <c r="N44"/>
      <c r="O44"/>
      <c r="P44"/>
      <c r="R44" s="253"/>
    </row>
    <row r="45" spans="6:18" hidden="1">
      <c r="M45"/>
      <c r="N45"/>
      <c r="O45"/>
      <c r="P45"/>
      <c r="R45" s="253"/>
    </row>
    <row r="46" spans="6:18" hidden="1">
      <c r="M46"/>
      <c r="N46"/>
      <c r="O46"/>
      <c r="P46"/>
      <c r="R46" s="253"/>
    </row>
    <row r="47" spans="6:18" hidden="1">
      <c r="M47"/>
      <c r="N47"/>
      <c r="O47"/>
      <c r="P47"/>
      <c r="R47" s="253"/>
    </row>
    <row r="48" spans="6:18" hidden="1">
      <c r="M48"/>
      <c r="N48"/>
      <c r="O48"/>
      <c r="P48"/>
      <c r="R48" s="253"/>
    </row>
    <row r="49" spans="13:18" hidden="1">
      <c r="M49"/>
      <c r="N49"/>
      <c r="O49"/>
      <c r="P49"/>
      <c r="R49" s="253"/>
    </row>
    <row r="50" spans="13:18" hidden="1">
      <c r="M50"/>
      <c r="N50"/>
      <c r="O50"/>
      <c r="P50"/>
      <c r="R50" s="253"/>
    </row>
    <row r="51" spans="13:18" hidden="1">
      <c r="M51"/>
      <c r="N51"/>
      <c r="O51"/>
      <c r="P51"/>
      <c r="R51" s="253"/>
    </row>
    <row r="52" spans="13:18" hidden="1">
      <c r="M52"/>
      <c r="N52"/>
      <c r="O52"/>
      <c r="P52"/>
      <c r="R52" s="253"/>
    </row>
    <row r="53" spans="13:18" hidden="1">
      <c r="M53"/>
      <c r="N53"/>
      <c r="O53"/>
      <c r="P53"/>
      <c r="R53" s="253"/>
    </row>
    <row r="54" spans="13:18" hidden="1">
      <c r="M54"/>
      <c r="N54"/>
      <c r="O54"/>
      <c r="P54"/>
      <c r="R54" s="253"/>
    </row>
    <row r="55" spans="13:18" hidden="1">
      <c r="M55"/>
      <c r="N55"/>
      <c r="O55"/>
      <c r="P55"/>
      <c r="R55" s="253"/>
    </row>
    <row r="56" spans="13:18" hidden="1">
      <c r="M56"/>
      <c r="N56"/>
      <c r="O56"/>
      <c r="P56"/>
      <c r="R56" s="25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5388-7CE7-42A6-979D-B2AB05731A21}">
  <sheetPr>
    <tabColor theme="6"/>
  </sheetPr>
  <dimension ref="A1:E11"/>
  <sheetViews>
    <sheetView showGridLines="0" zoomScale="70" zoomScaleNormal="70" workbookViewId="0">
      <selection sqref="A1:A1048576"/>
    </sheetView>
  </sheetViews>
  <sheetFormatPr defaultColWidth="0" defaultRowHeight="14.4" customHeight="1" zeroHeight="1"/>
  <cols>
    <col min="1" max="1" width="3.6640625" style="1" customWidth="1"/>
    <col min="2" max="2" width="49.6640625" style="1" customWidth="1"/>
    <col min="3" max="4" width="39.5546875" style="1" customWidth="1"/>
    <col min="5" max="5" width="9.109375" style="1" customWidth="1"/>
    <col min="6" max="16384" width="9.109375" style="1" hidden="1"/>
  </cols>
  <sheetData>
    <row r="1" spans="2:4"/>
    <row r="2" spans="2:4">
      <c r="B2" s="274" t="s">
        <v>658</v>
      </c>
      <c r="C2" s="275" t="s">
        <v>660</v>
      </c>
      <c r="D2" s="276" t="s">
        <v>661</v>
      </c>
    </row>
    <row r="3" spans="2:4">
      <c r="B3" s="277"/>
      <c r="C3" s="278">
        <v>1</v>
      </c>
      <c r="D3" s="279">
        <v>0</v>
      </c>
    </row>
    <row r="4" spans="2:4" ht="55.2">
      <c r="B4" s="280" t="s">
        <v>673</v>
      </c>
      <c r="C4" s="281"/>
      <c r="D4" s="281"/>
    </row>
    <row r="5" spans="2:4">
      <c r="B5" s="274" t="s">
        <v>662</v>
      </c>
      <c r="C5" s="275" t="s">
        <v>664</v>
      </c>
      <c r="D5" s="276" t="s">
        <v>665</v>
      </c>
    </row>
    <row r="6" spans="2:4">
      <c r="B6" s="277"/>
      <c r="C6" s="278">
        <f>'Article 30'!F8</f>
        <v>0.28000000000000003</v>
      </c>
      <c r="D6" s="279">
        <f>'Article 30'!F9</f>
        <v>0.72</v>
      </c>
    </row>
    <row r="7" spans="2:4" ht="69">
      <c r="B7" s="280" t="s">
        <v>674</v>
      </c>
      <c r="C7" s="281"/>
      <c r="D7" s="281"/>
    </row>
    <row r="8" spans="2:4">
      <c r="B8" s="274" t="s">
        <v>666</v>
      </c>
      <c r="C8" s="275" t="s">
        <v>675</v>
      </c>
      <c r="D8" s="276" t="s">
        <v>676</v>
      </c>
    </row>
    <row r="9" spans="2:4">
      <c r="B9" s="277"/>
      <c r="C9" s="282">
        <f>'Article 30'!F11</f>
        <v>0.15621110036957142</v>
      </c>
      <c r="D9" s="283">
        <f>1-C9</f>
        <v>0.84378889963042858</v>
      </c>
    </row>
    <row r="10" spans="2:4" ht="82.8">
      <c r="B10" s="280" t="s">
        <v>677</v>
      </c>
      <c r="C10" s="281"/>
      <c r="D10" s="281"/>
    </row>
    <row r="11" spans="2:4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5706-FEAE-41CD-A043-AF7203AE99F0}">
  <sheetPr>
    <tabColor theme="6"/>
  </sheetPr>
  <dimension ref="C1:S84"/>
  <sheetViews>
    <sheetView showGridLines="0" topLeftCell="D19" zoomScale="70" zoomScaleNormal="70" workbookViewId="0">
      <selection sqref="A1:A1048576"/>
    </sheetView>
  </sheetViews>
  <sheetFormatPr defaultColWidth="9.109375" defaultRowHeight="0" customHeight="1" zeroHeight="1"/>
  <cols>
    <col min="1" max="2" width="3.6640625" style="1" customWidth="1"/>
    <col min="3" max="3" width="8.6640625" style="149" customWidth="1"/>
    <col min="4" max="4" width="33.6640625" style="149" customWidth="1"/>
    <col min="5" max="5" width="60.33203125" style="149" customWidth="1"/>
    <col min="6" max="6" width="1.6640625" style="149" customWidth="1"/>
    <col min="7" max="9" width="11.33203125" style="149" customWidth="1"/>
    <col min="10" max="10" width="1.6640625" style="149" customWidth="1"/>
    <col min="11" max="11" width="15.6640625" style="149" bestFit="1" customWidth="1"/>
    <col min="12" max="12" width="3.6640625" style="149" customWidth="1"/>
    <col min="13" max="13" width="3.6640625" style="1" customWidth="1"/>
    <col min="14" max="14" width="8.6640625" style="1" customWidth="1"/>
    <col min="15" max="15" width="33.6640625" style="1" customWidth="1"/>
    <col min="16" max="16" width="61.6640625" style="1" customWidth="1"/>
    <col min="17" max="17" width="1.6640625" style="1" customWidth="1"/>
    <col min="18" max="19" width="12.33203125" style="1" customWidth="1"/>
    <col min="20" max="16384" width="9.109375" style="1"/>
  </cols>
  <sheetData>
    <row r="1" spans="3:14" ht="24.9" customHeight="1">
      <c r="C1" s="1"/>
      <c r="D1" s="1"/>
      <c r="E1" s="1"/>
      <c r="F1" s="1"/>
      <c r="G1" s="1"/>
      <c r="H1" s="1"/>
      <c r="I1" s="1"/>
      <c r="J1" s="1"/>
      <c r="K1" s="1"/>
      <c r="L1" s="1"/>
    </row>
    <row r="2" spans="3:14" ht="18">
      <c r="C2" s="284" t="s">
        <v>678</v>
      </c>
      <c r="D2" s="1"/>
      <c r="E2" s="1"/>
      <c r="F2" s="1"/>
      <c r="G2" s="314" t="s">
        <v>679</v>
      </c>
      <c r="H2" s="1"/>
      <c r="I2" s="1"/>
      <c r="J2" s="1"/>
      <c r="K2" s="1"/>
      <c r="L2" s="1"/>
    </row>
    <row r="3" spans="3:14" ht="15" thickBot="1">
      <c r="C3" s="1"/>
      <c r="D3" s="1"/>
      <c r="E3" s="1"/>
      <c r="F3" s="1"/>
      <c r="G3" s="1"/>
      <c r="H3" s="1"/>
      <c r="I3" s="1"/>
      <c r="J3" s="1"/>
      <c r="K3" s="1"/>
      <c r="L3" s="1"/>
    </row>
    <row r="4" spans="3:14" ht="15" thickBot="1">
      <c r="C4" s="1"/>
      <c r="D4" s="261" t="str">
        <f>+Output!D4</f>
        <v>Point</v>
      </c>
      <c r="E4" s="262" t="str">
        <f>+Output!E4</f>
        <v>Product</v>
      </c>
      <c r="F4" s="1"/>
      <c r="G4" s="263" t="s">
        <v>28</v>
      </c>
      <c r="H4" s="263" t="str">
        <f>'Input data'!D5</f>
        <v>2025-26</v>
      </c>
      <c r="I4" s="263" t="str">
        <f>'Input data'!E5</f>
        <v>2026-27</v>
      </c>
      <c r="J4" s="285"/>
      <c r="K4" s="263" t="str">
        <f>+Output!J4</f>
        <v>Unit</v>
      </c>
      <c r="L4" s="1"/>
    </row>
    <row r="5" spans="3:14" ht="14.4">
      <c r="C5" s="265" t="str">
        <f>+Output!C5</f>
        <v>Entry</v>
      </c>
      <c r="D5" s="183" t="str">
        <f>+Output!D5</f>
        <v>VIP Iberico</v>
      </c>
      <c r="E5" s="184" t="str">
        <f>+Output!E5</f>
        <v>Yearly</v>
      </c>
      <c r="F5" s="286"/>
      <c r="G5" s="315">
        <v>3.5228583569365819E-2</v>
      </c>
      <c r="H5" s="287">
        <f>'Entry Tariff_2'!D170</f>
        <v>3.7366318116816469E-2</v>
      </c>
      <c r="I5" s="287">
        <f>'Entry Tariff_2'!E170</f>
        <v>3.7366318116816469E-2</v>
      </c>
      <c r="J5" s="288"/>
      <c r="K5" s="202" t="str">
        <f>+Output!J5</f>
        <v>€/(kWh/day)/year</v>
      </c>
      <c r="L5" s="1"/>
      <c r="N5"/>
    </row>
    <row r="6" spans="3:14" ht="14.4">
      <c r="C6" s="267"/>
      <c r="D6" s="190"/>
      <c r="E6" s="191" t="str">
        <f>+Output!E6</f>
        <v>Quarterly</v>
      </c>
      <c r="F6" s="1"/>
      <c r="G6" s="316">
        <v>4.156972861185166E-2</v>
      </c>
      <c r="H6" s="289">
        <f>'Entry Tariff_2'!D171</f>
        <v>4.4092255377843427E-2</v>
      </c>
      <c r="I6" s="289">
        <f>'Entry Tariff_2'!E171</f>
        <v>4.4092255377843427E-2</v>
      </c>
      <c r="J6" s="1"/>
      <c r="K6" s="194" t="str">
        <f>+Output!J6</f>
        <v>€/(kWh/day)/year</v>
      </c>
      <c r="L6" s="1"/>
    </row>
    <row r="7" spans="3:14" ht="14.4">
      <c r="C7" s="267"/>
      <c r="D7" s="190"/>
      <c r="E7" s="191" t="str">
        <f>+Output!E7</f>
        <v>Monthly</v>
      </c>
      <c r="F7" s="37"/>
      <c r="G7" s="316">
        <v>4.755858781864386E-2</v>
      </c>
      <c r="H7" s="289">
        <f>'Entry Tariff_2'!D172</f>
        <v>5.0444529457702232E-2</v>
      </c>
      <c r="I7" s="289">
        <f>'Entry Tariff_2'!E172</f>
        <v>5.0444529457702232E-2</v>
      </c>
      <c r="J7" s="290"/>
      <c r="K7" s="194" t="str">
        <f>+Output!J7</f>
        <v>€/(kWh/day)/year</v>
      </c>
      <c r="L7" s="1"/>
    </row>
    <row r="8" spans="3:14" ht="14.4">
      <c r="C8" s="267"/>
      <c r="D8" s="190"/>
      <c r="E8" s="191" t="str">
        <f>+Output!E8</f>
        <v>Daily</v>
      </c>
      <c r="F8" s="37"/>
      <c r="G8" s="316">
        <v>6.8343452124569687E-2</v>
      </c>
      <c r="H8" s="289">
        <f>'Entry Tariff_2'!D173</f>
        <v>7.2490657146623949E-2</v>
      </c>
      <c r="I8" s="289">
        <f>'Entry Tariff_2'!E173</f>
        <v>7.2490657146623949E-2</v>
      </c>
      <c r="J8" s="37"/>
      <c r="K8" s="194" t="str">
        <f>+Output!J8</f>
        <v>€/(kWh/day)/year</v>
      </c>
      <c r="L8" s="1"/>
    </row>
    <row r="9" spans="3:14" ht="15" thickBot="1">
      <c r="C9" s="267"/>
      <c r="D9" s="197"/>
      <c r="E9" s="198" t="str">
        <f>+Output!E9</f>
        <v>Intraday</v>
      </c>
      <c r="F9" s="286"/>
      <c r="G9" s="317">
        <v>7.5036883002749188E-2</v>
      </c>
      <c r="H9" s="291">
        <f>'Entry Tariff_2'!D174</f>
        <v>7.9590257588819074E-2</v>
      </c>
      <c r="I9" s="291">
        <f>'Entry Tariff_2'!E174</f>
        <v>7.9590257588819074E-2</v>
      </c>
      <c r="J9" s="288"/>
      <c r="K9" s="201" t="str">
        <f>+Output!J9</f>
        <v>€/(kWh/day)/year</v>
      </c>
      <c r="L9" s="1"/>
    </row>
    <row r="10" spans="3:14" ht="14.4">
      <c r="C10" s="267"/>
      <c r="D10" s="183" t="str">
        <f>+Output!D10</f>
        <v>LNG terminal</v>
      </c>
      <c r="E10" s="184" t="str">
        <f>+Output!E10</f>
        <v>Yearly</v>
      </c>
      <c r="F10" s="1"/>
      <c r="G10" s="315">
        <v>9.8902373364759225E-2</v>
      </c>
      <c r="H10" s="287">
        <f>'Entry Tariff_2'!D175</f>
        <v>0.10440725521264488</v>
      </c>
      <c r="I10" s="287">
        <f>'Entry Tariff_2'!E175</f>
        <v>0.10440725521264488</v>
      </c>
      <c r="J10" s="1"/>
      <c r="K10" s="202" t="str">
        <f>+Output!J10</f>
        <v>€/(kWh/day)/year</v>
      </c>
      <c r="L10" s="1"/>
    </row>
    <row r="11" spans="3:14" ht="14.4">
      <c r="C11" s="267"/>
      <c r="D11" s="190"/>
      <c r="E11" s="191" t="str">
        <f>+Output!E11</f>
        <v>Quarterly</v>
      </c>
      <c r="F11" s="37"/>
      <c r="G11" s="316">
        <v>0.11670480057041588</v>
      </c>
      <c r="H11" s="289">
        <f>'Entry Tariff_2'!D176</f>
        <v>0.12320056115092094</v>
      </c>
      <c r="I11" s="289">
        <f>'Entry Tariff_2'!E176</f>
        <v>0.12320056115092094</v>
      </c>
      <c r="J11" s="290"/>
      <c r="K11" s="194" t="str">
        <f>+Output!J11</f>
        <v>€/(kWh/day)/year</v>
      </c>
      <c r="L11" s="1"/>
    </row>
    <row r="12" spans="3:14" ht="14.4">
      <c r="C12" s="267"/>
      <c r="D12" s="190"/>
      <c r="E12" s="191" t="str">
        <f>+Output!E12</f>
        <v>Monthly</v>
      </c>
      <c r="F12" s="37"/>
      <c r="G12" s="316">
        <v>0.13351820404242495</v>
      </c>
      <c r="H12" s="289">
        <f>'Entry Tariff_2'!D177</f>
        <v>0.1409497945370706</v>
      </c>
      <c r="I12" s="289">
        <f>'Entry Tariff_2'!E177</f>
        <v>0.1409497945370706</v>
      </c>
      <c r="J12" s="37"/>
      <c r="K12" s="194" t="str">
        <f>+Output!J12</f>
        <v>€/(kWh/day)/year</v>
      </c>
      <c r="L12" s="1"/>
    </row>
    <row r="13" spans="3:14" ht="14.4">
      <c r="C13" s="267"/>
      <c r="D13" s="190"/>
      <c r="E13" s="191" t="str">
        <f>+Output!E13</f>
        <v>Daily</v>
      </c>
      <c r="F13" s="286"/>
      <c r="G13" s="316">
        <v>0.19187060432763287</v>
      </c>
      <c r="H13" s="289">
        <f>'Entry Tariff_2'!D178</f>
        <v>0.20255007511253109</v>
      </c>
      <c r="I13" s="289">
        <f>'Entry Tariff_2'!E178</f>
        <v>0.20255007511253109</v>
      </c>
      <c r="J13" s="288"/>
      <c r="K13" s="194" t="str">
        <f>+Output!J13</f>
        <v>€/(kWh/day)/year</v>
      </c>
      <c r="L13" s="1"/>
    </row>
    <row r="14" spans="3:14" ht="15" thickBot="1">
      <c r="C14" s="267"/>
      <c r="D14" s="197"/>
      <c r="E14" s="198" t="str">
        <f>+Output!E14</f>
        <v>Intraday</v>
      </c>
      <c r="F14" s="1"/>
      <c r="G14" s="317">
        <v>0.2106620552669371</v>
      </c>
      <c r="H14" s="291">
        <f>'Entry Tariff_2'!D179</f>
        <v>0.22238745360293358</v>
      </c>
      <c r="I14" s="291">
        <f>'Entry Tariff_2'!E179</f>
        <v>0.22238745360293358</v>
      </c>
      <c r="J14" s="1"/>
      <c r="K14" s="201" t="str">
        <f>+Output!J14</f>
        <v>€/(kWh/day)/year</v>
      </c>
      <c r="L14" s="1"/>
    </row>
    <row r="15" spans="3:14" ht="14.4">
      <c r="C15" s="267"/>
      <c r="D15" s="183" t="str">
        <f>+Output!D15</f>
        <v>Underground Storage</v>
      </c>
      <c r="E15" s="184" t="str">
        <f>+Output!E15</f>
        <v>Daily</v>
      </c>
      <c r="F15" s="37"/>
      <c r="G15" s="315">
        <v>0</v>
      </c>
      <c r="H15" s="287">
        <f>'Entry Tariff_2'!D180</f>
        <v>0</v>
      </c>
      <c r="I15" s="287">
        <f>'Entry Tariff_2'!E180</f>
        <v>0</v>
      </c>
      <c r="J15" s="290"/>
      <c r="K15" s="202" t="str">
        <f>+Output!J15</f>
        <v>€/(kWh/day)/year</v>
      </c>
      <c r="L15" s="1"/>
    </row>
    <row r="16" spans="3:14" ht="15" thickBot="1">
      <c r="C16" s="270"/>
      <c r="D16" s="197"/>
      <c r="E16" s="198" t="str">
        <f>+Output!E16</f>
        <v>Intraday</v>
      </c>
      <c r="F16" s="37"/>
      <c r="G16" s="317">
        <v>0</v>
      </c>
      <c r="H16" s="291">
        <f>'Entry Tariff_2'!D181</f>
        <v>0</v>
      </c>
      <c r="I16" s="291">
        <f>'Entry Tariff_2'!E181</f>
        <v>0</v>
      </c>
      <c r="J16" s="37"/>
      <c r="K16" s="201" t="str">
        <f>+Output!J16</f>
        <v>€/(kWh/day)/year</v>
      </c>
      <c r="L16" s="1"/>
    </row>
    <row r="17" spans="3:12" ht="15" thickBot="1">
      <c r="C17" s="271"/>
      <c r="D17" s="190" t="str">
        <f>+Output!D17</f>
        <v>Gas producers</v>
      </c>
      <c r="E17" s="205" t="str">
        <f>+Output!E17</f>
        <v>Used capacity at injection</v>
      </c>
      <c r="F17" s="37"/>
      <c r="G17" s="318">
        <v>7.1206007464080477E-3</v>
      </c>
      <c r="H17" s="292">
        <f>'Entry Tariff_2'!D182</f>
        <v>7.3225838532495419E-3</v>
      </c>
      <c r="I17" s="292">
        <f>'Entry Tariff_2'!E182</f>
        <v>7.3225838532495419E-3</v>
      </c>
      <c r="J17" s="37"/>
      <c r="K17" s="208" t="str">
        <f>+Output!J17</f>
        <v>€/(kWh/day)/year</v>
      </c>
      <c r="L17" s="1"/>
    </row>
    <row r="18" spans="3:12" ht="14.4">
      <c r="C18" s="265" t="str">
        <f>+Output!C18</f>
        <v>Exit</v>
      </c>
      <c r="D18" s="183" t="str">
        <f>+Output!D18</f>
        <v>VIP Iberico</v>
      </c>
      <c r="E18" s="184" t="str">
        <f>+Output!E18</f>
        <v>Yearly</v>
      </c>
      <c r="F18" s="286"/>
      <c r="G18" s="315">
        <v>3.4453513090425783E-2</v>
      </c>
      <c r="H18" s="287">
        <f>'Exit Tariff_2'!D212</f>
        <v>3.6839986548534723E-2</v>
      </c>
      <c r="I18" s="287">
        <f>'Exit Tariff_2'!E212</f>
        <v>3.6839986548534723E-2</v>
      </c>
      <c r="J18" s="288"/>
      <c r="K18" s="202" t="str">
        <f>+Output!J18</f>
        <v>€/(kWh/day)/year</v>
      </c>
      <c r="L18" s="1"/>
    </row>
    <row r="19" spans="3:12" ht="14.4">
      <c r="C19" s="270"/>
      <c r="D19" s="190"/>
      <c r="E19" s="191" t="str">
        <f>+Output!E19</f>
        <v>Quarterly</v>
      </c>
      <c r="F19" s="1"/>
      <c r="G19" s="316">
        <v>4.0655145446702429E-2</v>
      </c>
      <c r="H19" s="289">
        <f>'Exit Tariff_2'!D213</f>
        <v>4.3471184127270961E-2</v>
      </c>
      <c r="I19" s="289">
        <f>'Exit Tariff_2'!E213</f>
        <v>4.3471184127270961E-2</v>
      </c>
      <c r="J19" s="1"/>
      <c r="K19" s="194" t="str">
        <f>+Output!J19</f>
        <v>€/(kWh/day)/year</v>
      </c>
      <c r="L19" s="1"/>
    </row>
    <row r="20" spans="3:12" ht="14.4">
      <c r="C20" s="270"/>
      <c r="D20" s="190"/>
      <c r="E20" s="191" t="str">
        <f>+Output!E20</f>
        <v>Monthly</v>
      </c>
      <c r="F20" s="37"/>
      <c r="G20" s="316">
        <v>4.6512242672074815E-2</v>
      </c>
      <c r="H20" s="289">
        <f>'Exit Tariff_2'!D214</f>
        <v>4.9733981840521871E-2</v>
      </c>
      <c r="I20" s="289">
        <f>'Exit Tariff_2'!E214</f>
        <v>4.9733981840521871E-2</v>
      </c>
      <c r="J20" s="290"/>
      <c r="K20" s="194" t="str">
        <f>+Output!J20</f>
        <v>€/(kWh/day)/year</v>
      </c>
      <c r="L20" s="1"/>
    </row>
    <row r="21" spans="3:12" ht="14.4">
      <c r="C21" s="270"/>
      <c r="D21" s="190"/>
      <c r="E21" s="191" t="str">
        <f>+Output!E21</f>
        <v>Daily</v>
      </c>
      <c r="F21" s="37"/>
      <c r="G21" s="316">
        <v>6.6839815395426022E-2</v>
      </c>
      <c r="H21" s="289">
        <f>'Exit Tariff_2'!D215</f>
        <v>7.1469573904157355E-2</v>
      </c>
      <c r="I21" s="289">
        <f>'Exit Tariff_2'!E215</f>
        <v>7.1469573904157355E-2</v>
      </c>
      <c r="J21" s="37"/>
      <c r="K21" s="194" t="str">
        <f>+Output!J21</f>
        <v>€/(kWh/day)/year</v>
      </c>
      <c r="L21" s="1"/>
    </row>
    <row r="22" spans="3:12" ht="15" thickBot="1">
      <c r="C22" s="270"/>
      <c r="D22" s="197"/>
      <c r="E22" s="198" t="str">
        <f>+Output!E22</f>
        <v>Intraday</v>
      </c>
      <c r="F22" s="286"/>
      <c r="G22" s="317">
        <v>7.338598288260692E-2</v>
      </c>
      <c r="H22" s="291">
        <f>'Exit Tariff_2'!D216</f>
        <v>7.8469171348378941E-2</v>
      </c>
      <c r="I22" s="291">
        <f>'Exit Tariff_2'!E216</f>
        <v>7.8469171348378941E-2</v>
      </c>
      <c r="J22" s="288"/>
      <c r="K22" s="201" t="str">
        <f>+Output!J22</f>
        <v>€/(kWh/day)/year</v>
      </c>
      <c r="L22" s="1"/>
    </row>
    <row r="23" spans="3:12" ht="14.4">
      <c r="C23" s="270"/>
      <c r="D23" s="183" t="str">
        <f>+Output!D23</f>
        <v>LNG terminal</v>
      </c>
      <c r="E23" s="184" t="str">
        <f>+Output!E23</f>
        <v>Yearly</v>
      </c>
      <c r="F23" s="1"/>
      <c r="G23" s="315">
        <v>0</v>
      </c>
      <c r="H23" s="287">
        <f>'Exit Tariff_2'!D217</f>
        <v>0</v>
      </c>
      <c r="I23" s="287">
        <f>'Exit Tariff_2'!E217</f>
        <v>0</v>
      </c>
      <c r="J23" s="1"/>
      <c r="K23" s="202" t="str">
        <f>+Output!J23</f>
        <v>€/(kWh/day)/year</v>
      </c>
      <c r="L23" s="1"/>
    </row>
    <row r="24" spans="3:12" ht="14.4">
      <c r="C24" s="270"/>
      <c r="D24" s="190"/>
      <c r="E24" s="191" t="str">
        <f>+Output!E24</f>
        <v>Quarterly</v>
      </c>
      <c r="F24" s="37"/>
      <c r="G24" s="316">
        <v>0</v>
      </c>
      <c r="H24" s="289">
        <f>'Exit Tariff_2'!D218</f>
        <v>0</v>
      </c>
      <c r="I24" s="289">
        <f>'Exit Tariff_2'!E218</f>
        <v>0</v>
      </c>
      <c r="J24" s="290"/>
      <c r="K24" s="194" t="str">
        <f>+Output!J24</f>
        <v>€/(kWh/day)/year</v>
      </c>
      <c r="L24" s="1"/>
    </row>
    <row r="25" spans="3:12" ht="14.4">
      <c r="C25" s="270"/>
      <c r="D25" s="190"/>
      <c r="E25" s="191" t="str">
        <f>+Output!E25</f>
        <v>Monthly</v>
      </c>
      <c r="F25" s="37"/>
      <c r="G25" s="316">
        <v>0</v>
      </c>
      <c r="H25" s="289">
        <f>'Exit Tariff_2'!D219</f>
        <v>0</v>
      </c>
      <c r="I25" s="289">
        <f>'Exit Tariff_2'!E219</f>
        <v>0</v>
      </c>
      <c r="J25" s="37"/>
      <c r="K25" s="194" t="str">
        <f>+Output!J25</f>
        <v>€/(kWh/day)/year</v>
      </c>
      <c r="L25" s="1"/>
    </row>
    <row r="26" spans="3:12" ht="14.4">
      <c r="C26" s="270"/>
      <c r="D26" s="190"/>
      <c r="E26" s="191" t="str">
        <f>+Output!E26</f>
        <v>Daily</v>
      </c>
      <c r="F26" s="286"/>
      <c r="G26" s="316">
        <v>0</v>
      </c>
      <c r="H26" s="289">
        <f>'Exit Tariff_2'!D220</f>
        <v>0</v>
      </c>
      <c r="I26" s="289">
        <f>'Exit Tariff_2'!E220</f>
        <v>0</v>
      </c>
      <c r="J26" s="288"/>
      <c r="K26" s="194" t="str">
        <f>+Output!J26</f>
        <v>€/(kWh/day)/year</v>
      </c>
      <c r="L26" s="1"/>
    </row>
    <row r="27" spans="3:12" ht="15" thickBot="1">
      <c r="C27" s="270"/>
      <c r="D27" s="197"/>
      <c r="E27" s="198" t="str">
        <f>+Output!E27</f>
        <v>Intraday</v>
      </c>
      <c r="F27" s="1"/>
      <c r="G27" s="317">
        <v>0</v>
      </c>
      <c r="H27" s="291">
        <f>'Exit Tariff_2'!D221</f>
        <v>0</v>
      </c>
      <c r="I27" s="291">
        <f>'Exit Tariff_2'!E221</f>
        <v>0</v>
      </c>
      <c r="J27" s="1"/>
      <c r="K27" s="201" t="str">
        <f>+Output!J27</f>
        <v>€/(kWh/day)/year</v>
      </c>
      <c r="L27" s="1"/>
    </row>
    <row r="28" spans="3:12" ht="14.4">
      <c r="C28" s="270"/>
      <c r="D28" s="183" t="str">
        <f>+Output!D28</f>
        <v>Underground Storage</v>
      </c>
      <c r="E28" s="184" t="str">
        <f>+Output!E28</f>
        <v>Daily</v>
      </c>
      <c r="F28" s="37"/>
      <c r="G28" s="315">
        <v>0</v>
      </c>
      <c r="H28" s="287">
        <f>'Exit Tariff_2'!D222</f>
        <v>0</v>
      </c>
      <c r="I28" s="287">
        <f>'Exit Tariff_2'!E222</f>
        <v>0</v>
      </c>
      <c r="J28" s="290"/>
      <c r="K28" s="202" t="str">
        <f>+Output!J28</f>
        <v>€/(kWh/day)/year</v>
      </c>
      <c r="L28" s="1"/>
    </row>
    <row r="29" spans="3:12" ht="15" thickBot="1">
      <c r="C29" s="270"/>
      <c r="D29" s="197"/>
      <c r="E29" s="198" t="str">
        <f>+Output!E29</f>
        <v>Intraday</v>
      </c>
      <c r="F29" s="37"/>
      <c r="G29" s="317">
        <v>0</v>
      </c>
      <c r="H29" s="291">
        <f>'Exit Tariff_2'!D223</f>
        <v>0</v>
      </c>
      <c r="I29" s="291">
        <f>'Exit Tariff_2'!E223</f>
        <v>0</v>
      </c>
      <c r="J29" s="37"/>
      <c r="K29" s="201" t="str">
        <f>+Output!J29</f>
        <v>€/(kWh/day)/year</v>
      </c>
      <c r="L29" s="1"/>
    </row>
    <row r="30" spans="3:12" ht="15" thickBot="1">
      <c r="C30" s="270"/>
      <c r="D30" s="209" t="str">
        <f>+Output!D30</f>
        <v>Distribution networks and HP Customers</v>
      </c>
      <c r="E30" s="210" t="str">
        <f>+Output!E30</f>
        <v>Long Uses</v>
      </c>
      <c r="F30" s="286"/>
      <c r="G30" s="319">
        <v>0.166115332177528</v>
      </c>
      <c r="H30" s="293">
        <f>'Exit Tariff_2'!D224</f>
        <v>0.17704832862406322</v>
      </c>
      <c r="I30" s="293">
        <f>'Exit Tariff_2'!E224</f>
        <v>0.17704832862406322</v>
      </c>
      <c r="J30" s="288"/>
      <c r="K30" s="213" t="str">
        <f>+Output!J30</f>
        <v>€/(kWh/day)/year</v>
      </c>
      <c r="L30" s="1"/>
    </row>
    <row r="31" spans="3:12" ht="14.4">
      <c r="C31" s="270"/>
      <c r="D31" s="183" t="str">
        <f>+Output!D31</f>
        <v>HP Customers</v>
      </c>
      <c r="E31" s="184" t="str">
        <f>+Output!E31</f>
        <v>Annual Flexible Rate - Annual Base Capacity</v>
      </c>
      <c r="F31" s="1"/>
      <c r="G31" s="315">
        <v>0.166115332177528</v>
      </c>
      <c r="H31" s="287">
        <f>'Exit Tariff_2'!D225</f>
        <v>0.17704832862406322</v>
      </c>
      <c r="I31" s="287">
        <f>'Exit Tariff_2'!E225</f>
        <v>0.17704832862406322</v>
      </c>
      <c r="J31" s="1"/>
      <c r="K31" s="214" t="str">
        <f>+Output!J31</f>
        <v>€/(kWh/day)/year</v>
      </c>
      <c r="L31" s="1"/>
    </row>
    <row r="32" spans="3:12" ht="14.4">
      <c r="C32" s="270"/>
      <c r="D32" s="190"/>
      <c r="E32" s="191" t="str">
        <f>+Output!E32</f>
        <v>Annual Flexible Rate - Additional Monthly Capacity (April to September)</v>
      </c>
      <c r="F32" s="37"/>
      <c r="G32" s="316">
        <v>0.24917299826629197</v>
      </c>
      <c r="H32" s="289">
        <f>'Exit Tariff_2'!D226</f>
        <v>0.26557249293609486</v>
      </c>
      <c r="I32" s="289">
        <f>'Exit Tariff_2'!E226</f>
        <v>0.26557249293609486</v>
      </c>
      <c r="J32" s="290"/>
      <c r="K32" s="194" t="str">
        <f>+Output!J32</f>
        <v>€/(kWh/day)/year</v>
      </c>
      <c r="L32" s="1"/>
    </row>
    <row r="33" spans="3:19" ht="14.4">
      <c r="C33" s="270"/>
      <c r="D33" s="190"/>
      <c r="E33" s="191" t="str">
        <f>+Output!E33</f>
        <v>Flexible Monthly Rate - Monthly Capacity (October to March)</v>
      </c>
      <c r="F33" s="37"/>
      <c r="G33" s="316">
        <v>0.49834599653258393</v>
      </c>
      <c r="H33" s="289">
        <f>'Exit Tariff_2'!D227</f>
        <v>0.53114498587218972</v>
      </c>
      <c r="I33" s="289">
        <f>'Exit Tariff_2'!E227</f>
        <v>0.53114498587218972</v>
      </c>
      <c r="J33" s="37"/>
      <c r="K33" s="194" t="str">
        <f>+Output!J33</f>
        <v>€/(kWh/day)/year</v>
      </c>
      <c r="L33" s="1"/>
    </row>
    <row r="34" spans="3:19" ht="14.4">
      <c r="C34" s="270"/>
      <c r="D34" s="190"/>
      <c r="E34" s="191" t="str">
        <f>+Output!E34</f>
        <v>Flexible Monthly Rate - Monthly Capacity (April to September)</v>
      </c>
      <c r="F34" s="286"/>
      <c r="G34" s="316">
        <v>0.24917299826629197</v>
      </c>
      <c r="H34" s="289">
        <f>'Exit Tariff_2'!D228</f>
        <v>0.26557249293609486</v>
      </c>
      <c r="I34" s="289">
        <f>'Exit Tariff_2'!E228</f>
        <v>0.26557249293609486</v>
      </c>
      <c r="J34" s="288"/>
      <c r="K34" s="194" t="str">
        <f>+Output!J34</f>
        <v>€/(kWh/day)/year</v>
      </c>
      <c r="L34" s="1"/>
    </row>
    <row r="35" spans="3:19" ht="14.4">
      <c r="C35" s="270"/>
      <c r="D35" s="190"/>
      <c r="E35" s="191" t="str">
        <f>+Output!E35</f>
        <v>Daily Flexible Rate - Daily Capacity (October to March)</v>
      </c>
      <c r="F35" s="1"/>
      <c r="G35" s="316">
        <v>1.6611533217752801</v>
      </c>
      <c r="H35" s="289">
        <f>'Exit Tariff_2'!D229</f>
        <v>1.7704832862406321</v>
      </c>
      <c r="I35" s="289">
        <f>'Exit Tariff_2'!E229</f>
        <v>1.7704832862406321</v>
      </c>
      <c r="J35" s="1"/>
      <c r="K35" s="194" t="str">
        <f>+Output!J35</f>
        <v>€/(kWh/day)/year</v>
      </c>
      <c r="L35" s="1"/>
    </row>
    <row r="36" spans="3:19" ht="15" thickBot="1">
      <c r="C36" s="271"/>
      <c r="D36" s="197"/>
      <c r="E36" s="198" t="str">
        <f>+Output!E36</f>
        <v>Daily Flexible Rate - Daily Capacity (April to September)</v>
      </c>
      <c r="F36" s="37"/>
      <c r="G36" s="317">
        <v>0.99669199306516787</v>
      </c>
      <c r="H36" s="291">
        <f>'Exit Tariff_2'!D230</f>
        <v>1.0622899717443794</v>
      </c>
      <c r="I36" s="291">
        <f>'Exit Tariff_2'!E230</f>
        <v>1.0622899717443794</v>
      </c>
      <c r="J36" s="290"/>
      <c r="K36" s="201" t="str">
        <f>+Output!J36</f>
        <v>€/(kWh/day)/year</v>
      </c>
      <c r="L36" s="1"/>
    </row>
    <row r="37" spans="3:19" ht="15" thickBot="1"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3:19" ht="15" thickBot="1">
      <c r="C38" s="1"/>
      <c r="D38" s="1"/>
      <c r="E38" s="1"/>
      <c r="F38" s="1"/>
      <c r="G38" s="1"/>
      <c r="H38" s="1"/>
      <c r="I38" s="1"/>
      <c r="J38" s="1"/>
      <c r="K38" s="1"/>
      <c r="L38" s="1"/>
      <c r="O38" s="261" t="str">
        <f>+D4</f>
        <v>Point</v>
      </c>
      <c r="P38" s="262" t="str">
        <f>+E4</f>
        <v>Product</v>
      </c>
      <c r="R38" s="263" t="str">
        <f>+H4</f>
        <v>2025-26</v>
      </c>
      <c r="S38" s="263" t="str">
        <f>+I4</f>
        <v>2026-27</v>
      </c>
    </row>
    <row r="39" spans="3:19" ht="14.4">
      <c r="C39" s="1"/>
      <c r="D39" s="1"/>
      <c r="E39" s="1"/>
      <c r="F39" s="1"/>
      <c r="G39" s="1"/>
      <c r="H39" s="1"/>
      <c r="I39" s="1"/>
      <c r="J39" s="1"/>
      <c r="K39" s="1"/>
      <c r="L39" s="1"/>
      <c r="N39" s="265" t="str">
        <f>+C5</f>
        <v>Entry</v>
      </c>
      <c r="O39" s="183" t="str">
        <f>+D5</f>
        <v>VIP Iberico</v>
      </c>
      <c r="P39" s="184" t="str">
        <f>+E5</f>
        <v>Yearly</v>
      </c>
      <c r="Q39" s="286"/>
      <c r="R39" s="294">
        <f t="shared" ref="R39:S70" si="0">IF(G5=0,"-",H5/G5-1)</f>
        <v>6.0681819444752927E-2</v>
      </c>
      <c r="S39" s="295">
        <f t="shared" si="0"/>
        <v>0</v>
      </c>
    </row>
    <row r="40" spans="3:19" ht="14.4">
      <c r="C40" s="1"/>
      <c r="D40" s="1"/>
      <c r="E40" s="1"/>
      <c r="F40" s="1"/>
      <c r="G40" s="1"/>
      <c r="H40" s="1"/>
      <c r="I40" s="1"/>
      <c r="J40" s="1"/>
      <c r="K40" s="1"/>
      <c r="L40" s="1"/>
      <c r="N40" s="267"/>
      <c r="O40" s="190"/>
      <c r="P40" s="191" t="str">
        <f t="shared" ref="P40:P70" si="1">+E6</f>
        <v>Quarterly</v>
      </c>
      <c r="R40" s="296">
        <f t="shared" si="0"/>
        <v>6.0681819444753149E-2</v>
      </c>
      <c r="S40" s="297">
        <f t="shared" si="0"/>
        <v>0</v>
      </c>
    </row>
    <row r="41" spans="3:19" ht="14.4">
      <c r="C41" s="1"/>
      <c r="D41" s="1"/>
      <c r="E41" s="1"/>
      <c r="F41" s="1"/>
      <c r="G41" s="1"/>
      <c r="H41" s="1"/>
      <c r="I41" s="1"/>
      <c r="J41" s="1"/>
      <c r="K41" s="1"/>
      <c r="L41" s="1"/>
      <c r="N41" s="267"/>
      <c r="O41" s="190"/>
      <c r="P41" s="191" t="str">
        <f t="shared" si="1"/>
        <v>Monthly</v>
      </c>
      <c r="Q41" s="37"/>
      <c r="R41" s="296">
        <f t="shared" si="0"/>
        <v>6.0681819444752927E-2</v>
      </c>
      <c r="S41" s="297">
        <f t="shared" si="0"/>
        <v>0</v>
      </c>
    </row>
    <row r="42" spans="3:19" ht="14.4">
      <c r="C42" s="1"/>
      <c r="D42" s="1"/>
      <c r="E42" s="1"/>
      <c r="F42" s="1"/>
      <c r="G42" s="1"/>
      <c r="H42" s="1"/>
      <c r="I42" s="1"/>
      <c r="J42" s="1"/>
      <c r="K42" s="1"/>
      <c r="L42" s="1"/>
      <c r="N42" s="267"/>
      <c r="O42" s="190"/>
      <c r="P42" s="191" t="str">
        <f t="shared" si="1"/>
        <v>Daily</v>
      </c>
      <c r="Q42" s="37"/>
      <c r="R42" s="296">
        <f t="shared" si="0"/>
        <v>6.0681819444753149E-2</v>
      </c>
      <c r="S42" s="297">
        <f t="shared" si="0"/>
        <v>0</v>
      </c>
    </row>
    <row r="43" spans="3:19" ht="15" thickBot="1">
      <c r="C43" s="1"/>
      <c r="D43" s="1"/>
      <c r="E43" s="1"/>
      <c r="F43" s="1"/>
      <c r="G43" s="1"/>
      <c r="H43" s="1"/>
      <c r="I43" s="1"/>
      <c r="J43" s="1"/>
      <c r="K43" s="1"/>
      <c r="L43" s="1"/>
      <c r="N43" s="267"/>
      <c r="O43" s="197"/>
      <c r="P43" s="198" t="str">
        <f t="shared" si="1"/>
        <v>Intraday</v>
      </c>
      <c r="Q43" s="286"/>
      <c r="R43" s="298">
        <f t="shared" si="0"/>
        <v>6.0681819444753149E-2</v>
      </c>
      <c r="S43" s="299">
        <f t="shared" si="0"/>
        <v>0</v>
      </c>
    </row>
    <row r="44" spans="3:19" ht="14.4">
      <c r="C44" s="1"/>
      <c r="D44" s="1"/>
      <c r="E44" s="1"/>
      <c r="F44" s="1"/>
      <c r="G44" s="1"/>
      <c r="H44" s="1"/>
      <c r="I44" s="1"/>
      <c r="J44" s="1"/>
      <c r="K44" s="1"/>
      <c r="L44" s="1"/>
      <c r="N44" s="267"/>
      <c r="O44" s="183" t="str">
        <f>+D10</f>
        <v>LNG terminal</v>
      </c>
      <c r="P44" s="184" t="str">
        <f t="shared" si="1"/>
        <v>Yearly</v>
      </c>
      <c r="R44" s="294">
        <f t="shared" si="0"/>
        <v>5.5659754772347414E-2</v>
      </c>
      <c r="S44" s="295">
        <f t="shared" si="0"/>
        <v>0</v>
      </c>
    </row>
    <row r="45" spans="3:19" ht="14.4">
      <c r="C45" s="1"/>
      <c r="D45" s="1"/>
      <c r="E45" s="1"/>
      <c r="F45" s="1"/>
      <c r="G45" s="1"/>
      <c r="H45" s="1"/>
      <c r="I45" s="1"/>
      <c r="J45" s="1"/>
      <c r="K45" s="1"/>
      <c r="L45" s="1"/>
      <c r="N45" s="267"/>
      <c r="O45" s="190"/>
      <c r="P45" s="191" t="str">
        <f t="shared" si="1"/>
        <v>Quarterly</v>
      </c>
      <c r="Q45" s="37"/>
      <c r="R45" s="296">
        <f t="shared" si="0"/>
        <v>5.5659754772347414E-2</v>
      </c>
      <c r="S45" s="297">
        <f t="shared" si="0"/>
        <v>0</v>
      </c>
    </row>
    <row r="46" spans="3:19" ht="14.4">
      <c r="C46" s="1"/>
      <c r="D46" s="1"/>
      <c r="E46" s="1"/>
      <c r="F46" s="1"/>
      <c r="G46" s="1"/>
      <c r="H46" s="1"/>
      <c r="I46" s="1"/>
      <c r="J46" s="1"/>
      <c r="K46" s="1"/>
      <c r="L46" s="1"/>
      <c r="N46" s="267"/>
      <c r="O46" s="190"/>
      <c r="P46" s="191" t="str">
        <f t="shared" si="1"/>
        <v>Monthly</v>
      </c>
      <c r="Q46" s="37"/>
      <c r="R46" s="296">
        <f t="shared" si="0"/>
        <v>5.5659754772347636E-2</v>
      </c>
      <c r="S46" s="297">
        <f t="shared" si="0"/>
        <v>0</v>
      </c>
    </row>
    <row r="47" spans="3:19" ht="14.4">
      <c r="C47" s="1"/>
      <c r="D47" s="1"/>
      <c r="E47" s="1"/>
      <c r="F47" s="1"/>
      <c r="G47" s="1"/>
      <c r="H47" s="1"/>
      <c r="I47" s="1"/>
      <c r="J47" s="1"/>
      <c r="K47" s="1"/>
      <c r="L47" s="1"/>
      <c r="N47" s="267"/>
      <c r="O47" s="190"/>
      <c r="P47" s="191" t="str">
        <f t="shared" si="1"/>
        <v>Daily</v>
      </c>
      <c r="Q47" s="286"/>
      <c r="R47" s="296">
        <f t="shared" si="0"/>
        <v>5.5659754772347858E-2</v>
      </c>
      <c r="S47" s="297">
        <f t="shared" si="0"/>
        <v>0</v>
      </c>
    </row>
    <row r="48" spans="3:19" ht="15" thickBot="1">
      <c r="C48" s="1"/>
      <c r="D48" s="1"/>
      <c r="E48" s="1"/>
      <c r="F48" s="1"/>
      <c r="G48" s="1"/>
      <c r="H48" s="1"/>
      <c r="I48" s="1"/>
      <c r="J48" s="1"/>
      <c r="K48" s="1"/>
      <c r="L48" s="1"/>
      <c r="N48" s="267"/>
      <c r="O48" s="197"/>
      <c r="P48" s="198" t="str">
        <f t="shared" si="1"/>
        <v>Intraday</v>
      </c>
      <c r="R48" s="298">
        <f t="shared" si="0"/>
        <v>5.5659754772347636E-2</v>
      </c>
      <c r="S48" s="299">
        <f t="shared" si="0"/>
        <v>0</v>
      </c>
    </row>
    <row r="49" spans="3:19" ht="14.4">
      <c r="C49" s="1"/>
      <c r="D49" s="1"/>
      <c r="E49" s="1"/>
      <c r="F49" s="1"/>
      <c r="G49" s="1"/>
      <c r="H49" s="1"/>
      <c r="I49" s="1"/>
      <c r="J49" s="1"/>
      <c r="K49" s="1"/>
      <c r="L49" s="1"/>
      <c r="N49" s="267"/>
      <c r="O49" s="183" t="str">
        <f>+D15</f>
        <v>Underground Storage</v>
      </c>
      <c r="P49" s="184" t="str">
        <f t="shared" si="1"/>
        <v>Daily</v>
      </c>
      <c r="Q49" s="37"/>
      <c r="R49" s="294" t="str">
        <f t="shared" si="0"/>
        <v>-</v>
      </c>
      <c r="S49" s="295" t="str">
        <f t="shared" si="0"/>
        <v>-</v>
      </c>
    </row>
    <row r="50" spans="3:19" ht="15" thickBot="1">
      <c r="C50" s="1"/>
      <c r="D50" s="1"/>
      <c r="E50" s="1"/>
      <c r="F50" s="1"/>
      <c r="G50" s="1"/>
      <c r="H50" s="1"/>
      <c r="I50" s="1"/>
      <c r="J50" s="1"/>
      <c r="K50" s="1"/>
      <c r="L50" s="1"/>
      <c r="N50" s="270"/>
      <c r="O50" s="197"/>
      <c r="P50" s="198" t="str">
        <f t="shared" si="1"/>
        <v>Intraday</v>
      </c>
      <c r="Q50" s="37"/>
      <c r="R50" s="298" t="str">
        <f t="shared" si="0"/>
        <v>-</v>
      </c>
      <c r="S50" s="299" t="str">
        <f t="shared" si="0"/>
        <v>-</v>
      </c>
    </row>
    <row r="51" spans="3:19" ht="15" thickBot="1">
      <c r="C51" s="1"/>
      <c r="D51" s="1"/>
      <c r="E51" s="1"/>
      <c r="F51" s="1"/>
      <c r="G51" s="1"/>
      <c r="H51" s="1"/>
      <c r="I51" s="1"/>
      <c r="J51" s="1"/>
      <c r="K51" s="1"/>
      <c r="L51" s="1"/>
      <c r="N51" s="271"/>
      <c r="O51" s="190" t="str">
        <f>+D17</f>
        <v>Gas producers</v>
      </c>
      <c r="P51" s="205" t="str">
        <f t="shared" si="1"/>
        <v>Used capacity at injection</v>
      </c>
      <c r="Q51" s="37"/>
      <c r="R51" s="300">
        <f t="shared" si="0"/>
        <v>2.8366020513561852E-2</v>
      </c>
      <c r="S51" s="301">
        <f t="shared" si="0"/>
        <v>0</v>
      </c>
    </row>
    <row r="52" spans="3:19" ht="14.4">
      <c r="C52" s="1"/>
      <c r="D52" s="1"/>
      <c r="E52" s="1"/>
      <c r="F52" s="1"/>
      <c r="G52" s="1"/>
      <c r="H52" s="1"/>
      <c r="I52" s="1"/>
      <c r="J52" s="1"/>
      <c r="K52" s="1"/>
      <c r="L52" s="1"/>
      <c r="N52" s="265" t="str">
        <f>+C18</f>
        <v>Exit</v>
      </c>
      <c r="O52" s="183" t="str">
        <f>+D18</f>
        <v>VIP Iberico</v>
      </c>
      <c r="P52" s="184" t="str">
        <f t="shared" si="1"/>
        <v>Yearly</v>
      </c>
      <c r="Q52" s="286"/>
      <c r="R52" s="294">
        <f t="shared" si="0"/>
        <v>6.9266476595448045E-2</v>
      </c>
      <c r="S52" s="295">
        <f>IF(H18=0,"-",I18/H18-1)</f>
        <v>0</v>
      </c>
    </row>
    <row r="53" spans="3:19" ht="14.4">
      <c r="C53" s="1"/>
      <c r="D53" s="1"/>
      <c r="E53" s="1"/>
      <c r="F53" s="1"/>
      <c r="G53" s="1"/>
      <c r="H53" s="1"/>
      <c r="I53" s="1"/>
      <c r="J53" s="1"/>
      <c r="K53" s="1"/>
      <c r="L53" s="1"/>
      <c r="N53" s="270"/>
      <c r="O53" s="190"/>
      <c r="P53" s="191" t="str">
        <f t="shared" si="1"/>
        <v>Quarterly</v>
      </c>
      <c r="R53" s="296">
        <f t="shared" si="0"/>
        <v>6.9266476595447601E-2</v>
      </c>
      <c r="S53" s="297">
        <f>IF(H19=0,"-",I19/H19-1)</f>
        <v>0</v>
      </c>
    </row>
    <row r="54" spans="3:19" ht="14.4">
      <c r="C54" s="1"/>
      <c r="D54" s="1"/>
      <c r="E54" s="1"/>
      <c r="F54" s="1"/>
      <c r="G54" s="1"/>
      <c r="H54" s="1"/>
      <c r="I54" s="1"/>
      <c r="J54" s="1"/>
      <c r="K54" s="1"/>
      <c r="L54" s="1"/>
      <c r="N54" s="270"/>
      <c r="O54" s="190"/>
      <c r="P54" s="191" t="str">
        <f t="shared" si="1"/>
        <v>Monthly</v>
      </c>
      <c r="Q54" s="37"/>
      <c r="R54" s="296">
        <f t="shared" si="0"/>
        <v>6.9266476595447823E-2</v>
      </c>
      <c r="S54" s="297">
        <f>IF(H20=0,"-",I20/H20-1)</f>
        <v>0</v>
      </c>
    </row>
    <row r="55" spans="3:19" ht="14.4">
      <c r="C55" s="1"/>
      <c r="D55" s="1"/>
      <c r="E55" s="1"/>
      <c r="F55" s="1"/>
      <c r="G55" s="1"/>
      <c r="H55" s="1"/>
      <c r="I55" s="1"/>
      <c r="J55" s="1"/>
      <c r="K55" s="1"/>
      <c r="L55" s="1"/>
      <c r="N55" s="270"/>
      <c r="O55" s="190"/>
      <c r="P55" s="191" t="str">
        <f t="shared" si="1"/>
        <v>Daily</v>
      </c>
      <c r="Q55" s="37"/>
      <c r="R55" s="296">
        <f t="shared" si="0"/>
        <v>6.9266476595447823E-2</v>
      </c>
      <c r="S55" s="297">
        <f t="shared" si="0"/>
        <v>0</v>
      </c>
    </row>
    <row r="56" spans="3:19" ht="15" thickBot="1">
      <c r="C56" s="1"/>
      <c r="D56" s="1"/>
      <c r="E56" s="1"/>
      <c r="F56" s="1"/>
      <c r="G56" s="1"/>
      <c r="H56" s="1"/>
      <c r="I56" s="1"/>
      <c r="J56" s="1"/>
      <c r="K56" s="1"/>
      <c r="L56" s="1"/>
      <c r="N56" s="270"/>
      <c r="O56" s="197"/>
      <c r="P56" s="198" t="str">
        <f t="shared" si="1"/>
        <v>Intraday</v>
      </c>
      <c r="Q56" s="286"/>
      <c r="R56" s="298">
        <f t="shared" si="0"/>
        <v>6.9266476595447823E-2</v>
      </c>
      <c r="S56" s="299">
        <f t="shared" si="0"/>
        <v>0</v>
      </c>
    </row>
    <row r="57" spans="3:19" ht="14.4">
      <c r="C57" s="1"/>
      <c r="D57" s="1"/>
      <c r="E57" s="1"/>
      <c r="F57" s="1"/>
      <c r="G57" s="1"/>
      <c r="H57" s="1"/>
      <c r="I57" s="1"/>
      <c r="J57" s="1"/>
      <c r="K57" s="1"/>
      <c r="L57" s="1"/>
      <c r="N57" s="270"/>
      <c r="O57" s="183" t="str">
        <f>+D23</f>
        <v>LNG terminal</v>
      </c>
      <c r="P57" s="184" t="str">
        <f t="shared" si="1"/>
        <v>Yearly</v>
      </c>
      <c r="R57" s="294" t="str">
        <f t="shared" si="0"/>
        <v>-</v>
      </c>
      <c r="S57" s="295" t="str">
        <f t="shared" si="0"/>
        <v>-</v>
      </c>
    </row>
    <row r="58" spans="3:19" ht="14.4">
      <c r="C58" s="1"/>
      <c r="D58" s="1"/>
      <c r="E58" s="1"/>
      <c r="F58" s="1"/>
      <c r="G58" s="1"/>
      <c r="H58" s="1"/>
      <c r="I58" s="1"/>
      <c r="J58" s="1"/>
      <c r="K58" s="1"/>
      <c r="L58" s="1"/>
      <c r="N58" s="270"/>
      <c r="O58" s="190"/>
      <c r="P58" s="191" t="str">
        <f t="shared" si="1"/>
        <v>Quarterly</v>
      </c>
      <c r="Q58" s="37"/>
      <c r="R58" s="296" t="str">
        <f t="shared" si="0"/>
        <v>-</v>
      </c>
      <c r="S58" s="297" t="str">
        <f t="shared" si="0"/>
        <v>-</v>
      </c>
    </row>
    <row r="59" spans="3:19" ht="14.4">
      <c r="C59" s="1"/>
      <c r="D59" s="1"/>
      <c r="E59" s="1"/>
      <c r="F59" s="1"/>
      <c r="G59" s="1"/>
      <c r="H59" s="1"/>
      <c r="I59" s="1"/>
      <c r="J59" s="1"/>
      <c r="K59" s="1"/>
      <c r="L59" s="1"/>
      <c r="N59" s="270"/>
      <c r="O59" s="190"/>
      <c r="P59" s="191" t="str">
        <f t="shared" si="1"/>
        <v>Monthly</v>
      </c>
      <c r="Q59" s="37"/>
      <c r="R59" s="296" t="str">
        <f t="shared" si="0"/>
        <v>-</v>
      </c>
      <c r="S59" s="297" t="str">
        <f t="shared" si="0"/>
        <v>-</v>
      </c>
    </row>
    <row r="60" spans="3:19" ht="14.4">
      <c r="C60" s="1"/>
      <c r="D60" s="1"/>
      <c r="E60" s="1"/>
      <c r="F60" s="1"/>
      <c r="G60" s="1"/>
      <c r="H60" s="1"/>
      <c r="I60" s="1"/>
      <c r="J60" s="1"/>
      <c r="K60" s="1"/>
      <c r="L60" s="1"/>
      <c r="N60" s="270"/>
      <c r="O60" s="190"/>
      <c r="P60" s="191" t="str">
        <f t="shared" si="1"/>
        <v>Daily</v>
      </c>
      <c r="Q60" s="286"/>
      <c r="R60" s="296" t="str">
        <f t="shared" si="0"/>
        <v>-</v>
      </c>
      <c r="S60" s="297" t="str">
        <f t="shared" si="0"/>
        <v>-</v>
      </c>
    </row>
    <row r="61" spans="3:19" ht="15" thickBot="1">
      <c r="C61" s="1"/>
      <c r="D61" s="1"/>
      <c r="E61" s="1"/>
      <c r="F61" s="1"/>
      <c r="G61" s="1"/>
      <c r="H61" s="1"/>
      <c r="I61" s="1"/>
      <c r="J61" s="1"/>
      <c r="K61" s="1"/>
      <c r="L61" s="1"/>
      <c r="N61" s="270"/>
      <c r="O61" s="197"/>
      <c r="P61" s="198" t="str">
        <f t="shared" si="1"/>
        <v>Intraday</v>
      </c>
      <c r="R61" s="298" t="str">
        <f t="shared" si="0"/>
        <v>-</v>
      </c>
      <c r="S61" s="299" t="str">
        <f t="shared" si="0"/>
        <v>-</v>
      </c>
    </row>
    <row r="62" spans="3:19" ht="14.4">
      <c r="C62" s="1"/>
      <c r="D62" s="1"/>
      <c r="E62" s="1"/>
      <c r="F62" s="1"/>
      <c r="G62" s="1"/>
      <c r="H62" s="1"/>
      <c r="I62" s="1"/>
      <c r="J62" s="1"/>
      <c r="K62" s="1"/>
      <c r="L62" s="1"/>
      <c r="N62" s="270"/>
      <c r="O62" s="183" t="str">
        <f>+D28</f>
        <v>Underground Storage</v>
      </c>
      <c r="P62" s="184" t="str">
        <f t="shared" si="1"/>
        <v>Daily</v>
      </c>
      <c r="Q62" s="37"/>
      <c r="R62" s="294" t="str">
        <f t="shared" si="0"/>
        <v>-</v>
      </c>
      <c r="S62" s="295" t="str">
        <f t="shared" si="0"/>
        <v>-</v>
      </c>
    </row>
    <row r="63" spans="3:19" ht="15" thickBot="1">
      <c r="C63" s="1"/>
      <c r="D63" s="1"/>
      <c r="E63" s="1"/>
      <c r="F63" s="1"/>
      <c r="G63" s="1"/>
      <c r="H63" s="1"/>
      <c r="I63" s="1"/>
      <c r="J63" s="1"/>
      <c r="K63" s="1"/>
      <c r="L63" s="1"/>
      <c r="N63" s="270"/>
      <c r="O63" s="197"/>
      <c r="P63" s="198" t="str">
        <f t="shared" si="1"/>
        <v>Intraday</v>
      </c>
      <c r="Q63" s="37"/>
      <c r="R63" s="298" t="str">
        <f t="shared" si="0"/>
        <v>-</v>
      </c>
      <c r="S63" s="299" t="str">
        <f t="shared" si="0"/>
        <v>-</v>
      </c>
    </row>
    <row r="64" spans="3:19" ht="15" thickBot="1">
      <c r="C64" s="1"/>
      <c r="D64" s="1"/>
      <c r="E64" s="1"/>
      <c r="F64" s="1"/>
      <c r="G64" s="1"/>
      <c r="H64" s="1"/>
      <c r="I64" s="1"/>
      <c r="J64" s="1"/>
      <c r="K64" s="1"/>
      <c r="L64" s="1"/>
      <c r="N64" s="270"/>
      <c r="O64" s="209" t="str">
        <f>+D30</f>
        <v>Distribution networks and HP Customers</v>
      </c>
      <c r="P64" s="210" t="str">
        <f t="shared" si="1"/>
        <v>Long Uses</v>
      </c>
      <c r="Q64" s="286"/>
      <c r="R64" s="300">
        <f t="shared" si="0"/>
        <v>6.5815697462839218E-2</v>
      </c>
      <c r="S64" s="301">
        <f t="shared" si="0"/>
        <v>0</v>
      </c>
    </row>
    <row r="65" spans="3:19" ht="14.4">
      <c r="C65" s="1"/>
      <c r="D65" s="1"/>
      <c r="E65" s="1"/>
      <c r="F65" s="1"/>
      <c r="G65" s="1"/>
      <c r="H65" s="1"/>
      <c r="I65" s="1"/>
      <c r="J65" s="1"/>
      <c r="K65" s="1"/>
      <c r="L65" s="1"/>
      <c r="N65" s="270"/>
      <c r="O65" s="183" t="str">
        <f>+D31</f>
        <v>HP Customers</v>
      </c>
      <c r="P65" s="184" t="str">
        <f t="shared" si="1"/>
        <v>Annual Flexible Rate - Annual Base Capacity</v>
      </c>
      <c r="R65" s="294">
        <f t="shared" si="0"/>
        <v>6.5815697462839218E-2</v>
      </c>
      <c r="S65" s="295">
        <f t="shared" si="0"/>
        <v>0</v>
      </c>
    </row>
    <row r="66" spans="3:19" ht="14.4">
      <c r="C66" s="1"/>
      <c r="D66" s="1"/>
      <c r="E66" s="1"/>
      <c r="F66" s="1"/>
      <c r="G66" s="1"/>
      <c r="H66" s="1"/>
      <c r="I66" s="1"/>
      <c r="J66" s="1"/>
      <c r="K66" s="1"/>
      <c r="L66" s="1"/>
      <c r="N66" s="270"/>
      <c r="O66" s="190"/>
      <c r="P66" s="191" t="str">
        <f t="shared" si="1"/>
        <v>Annual Flexible Rate - Additional Monthly Capacity (April to September)</v>
      </c>
      <c r="Q66" s="37"/>
      <c r="R66" s="296">
        <f t="shared" si="0"/>
        <v>6.581569746283944E-2</v>
      </c>
      <c r="S66" s="297">
        <f t="shared" si="0"/>
        <v>0</v>
      </c>
    </row>
    <row r="67" spans="3:19" ht="14.4">
      <c r="C67" s="1"/>
      <c r="D67" s="1"/>
      <c r="E67" s="1"/>
      <c r="F67" s="1"/>
      <c r="G67" s="1"/>
      <c r="H67" s="1"/>
      <c r="I67" s="1"/>
      <c r="J67" s="1"/>
      <c r="K67" s="1"/>
      <c r="L67" s="1"/>
      <c r="N67" s="270"/>
      <c r="O67" s="190"/>
      <c r="P67" s="191" t="str">
        <f t="shared" si="1"/>
        <v>Flexible Monthly Rate - Monthly Capacity (October to March)</v>
      </c>
      <c r="Q67" s="37"/>
      <c r="R67" s="296">
        <f t="shared" si="0"/>
        <v>6.581569746283944E-2</v>
      </c>
      <c r="S67" s="297">
        <f t="shared" si="0"/>
        <v>0</v>
      </c>
    </row>
    <row r="68" spans="3:19" ht="14.4">
      <c r="C68" s="1"/>
      <c r="D68" s="1"/>
      <c r="E68" s="1"/>
      <c r="F68" s="1"/>
      <c r="G68" s="1"/>
      <c r="H68" s="1"/>
      <c r="I68" s="1"/>
      <c r="J68" s="1"/>
      <c r="K68" s="1"/>
      <c r="L68" s="1"/>
      <c r="N68" s="270"/>
      <c r="O68" s="190"/>
      <c r="P68" s="191" t="str">
        <f t="shared" si="1"/>
        <v>Flexible Monthly Rate - Monthly Capacity (April to September)</v>
      </c>
      <c r="Q68" s="286"/>
      <c r="R68" s="296">
        <f t="shared" si="0"/>
        <v>6.581569746283944E-2</v>
      </c>
      <c r="S68" s="297">
        <f t="shared" si="0"/>
        <v>0</v>
      </c>
    </row>
    <row r="69" spans="3:19" ht="14.4">
      <c r="C69" s="1"/>
      <c r="D69" s="1"/>
      <c r="E69" s="1"/>
      <c r="F69" s="1"/>
      <c r="G69" s="1"/>
      <c r="H69" s="1"/>
      <c r="I69" s="1"/>
      <c r="J69" s="1"/>
      <c r="K69" s="1"/>
      <c r="L69" s="1"/>
      <c r="N69" s="270"/>
      <c r="O69" s="190"/>
      <c r="P69" s="191" t="str">
        <f t="shared" si="1"/>
        <v>Daily Flexible Rate - Daily Capacity (October to March)</v>
      </c>
      <c r="R69" s="296">
        <f t="shared" si="0"/>
        <v>6.5815697462838996E-2</v>
      </c>
      <c r="S69" s="297">
        <f t="shared" si="0"/>
        <v>0</v>
      </c>
    </row>
    <row r="70" spans="3:19" ht="15" thickBot="1">
      <c r="C70" s="1"/>
      <c r="D70" s="1"/>
      <c r="E70" s="1"/>
      <c r="F70" s="1"/>
      <c r="G70" s="1"/>
      <c r="H70" s="1"/>
      <c r="I70" s="1"/>
      <c r="J70" s="1"/>
      <c r="K70" s="1"/>
      <c r="L70" s="1"/>
      <c r="N70" s="271"/>
      <c r="O70" s="197"/>
      <c r="P70" s="198" t="str">
        <f t="shared" si="1"/>
        <v>Daily Flexible Rate - Daily Capacity (April to September)</v>
      </c>
      <c r="Q70" s="37"/>
      <c r="R70" s="298">
        <f t="shared" si="0"/>
        <v>6.581569746283944E-2</v>
      </c>
      <c r="S70" s="299">
        <f t="shared" si="0"/>
        <v>0</v>
      </c>
    </row>
    <row r="71" spans="3:19" ht="14.4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9" ht="14.4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9" ht="14.4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9" ht="14.4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9" ht="14.4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9" ht="14.4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9" ht="14.4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9" ht="14.4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9" ht="14.4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9" ht="14.4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 ht="14.4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 ht="14.4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 ht="14.4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 ht="0" hidden="1" customHeight="1">
      <c r="E84" s="1"/>
    </row>
  </sheetData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180D-F277-4AB2-A5D0-BC16EE29D82D}">
  <sheetPr>
    <tabColor theme="6"/>
  </sheetPr>
  <dimension ref="A1:F103"/>
  <sheetViews>
    <sheetView showGridLines="0" workbookViewId="0">
      <selection sqref="A1:A1048576"/>
    </sheetView>
  </sheetViews>
  <sheetFormatPr defaultColWidth="0" defaultRowHeight="14.4"/>
  <cols>
    <col min="1" max="1" width="16.109375" style="1" customWidth="1"/>
    <col min="2" max="2" width="50.5546875" style="1" customWidth="1"/>
    <col min="3" max="3" width="9.109375" style="1" customWidth="1"/>
    <col min="4" max="5" width="50.5546875" style="1" customWidth="1"/>
    <col min="6" max="6" width="9.109375" style="1" customWidth="1"/>
    <col min="7" max="16384" width="9.109375" style="1" hidden="1"/>
  </cols>
  <sheetData>
    <row r="1" spans="1:6">
      <c r="B1" s="253" t="s">
        <v>680</v>
      </c>
      <c r="D1" s="253"/>
      <c r="E1" s="253"/>
    </row>
    <row r="2" spans="1:6" ht="15" thickBot="1">
      <c r="A2" s="108"/>
      <c r="B2" s="302" t="str">
        <f>+Info!R3</f>
        <v>English</v>
      </c>
      <c r="C2" s="108"/>
      <c r="D2" s="303" t="s">
        <v>681</v>
      </c>
      <c r="E2" s="303" t="s">
        <v>650</v>
      </c>
      <c r="F2" s="108"/>
    </row>
    <row r="3" spans="1:6">
      <c r="A3" s="304" t="s">
        <v>804</v>
      </c>
      <c r="B3" s="305" t="str">
        <f>IF($B$2=$D$2,D3,E3)</f>
        <v>Transmission tariffs for natural gas</v>
      </c>
      <c r="C3" s="306"/>
      <c r="D3" s="307" t="s">
        <v>682</v>
      </c>
      <c r="E3" s="307" t="s">
        <v>683</v>
      </c>
    </row>
    <row r="4" spans="1:6">
      <c r="B4" s="308" t="str">
        <f t="shared" ref="B4:B67" si="0">IF($B$2=$D$2,D4,E4)</f>
        <v>Simplified tariff model</v>
      </c>
      <c r="D4" s="309" t="s">
        <v>684</v>
      </c>
      <c r="E4" s="309" t="s">
        <v>685</v>
      </c>
    </row>
    <row r="5" spans="1:6" ht="43.2">
      <c r="B5" s="310" t="str">
        <f t="shared" si="0"/>
        <v>This simplified tariff model presents the transmission tariffs for natural gas since gas year 2025-2026 until gas year 2026-2027.</v>
      </c>
      <c r="D5" s="309" t="s">
        <v>799</v>
      </c>
      <c r="E5" s="309" t="s">
        <v>800</v>
      </c>
    </row>
    <row r="6" spans="1:6" ht="28.8">
      <c r="B6" s="310" t="str">
        <f t="shared" si="0"/>
        <v>All calculated data are for information purposes only.</v>
      </c>
      <c r="D6" s="309" t="s">
        <v>686</v>
      </c>
      <c r="E6" s="309" t="s">
        <v>687</v>
      </c>
    </row>
    <row r="7" spans="1:6" ht="28.8">
      <c r="B7" s="310" t="str">
        <f t="shared" si="0"/>
        <v>The calculated prices do not include value-added tax (VAT).</v>
      </c>
      <c r="D7" s="309" t="s">
        <v>688</v>
      </c>
      <c r="E7" s="309" t="s">
        <v>689</v>
      </c>
    </row>
    <row r="8" spans="1:6">
      <c r="B8" s="310" t="str">
        <f t="shared" si="0"/>
        <v>Description of the simplified tariff model</v>
      </c>
      <c r="D8" s="309" t="s">
        <v>690</v>
      </c>
      <c r="E8" s="309" t="s">
        <v>691</v>
      </c>
    </row>
    <row r="9" spans="1:6" ht="28.8">
      <c r="B9" s="310" t="str">
        <f t="shared" si="0"/>
        <v>This model includes two additional worksheets, with the following purposes:</v>
      </c>
      <c r="D9" s="309" t="s">
        <v>692</v>
      </c>
      <c r="E9" s="309" t="s">
        <v>693</v>
      </c>
    </row>
    <row r="10" spans="1:6">
      <c r="B10" s="310" t="str">
        <f t="shared" si="0"/>
        <v xml:space="preserve">Input - </v>
      </c>
      <c r="D10" s="309" t="s">
        <v>694</v>
      </c>
      <c r="E10" s="309" t="s">
        <v>694</v>
      </c>
    </row>
    <row r="11" spans="1:6">
      <c r="B11" s="310" t="str">
        <f t="shared" si="0"/>
        <v xml:space="preserve">Output - </v>
      </c>
      <c r="D11" s="309" t="s">
        <v>695</v>
      </c>
      <c r="E11" s="309" t="s">
        <v>695</v>
      </c>
    </row>
    <row r="12" spans="1:6" ht="43.2">
      <c r="B12" s="310" t="str">
        <f t="shared" si="0"/>
        <v>This worksheet includes the allowed revenues of the transmission system operator and the forecasted capacity demand.</v>
      </c>
      <c r="D12" s="309" t="s">
        <v>696</v>
      </c>
      <c r="E12" s="309" t="s">
        <v>697</v>
      </c>
    </row>
    <row r="13" spans="1:6" ht="43.2">
      <c r="B13" s="310" t="str">
        <f t="shared" si="0"/>
        <v>This worksheet computes the transmission tariffs applicable for the use of the transmission system based on the values from the 'Input' worksheet.</v>
      </c>
      <c r="D13" s="309" t="s">
        <v>698</v>
      </c>
      <c r="E13" s="309" t="s">
        <v>699</v>
      </c>
    </row>
    <row r="14" spans="1:6" ht="28.8">
      <c r="B14" s="310" t="str">
        <f t="shared" si="0"/>
        <v>The values that can be changed by the user are the yellow cells included in the 'Input' worksheet.</v>
      </c>
      <c r="D14" s="309" t="s">
        <v>700</v>
      </c>
      <c r="E14" s="309" t="s">
        <v>701</v>
      </c>
    </row>
    <row r="15" spans="1:6">
      <c r="B15" s="310" t="str">
        <f t="shared" si="0"/>
        <v>Color legend</v>
      </c>
      <c r="D15" s="311" t="s">
        <v>702</v>
      </c>
      <c r="E15" s="311" t="s">
        <v>703</v>
      </c>
    </row>
    <row r="16" spans="1:6" ht="43.2">
      <c r="B16" s="310" t="str">
        <f t="shared" si="0"/>
        <v>Yellow cells in the worksheet 'Input' correspond to the information used in the tariff approval for gas year 2025-2026.</v>
      </c>
      <c r="D16" s="311" t="s">
        <v>801</v>
      </c>
      <c r="E16" s="311" t="s">
        <v>802</v>
      </c>
    </row>
    <row r="17" spans="1:6" ht="43.2">
      <c r="B17" s="310" t="str">
        <f t="shared" si="0"/>
        <v>This information can be changed by the user in order to simulate what the transmission tariffs would have been equal to if demand or revenues were different.</v>
      </c>
      <c r="D17" s="311" t="s">
        <v>704</v>
      </c>
      <c r="E17" s="311" t="s">
        <v>705</v>
      </c>
    </row>
    <row r="18" spans="1:6" ht="43.2">
      <c r="B18" s="310" t="str">
        <f t="shared" si="0"/>
        <v>Green cells in the worksheet 'Output' are computed based on the values entered in the yellow cells in the 'Input' worksheet.</v>
      </c>
      <c r="D18" s="311" t="s">
        <v>706</v>
      </c>
      <c r="E18" s="311" t="s">
        <v>707</v>
      </c>
    </row>
    <row r="19" spans="1:6" ht="15" thickBot="1">
      <c r="A19" s="108"/>
      <c r="B19" s="312" t="str">
        <f t="shared" si="0"/>
        <v>Last update:</v>
      </c>
      <c r="C19" s="108"/>
      <c r="D19" s="313" t="s">
        <v>708</v>
      </c>
      <c r="E19" s="313" t="s">
        <v>709</v>
      </c>
      <c r="F19" s="108"/>
    </row>
    <row r="20" spans="1:6">
      <c r="A20" s="85" t="s">
        <v>710</v>
      </c>
      <c r="B20" s="308" t="str">
        <f t="shared" si="0"/>
        <v>Allowed revenues</v>
      </c>
      <c r="D20" s="307" t="s">
        <v>35</v>
      </c>
      <c r="E20" s="307" t="s">
        <v>711</v>
      </c>
    </row>
    <row r="21" spans="1:6">
      <c r="B21" s="310" t="str">
        <f t="shared" si="0"/>
        <v>Allowed revenues of the transmission system operator</v>
      </c>
      <c r="D21" s="309" t="s">
        <v>30</v>
      </c>
      <c r="E21" s="309" t="s">
        <v>712</v>
      </c>
    </row>
    <row r="22" spans="1:6">
      <c r="B22" s="310" t="str">
        <f t="shared" si="0"/>
        <v>Forecasted capacity demand</v>
      </c>
      <c r="D22" s="309" t="s">
        <v>713</v>
      </c>
      <c r="E22" s="309" t="s">
        <v>672</v>
      </c>
    </row>
    <row r="23" spans="1:6">
      <c r="B23" s="310" t="str">
        <f t="shared" si="0"/>
        <v>Point</v>
      </c>
      <c r="D23" s="309" t="s">
        <v>293</v>
      </c>
      <c r="E23" s="309" t="s">
        <v>714</v>
      </c>
    </row>
    <row r="24" spans="1:6">
      <c r="B24" s="310" t="str">
        <f t="shared" si="0"/>
        <v>Product</v>
      </c>
      <c r="D24" s="309" t="s">
        <v>6</v>
      </c>
      <c r="E24" s="309" t="s">
        <v>715</v>
      </c>
    </row>
    <row r="25" spans="1:6">
      <c r="B25" s="310" t="str">
        <f t="shared" si="0"/>
        <v>Entry</v>
      </c>
      <c r="D25" s="309" t="s">
        <v>7</v>
      </c>
      <c r="E25" s="309" t="s">
        <v>664</v>
      </c>
    </row>
    <row r="26" spans="1:6">
      <c r="B26" s="310" t="str">
        <f t="shared" si="0"/>
        <v>Exit</v>
      </c>
      <c r="D26" s="309" t="s">
        <v>16</v>
      </c>
      <c r="E26" s="309" t="s">
        <v>665</v>
      </c>
    </row>
    <row r="27" spans="1:6">
      <c r="B27" s="310" t="str">
        <f t="shared" si="0"/>
        <v>VIP Iberico</v>
      </c>
      <c r="D27" s="309" t="s">
        <v>225</v>
      </c>
      <c r="E27" s="309" t="s">
        <v>716</v>
      </c>
    </row>
    <row r="28" spans="1:6">
      <c r="B28" s="310" t="str">
        <f t="shared" si="0"/>
        <v>LNG terminal</v>
      </c>
      <c r="D28" s="309" t="s">
        <v>14</v>
      </c>
      <c r="E28" s="309" t="s">
        <v>308</v>
      </c>
    </row>
    <row r="29" spans="1:6">
      <c r="B29" s="310" t="str">
        <f t="shared" si="0"/>
        <v>Underground Storage</v>
      </c>
      <c r="D29" s="309" t="s">
        <v>717</v>
      </c>
      <c r="E29" s="309" t="s">
        <v>309</v>
      </c>
    </row>
    <row r="30" spans="1:6">
      <c r="B30" s="310" t="str">
        <f t="shared" si="0"/>
        <v>Gas producers</v>
      </c>
      <c r="D30" s="309" t="s">
        <v>26</v>
      </c>
      <c r="E30" s="309" t="s">
        <v>647</v>
      </c>
    </row>
    <row r="31" spans="1:6">
      <c r="B31" s="310" t="str">
        <f t="shared" si="0"/>
        <v>Distribution networks and HP Customers</v>
      </c>
      <c r="D31" s="309" t="s">
        <v>718</v>
      </c>
      <c r="E31" s="309" t="s">
        <v>719</v>
      </c>
    </row>
    <row r="32" spans="1:6">
      <c r="B32" s="310" t="str">
        <f t="shared" si="0"/>
        <v>HP Customers</v>
      </c>
      <c r="D32" s="309" t="s">
        <v>720</v>
      </c>
      <c r="E32" s="309" t="s">
        <v>721</v>
      </c>
    </row>
    <row r="33" spans="2:5">
      <c r="B33" s="310" t="str">
        <f t="shared" si="0"/>
        <v>Yearly</v>
      </c>
      <c r="D33" s="309" t="s">
        <v>722</v>
      </c>
      <c r="E33" s="309" t="s">
        <v>723</v>
      </c>
    </row>
    <row r="34" spans="2:5">
      <c r="B34" s="310" t="str">
        <f t="shared" si="0"/>
        <v>Quarterly</v>
      </c>
      <c r="D34" s="309" t="s">
        <v>10</v>
      </c>
      <c r="E34" s="309" t="s">
        <v>724</v>
      </c>
    </row>
    <row r="35" spans="2:5">
      <c r="B35" s="310" t="str">
        <f t="shared" si="0"/>
        <v>Monthly</v>
      </c>
      <c r="D35" s="309" t="s">
        <v>11</v>
      </c>
      <c r="E35" s="309" t="s">
        <v>725</v>
      </c>
    </row>
    <row r="36" spans="2:5">
      <c r="B36" s="310" t="str">
        <f t="shared" si="0"/>
        <v>Daily</v>
      </c>
      <c r="D36" s="309" t="s">
        <v>12</v>
      </c>
      <c r="E36" s="309" t="s">
        <v>726</v>
      </c>
    </row>
    <row r="37" spans="2:5">
      <c r="B37" s="310" t="str">
        <f t="shared" si="0"/>
        <v>Intraday</v>
      </c>
      <c r="D37" s="309" t="s">
        <v>727</v>
      </c>
      <c r="E37" s="309" t="s">
        <v>728</v>
      </c>
    </row>
    <row r="38" spans="2:5">
      <c r="B38" s="310" t="str">
        <f t="shared" si="0"/>
        <v>Used capacity at injection</v>
      </c>
      <c r="D38" s="309" t="s">
        <v>27</v>
      </c>
      <c r="E38" s="309" t="s">
        <v>729</v>
      </c>
    </row>
    <row r="39" spans="2:5">
      <c r="B39" s="310" t="str">
        <f t="shared" si="0"/>
        <v>Long Uses</v>
      </c>
      <c r="D39" s="309" t="s">
        <v>730</v>
      </c>
      <c r="E39" s="309" t="s">
        <v>731</v>
      </c>
    </row>
    <row r="40" spans="2:5">
      <c r="B40" s="310" t="str">
        <f t="shared" si="0"/>
        <v>Annual Flexible Rate - Annual Base Capacity</v>
      </c>
      <c r="D40" s="309" t="s">
        <v>732</v>
      </c>
      <c r="E40" s="309" t="s">
        <v>733</v>
      </c>
    </row>
    <row r="41" spans="2:5" ht="28.8">
      <c r="B41" s="310" t="str">
        <f t="shared" si="0"/>
        <v>Annual Flexible Rate - Additional Monthly Capacity (April to September)</v>
      </c>
      <c r="D41" s="309" t="s">
        <v>734</v>
      </c>
      <c r="E41" s="309" t="s">
        <v>735</v>
      </c>
    </row>
    <row r="42" spans="2:5" ht="28.8">
      <c r="B42" s="310" t="str">
        <f t="shared" si="0"/>
        <v>Flexible Monthly Rate - Monthly Capacity (October to March)</v>
      </c>
      <c r="D42" s="309" t="s">
        <v>736</v>
      </c>
      <c r="E42" s="309" t="s">
        <v>737</v>
      </c>
    </row>
    <row r="43" spans="2:5" ht="28.8">
      <c r="B43" s="310" t="str">
        <f t="shared" si="0"/>
        <v>Flexible Monthly Rate - Monthly Capacity (April to September)</v>
      </c>
      <c r="D43" s="309" t="s">
        <v>738</v>
      </c>
      <c r="E43" s="309" t="s">
        <v>739</v>
      </c>
    </row>
    <row r="44" spans="2:5">
      <c r="B44" s="310" t="str">
        <f t="shared" si="0"/>
        <v>Daily Flexible Rate - Daily Capacity (October to March)</v>
      </c>
      <c r="D44" s="309" t="s">
        <v>740</v>
      </c>
      <c r="E44" s="309" t="s">
        <v>741</v>
      </c>
    </row>
    <row r="45" spans="2:5">
      <c r="B45" s="310" t="str">
        <f t="shared" si="0"/>
        <v>Daily Flexible Rate - Daily Capacity (April to September)</v>
      </c>
      <c r="D45" s="309" t="s">
        <v>742</v>
      </c>
      <c r="E45" s="309" t="s">
        <v>743</v>
      </c>
    </row>
    <row r="46" spans="2:5">
      <c r="B46" s="310" t="str">
        <f t="shared" si="0"/>
        <v>Unit</v>
      </c>
      <c r="D46" s="309" t="s">
        <v>744</v>
      </c>
      <c r="E46" s="309" t="s">
        <v>745</v>
      </c>
    </row>
    <row r="47" spans="2:5">
      <c r="B47" s="310" t="str">
        <f t="shared" si="0"/>
        <v>kWh/day</v>
      </c>
      <c r="D47" s="309" t="s">
        <v>746</v>
      </c>
      <c r="E47" s="309" t="s">
        <v>747</v>
      </c>
    </row>
    <row r="48" spans="2:5">
      <c r="B48" s="310" t="str">
        <f t="shared" si="0"/>
        <v>kWh/h</v>
      </c>
      <c r="D48" s="309" t="s">
        <v>748</v>
      </c>
      <c r="E48" s="309" t="s">
        <v>748</v>
      </c>
    </row>
    <row r="49" spans="1:6" ht="15" thickBot="1">
      <c r="A49" s="108"/>
      <c r="B49" s="312" t="str">
        <f t="shared" si="0"/>
        <v>Yellow cells can be changed by the user</v>
      </c>
      <c r="C49" s="108"/>
      <c r="D49" s="313" t="s">
        <v>749</v>
      </c>
      <c r="E49" s="313" t="s">
        <v>750</v>
      </c>
      <c r="F49" s="108"/>
    </row>
    <row r="50" spans="1:6">
      <c r="A50" s="85" t="s">
        <v>751</v>
      </c>
      <c r="B50" s="308" t="str">
        <f t="shared" si="0"/>
        <v>Transmission tariffs</v>
      </c>
      <c r="D50" s="307" t="s">
        <v>752</v>
      </c>
      <c r="E50" s="307" t="s">
        <v>753</v>
      </c>
    </row>
    <row r="51" spans="1:6">
      <c r="B51" s="310" t="str">
        <f t="shared" si="0"/>
        <v>€/(kWh/day)/year</v>
      </c>
      <c r="D51" s="309" t="s">
        <v>754</v>
      </c>
      <c r="E51" s="309" t="s">
        <v>645</v>
      </c>
    </row>
    <row r="52" spans="1:6">
      <c r="B52" s="310" t="str">
        <f t="shared" si="0"/>
        <v>€/(kWh/h)/year</v>
      </c>
      <c r="D52" s="309" t="s">
        <v>755</v>
      </c>
      <c r="E52" s="309" t="s">
        <v>756</v>
      </c>
    </row>
    <row r="53" spans="1:6" ht="15" thickBot="1">
      <c r="A53" s="108"/>
      <c r="B53" s="312" t="str">
        <f t="shared" si="0"/>
        <v>Green cells are estimates</v>
      </c>
      <c r="C53" s="108"/>
      <c r="D53" s="313" t="s">
        <v>757</v>
      </c>
      <c r="E53" s="313" t="s">
        <v>758</v>
      </c>
    </row>
    <row r="54" spans="1:6">
      <c r="A54" s="85" t="s">
        <v>759</v>
      </c>
      <c r="B54" s="308" t="str">
        <f t="shared" si="0"/>
        <v>Interconnection point (Campo Maior)</v>
      </c>
      <c r="D54" s="307" t="s">
        <v>760</v>
      </c>
      <c r="E54" s="307" t="s">
        <v>761</v>
      </c>
    </row>
    <row r="55" spans="1:6">
      <c r="B55" s="310" t="str">
        <f t="shared" si="0"/>
        <v>Interconnection point (Valença do Minho)</v>
      </c>
      <c r="D55" s="309" t="s">
        <v>762</v>
      </c>
      <c r="E55" s="307" t="s">
        <v>763</v>
      </c>
    </row>
    <row r="56" spans="1:6">
      <c r="B56" s="310" t="str">
        <f t="shared" si="0"/>
        <v>LNG terminal</v>
      </c>
      <c r="D56" s="309" t="s">
        <v>14</v>
      </c>
      <c r="E56" s="309" t="s">
        <v>764</v>
      </c>
    </row>
    <row r="57" spans="1:6">
      <c r="B57" s="310" t="str">
        <f t="shared" si="0"/>
        <v>Underground Storage</v>
      </c>
      <c r="D57" s="309" t="s">
        <v>717</v>
      </c>
      <c r="E57" s="309" t="s">
        <v>765</v>
      </c>
    </row>
    <row r="58" spans="1:6">
      <c r="B58" s="310" t="str">
        <f t="shared" si="0"/>
        <v>Type</v>
      </c>
      <c r="D58" s="309" t="s">
        <v>214</v>
      </c>
      <c r="E58" s="309" t="s">
        <v>766</v>
      </c>
    </row>
    <row r="59" spans="1:6">
      <c r="B59" s="310" t="str">
        <f t="shared" si="0"/>
        <v>Contracted</v>
      </c>
      <c r="D59" s="309" t="s">
        <v>767</v>
      </c>
      <c r="E59" s="309" t="s">
        <v>768</v>
      </c>
    </row>
    <row r="60" spans="1:6">
      <c r="B60" s="310" t="str">
        <f t="shared" si="0"/>
        <v>Used</v>
      </c>
      <c r="D60" s="309" t="s">
        <v>769</v>
      </c>
      <c r="E60" s="309" t="s">
        <v>770</v>
      </c>
    </row>
    <row r="61" spans="1:6">
      <c r="B61" s="310" t="str">
        <f t="shared" si="0"/>
        <v>Type of point</v>
      </c>
      <c r="D61" s="309" t="s">
        <v>771</v>
      </c>
      <c r="E61" s="309" t="s">
        <v>772</v>
      </c>
    </row>
    <row r="62" spans="1:6">
      <c r="B62" s="310" t="str">
        <f t="shared" si="0"/>
        <v>Campo Maior</v>
      </c>
      <c r="D62" s="309" t="s">
        <v>167</v>
      </c>
      <c r="E62" s="309" t="s">
        <v>167</v>
      </c>
    </row>
    <row r="63" spans="1:6">
      <c r="B63" s="310" t="str">
        <f t="shared" si="0"/>
        <v>Valença do Minho</v>
      </c>
      <c r="D63" s="309" t="s">
        <v>773</v>
      </c>
      <c r="E63" s="309" t="s">
        <v>773</v>
      </c>
    </row>
    <row r="64" spans="1:6">
      <c r="B64" s="310" t="str">
        <f t="shared" si="0"/>
        <v>LNG terminal (Sines)</v>
      </c>
      <c r="D64" s="309" t="s">
        <v>774</v>
      </c>
      <c r="E64" s="309" t="s">
        <v>775</v>
      </c>
    </row>
    <row r="65" spans="2:5">
      <c r="B65" s="310" t="str">
        <f t="shared" si="0"/>
        <v>Underground storage (Carriço)</v>
      </c>
      <c r="D65" s="309" t="s">
        <v>776</v>
      </c>
      <c r="E65" s="309" t="s">
        <v>99</v>
      </c>
    </row>
    <row r="66" spans="2:5">
      <c r="B66" s="310" t="str">
        <f t="shared" si="0"/>
        <v>Lisboagás, Setgás, Carregado, Ribatejo</v>
      </c>
      <c r="D66" s="309" t="s">
        <v>777</v>
      </c>
      <c r="E66" s="309" t="s">
        <v>777</v>
      </c>
    </row>
    <row r="67" spans="2:5">
      <c r="B67" s="310" t="str">
        <f t="shared" si="0"/>
        <v>Portgás, Outeiro power plant</v>
      </c>
      <c r="D67" s="309" t="s">
        <v>778</v>
      </c>
      <c r="E67" s="309" t="s">
        <v>779</v>
      </c>
    </row>
    <row r="68" spans="2:5">
      <c r="B68" s="310" t="str">
        <f t="shared" ref="B68:B103" si="1">IF($B$2=$D$2,D68,E68)</f>
        <v>Lusitâniagás, Lares power plant, Figueira da Foz power plant</v>
      </c>
      <c r="D68" s="309" t="s">
        <v>780</v>
      </c>
      <c r="E68" s="309" t="s">
        <v>781</v>
      </c>
    </row>
    <row r="69" spans="2:5">
      <c r="B69" s="310" t="str">
        <f t="shared" si="1"/>
        <v>Tagusgás, Pego power plant</v>
      </c>
      <c r="D69" s="309" t="s">
        <v>782</v>
      </c>
      <c r="E69" s="309" t="s">
        <v>783</v>
      </c>
    </row>
    <row r="70" spans="2:5">
      <c r="B70" s="310" t="str">
        <f t="shared" si="1"/>
        <v>Portucel</v>
      </c>
      <c r="D70" s="309" t="s">
        <v>784</v>
      </c>
      <c r="E70" s="309" t="s">
        <v>784</v>
      </c>
    </row>
    <row r="71" spans="2:5">
      <c r="B71" s="310" t="str">
        <f t="shared" si="1"/>
        <v>Sines Refinary, Portucel</v>
      </c>
      <c r="D71" s="309" t="s">
        <v>785</v>
      </c>
      <c r="E71" s="309" t="s">
        <v>786</v>
      </c>
    </row>
    <row r="72" spans="2:5">
      <c r="B72" s="310" t="str">
        <f t="shared" si="1"/>
        <v>Beiragás</v>
      </c>
      <c r="D72" s="309" t="s">
        <v>787</v>
      </c>
      <c r="E72" s="309" t="s">
        <v>787</v>
      </c>
    </row>
    <row r="73" spans="2:5">
      <c r="B73" s="310" t="str">
        <f t="shared" si="1"/>
        <v>Interconnection point</v>
      </c>
      <c r="D73" s="309" t="s">
        <v>216</v>
      </c>
      <c r="E73" s="309" t="s">
        <v>788</v>
      </c>
    </row>
    <row r="74" spans="2:5">
      <c r="B74" s="310" t="str">
        <f t="shared" si="1"/>
        <v>LNG terminal</v>
      </c>
      <c r="D74" s="309" t="s">
        <v>14</v>
      </c>
      <c r="E74" s="309" t="s">
        <v>646</v>
      </c>
    </row>
    <row r="75" spans="2:5">
      <c r="B75" s="310" t="str">
        <f t="shared" si="1"/>
        <v>Storage</v>
      </c>
      <c r="D75" s="309" t="s">
        <v>789</v>
      </c>
      <c r="E75" s="309" t="s">
        <v>790</v>
      </c>
    </row>
    <row r="76" spans="2:5">
      <c r="B76" s="310" t="str">
        <f t="shared" si="1"/>
        <v>Consumption</v>
      </c>
      <c r="D76" s="309" t="s">
        <v>791</v>
      </c>
      <c r="E76" s="309" t="s">
        <v>792</v>
      </c>
    </row>
    <row r="77" spans="2:5">
      <c r="B77" s="310" t="str">
        <f t="shared" si="1"/>
        <v>Technical capacity</v>
      </c>
      <c r="D77" s="309" t="s">
        <v>793</v>
      </c>
      <c r="E77" s="309" t="s">
        <v>794</v>
      </c>
    </row>
    <row r="78" spans="2:5">
      <c r="B78" s="310" t="str">
        <f t="shared" si="1"/>
        <v>Physical flow</v>
      </c>
      <c r="D78" s="309" t="s">
        <v>795</v>
      </c>
      <c r="E78" s="309" t="s">
        <v>796</v>
      </c>
    </row>
    <row r="79" spans="2:5">
      <c r="B79" s="310" t="str">
        <f t="shared" si="1"/>
        <v>Physical utilization factor</v>
      </c>
      <c r="D79" s="309" t="s">
        <v>797</v>
      </c>
      <c r="E79" s="309" t="s">
        <v>798</v>
      </c>
    </row>
    <row r="80" spans="2:5">
      <c r="B80" s="310">
        <f t="shared" si="1"/>
        <v>0</v>
      </c>
      <c r="D80" s="309"/>
      <c r="E80" s="309"/>
    </row>
    <row r="81" spans="2:5">
      <c r="B81" s="310">
        <f t="shared" si="1"/>
        <v>0</v>
      </c>
      <c r="D81" s="309"/>
      <c r="E81" s="309"/>
    </row>
    <row r="82" spans="2:5">
      <c r="B82" s="310">
        <f t="shared" si="1"/>
        <v>0</v>
      </c>
      <c r="D82" s="309"/>
      <c r="E82" s="309"/>
    </row>
    <row r="83" spans="2:5">
      <c r="B83" s="310">
        <f t="shared" si="1"/>
        <v>0</v>
      </c>
      <c r="D83" s="309"/>
      <c r="E83" s="309"/>
    </row>
    <row r="84" spans="2:5">
      <c r="B84" s="310">
        <f t="shared" si="1"/>
        <v>0</v>
      </c>
      <c r="D84" s="309"/>
      <c r="E84" s="309"/>
    </row>
    <row r="85" spans="2:5">
      <c r="B85" s="310">
        <f t="shared" si="1"/>
        <v>0</v>
      </c>
      <c r="D85" s="309"/>
      <c r="E85" s="309"/>
    </row>
    <row r="86" spans="2:5">
      <c r="B86" s="310">
        <f t="shared" si="1"/>
        <v>0</v>
      </c>
      <c r="D86" s="309"/>
      <c r="E86" s="309"/>
    </row>
    <row r="87" spans="2:5">
      <c r="B87" s="310">
        <f t="shared" si="1"/>
        <v>0</v>
      </c>
      <c r="D87" s="309"/>
      <c r="E87" s="309"/>
    </row>
    <row r="88" spans="2:5">
      <c r="B88" s="310">
        <f t="shared" si="1"/>
        <v>0</v>
      </c>
      <c r="D88" s="309"/>
      <c r="E88" s="309"/>
    </row>
    <row r="89" spans="2:5">
      <c r="B89" s="310">
        <f t="shared" si="1"/>
        <v>0</v>
      </c>
      <c r="D89" s="309"/>
      <c r="E89" s="309"/>
    </row>
    <row r="90" spans="2:5">
      <c r="B90" s="310">
        <f t="shared" si="1"/>
        <v>0</v>
      </c>
      <c r="D90" s="309"/>
      <c r="E90" s="309"/>
    </row>
    <row r="91" spans="2:5">
      <c r="B91" s="310">
        <f t="shared" si="1"/>
        <v>0</v>
      </c>
      <c r="D91" s="309"/>
      <c r="E91" s="309"/>
    </row>
    <row r="92" spans="2:5">
      <c r="B92" s="310">
        <f t="shared" si="1"/>
        <v>0</v>
      </c>
      <c r="D92" s="309"/>
      <c r="E92" s="309"/>
    </row>
    <row r="93" spans="2:5">
      <c r="B93" s="310">
        <f t="shared" si="1"/>
        <v>0</v>
      </c>
      <c r="D93" s="309"/>
      <c r="E93" s="309"/>
    </row>
    <row r="94" spans="2:5">
      <c r="B94" s="310">
        <f t="shared" si="1"/>
        <v>0</v>
      </c>
      <c r="D94" s="309"/>
      <c r="E94" s="309"/>
    </row>
    <row r="95" spans="2:5">
      <c r="B95" s="310">
        <f t="shared" si="1"/>
        <v>0</v>
      </c>
      <c r="D95" s="309"/>
      <c r="E95" s="309"/>
    </row>
    <row r="96" spans="2:5">
      <c r="B96" s="310">
        <f t="shared" si="1"/>
        <v>0</v>
      </c>
      <c r="D96" s="309"/>
      <c r="E96" s="309"/>
    </row>
    <row r="97" spans="2:5">
      <c r="B97" s="310">
        <f t="shared" si="1"/>
        <v>0</v>
      </c>
      <c r="D97" s="309"/>
      <c r="E97" s="309"/>
    </row>
    <row r="98" spans="2:5">
      <c r="B98" s="310">
        <f t="shared" si="1"/>
        <v>0</v>
      </c>
      <c r="D98" s="309"/>
      <c r="E98" s="309"/>
    </row>
    <row r="99" spans="2:5">
      <c r="B99" s="310">
        <f t="shared" si="1"/>
        <v>0</v>
      </c>
      <c r="D99" s="309"/>
      <c r="E99" s="309"/>
    </row>
    <row r="100" spans="2:5">
      <c r="B100" s="310">
        <f t="shared" si="1"/>
        <v>0</v>
      </c>
      <c r="D100" s="309"/>
      <c r="E100" s="309"/>
    </row>
    <row r="101" spans="2:5">
      <c r="B101" s="310">
        <f t="shared" si="1"/>
        <v>0</v>
      </c>
      <c r="D101" s="309"/>
      <c r="E101" s="309"/>
    </row>
    <row r="102" spans="2:5">
      <c r="B102" s="310">
        <f t="shared" si="1"/>
        <v>0</v>
      </c>
      <c r="D102" s="309"/>
      <c r="E102" s="309"/>
    </row>
    <row r="103" spans="2:5">
      <c r="B103" s="310">
        <f t="shared" si="1"/>
        <v>0</v>
      </c>
      <c r="D103" s="309"/>
      <c r="E103" s="30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6AC7FFC084DE43B6BEA366C2F1911F" ma:contentTypeVersion="0" ma:contentTypeDescription="Criar um novo documento." ma:contentTypeScope="" ma:versionID="6c2aa31bd7e7f5f649febbd0d1486e4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EA9D0F-5BB8-4B04-B9DA-EA8D9B40A18D}"/>
</file>

<file path=customXml/itemProps2.xml><?xml version="1.0" encoding="utf-8"?>
<ds:datastoreItem xmlns:ds="http://schemas.openxmlformats.org/officeDocument/2006/customXml" ds:itemID="{AA70055B-37F3-484F-9B4A-632DE04CCD23}"/>
</file>

<file path=customXml/itemProps3.xml><?xml version="1.0" encoding="utf-8"?>
<ds:datastoreItem xmlns:ds="http://schemas.openxmlformats.org/officeDocument/2006/customXml" ds:itemID="{92E63167-A77C-4D2F-B0D7-CCA4DCB02D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26</vt:i4>
      </vt:variant>
      <vt:variant>
        <vt:lpstr>Intervalos com Nome</vt:lpstr>
      </vt:variant>
      <vt:variant>
        <vt:i4>2</vt:i4>
      </vt:variant>
    </vt:vector>
  </HeadingPairs>
  <TitlesOfParts>
    <vt:vector size="28" baseType="lpstr">
      <vt:lpstr>Info</vt:lpstr>
      <vt:lpstr>Input</vt:lpstr>
      <vt:lpstr>Output</vt:lpstr>
      <vt:lpstr>RPM &amp; Discounts</vt:lpstr>
      <vt:lpstr>Input data</vt:lpstr>
      <vt:lpstr>Input capacity</vt:lpstr>
      <vt:lpstr>Distance Matrix_Entry</vt:lpstr>
      <vt:lpstr>Distance Matrix_Exit</vt:lpstr>
      <vt:lpstr>Entry Tariff_1</vt:lpstr>
      <vt:lpstr>Entry Tariff_2</vt:lpstr>
      <vt:lpstr>Exit Tariff_1</vt:lpstr>
      <vt:lpstr>Exit Tariff_2</vt:lpstr>
      <vt:lpstr>Reference prices</vt:lpstr>
      <vt:lpstr>A0.Support</vt:lpstr>
      <vt:lpstr>A1.Network points</vt:lpstr>
      <vt:lpstr>A2.Network segments</vt:lpstr>
      <vt:lpstr>A3.Distance matrix</vt:lpstr>
      <vt:lpstr>A4a.CWD Entry Av. Distance</vt:lpstr>
      <vt:lpstr>A4b.CWD Exit Av. Distance</vt:lpstr>
      <vt:lpstr>A5.Counter-factual</vt:lpstr>
      <vt:lpstr>CAA</vt:lpstr>
      <vt:lpstr>Article 30</vt:lpstr>
      <vt:lpstr>Art30(1)(a)</vt:lpstr>
      <vt:lpstr>Art30(1)(b)(v)</vt:lpstr>
      <vt:lpstr>Art30(2)(a)</vt:lpstr>
      <vt:lpstr>Labels</vt:lpstr>
      <vt:lpstr>Discount</vt:lpstr>
      <vt:lpstr>List_RPM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Daniel Horta</cp:lastModifiedBy>
  <dcterms:created xsi:type="dcterms:W3CDTF">2022-09-22T13:51:25Z</dcterms:created>
  <dcterms:modified xsi:type="dcterms:W3CDTF">2025-08-29T14:04:56Z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0x010100DB6AC7FFC084DE43B6BEA366C2F1911F</vt:lpwstr>
  </property>
</Properties>
</file>