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7.xml" ContentType="application/vnd.openxmlformats-officedocument.spreadsheetml.worksheet+xml"/>
  <Override PartName="/xl/styles.xml" ContentType="application/vnd.openxmlformats-officedocument.spreadsheetml.styles+xml"/>
  <Override PartName="/xl/tables/table3.xml" ContentType="application/vnd.openxmlformats-officedocument.spreadsheetml.table+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se03\dtp\COMUM\Tarifas Gás 2024-2025\Word\NC Tarifas\Art30\Docs Draft\"/>
    </mc:Choice>
  </mc:AlternateContent>
  <bookViews>
    <workbookView xWindow="-108" yWindow="-108" windowWidth="23256" windowHeight="14160" tabRatio="929"/>
  </bookViews>
  <sheets>
    <sheet name="Information" sheetId="47" r:id="rId1"/>
    <sheet name="Input" sheetId="48" r:id="rId2"/>
    <sheet name="Output" sheetId="49" r:id="rId3"/>
    <sheet name="Introduction" sheetId="41" state="hidden" r:id="rId4"/>
    <sheet name="RPM &amp; Discounts" sheetId="32" state="hidden" r:id="rId5"/>
    <sheet name="Input_" sheetId="8" state="hidden" r:id="rId6"/>
    <sheet name="Input capacity" sheetId="14" state="hidden" r:id="rId7"/>
    <sheet name="Distance Matrix_Entry" sheetId="6" state="hidden" r:id="rId8"/>
    <sheet name="Distance Matrix_Exit" sheetId="13" state="hidden" r:id="rId9"/>
    <sheet name="Entry Tariff_1" sheetId="18" state="hidden" r:id="rId10"/>
    <sheet name="Entry Tariff_2" sheetId="20" state="hidden" r:id="rId11"/>
    <sheet name="Exit Tariff_1" sheetId="19" state="hidden" r:id="rId12"/>
    <sheet name="Exit Tariff_2" sheetId="21" state="hidden" r:id="rId13"/>
    <sheet name="Reference prices" sheetId="38" state="hidden" r:id="rId14"/>
    <sheet name="CAA" sheetId="31" state="hidden" r:id="rId15"/>
    <sheet name="A0.Support" sheetId="33" state="hidden" r:id="rId16"/>
    <sheet name="A1.Network points" sheetId="39" state="hidden" r:id="rId17"/>
    <sheet name="A2.Network segments" sheetId="40" state="hidden" r:id="rId18"/>
    <sheet name="A3.Distance matrix" sheetId="43" state="hidden" r:id="rId19"/>
    <sheet name="A4a.CWD Entry Av. Distance" sheetId="29" state="hidden" r:id="rId20"/>
    <sheet name="A4b.CWD Exit Av. Distance" sheetId="30" state="hidden" r:id="rId21"/>
    <sheet name="A5.Counter-factual" sheetId="45" state="hidden" r:id="rId22"/>
    <sheet name="Article 30" sheetId="51" state="hidden" r:id="rId23"/>
    <sheet name="Art30(1)(a)" sheetId="52" state="hidden" r:id="rId24"/>
    <sheet name="Art30(1)(b)(v)" sheetId="53" state="hidden" r:id="rId25"/>
    <sheet name="Art30(2)(a)" sheetId="54" state="hidden" r:id="rId26"/>
    <sheet name="Labels" sheetId="50"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Discount">'A0.Support'!$B$12:$B$13</definedName>
    <definedName name="List_RPM">'A0.Support'!$B$3:$B$8</definedName>
    <definedName name="YesNo">'[1]A0.Support'!$B$24:$B$25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F33" i="8"/>
  <c r="D33" i="8"/>
  <c r="E33" i="8"/>
  <c r="G83" i="8" l="1"/>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68" i="8"/>
  <c r="F68" i="8"/>
  <c r="G67" i="8"/>
  <c r="F67" i="8"/>
  <c r="G66" i="8"/>
  <c r="F66" i="8"/>
  <c r="G65" i="8"/>
  <c r="F65" i="8"/>
  <c r="G32" i="8"/>
  <c r="F32" i="8"/>
  <c r="G31" i="8"/>
  <c r="F31" i="8"/>
  <c r="G30" i="8"/>
  <c r="F30" i="8"/>
  <c r="G29" i="8"/>
  <c r="F29" i="8"/>
  <c r="G28" i="8"/>
  <c r="F28" i="8"/>
  <c r="G27" i="8"/>
  <c r="F27" i="8"/>
  <c r="G26" i="8"/>
  <c r="F26" i="8"/>
  <c r="G25" i="8"/>
  <c r="F25" i="8"/>
  <c r="G24" i="8"/>
  <c r="F24" i="8"/>
  <c r="G23" i="8"/>
  <c r="F23" i="8"/>
  <c r="G22" i="8"/>
  <c r="F22" i="8"/>
  <c r="G21" i="8"/>
  <c r="F21" i="8"/>
  <c r="G20" i="8"/>
  <c r="F20" i="8"/>
  <c r="G9" i="8"/>
  <c r="F9" i="8"/>
  <c r="G41" i="48"/>
  <c r="G40" i="48"/>
  <c r="G22" i="48"/>
  <c r="J4" i="54"/>
  <c r="U38" i="54" s="1"/>
  <c r="I4" i="54"/>
  <c r="H4" i="54"/>
  <c r="S38" i="54" s="1"/>
  <c r="S63" i="54"/>
  <c r="S62" i="54"/>
  <c r="S61" i="54"/>
  <c r="S60" i="54"/>
  <c r="S59" i="54"/>
  <c r="S58" i="54"/>
  <c r="S57" i="54"/>
  <c r="S50" i="54"/>
  <c r="S49" i="54"/>
  <c r="T38" i="54"/>
  <c r="D6" i="53"/>
  <c r="C6" i="53"/>
  <c r="I42" i="52"/>
  <c r="I41" i="52"/>
  <c r="I23" i="52"/>
  <c r="I10" i="52"/>
  <c r="D6" i="52"/>
  <c r="D5" i="52"/>
  <c r="D4" i="52"/>
  <c r="C5" i="52"/>
  <c r="C4" i="52"/>
  <c r="F8" i="51"/>
  <c r="F9" i="51"/>
  <c r="B2" i="50"/>
  <c r="B103" i="50" s="1"/>
  <c r="I9" i="48"/>
  <c r="I4" i="49" s="1"/>
  <c r="H9" i="48"/>
  <c r="H4" i="49" s="1"/>
  <c r="G9" i="48"/>
  <c r="B33" i="50" l="1"/>
  <c r="B65" i="50"/>
  <c r="B97" i="50"/>
  <c r="B5" i="50"/>
  <c r="C12" i="47" s="1"/>
  <c r="B37" i="50"/>
  <c r="B69" i="50"/>
  <c r="B101" i="50"/>
  <c r="B9" i="50"/>
  <c r="C18" i="47" s="1"/>
  <c r="B41" i="50"/>
  <c r="B73" i="50"/>
  <c r="B13" i="50"/>
  <c r="D21" i="47" s="1"/>
  <c r="B45" i="50"/>
  <c r="B77" i="50"/>
  <c r="B17" i="50"/>
  <c r="D29" i="47" s="1"/>
  <c r="B49" i="50"/>
  <c r="P4" i="48" s="1"/>
  <c r="B81" i="50"/>
  <c r="B21" i="50"/>
  <c r="D4" i="48" s="1"/>
  <c r="B53" i="50"/>
  <c r="P3" i="49" s="1"/>
  <c r="B85" i="50"/>
  <c r="B25" i="50"/>
  <c r="B57" i="50"/>
  <c r="B7" i="52" s="1"/>
  <c r="B89" i="50"/>
  <c r="B29" i="50"/>
  <c r="B61" i="50"/>
  <c r="N45" i="52" s="1"/>
  <c r="B93" i="50"/>
  <c r="B14" i="50"/>
  <c r="C23" i="47" s="1"/>
  <c r="B30" i="50"/>
  <c r="B8" i="52" s="1"/>
  <c r="B38" i="50"/>
  <c r="B54" i="50"/>
  <c r="B4" i="52" s="1"/>
  <c r="B62" i="50"/>
  <c r="B70" i="50"/>
  <c r="B78" i="50"/>
  <c r="B86" i="50"/>
  <c r="B102" i="50"/>
  <c r="B8" i="50"/>
  <c r="C17" i="47" s="1"/>
  <c r="B16" i="50"/>
  <c r="D28" i="47" s="1"/>
  <c r="B24" i="50"/>
  <c r="B32" i="50"/>
  <c r="B40" i="50"/>
  <c r="B48" i="50"/>
  <c r="B56" i="50"/>
  <c r="B6" i="52" s="1"/>
  <c r="B64" i="50"/>
  <c r="B72" i="50"/>
  <c r="B80" i="50"/>
  <c r="B88" i="50"/>
  <c r="B96" i="50"/>
  <c r="B10" i="50"/>
  <c r="C20" i="47" s="1"/>
  <c r="B18" i="50"/>
  <c r="D30" i="47" s="1"/>
  <c r="B26" i="50"/>
  <c r="B34" i="50"/>
  <c r="B42" i="50"/>
  <c r="B50" i="50"/>
  <c r="B2" i="49" s="1"/>
  <c r="B66" i="50"/>
  <c r="B74" i="50"/>
  <c r="B82" i="50"/>
  <c r="B90" i="50"/>
  <c r="B98" i="50"/>
  <c r="B3" i="50"/>
  <c r="C9" i="47" s="1"/>
  <c r="B11" i="50"/>
  <c r="C21" i="47" s="1"/>
  <c r="B19" i="50"/>
  <c r="Q5" i="47" s="1"/>
  <c r="B27" i="50"/>
  <c r="B35" i="50"/>
  <c r="B43" i="50"/>
  <c r="B51" i="50"/>
  <c r="K5" i="49" s="1"/>
  <c r="B59" i="50"/>
  <c r="L11" i="52" s="1"/>
  <c r="B67" i="50"/>
  <c r="B75" i="50"/>
  <c r="B83" i="50"/>
  <c r="B91" i="50"/>
  <c r="B99" i="50"/>
  <c r="B58" i="50"/>
  <c r="L10" i="52" s="1"/>
  <c r="B4" i="50"/>
  <c r="C10" i="47" s="1"/>
  <c r="B12" i="50"/>
  <c r="D20" i="47" s="1"/>
  <c r="B20" i="50"/>
  <c r="B2" i="48" s="1"/>
  <c r="B28" i="50"/>
  <c r="B36" i="50"/>
  <c r="B44" i="50"/>
  <c r="B52" i="50"/>
  <c r="B60" i="50"/>
  <c r="B68" i="50"/>
  <c r="B76" i="50"/>
  <c r="B84" i="50"/>
  <c r="B92" i="50"/>
  <c r="B100" i="50"/>
  <c r="B6" i="50"/>
  <c r="C13" i="47" s="1"/>
  <c r="B22" i="50"/>
  <c r="B7" i="48" s="1"/>
  <c r="B46" i="50"/>
  <c r="K9" i="48" s="1"/>
  <c r="B94" i="50"/>
  <c r="B7" i="50"/>
  <c r="C14" i="47" s="1"/>
  <c r="B15" i="50"/>
  <c r="C26" i="47" s="1"/>
  <c r="B23" i="50"/>
  <c r="B31" i="50"/>
  <c r="B39" i="50"/>
  <c r="B47" i="50"/>
  <c r="B55" i="50"/>
  <c r="B5" i="52" s="1"/>
  <c r="B63" i="50"/>
  <c r="B71" i="50"/>
  <c r="B79" i="50"/>
  <c r="B87" i="50"/>
  <c r="B95" i="50"/>
  <c r="K4" i="49" l="1"/>
  <c r="L4" i="54" s="1"/>
  <c r="K10" i="52"/>
  <c r="K39" i="52"/>
  <c r="K37" i="52"/>
  <c r="K29" i="52"/>
  <c r="K21" i="52"/>
  <c r="K13" i="52"/>
  <c r="K36" i="52"/>
  <c r="K28" i="52"/>
  <c r="K20" i="52"/>
  <c r="K12" i="52"/>
  <c r="K35" i="52"/>
  <c r="K27" i="52"/>
  <c r="K19" i="52"/>
  <c r="K42" i="52"/>
  <c r="K34" i="52"/>
  <c r="K26" i="52"/>
  <c r="K18" i="52"/>
  <c r="K41" i="52"/>
  <c r="K33" i="52"/>
  <c r="K25" i="52"/>
  <c r="K17" i="52"/>
  <c r="K40" i="52"/>
  <c r="K32" i="52"/>
  <c r="K24" i="52"/>
  <c r="K16" i="52"/>
  <c r="K31" i="52"/>
  <c r="K23" i="52"/>
  <c r="K15" i="52"/>
  <c r="K38" i="52"/>
  <c r="K30" i="52"/>
  <c r="K22" i="52"/>
  <c r="K14" i="52"/>
  <c r="K34" i="49"/>
  <c r="L34" i="54" s="1"/>
  <c r="K26" i="49"/>
  <c r="L26" i="54" s="1"/>
  <c r="K18" i="49"/>
  <c r="L18" i="54" s="1"/>
  <c r="K10" i="49"/>
  <c r="L10" i="54" s="1"/>
  <c r="K33" i="49"/>
  <c r="L33" i="54" s="1"/>
  <c r="K25" i="49"/>
  <c r="L25" i="54" s="1"/>
  <c r="K17" i="49"/>
  <c r="L17" i="54" s="1"/>
  <c r="K9" i="49"/>
  <c r="L9" i="54" s="1"/>
  <c r="K32" i="49"/>
  <c r="L32" i="54" s="1"/>
  <c r="K24" i="49"/>
  <c r="L24" i="54" s="1"/>
  <c r="K16" i="49"/>
  <c r="L16" i="54" s="1"/>
  <c r="K8" i="49"/>
  <c r="L8" i="54" s="1"/>
  <c r="K11" i="49"/>
  <c r="L11" i="54" s="1"/>
  <c r="K31" i="49"/>
  <c r="L31" i="54" s="1"/>
  <c r="K23" i="49"/>
  <c r="L23" i="54" s="1"/>
  <c r="K15" i="49"/>
  <c r="L15" i="54" s="1"/>
  <c r="K7" i="49"/>
  <c r="L7" i="54" s="1"/>
  <c r="K19" i="49"/>
  <c r="L19" i="54" s="1"/>
  <c r="K30" i="49"/>
  <c r="L30" i="54" s="1"/>
  <c r="K22" i="49"/>
  <c r="L22" i="54" s="1"/>
  <c r="K14" i="49"/>
  <c r="L14" i="54" s="1"/>
  <c r="L5" i="54"/>
  <c r="K35" i="49"/>
  <c r="L35" i="54" s="1"/>
  <c r="K29" i="49"/>
  <c r="L29" i="54" s="1"/>
  <c r="K21" i="49"/>
  <c r="L21" i="54" s="1"/>
  <c r="K13" i="49"/>
  <c r="L13" i="54" s="1"/>
  <c r="K27" i="49"/>
  <c r="L27" i="54" s="1"/>
  <c r="K36" i="49"/>
  <c r="L36" i="54" s="1"/>
  <c r="K28" i="49"/>
  <c r="L28" i="54" s="1"/>
  <c r="K20" i="49"/>
  <c r="L20" i="54" s="1"/>
  <c r="K12" i="49"/>
  <c r="L12" i="54" s="1"/>
  <c r="L14" i="52"/>
  <c r="L12" i="52"/>
  <c r="L32" i="52"/>
  <c r="L22" i="52"/>
  <c r="L18" i="52"/>
  <c r="L30" i="52"/>
  <c r="L17" i="52"/>
  <c r="L16" i="52"/>
  <c r="D20" i="48"/>
  <c r="G21" i="52"/>
  <c r="G34" i="52" s="1"/>
  <c r="C23" i="48"/>
  <c r="F24" i="52"/>
  <c r="E39" i="48"/>
  <c r="E34" i="49" s="1"/>
  <c r="E34" i="54" s="1"/>
  <c r="Q68" i="54" s="1"/>
  <c r="H40" i="52"/>
  <c r="L21" i="52"/>
  <c r="L15" i="52"/>
  <c r="K10" i="48"/>
  <c r="K11" i="52"/>
  <c r="E12" i="48"/>
  <c r="E25" i="48" s="1"/>
  <c r="E20" i="49" s="1"/>
  <c r="E20" i="54" s="1"/>
  <c r="Q54" i="54" s="1"/>
  <c r="H13" i="52"/>
  <c r="D36" i="48"/>
  <c r="D31" i="49" s="1"/>
  <c r="D31" i="54" s="1"/>
  <c r="P65" i="54" s="1"/>
  <c r="G37" i="52"/>
  <c r="L13" i="52"/>
  <c r="E14" i="48"/>
  <c r="H15" i="52"/>
  <c r="D9" i="48"/>
  <c r="D4" i="49" s="1"/>
  <c r="D4" i="54" s="1"/>
  <c r="P38" i="54" s="1"/>
  <c r="G10" i="52"/>
  <c r="M45" i="52" s="1"/>
  <c r="E40" i="48"/>
  <c r="E35" i="49" s="1"/>
  <c r="E35" i="54" s="1"/>
  <c r="Q69" i="54" s="1"/>
  <c r="H41" i="52"/>
  <c r="D10" i="48"/>
  <c r="G11" i="52"/>
  <c r="G24" i="52" s="1"/>
  <c r="E9" i="48"/>
  <c r="E4" i="49" s="1"/>
  <c r="E4" i="54" s="1"/>
  <c r="Q38" i="54" s="1"/>
  <c r="H10" i="52"/>
  <c r="L35" i="52"/>
  <c r="C10" i="48"/>
  <c r="F11" i="52"/>
  <c r="E41" i="48"/>
  <c r="E36" i="49" s="1"/>
  <c r="E36" i="54" s="1"/>
  <c r="Q70" i="54" s="1"/>
  <c r="H42" i="52"/>
  <c r="D15" i="48"/>
  <c r="D28" i="48" s="1"/>
  <c r="D23" i="49" s="1"/>
  <c r="D23" i="54" s="1"/>
  <c r="P57" i="54" s="1"/>
  <c r="G16" i="52"/>
  <c r="G29" i="52" s="1"/>
  <c r="L19" i="52"/>
  <c r="L23" i="52"/>
  <c r="L36" i="52"/>
  <c r="E36" i="48"/>
  <c r="E31" i="49" s="1"/>
  <c r="E31" i="54" s="1"/>
  <c r="Q65" i="54" s="1"/>
  <c r="H37" i="52"/>
  <c r="E35" i="48"/>
  <c r="E30" i="49" s="1"/>
  <c r="E30" i="54" s="1"/>
  <c r="Q64" i="54" s="1"/>
  <c r="H36" i="52"/>
  <c r="D35" i="48"/>
  <c r="D30" i="49" s="1"/>
  <c r="D30" i="54" s="1"/>
  <c r="P64" i="54" s="1"/>
  <c r="G36" i="52"/>
  <c r="E13" i="48"/>
  <c r="E26" i="48" s="1"/>
  <c r="E21" i="49" s="1"/>
  <c r="E21" i="54" s="1"/>
  <c r="Q55" i="54" s="1"/>
  <c r="H14" i="52"/>
  <c r="L28" i="52"/>
  <c r="L33" i="52"/>
  <c r="L27" i="52"/>
  <c r="L34" i="52"/>
  <c r="E38" i="48"/>
  <c r="E33" i="49" s="1"/>
  <c r="E33" i="54" s="1"/>
  <c r="Q67" i="54" s="1"/>
  <c r="H39" i="52"/>
  <c r="E22" i="48"/>
  <c r="E17" i="49" s="1"/>
  <c r="E17" i="54" s="1"/>
  <c r="Q51" i="54" s="1"/>
  <c r="H23" i="52"/>
  <c r="L26" i="52"/>
  <c r="L31" i="52"/>
  <c r="L25" i="52"/>
  <c r="E11" i="48"/>
  <c r="E16" i="48" s="1"/>
  <c r="H12" i="52"/>
  <c r="D22" i="48"/>
  <c r="D17" i="49" s="1"/>
  <c r="D17" i="54" s="1"/>
  <c r="P51" i="54" s="1"/>
  <c r="G23" i="52"/>
  <c r="L24" i="52"/>
  <c r="L29" i="52"/>
  <c r="L20" i="52"/>
  <c r="E37" i="48"/>
  <c r="E32" i="49" s="1"/>
  <c r="E32" i="54" s="1"/>
  <c r="Q66" i="54" s="1"/>
  <c r="H38" i="52"/>
  <c r="E10" i="48"/>
  <c r="H11" i="52"/>
  <c r="K6" i="49"/>
  <c r="L6" i="54" s="1"/>
  <c r="E17" i="48"/>
  <c r="D5" i="49"/>
  <c r="D5" i="54" s="1"/>
  <c r="P39" i="54" s="1"/>
  <c r="D23" i="48"/>
  <c r="D18" i="49" s="1"/>
  <c r="D18" i="54" s="1"/>
  <c r="P52" i="54" s="1"/>
  <c r="D10" i="49"/>
  <c r="D10" i="54" s="1"/>
  <c r="P44" i="54" s="1"/>
  <c r="E6" i="49"/>
  <c r="E6" i="54" s="1"/>
  <c r="Q40" i="54" s="1"/>
  <c r="E24" i="48" l="1"/>
  <c r="E19" i="49" s="1"/>
  <c r="E19" i="54" s="1"/>
  <c r="Q53" i="54" s="1"/>
  <c r="C5" i="49"/>
  <c r="C5" i="54" s="1"/>
  <c r="O39" i="54" s="1"/>
  <c r="C3" i="52"/>
  <c r="O45" i="52" s="1"/>
  <c r="C18" i="49"/>
  <c r="C18" i="54" s="1"/>
  <c r="O52" i="54" s="1"/>
  <c r="D3" i="52"/>
  <c r="P45" i="52" s="1"/>
  <c r="K41" i="48"/>
  <c r="K33" i="48"/>
  <c r="K25" i="48"/>
  <c r="K17" i="48"/>
  <c r="K40" i="48"/>
  <c r="K32" i="48"/>
  <c r="K24" i="48"/>
  <c r="K16" i="48"/>
  <c r="K39" i="48"/>
  <c r="K31" i="48"/>
  <c r="K23" i="48"/>
  <c r="K15" i="48"/>
  <c r="K18" i="48"/>
  <c r="K38" i="48"/>
  <c r="K30" i="48"/>
  <c r="K22" i="48"/>
  <c r="K14" i="48"/>
  <c r="K26" i="48"/>
  <c r="K37" i="48"/>
  <c r="K29" i="48"/>
  <c r="K21" i="48"/>
  <c r="K13" i="48"/>
  <c r="K34" i="48"/>
  <c r="K36" i="48"/>
  <c r="K28" i="48"/>
  <c r="K20" i="48"/>
  <c r="K12" i="48"/>
  <c r="K35" i="48"/>
  <c r="K27" i="48"/>
  <c r="K19" i="48"/>
  <c r="E18" i="48"/>
  <c r="E13" i="49" s="1"/>
  <c r="E13" i="54" s="1"/>
  <c r="Q47" i="54" s="1"/>
  <c r="E20" i="48"/>
  <c r="E33" i="48" s="1"/>
  <c r="E28" i="49" s="1"/>
  <c r="E28" i="54" s="1"/>
  <c r="Q62" i="54" s="1"/>
  <c r="E7" i="49"/>
  <c r="E7" i="54" s="1"/>
  <c r="Q41" i="54" s="1"/>
  <c r="E27" i="48"/>
  <c r="E22" i="49" s="1"/>
  <c r="E22" i="54" s="1"/>
  <c r="Q56" i="54" s="1"/>
  <c r="E9" i="49"/>
  <c r="E9" i="54" s="1"/>
  <c r="Q43" i="54" s="1"/>
  <c r="E19" i="48"/>
  <c r="E21" i="48"/>
  <c r="E8" i="49"/>
  <c r="E8" i="54" s="1"/>
  <c r="Q42" i="54" s="1"/>
  <c r="K11" i="48"/>
  <c r="E23" i="48"/>
  <c r="E18" i="49" s="1"/>
  <c r="E18" i="54" s="1"/>
  <c r="Q52" i="54" s="1"/>
  <c r="E15" i="48"/>
  <c r="E5" i="49"/>
  <c r="E5" i="54" s="1"/>
  <c r="Q39" i="54" s="1"/>
  <c r="D33" i="48"/>
  <c r="D28" i="49" s="1"/>
  <c r="D28" i="54" s="1"/>
  <c r="P62" i="54" s="1"/>
  <c r="D15" i="49"/>
  <c r="D15" i="54" s="1"/>
  <c r="P49" i="54" s="1"/>
  <c r="L41" i="52"/>
  <c r="L38" i="52"/>
  <c r="L37" i="52"/>
  <c r="L40" i="52"/>
  <c r="L39" i="52"/>
  <c r="L42" i="52"/>
  <c r="H17" i="52"/>
  <c r="H30" i="52" s="1"/>
  <c r="H25" i="52"/>
  <c r="H19" i="52"/>
  <c r="H32" i="52" s="1"/>
  <c r="H21" i="52"/>
  <c r="H34" i="52" s="1"/>
  <c r="H27" i="52"/>
  <c r="H26" i="52"/>
  <c r="H18" i="52"/>
  <c r="H31" i="52" s="1"/>
  <c r="H16" i="52"/>
  <c r="H29" i="52" s="1"/>
  <c r="H24" i="52"/>
  <c r="H22" i="52"/>
  <c r="H35" i="52" s="1"/>
  <c r="H28" i="52"/>
  <c r="H20" i="52"/>
  <c r="H33" i="52" s="1"/>
  <c r="E11" i="49"/>
  <c r="E11" i="54" s="1"/>
  <c r="Q45" i="54" s="1"/>
  <c r="E29" i="48"/>
  <c r="E24" i="49" s="1"/>
  <c r="E24" i="54" s="1"/>
  <c r="Q58" i="54" s="1"/>
  <c r="E30" i="48"/>
  <c r="E25" i="49" s="1"/>
  <c r="E25" i="54" s="1"/>
  <c r="Q59" i="54" s="1"/>
  <c r="E12" i="49"/>
  <c r="E12" i="54" s="1"/>
  <c r="Q46" i="54" s="1"/>
  <c r="E31" i="48"/>
  <c r="E26" i="49" s="1"/>
  <c r="E26" i="54" s="1"/>
  <c r="Q60" i="54" s="1"/>
  <c r="E15" i="49" l="1"/>
  <c r="E15" i="54" s="1"/>
  <c r="Q49" i="54" s="1"/>
  <c r="E32" i="48"/>
  <c r="E27" i="49" s="1"/>
  <c r="E27" i="54" s="1"/>
  <c r="Q61" i="54" s="1"/>
  <c r="E14" i="49"/>
  <c r="E14" i="54" s="1"/>
  <c r="Q48" i="54" s="1"/>
  <c r="E28" i="48"/>
  <c r="E23" i="49" s="1"/>
  <c r="E23" i="54" s="1"/>
  <c r="Q57" i="54" s="1"/>
  <c r="E10" i="49"/>
  <c r="E10" i="54" s="1"/>
  <c r="Q44" i="54" s="1"/>
  <c r="E16" i="49"/>
  <c r="E16" i="54" s="1"/>
  <c r="Q50" i="54" s="1"/>
  <c r="E34" i="48"/>
  <c r="E29" i="49" s="1"/>
  <c r="E29" i="54" s="1"/>
  <c r="Q63" i="54" s="1"/>
  <c r="E106" i="8"/>
  <c r="E105" i="8"/>
  <c r="E103" i="8"/>
  <c r="E81" i="8"/>
  <c r="E80" i="8"/>
  <c r="E79" i="8"/>
  <c r="E78" i="8"/>
  <c r="E77" i="8"/>
  <c r="E76" i="8"/>
  <c r="E75" i="8"/>
  <c r="E74" i="8"/>
  <c r="E73" i="8"/>
  <c r="E72" i="8"/>
  <c r="E71" i="8"/>
  <c r="E70" i="8"/>
  <c r="E69" i="8"/>
  <c r="E68" i="8"/>
  <c r="E67" i="8"/>
  <c r="E66" i="8"/>
  <c r="E65" i="8"/>
  <c r="E53" i="8"/>
  <c r="E52" i="8"/>
  <c r="E51" i="8"/>
  <c r="E31" i="8"/>
  <c r="E30" i="8"/>
  <c r="E29" i="8"/>
  <c r="E28" i="8"/>
  <c r="E27" i="8"/>
  <c r="E26" i="8"/>
  <c r="E25" i="8"/>
  <c r="E24" i="8"/>
  <c r="E20" i="8" a="1"/>
  <c r="E22" i="8" s="1"/>
  <c r="E9" i="8"/>
  <c r="G12" i="48" l="1"/>
  <c r="I13" i="52"/>
  <c r="I22" i="52"/>
  <c r="G21" i="48"/>
  <c r="G27" i="48"/>
  <c r="I28" i="52"/>
  <c r="G35" i="48"/>
  <c r="I36" i="52"/>
  <c r="G34" i="48"/>
  <c r="I35" i="52"/>
  <c r="I29" i="52"/>
  <c r="G28" i="48"/>
  <c r="G36" i="48"/>
  <c r="I37" i="52"/>
  <c r="I21" i="52"/>
  <c r="G20" i="48"/>
  <c r="G26" i="48"/>
  <c r="I27" i="52"/>
  <c r="I30" i="52"/>
  <c r="G29" i="48"/>
  <c r="I38" i="52"/>
  <c r="G37" i="48"/>
  <c r="G30" i="48"/>
  <c r="I31" i="52"/>
  <c r="G38" i="48"/>
  <c r="I39" i="52"/>
  <c r="G14" i="48"/>
  <c r="I15" i="52"/>
  <c r="G15" i="48"/>
  <c r="I16" i="52"/>
  <c r="G16" i="48"/>
  <c r="I17" i="52"/>
  <c r="G17" i="48"/>
  <c r="I18" i="52"/>
  <c r="G23" i="48"/>
  <c r="I24" i="52"/>
  <c r="G31" i="48"/>
  <c r="I32" i="52"/>
  <c r="G39" i="48"/>
  <c r="I40" i="52"/>
  <c r="G18" i="48"/>
  <c r="I19" i="52"/>
  <c r="G32" i="48"/>
  <c r="I33" i="52"/>
  <c r="E84" i="8"/>
  <c r="G24" i="48"/>
  <c r="I25" i="52"/>
  <c r="G19" i="48"/>
  <c r="I20" i="52"/>
  <c r="G25" i="48"/>
  <c r="I26" i="52"/>
  <c r="G33" i="48"/>
  <c r="I34" i="52"/>
  <c r="E20" i="8"/>
  <c r="E23" i="8"/>
  <c r="E21" i="8"/>
  <c r="D9" i="8"/>
  <c r="I14" i="52" l="1"/>
  <c r="G13" i="48"/>
  <c r="G11" i="48"/>
  <c r="I12" i="52"/>
  <c r="G10" i="48"/>
  <c r="I11" i="52"/>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8" i="6"/>
  <c r="E18" i="6"/>
  <c r="D18" i="6"/>
  <c r="C18" i="6"/>
  <c r="F17" i="6"/>
  <c r="E17" i="6"/>
  <c r="D17" i="6"/>
  <c r="C17" i="6"/>
  <c r="F16" i="6"/>
  <c r="E16" i="6"/>
  <c r="D16" i="6"/>
  <c r="C16" i="6"/>
  <c r="F15" i="6"/>
  <c r="E15" i="6"/>
  <c r="D15" i="6"/>
  <c r="C15" i="6"/>
  <c r="F14" i="6"/>
  <c r="E14" i="6"/>
  <c r="D14" i="6"/>
  <c r="C14" i="6"/>
  <c r="B194" i="19" l="1"/>
  <c r="B26" i="18"/>
  <c r="D252" i="8" l="1"/>
  <c r="D251" i="8"/>
  <c r="D249" i="8"/>
  <c r="D240" i="8" a="1"/>
  <c r="D240" i="8" s="1"/>
  <c r="D231" i="8" a="1"/>
  <c r="D231" i="8" s="1"/>
  <c r="D222" i="8" a="1"/>
  <c r="D224" i="8" s="1"/>
  <c r="D242" i="8" l="1"/>
  <c r="D241" i="8"/>
  <c r="D234" i="8"/>
  <c r="D233" i="8"/>
  <c r="D232" i="8"/>
  <c r="D223" i="8"/>
  <c r="D222" i="8"/>
  <c r="E138" i="8" l="1"/>
  <c r="E133" i="8"/>
  <c r="E126" i="8"/>
  <c r="E144" i="8" s="1"/>
  <c r="E125" i="8"/>
  <c r="E143" i="8" s="1"/>
  <c r="E124" i="8"/>
  <c r="E142" i="8" s="1"/>
  <c r="E123" i="8"/>
  <c r="E141" i="8" s="1"/>
  <c r="E122" i="8"/>
  <c r="E140" i="8" s="1"/>
  <c r="E121" i="8"/>
  <c r="E139" i="8" s="1"/>
  <c r="E119" i="8"/>
  <c r="E137" i="8" s="1"/>
  <c r="E118" i="8"/>
  <c r="E136" i="8" s="1"/>
  <c r="E117" i="8"/>
  <c r="E135" i="8" s="1"/>
  <c r="E116" i="8"/>
  <c r="E134" i="8" s="1"/>
  <c r="E127" i="8" l="1"/>
  <c r="E120" i="8"/>
  <c r="E115" i="8"/>
  <c r="E149" i="8"/>
  <c r="E148" i="8"/>
  <c r="E147" i="8"/>
  <c r="E146" i="8"/>
  <c r="E145" i="8"/>
  <c r="D197" i="8" l="1"/>
  <c r="G266" i="21" l="1"/>
  <c r="F266" i="21"/>
  <c r="E266" i="21"/>
  <c r="D266" i="21"/>
  <c r="G244" i="21"/>
  <c r="F244" i="21"/>
  <c r="E244" i="21"/>
  <c r="D244" i="21"/>
  <c r="G684" i="19"/>
  <c r="F684" i="19"/>
  <c r="E684" i="19"/>
  <c r="D684" i="19"/>
  <c r="G677" i="19"/>
  <c r="F677" i="19"/>
  <c r="E677" i="19"/>
  <c r="D677" i="19"/>
  <c r="D190" i="8" l="1"/>
  <c r="C23" i="6"/>
  <c r="C5" i="6" s="1"/>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G27" i="6"/>
  <c r="F27" i="6"/>
  <c r="F9" i="6" s="1"/>
  <c r="E27" i="6"/>
  <c r="E9" i="6" s="1"/>
  <c r="D27" i="6"/>
  <c r="D9" i="6" s="1"/>
  <c r="C27" i="6"/>
  <c r="C9" i="6" s="1"/>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F8" i="6" s="1"/>
  <c r="E26" i="6"/>
  <c r="E8" i="6" s="1"/>
  <c r="D26" i="6"/>
  <c r="D8" i="6" s="1"/>
  <c r="C26" i="6"/>
  <c r="C8" i="6" s="1"/>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I25" i="6"/>
  <c r="H25" i="6"/>
  <c r="G25" i="6"/>
  <c r="F25" i="6"/>
  <c r="F7" i="6" s="1"/>
  <c r="E25" i="6"/>
  <c r="E7" i="6" s="1"/>
  <c r="D25" i="6"/>
  <c r="D7" i="6" s="1"/>
  <c r="C25" i="6"/>
  <c r="C7" i="6" s="1"/>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F6" i="6" s="1"/>
  <c r="E24" i="6"/>
  <c r="E6" i="6" s="1"/>
  <c r="D24" i="6"/>
  <c r="D6" i="6" s="1"/>
  <c r="C24" i="6"/>
  <c r="C6" i="6" s="1"/>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F5" i="6" s="1"/>
  <c r="E23" i="6"/>
  <c r="E5" i="6" s="1"/>
  <c r="D23" i="6"/>
  <c r="D5" i="6" s="1"/>
  <c r="E7" i="8"/>
  <c r="D7" i="8"/>
  <c r="G4" i="48" l="1"/>
  <c r="F4" i="51"/>
  <c r="F5" i="51" s="1"/>
  <c r="E8" i="8"/>
  <c r="D8" i="8"/>
  <c r="F7" i="8" l="1"/>
  <c r="F8" i="8" l="1"/>
  <c r="G7" i="8"/>
  <c r="G8" i="8" l="1"/>
  <c r="E131" i="8" l="1"/>
  <c r="E104" i="8" l="1"/>
  <c r="E107" i="8" l="1"/>
  <c r="E108" i="8" s="1"/>
  <c r="E83" i="8"/>
  <c r="E82" i="8"/>
  <c r="D106" i="8"/>
  <c r="D105" i="8"/>
  <c r="D103" i="8"/>
  <c r="D81" i="8"/>
  <c r="D80" i="8"/>
  <c r="D79" i="8"/>
  <c r="D78" i="8"/>
  <c r="D77" i="8"/>
  <c r="D76" i="8"/>
  <c r="D75" i="8"/>
  <c r="D74" i="8"/>
  <c r="D70" i="8" a="1"/>
  <c r="D73" i="8" s="1"/>
  <c r="D69" i="8"/>
  <c r="D65" i="8" a="1"/>
  <c r="D66" i="8" s="1"/>
  <c r="D53" i="8"/>
  <c r="D52" i="8"/>
  <c r="D51" i="8"/>
  <c r="D31" i="8"/>
  <c r="D30" i="8"/>
  <c r="D29" i="8"/>
  <c r="D25" i="8" a="1"/>
  <c r="D25" i="8" s="1"/>
  <c r="D24" i="8"/>
  <c r="D20" i="8" a="1"/>
  <c r="D23" i="8" s="1"/>
  <c r="D20" i="8" l="1"/>
  <c r="D21" i="8"/>
  <c r="D22" i="8"/>
  <c r="D27" i="8"/>
  <c r="D71" i="8"/>
  <c r="D67" i="8"/>
  <c r="D28" i="8"/>
  <c r="D72" i="8"/>
  <c r="D70" i="8"/>
  <c r="D26" i="8"/>
  <c r="D68" i="8"/>
  <c r="D65" i="8"/>
  <c r="D351" i="8" l="1"/>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E198" i="8" l="1"/>
  <c r="E197" i="8"/>
  <c r="D243" i="8" l="1"/>
  <c r="D207" i="8"/>
  <c r="D191" i="8"/>
  <c r="D352" i="8" l="1"/>
  <c r="E216" i="8" l="1"/>
  <c r="F216" i="8" s="1"/>
  <c r="G216" i="8" s="1"/>
  <c r="E215" i="8"/>
  <c r="F215" i="8" s="1"/>
  <c r="G215" i="8" s="1"/>
  <c r="E214" i="8"/>
  <c r="F214" i="8" s="1"/>
  <c r="G214" i="8" s="1"/>
  <c r="E213" i="8"/>
  <c r="F213" i="8" s="1"/>
  <c r="G213" i="8" s="1"/>
  <c r="E206" i="8"/>
  <c r="F206" i="8" s="1"/>
  <c r="G206" i="8" s="1"/>
  <c r="E205" i="8"/>
  <c r="F205" i="8" s="1"/>
  <c r="G205" i="8" s="1"/>
  <c r="E204" i="8"/>
  <c r="F204" i="8" s="1"/>
  <c r="G204" i="8" s="1"/>
  <c r="C13" i="38" l="1"/>
  <c r="C12" i="38"/>
  <c r="C11" i="38"/>
  <c r="C10" i="38"/>
  <c r="C9" i="38"/>
  <c r="C8" i="38"/>
  <c r="C7" i="38"/>
  <c r="C6" i="38"/>
  <c r="G5" i="38" l="1"/>
  <c r="F5" i="38"/>
  <c r="E5" i="38"/>
  <c r="D5" i="38"/>
  <c r="E234" i="8" l="1"/>
  <c r="F234" i="8" s="1"/>
  <c r="G234" i="8" s="1"/>
  <c r="E233" i="8"/>
  <c r="F233" i="8" s="1"/>
  <c r="G233" i="8" s="1"/>
  <c r="E232" i="8"/>
  <c r="F232" i="8" s="1"/>
  <c r="G232" i="8" s="1"/>
  <c r="E231" i="8"/>
  <c r="F231" i="8" s="1"/>
  <c r="G231" i="8" s="1"/>
  <c r="E224" i="8"/>
  <c r="F224" i="8" s="1"/>
  <c r="G224" i="8" s="1"/>
  <c r="E223" i="8"/>
  <c r="F223" i="8" s="1"/>
  <c r="G223" i="8" s="1"/>
  <c r="E222" i="8"/>
  <c r="F222" i="8" s="1"/>
  <c r="G222" i="8" s="1"/>
  <c r="B14" i="18" l="1"/>
  <c r="B195" i="19"/>
  <c r="B98" i="19"/>
  <c r="B99" i="19"/>
  <c r="G229" i="8" l="1"/>
  <c r="F229" i="8"/>
  <c r="E229" i="8"/>
  <c r="D229" i="8"/>
  <c r="G220" i="8"/>
  <c r="F220" i="8"/>
  <c r="E220" i="8"/>
  <c r="D220" i="8"/>
  <c r="F225" i="8" l="1"/>
  <c r="D225" i="8"/>
  <c r="E225" i="8"/>
  <c r="G225" i="8"/>
  <c r="F104" i="8" l="1"/>
  <c r="G104" i="8" s="1"/>
  <c r="B104" i="8"/>
  <c r="B103" i="8"/>
  <c r="F52" i="8"/>
  <c r="G52" i="8" s="1"/>
  <c r="B54" i="8"/>
  <c r="B52" i="8"/>
  <c r="B51" i="8"/>
  <c r="G93" i="21" l="1"/>
  <c r="F93" i="21"/>
  <c r="E93" i="21"/>
  <c r="D93" i="21"/>
  <c r="G92" i="21"/>
  <c r="F92" i="21"/>
  <c r="E92" i="21"/>
  <c r="D92" i="21"/>
  <c r="G91" i="21"/>
  <c r="F91" i="21"/>
  <c r="E91" i="21"/>
  <c r="D91" i="21"/>
  <c r="G90" i="21"/>
  <c r="F90" i="21"/>
  <c r="E90" i="21"/>
  <c r="D90" i="21"/>
  <c r="G89" i="21"/>
  <c r="F89" i="21"/>
  <c r="E89" i="21"/>
  <c r="D89" i="21"/>
  <c r="G88" i="21"/>
  <c r="F88" i="21"/>
  <c r="E88" i="21"/>
  <c r="D88" i="21"/>
  <c r="G87" i="21"/>
  <c r="F87" i="21"/>
  <c r="E87" i="21"/>
  <c r="D87" i="21"/>
  <c r="G84" i="21"/>
  <c r="F84" i="21"/>
  <c r="E84" i="21"/>
  <c r="D84" i="21"/>
  <c r="G83" i="21"/>
  <c r="F83" i="21"/>
  <c r="E83" i="21"/>
  <c r="D83" i="21"/>
  <c r="G82" i="21"/>
  <c r="F82" i="21"/>
  <c r="E82" i="21"/>
  <c r="D82" i="21"/>
  <c r="G81" i="21"/>
  <c r="F81" i="21"/>
  <c r="E81" i="21"/>
  <c r="D81" i="21"/>
  <c r="G80" i="21"/>
  <c r="F80" i="21"/>
  <c r="E80" i="21"/>
  <c r="D80" i="21"/>
  <c r="G79" i="21"/>
  <c r="F79" i="21"/>
  <c r="E79" i="21"/>
  <c r="D79" i="21"/>
  <c r="G78" i="21"/>
  <c r="F78" i="21"/>
  <c r="E78" i="21"/>
  <c r="D78" i="21"/>
  <c r="G77" i="21"/>
  <c r="F77" i="21"/>
  <c r="E77" i="21"/>
  <c r="D77" i="21"/>
  <c r="G76" i="21"/>
  <c r="F76" i="21"/>
  <c r="E76" i="21"/>
  <c r="D76" i="21"/>
  <c r="G75" i="21"/>
  <c r="F75" i="21"/>
  <c r="E75" i="21"/>
  <c r="D75" i="21"/>
  <c r="G73" i="20"/>
  <c r="F73" i="20"/>
  <c r="E73" i="20"/>
  <c r="D73" i="20"/>
  <c r="G70" i="20"/>
  <c r="F70" i="20"/>
  <c r="E70" i="20"/>
  <c r="D70" i="20"/>
  <c r="G69" i="20"/>
  <c r="F69" i="20"/>
  <c r="E69" i="20"/>
  <c r="D69" i="20"/>
  <c r="G68" i="20"/>
  <c r="F68" i="20"/>
  <c r="E68" i="20"/>
  <c r="D68" i="20"/>
  <c r="G67" i="20"/>
  <c r="F67" i="20"/>
  <c r="E67" i="20"/>
  <c r="D67" i="20"/>
  <c r="G66" i="20"/>
  <c r="F66" i="20"/>
  <c r="E66" i="20"/>
  <c r="D66" i="20"/>
  <c r="G65" i="20"/>
  <c r="F65" i="20"/>
  <c r="E65" i="20"/>
  <c r="D65" i="20"/>
  <c r="G64" i="20"/>
  <c r="F64" i="20"/>
  <c r="E64" i="20"/>
  <c r="D64" i="20"/>
  <c r="G63" i="20"/>
  <c r="F63" i="20"/>
  <c r="E63" i="20"/>
  <c r="D63" i="20"/>
  <c r="G62" i="20"/>
  <c r="F62" i="20"/>
  <c r="E62" i="20"/>
  <c r="D62" i="20"/>
  <c r="G61" i="20"/>
  <c r="F61" i="20"/>
  <c r="E61" i="20"/>
  <c r="D61" i="20"/>
  <c r="E250" i="8" l="1"/>
  <c r="F250" i="8" s="1"/>
  <c r="G250" i="8" s="1"/>
  <c r="E243" i="8"/>
  <c r="F243" i="8" s="1"/>
  <c r="G243" i="8" s="1"/>
  <c r="E241" i="8" l="1"/>
  <c r="E252" i="8"/>
  <c r="F252" i="8" s="1"/>
  <c r="G252" i="8" s="1"/>
  <c r="E242" i="8"/>
  <c r="E251" i="8"/>
  <c r="F242" i="8" l="1"/>
  <c r="G242" i="8" s="1"/>
  <c r="C7" i="52"/>
  <c r="F251" i="8"/>
  <c r="G251" i="8" s="1"/>
  <c r="D7" i="52"/>
  <c r="F241" i="8"/>
  <c r="G241" i="8" s="1"/>
  <c r="C6" i="52"/>
  <c r="E249" i="8"/>
  <c r="E240" i="8"/>
  <c r="F240" i="8" l="1"/>
  <c r="F249" i="8"/>
  <c r="G247" i="8"/>
  <c r="F247" i="8"/>
  <c r="E247" i="8"/>
  <c r="D247" i="8"/>
  <c r="G238" i="8"/>
  <c r="F238" i="8"/>
  <c r="E238" i="8"/>
  <c r="D238" i="8"/>
  <c r="G249" i="8" l="1"/>
  <c r="G240" i="8"/>
  <c r="G5" i="31" l="1"/>
  <c r="F5" i="31"/>
  <c r="E5" i="31"/>
  <c r="D5" i="31"/>
  <c r="G191" i="13" a="1"/>
  <c r="G191" i="13" s="1"/>
  <c r="F191" i="13" a="1"/>
  <c r="F191" i="13" s="1"/>
  <c r="E191" i="13" a="1"/>
  <c r="E195" i="13" s="1"/>
  <c r="D191" i="13" a="1"/>
  <c r="D191" i="13" s="1"/>
  <c r="C191" i="13" a="1"/>
  <c r="C191" i="13" s="1"/>
  <c r="B189" i="13"/>
  <c r="B96" i="13"/>
  <c r="G238" i="13" l="1"/>
  <c r="G237" i="13"/>
  <c r="G260" i="13"/>
  <c r="G244" i="13"/>
  <c r="G236" i="13"/>
  <c r="G228" i="13"/>
  <c r="G220" i="13"/>
  <c r="G212" i="13"/>
  <c r="G204" i="13"/>
  <c r="G196" i="13"/>
  <c r="G254" i="13"/>
  <c r="G214" i="13"/>
  <c r="G245" i="13"/>
  <c r="G205" i="13"/>
  <c r="G252" i="13"/>
  <c r="G275" i="13"/>
  <c r="G267" i="13"/>
  <c r="G259" i="13"/>
  <c r="G251" i="13"/>
  <c r="G243" i="13"/>
  <c r="G235" i="13"/>
  <c r="G227" i="13"/>
  <c r="G219" i="13"/>
  <c r="G211" i="13"/>
  <c r="G203" i="13"/>
  <c r="G195" i="13"/>
  <c r="G278" i="13"/>
  <c r="G230" i="13"/>
  <c r="G269" i="13"/>
  <c r="G221" i="13"/>
  <c r="G268" i="13"/>
  <c r="G274" i="13"/>
  <c r="G266" i="13"/>
  <c r="G258" i="13"/>
  <c r="G250" i="13"/>
  <c r="G242" i="13"/>
  <c r="G234" i="13"/>
  <c r="G226" i="13"/>
  <c r="G218" i="13"/>
  <c r="G210" i="13"/>
  <c r="G202" i="13"/>
  <c r="G194" i="13"/>
  <c r="G270" i="13"/>
  <c r="G222" i="13"/>
  <c r="G261" i="13"/>
  <c r="G213" i="13"/>
  <c r="G273" i="13"/>
  <c r="G265" i="13"/>
  <c r="G257" i="13"/>
  <c r="G249" i="13"/>
  <c r="G241" i="13"/>
  <c r="G233" i="13"/>
  <c r="G225" i="13"/>
  <c r="G217" i="13"/>
  <c r="G209" i="13"/>
  <c r="G201" i="13"/>
  <c r="G193" i="13"/>
  <c r="G246" i="13"/>
  <c r="G198" i="13"/>
  <c r="G277" i="13"/>
  <c r="G229" i="13"/>
  <c r="G276" i="13"/>
  <c r="G272" i="13"/>
  <c r="G264" i="13"/>
  <c r="G256" i="13"/>
  <c r="G248" i="13"/>
  <c r="G240" i="13"/>
  <c r="G232" i="13"/>
  <c r="G224" i="13"/>
  <c r="G216" i="13"/>
  <c r="G208" i="13"/>
  <c r="G200" i="13"/>
  <c r="G192" i="13"/>
  <c r="G262" i="13"/>
  <c r="G206" i="13"/>
  <c r="G253" i="13"/>
  <c r="G197" i="13"/>
  <c r="G279" i="13"/>
  <c r="G271" i="13"/>
  <c r="G263" i="13"/>
  <c r="G255" i="13"/>
  <c r="G247" i="13"/>
  <c r="G239" i="13"/>
  <c r="G231" i="13"/>
  <c r="G223" i="13"/>
  <c r="G215" i="13"/>
  <c r="G207" i="13"/>
  <c r="G199" i="13"/>
  <c r="F262" i="13"/>
  <c r="F238" i="13"/>
  <c r="F237" i="13"/>
  <c r="F276" i="13"/>
  <c r="F268" i="13"/>
  <c r="F260" i="13"/>
  <c r="F252" i="13"/>
  <c r="F244" i="13"/>
  <c r="F236" i="13"/>
  <c r="F228" i="13"/>
  <c r="F220" i="13"/>
  <c r="F212" i="13"/>
  <c r="F204" i="13"/>
  <c r="F196" i="13"/>
  <c r="F214" i="13"/>
  <c r="F277" i="13"/>
  <c r="F229" i="13"/>
  <c r="F275" i="13"/>
  <c r="F267" i="13"/>
  <c r="F259" i="13"/>
  <c r="F251" i="13"/>
  <c r="F243" i="13"/>
  <c r="F235" i="13"/>
  <c r="F227" i="13"/>
  <c r="F219" i="13"/>
  <c r="F211" i="13"/>
  <c r="F203" i="13"/>
  <c r="F195" i="13"/>
  <c r="F254" i="13"/>
  <c r="F230" i="13"/>
  <c r="F245" i="13"/>
  <c r="F213" i="13"/>
  <c r="F274" i="13"/>
  <c r="F266" i="13"/>
  <c r="F258" i="13"/>
  <c r="F250" i="13"/>
  <c r="F242" i="13"/>
  <c r="F234" i="13"/>
  <c r="F226" i="13"/>
  <c r="F218" i="13"/>
  <c r="F210" i="13"/>
  <c r="F202" i="13"/>
  <c r="F194" i="13"/>
  <c r="F278" i="13"/>
  <c r="F246" i="13"/>
  <c r="F198" i="13"/>
  <c r="F261" i="13"/>
  <c r="F205" i="13"/>
  <c r="F273" i="13"/>
  <c r="F265" i="13"/>
  <c r="F257" i="13"/>
  <c r="F249" i="13"/>
  <c r="F241" i="13"/>
  <c r="F233" i="13"/>
  <c r="F225" i="13"/>
  <c r="F217" i="13"/>
  <c r="F209" i="13"/>
  <c r="F201" i="13"/>
  <c r="F193" i="13"/>
  <c r="F222" i="13"/>
  <c r="F269" i="13"/>
  <c r="F197" i="13"/>
  <c r="F272" i="13"/>
  <c r="F264" i="13"/>
  <c r="F256" i="13"/>
  <c r="F248" i="13"/>
  <c r="F240" i="13"/>
  <c r="F232" i="13"/>
  <c r="F224" i="13"/>
  <c r="F216" i="13"/>
  <c r="F208" i="13"/>
  <c r="F200" i="13"/>
  <c r="F192" i="13"/>
  <c r="F270" i="13"/>
  <c r="F206" i="13"/>
  <c r="F253" i="13"/>
  <c r="F221" i="13"/>
  <c r="F279" i="13"/>
  <c r="F271" i="13"/>
  <c r="F263" i="13"/>
  <c r="F255" i="13"/>
  <c r="F247" i="13"/>
  <c r="F239" i="13"/>
  <c r="F231" i="13"/>
  <c r="F223" i="13"/>
  <c r="F215" i="13"/>
  <c r="F207" i="13"/>
  <c r="F199" i="13"/>
  <c r="E277" i="13"/>
  <c r="E269" i="13"/>
  <c r="E261" i="13"/>
  <c r="E253" i="13"/>
  <c r="E245" i="13"/>
  <c r="E237" i="13"/>
  <c r="E229" i="13"/>
  <c r="E221" i="13"/>
  <c r="E213" i="13"/>
  <c r="E205" i="13"/>
  <c r="E197" i="13"/>
  <c r="E274" i="13"/>
  <c r="E266" i="13"/>
  <c r="E258" i="13"/>
  <c r="E250" i="13"/>
  <c r="E242" i="13"/>
  <c r="E234" i="13"/>
  <c r="E226" i="13"/>
  <c r="E218" i="13"/>
  <c r="E210" i="13"/>
  <c r="E202" i="13"/>
  <c r="E194" i="13"/>
  <c r="E273" i="13"/>
  <c r="E265" i="13"/>
  <c r="E257" i="13"/>
  <c r="E249" i="13"/>
  <c r="E241" i="13"/>
  <c r="E233" i="13"/>
  <c r="E225" i="13"/>
  <c r="E217" i="13"/>
  <c r="E209" i="13"/>
  <c r="E201" i="13"/>
  <c r="E193" i="13"/>
  <c r="E272" i="13"/>
  <c r="E264" i="13"/>
  <c r="E256" i="13"/>
  <c r="E248" i="13"/>
  <c r="E240" i="13"/>
  <c r="E232" i="13"/>
  <c r="E224" i="13"/>
  <c r="E216" i="13"/>
  <c r="E208" i="13"/>
  <c r="E200" i="13"/>
  <c r="E192" i="13"/>
  <c r="E279" i="13"/>
  <c r="E271" i="13"/>
  <c r="E263" i="13"/>
  <c r="E255" i="13"/>
  <c r="E247" i="13"/>
  <c r="E239" i="13"/>
  <c r="E231" i="13"/>
  <c r="E223" i="13"/>
  <c r="E215" i="13"/>
  <c r="E207" i="13"/>
  <c r="E199" i="13"/>
  <c r="E191" i="13"/>
  <c r="E278" i="13"/>
  <c r="E270" i="13"/>
  <c r="E262" i="13"/>
  <c r="E254" i="13"/>
  <c r="E246" i="13"/>
  <c r="E238" i="13"/>
  <c r="E230" i="13"/>
  <c r="E222" i="13"/>
  <c r="E214" i="13"/>
  <c r="E206" i="13"/>
  <c r="E198" i="13"/>
  <c r="E276" i="13"/>
  <c r="E268" i="13"/>
  <c r="E260" i="13"/>
  <c r="E252" i="13"/>
  <c r="E244" i="13"/>
  <c r="E236" i="13"/>
  <c r="E228" i="13"/>
  <c r="E220" i="13"/>
  <c r="E212" i="13"/>
  <c r="E204" i="13"/>
  <c r="E196" i="13"/>
  <c r="E275" i="13"/>
  <c r="E267" i="13"/>
  <c r="E259" i="13"/>
  <c r="E251" i="13"/>
  <c r="E243" i="13"/>
  <c r="E235" i="13"/>
  <c r="E227" i="13"/>
  <c r="E219" i="13"/>
  <c r="E211" i="13"/>
  <c r="E203" i="13"/>
  <c r="D270" i="13"/>
  <c r="D254" i="13"/>
  <c r="D238" i="13"/>
  <c r="D222" i="13"/>
  <c r="D206" i="13"/>
  <c r="D269" i="13"/>
  <c r="D245" i="13"/>
  <c r="D221" i="13"/>
  <c r="D197" i="13"/>
  <c r="D268" i="13"/>
  <c r="D260" i="13"/>
  <c r="D252" i="13"/>
  <c r="D244" i="13"/>
  <c r="D236" i="13"/>
  <c r="D228" i="13"/>
  <c r="D204" i="13"/>
  <c r="D196" i="13"/>
  <c r="D275" i="13"/>
  <c r="D267" i="13"/>
  <c r="D259" i="13"/>
  <c r="D251" i="13"/>
  <c r="D243" i="13"/>
  <c r="D235" i="13"/>
  <c r="D227" i="13"/>
  <c r="D219" i="13"/>
  <c r="D211" i="13"/>
  <c r="D203" i="13"/>
  <c r="D195" i="13"/>
  <c r="D274" i="13"/>
  <c r="D266" i="13"/>
  <c r="D258" i="13"/>
  <c r="D250" i="13"/>
  <c r="D242" i="13"/>
  <c r="D234" i="13"/>
  <c r="D226" i="13"/>
  <c r="D218" i="13"/>
  <c r="D210" i="13"/>
  <c r="D202" i="13"/>
  <c r="D194" i="13"/>
  <c r="D261" i="13"/>
  <c r="D237" i="13"/>
  <c r="D213" i="13"/>
  <c r="D220" i="13"/>
  <c r="D273" i="13"/>
  <c r="D257" i="13"/>
  <c r="D241" i="13"/>
  <c r="D225" i="13"/>
  <c r="D209" i="13"/>
  <c r="D193" i="13"/>
  <c r="D272" i="13"/>
  <c r="D264" i="13"/>
  <c r="D256" i="13"/>
  <c r="D248" i="13"/>
  <c r="D240" i="13"/>
  <c r="D232" i="13"/>
  <c r="D224" i="13"/>
  <c r="D216" i="13"/>
  <c r="D208" i="13"/>
  <c r="D200" i="13"/>
  <c r="D192" i="13"/>
  <c r="D278" i="13"/>
  <c r="D262" i="13"/>
  <c r="D246" i="13"/>
  <c r="D230" i="13"/>
  <c r="D214" i="13"/>
  <c r="D198" i="13"/>
  <c r="D277" i="13"/>
  <c r="D253" i="13"/>
  <c r="D229" i="13"/>
  <c r="D205" i="13"/>
  <c r="D276" i="13"/>
  <c r="D212" i="13"/>
  <c r="D265" i="13"/>
  <c r="D249" i="13"/>
  <c r="D233" i="13"/>
  <c r="D217" i="13"/>
  <c r="D201" i="13"/>
  <c r="D279" i="13"/>
  <c r="D271" i="13"/>
  <c r="D263" i="13"/>
  <c r="D255" i="13"/>
  <c r="D247" i="13"/>
  <c r="D239" i="13"/>
  <c r="D231" i="13"/>
  <c r="D223" i="13"/>
  <c r="D215" i="13"/>
  <c r="D207" i="13"/>
  <c r="D199" i="13"/>
  <c r="C277" i="13"/>
  <c r="C269" i="13"/>
  <c r="C261" i="13"/>
  <c r="C253" i="13"/>
  <c r="C245" i="13"/>
  <c r="C237" i="13"/>
  <c r="C229" i="13"/>
  <c r="C221" i="13"/>
  <c r="C213" i="13"/>
  <c r="C205" i="13"/>
  <c r="C197" i="13"/>
  <c r="C276" i="13"/>
  <c r="C268" i="13"/>
  <c r="C260" i="13"/>
  <c r="C252" i="13"/>
  <c r="C244" i="13"/>
  <c r="C236" i="13"/>
  <c r="C228" i="13"/>
  <c r="C220" i="13"/>
  <c r="C212" i="13"/>
  <c r="C204" i="13"/>
  <c r="C196" i="13"/>
  <c r="C262" i="13"/>
  <c r="C246" i="13"/>
  <c r="C238" i="13"/>
  <c r="C222" i="13"/>
  <c r="C198" i="13"/>
  <c r="C267" i="13"/>
  <c r="C251" i="13"/>
  <c r="C235" i="13"/>
  <c r="C219" i="13"/>
  <c r="C195" i="13"/>
  <c r="C266" i="13"/>
  <c r="C250" i="13"/>
  <c r="C234" i="13"/>
  <c r="C218" i="13"/>
  <c r="C194" i="13"/>
  <c r="C273" i="13"/>
  <c r="C265" i="13"/>
  <c r="C257" i="13"/>
  <c r="C249" i="13"/>
  <c r="C241" i="13"/>
  <c r="C233" i="13"/>
  <c r="C225" i="13"/>
  <c r="C217" i="13"/>
  <c r="C209" i="13"/>
  <c r="C201" i="13"/>
  <c r="C193" i="13"/>
  <c r="C278" i="13"/>
  <c r="C254" i="13"/>
  <c r="C230" i="13"/>
  <c r="C206" i="13"/>
  <c r="C275" i="13"/>
  <c r="C259" i="13"/>
  <c r="C243" i="13"/>
  <c r="C227" i="13"/>
  <c r="C203" i="13"/>
  <c r="C274" i="13"/>
  <c r="C258" i="13"/>
  <c r="C242" i="13"/>
  <c r="C226" i="13"/>
  <c r="C202" i="13"/>
  <c r="C272" i="13"/>
  <c r="C264" i="13"/>
  <c r="C256" i="13"/>
  <c r="C248" i="13"/>
  <c r="C240" i="13"/>
  <c r="C232" i="13"/>
  <c r="C224" i="13"/>
  <c r="C216" i="13"/>
  <c r="C208" i="13"/>
  <c r="C200" i="13"/>
  <c r="C192" i="13"/>
  <c r="C270" i="13"/>
  <c r="C214" i="13"/>
  <c r="C211" i="13"/>
  <c r="C210" i="13"/>
  <c r="C279" i="13"/>
  <c r="C271" i="13"/>
  <c r="C263" i="13"/>
  <c r="C255" i="13"/>
  <c r="C247" i="13"/>
  <c r="C239" i="13"/>
  <c r="C231" i="13"/>
  <c r="C223" i="13"/>
  <c r="C215" i="13"/>
  <c r="C207" i="13"/>
  <c r="C199" i="13"/>
  <c r="G101" i="30"/>
  <c r="F101" i="30"/>
  <c r="E101" i="30"/>
  <c r="D101" i="30"/>
  <c r="G5" i="30"/>
  <c r="F5" i="30"/>
  <c r="E5" i="30"/>
  <c r="D5" i="30"/>
  <c r="G17" i="29"/>
  <c r="F17" i="29"/>
  <c r="E17" i="29"/>
  <c r="D17" i="29"/>
  <c r="G5" i="29"/>
  <c r="F5" i="29"/>
  <c r="E5" i="29"/>
  <c r="D5" i="29"/>
  <c r="G359" i="8" l="1"/>
  <c r="F359" i="8"/>
  <c r="E359" i="8"/>
  <c r="D359" i="8"/>
  <c r="G106" i="19" l="1"/>
  <c r="E105" i="19"/>
  <c r="D104" i="19" l="1"/>
  <c r="D103" i="19"/>
  <c r="F103" i="19"/>
  <c r="F104" i="19"/>
  <c r="G105" i="19"/>
  <c r="F106" i="19"/>
  <c r="F105" i="19"/>
  <c r="E106" i="19"/>
  <c r="D106" i="19"/>
  <c r="D105" i="19"/>
  <c r="G103" i="19" l="1"/>
  <c r="G104" i="19"/>
  <c r="D108" i="19"/>
  <c r="D181" i="19"/>
  <c r="D165" i="19"/>
  <c r="D149" i="19"/>
  <c r="D133" i="19"/>
  <c r="D117" i="19"/>
  <c r="D180" i="19"/>
  <c r="D122" i="19"/>
  <c r="D130" i="19"/>
  <c r="D178" i="19"/>
  <c r="D132" i="19"/>
  <c r="D185" i="19"/>
  <c r="D184" i="19"/>
  <c r="D119" i="19"/>
  <c r="D144" i="19"/>
  <c r="D140" i="19"/>
  <c r="D179" i="19"/>
  <c r="D163" i="19"/>
  <c r="D147" i="19"/>
  <c r="D131" i="19"/>
  <c r="D115" i="19"/>
  <c r="D170" i="19"/>
  <c r="D110" i="19"/>
  <c r="D124" i="19"/>
  <c r="D174" i="19"/>
  <c r="D126" i="19"/>
  <c r="D136" i="19"/>
  <c r="D148" i="19"/>
  <c r="D118" i="19"/>
  <c r="D128" i="19"/>
  <c r="D120" i="19"/>
  <c r="D177" i="19"/>
  <c r="D161" i="19"/>
  <c r="D145" i="19"/>
  <c r="D129" i="19"/>
  <c r="D113" i="19"/>
  <c r="D164" i="19"/>
  <c r="D176" i="19"/>
  <c r="D112" i="19"/>
  <c r="D172" i="19"/>
  <c r="D116" i="19"/>
  <c r="D121" i="19"/>
  <c r="D151" i="19"/>
  <c r="D142" i="19"/>
  <c r="D191" i="19"/>
  <c r="D175" i="19"/>
  <c r="D159" i="19"/>
  <c r="D143" i="19"/>
  <c r="D127" i="19"/>
  <c r="D111" i="19"/>
  <c r="D158" i="19"/>
  <c r="D166" i="19"/>
  <c r="D190" i="19"/>
  <c r="D168" i="19"/>
  <c r="D169" i="19"/>
  <c r="D150" i="19"/>
  <c r="D135" i="19"/>
  <c r="D189" i="19"/>
  <c r="D173" i="19"/>
  <c r="D157" i="19"/>
  <c r="D141" i="19"/>
  <c r="D125" i="19"/>
  <c r="D109" i="19"/>
  <c r="D152" i="19"/>
  <c r="D160" i="19"/>
  <c r="D188" i="19"/>
  <c r="D162" i="19"/>
  <c r="D153" i="19"/>
  <c r="D138" i="19"/>
  <c r="D167" i="19"/>
  <c r="D182" i="19"/>
  <c r="D187" i="19"/>
  <c r="D171" i="19"/>
  <c r="D155" i="19"/>
  <c r="D139" i="19"/>
  <c r="D123" i="19"/>
  <c r="D107" i="19"/>
  <c r="D146" i="19"/>
  <c r="D156" i="19"/>
  <c r="D186" i="19"/>
  <c r="D154" i="19"/>
  <c r="D137" i="19"/>
  <c r="D134" i="19"/>
  <c r="D183" i="19"/>
  <c r="D114" i="19"/>
  <c r="F181" i="19"/>
  <c r="F165" i="19"/>
  <c r="F149" i="19"/>
  <c r="F133" i="19"/>
  <c r="F117" i="19"/>
  <c r="F186" i="19"/>
  <c r="F170" i="19"/>
  <c r="F154" i="19"/>
  <c r="F138" i="19"/>
  <c r="F122" i="19"/>
  <c r="F137" i="19"/>
  <c r="F126" i="19"/>
  <c r="F135" i="19"/>
  <c r="F124" i="19"/>
  <c r="F179" i="19"/>
  <c r="F163" i="19"/>
  <c r="F147" i="19"/>
  <c r="F131" i="19"/>
  <c r="F115" i="19"/>
  <c r="F184" i="19"/>
  <c r="F168" i="19"/>
  <c r="F152" i="19"/>
  <c r="F136" i="19"/>
  <c r="F120" i="19"/>
  <c r="F190" i="19"/>
  <c r="F167" i="19"/>
  <c r="F188" i="19"/>
  <c r="F177" i="19"/>
  <c r="F161" i="19"/>
  <c r="F145" i="19"/>
  <c r="F129" i="19"/>
  <c r="F113" i="19"/>
  <c r="F182" i="19"/>
  <c r="F166" i="19"/>
  <c r="F150" i="19"/>
  <c r="F134" i="19"/>
  <c r="F118" i="19"/>
  <c r="F153" i="19"/>
  <c r="F142" i="19"/>
  <c r="F172" i="19"/>
  <c r="F191" i="19"/>
  <c r="F175" i="19"/>
  <c r="F159" i="19"/>
  <c r="F143" i="19"/>
  <c r="F127" i="19"/>
  <c r="F111" i="19"/>
  <c r="F180" i="19"/>
  <c r="F164" i="19"/>
  <c r="F148" i="19"/>
  <c r="F132" i="19"/>
  <c r="F116" i="19"/>
  <c r="F121" i="19"/>
  <c r="F110" i="19"/>
  <c r="F183" i="19"/>
  <c r="F156" i="19"/>
  <c r="F189" i="19"/>
  <c r="F173" i="19"/>
  <c r="F157" i="19"/>
  <c r="F141" i="19"/>
  <c r="F125" i="19"/>
  <c r="F109" i="19"/>
  <c r="F178" i="19"/>
  <c r="F162" i="19"/>
  <c r="F146" i="19"/>
  <c r="F130" i="19"/>
  <c r="F114" i="19"/>
  <c r="F169" i="19"/>
  <c r="F158" i="19"/>
  <c r="F119" i="19"/>
  <c r="F108" i="19"/>
  <c r="F187" i="19"/>
  <c r="F171" i="19"/>
  <c r="F155" i="19"/>
  <c r="F139" i="19"/>
  <c r="F123" i="19"/>
  <c r="F107" i="19"/>
  <c r="F176" i="19"/>
  <c r="F160" i="19"/>
  <c r="F144" i="19"/>
  <c r="F128" i="19"/>
  <c r="F112" i="19"/>
  <c r="F185" i="19"/>
  <c r="F174" i="19"/>
  <c r="F151" i="19"/>
  <c r="F140" i="19"/>
  <c r="G191" i="19"/>
  <c r="G175" i="19"/>
  <c r="G159" i="19"/>
  <c r="G143" i="19"/>
  <c r="G127" i="19"/>
  <c r="G111" i="19"/>
  <c r="G180" i="19"/>
  <c r="G164" i="19"/>
  <c r="G148" i="19"/>
  <c r="G132" i="19"/>
  <c r="G116" i="19"/>
  <c r="G163" i="19"/>
  <c r="G115" i="19"/>
  <c r="G168" i="19"/>
  <c r="G161" i="19"/>
  <c r="G182" i="19"/>
  <c r="G118" i="19"/>
  <c r="G189" i="19"/>
  <c r="G173" i="19"/>
  <c r="G157" i="19"/>
  <c r="G141" i="19"/>
  <c r="G125" i="19"/>
  <c r="G109" i="19"/>
  <c r="G178" i="19"/>
  <c r="G162" i="19"/>
  <c r="G146" i="19"/>
  <c r="G130" i="19"/>
  <c r="G114" i="19"/>
  <c r="G160" i="19"/>
  <c r="G128" i="19"/>
  <c r="G142" i="19"/>
  <c r="G110" i="19"/>
  <c r="G131" i="19"/>
  <c r="G152" i="19"/>
  <c r="G145" i="19"/>
  <c r="G166" i="19"/>
  <c r="G187" i="19"/>
  <c r="G171" i="19"/>
  <c r="G155" i="19"/>
  <c r="G139" i="19"/>
  <c r="G123" i="19"/>
  <c r="G107" i="19"/>
  <c r="G176" i="19"/>
  <c r="G144" i="19"/>
  <c r="G112" i="19"/>
  <c r="G185" i="19"/>
  <c r="G169" i="19"/>
  <c r="G153" i="19"/>
  <c r="G137" i="19"/>
  <c r="G121" i="19"/>
  <c r="G190" i="19"/>
  <c r="G174" i="19"/>
  <c r="G158" i="19"/>
  <c r="G126" i="19"/>
  <c r="G183" i="19"/>
  <c r="G167" i="19"/>
  <c r="G151" i="19"/>
  <c r="G135" i="19"/>
  <c r="G119" i="19"/>
  <c r="G188" i="19"/>
  <c r="G172" i="19"/>
  <c r="G156" i="19"/>
  <c r="G140" i="19"/>
  <c r="G124" i="19"/>
  <c r="G108" i="19"/>
  <c r="G179" i="19"/>
  <c r="G184" i="19"/>
  <c r="G120" i="19"/>
  <c r="G177" i="19"/>
  <c r="G113" i="19"/>
  <c r="G150" i="19"/>
  <c r="G181" i="19"/>
  <c r="G165" i="19"/>
  <c r="G149" i="19"/>
  <c r="G133" i="19"/>
  <c r="G117" i="19"/>
  <c r="G186" i="19"/>
  <c r="G170" i="19"/>
  <c r="G154" i="19"/>
  <c r="G138" i="19"/>
  <c r="G122" i="19"/>
  <c r="G147" i="19"/>
  <c r="G136" i="19"/>
  <c r="G129" i="19"/>
  <c r="G134" i="19"/>
  <c r="D19" i="18"/>
  <c r="D20" i="18"/>
  <c r="E185" i="19"/>
  <c r="E169" i="19"/>
  <c r="E153" i="19"/>
  <c r="E137" i="19"/>
  <c r="E121" i="19"/>
  <c r="E190" i="19"/>
  <c r="E174" i="19"/>
  <c r="E158" i="19"/>
  <c r="E142" i="19"/>
  <c r="E126" i="19"/>
  <c r="E110" i="19"/>
  <c r="E118" i="19"/>
  <c r="E125" i="19"/>
  <c r="E123" i="19"/>
  <c r="E112" i="19"/>
  <c r="E183" i="19"/>
  <c r="E167" i="19"/>
  <c r="E151" i="19"/>
  <c r="E135" i="19"/>
  <c r="E119" i="19"/>
  <c r="E188" i="19"/>
  <c r="E172" i="19"/>
  <c r="E156" i="19"/>
  <c r="E140" i="19"/>
  <c r="E124" i="19"/>
  <c r="E108" i="19"/>
  <c r="E189" i="19"/>
  <c r="E178" i="19"/>
  <c r="E187" i="19"/>
  <c r="E107" i="19"/>
  <c r="E181" i="19"/>
  <c r="E165" i="19"/>
  <c r="E149" i="19"/>
  <c r="E133" i="19"/>
  <c r="E117" i="19"/>
  <c r="E186" i="19"/>
  <c r="E170" i="19"/>
  <c r="E154" i="19"/>
  <c r="E138" i="19"/>
  <c r="E122" i="19"/>
  <c r="E141" i="19"/>
  <c r="E130" i="19"/>
  <c r="E171" i="19"/>
  <c r="E160" i="19"/>
  <c r="E179" i="19"/>
  <c r="E163" i="19"/>
  <c r="E147" i="19"/>
  <c r="E131" i="19"/>
  <c r="E115" i="19"/>
  <c r="E184" i="19"/>
  <c r="E168" i="19"/>
  <c r="E152" i="19"/>
  <c r="E136" i="19"/>
  <c r="E120" i="19"/>
  <c r="E109" i="19"/>
  <c r="E114" i="19"/>
  <c r="E155" i="19"/>
  <c r="E144" i="19"/>
  <c r="E177" i="19"/>
  <c r="E161" i="19"/>
  <c r="E145" i="19"/>
  <c r="E129" i="19"/>
  <c r="E113" i="19"/>
  <c r="E182" i="19"/>
  <c r="E166" i="19"/>
  <c r="E150" i="19"/>
  <c r="E134" i="19"/>
  <c r="E157" i="19"/>
  <c r="E146" i="19"/>
  <c r="E176" i="19"/>
  <c r="E191" i="19"/>
  <c r="E175" i="19"/>
  <c r="E159" i="19"/>
  <c r="E143" i="19"/>
  <c r="E127" i="19"/>
  <c r="E111" i="19"/>
  <c r="E180" i="19"/>
  <c r="E164" i="19"/>
  <c r="E148" i="19"/>
  <c r="E132" i="19"/>
  <c r="E116" i="19"/>
  <c r="E173" i="19"/>
  <c r="E162" i="19"/>
  <c r="E139" i="19"/>
  <c r="E128" i="19"/>
  <c r="E20" i="18"/>
  <c r="E19" i="18"/>
  <c r="E103" i="19"/>
  <c r="E104" i="19"/>
  <c r="F19" i="18"/>
  <c r="F20" i="18"/>
  <c r="G20" i="18"/>
  <c r="G19" i="18"/>
  <c r="G22" i="18"/>
  <c r="G21" i="18"/>
  <c r="F22" i="18"/>
  <c r="F21" i="18"/>
  <c r="E22" i="18"/>
  <c r="E21" i="18"/>
  <c r="D22" i="18"/>
  <c r="D21" i="18"/>
  <c r="E23" i="18" l="1"/>
  <c r="F23" i="18"/>
  <c r="D23" i="18"/>
  <c r="G23" i="18"/>
  <c r="D422" i="8" l="1"/>
  <c r="D421" i="8"/>
  <c r="D420" i="8"/>
  <c r="D419" i="8"/>
  <c r="D418" i="8"/>
  <c r="G416" i="8"/>
  <c r="F416" i="8"/>
  <c r="E416" i="8"/>
  <c r="D416" i="8"/>
  <c r="D384" i="8"/>
  <c r="D383" i="8"/>
  <c r="D382" i="8"/>
  <c r="D381" i="8"/>
  <c r="D365" i="8"/>
  <c r="D364" i="8"/>
  <c r="D363" i="8"/>
  <c r="D362" i="8"/>
  <c r="D361" i="8"/>
  <c r="D396" i="8"/>
  <c r="D395" i="8"/>
  <c r="D394" i="8"/>
  <c r="D393" i="8"/>
  <c r="D392" i="8"/>
  <c r="G390" i="8"/>
  <c r="F390" i="8"/>
  <c r="E390" i="8"/>
  <c r="D390" i="8"/>
  <c r="G379" i="8"/>
  <c r="F379" i="8"/>
  <c r="E379" i="8"/>
  <c r="D379" i="8"/>
  <c r="D408" i="8" l="1"/>
  <c r="D407" i="8"/>
  <c r="D366" i="8" l="1"/>
  <c r="D400" i="8"/>
  <c r="D406" i="8"/>
  <c r="D405" i="8"/>
  <c r="D404" i="8"/>
  <c r="D403" i="8"/>
  <c r="D402" i="8"/>
  <c r="D401" i="8"/>
  <c r="D372" i="8"/>
  <c r="D371" i="8"/>
  <c r="D370" i="8"/>
  <c r="D369" i="8" l="1"/>
  <c r="D399" i="8"/>
  <c r="D398" i="8"/>
  <c r="D397" i="8"/>
  <c r="D368" i="8"/>
  <c r="D367" i="8"/>
  <c r="D83" i="8" l="1"/>
  <c r="D410" i="8" s="1"/>
  <c r="D82" i="8"/>
  <c r="D84" i="8" s="1"/>
  <c r="D409" i="8" l="1"/>
  <c r="F198" i="8" l="1"/>
  <c r="G198" i="8" s="1"/>
  <c r="F197" i="8"/>
  <c r="G197" i="8" s="1"/>
  <c r="E182" i="8"/>
  <c r="F182" i="8" s="1"/>
  <c r="G182" i="8" s="1"/>
  <c r="D619" i="19"/>
  <c r="D618" i="19"/>
  <c r="E172" i="8"/>
  <c r="F172" i="8" s="1"/>
  <c r="G172" i="8" s="1"/>
  <c r="E165" i="8"/>
  <c r="F165" i="8" s="1"/>
  <c r="G165" i="8" s="1"/>
  <c r="D115" i="18"/>
  <c r="D79" i="20" s="1"/>
  <c r="D114" i="18"/>
  <c r="E156" i="8"/>
  <c r="F156" i="8" s="1"/>
  <c r="G156" i="8" s="1"/>
  <c r="F149" i="8"/>
  <c r="G149" i="8" s="1"/>
  <c r="F148" i="8"/>
  <c r="G148" i="8" s="1"/>
  <c r="F147" i="8"/>
  <c r="G147" i="8" s="1"/>
  <c r="F146" i="8"/>
  <c r="G146" i="8" s="1"/>
  <c r="F145" i="8"/>
  <c r="G145" i="8" s="1"/>
  <c r="F144" i="8"/>
  <c r="G144" i="8" s="1"/>
  <c r="F142" i="8"/>
  <c r="G142" i="8" s="1"/>
  <c r="F141" i="8"/>
  <c r="G141" i="8" s="1"/>
  <c r="F140" i="8"/>
  <c r="G140" i="8" s="1"/>
  <c r="F139" i="8"/>
  <c r="G139" i="8" s="1"/>
  <c r="F137" i="8"/>
  <c r="G137" i="8" s="1"/>
  <c r="F136" i="8"/>
  <c r="G136" i="8" s="1"/>
  <c r="F135" i="8"/>
  <c r="G135" i="8" s="1"/>
  <c r="F134" i="8"/>
  <c r="G134" i="8" s="1"/>
  <c r="D19" i="14"/>
  <c r="F127" i="8"/>
  <c r="G127" i="8" s="1"/>
  <c r="F126" i="8"/>
  <c r="G126" i="8" s="1"/>
  <c r="F124" i="8"/>
  <c r="G124" i="8" s="1"/>
  <c r="F123" i="8"/>
  <c r="G123" i="8" s="1"/>
  <c r="F122" i="8"/>
  <c r="G122" i="8" s="1"/>
  <c r="F121" i="8"/>
  <c r="G121" i="8" s="1"/>
  <c r="F119" i="8"/>
  <c r="G119" i="8" s="1"/>
  <c r="F118" i="8"/>
  <c r="G118" i="8" s="1"/>
  <c r="F117" i="8"/>
  <c r="G117" i="8" s="1"/>
  <c r="F116" i="8"/>
  <c r="G116" i="8" s="1"/>
  <c r="F115" i="8"/>
  <c r="G115" i="8" s="1"/>
  <c r="E95" i="8"/>
  <c r="E94" i="8"/>
  <c r="E93" i="8"/>
  <c r="E92" i="8"/>
  <c r="E91" i="8"/>
  <c r="E43" i="8"/>
  <c r="E42" i="8"/>
  <c r="E41" i="8"/>
  <c r="E40" i="8"/>
  <c r="D11" i="29"/>
  <c r="F106" i="8"/>
  <c r="G106" i="8" s="1"/>
  <c r="F105" i="8"/>
  <c r="G105" i="8" s="1"/>
  <c r="F103" i="8"/>
  <c r="G103" i="8" s="1"/>
  <c r="F54" i="8"/>
  <c r="G54" i="8" s="1"/>
  <c r="F53" i="8"/>
  <c r="G53" i="8" s="1"/>
  <c r="F51" i="8"/>
  <c r="G51" i="8" s="1"/>
  <c r="E171" i="8" l="1"/>
  <c r="D613" i="19"/>
  <c r="E155" i="8"/>
  <c r="D109" i="18"/>
  <c r="D98" i="21"/>
  <c r="D97" i="21"/>
  <c r="E258" i="8"/>
  <c r="E7" i="29" s="1"/>
  <c r="D78" i="20"/>
  <c r="D77" i="20"/>
  <c r="D100" i="21"/>
  <c r="D99" i="21"/>
  <c r="E259" i="8"/>
  <c r="E260" i="8"/>
  <c r="E261" i="8"/>
  <c r="E178" i="8"/>
  <c r="E618" i="19" s="1"/>
  <c r="E179" i="8"/>
  <c r="F93" i="8"/>
  <c r="E420" i="8"/>
  <c r="E164" i="8"/>
  <c r="E115" i="18" s="1"/>
  <c r="E79" i="20" s="1"/>
  <c r="E163" i="8"/>
  <c r="F42" i="8"/>
  <c r="E383" i="8"/>
  <c r="F94" i="8"/>
  <c r="E421" i="8"/>
  <c r="F120" i="8"/>
  <c r="G120" i="8" s="1"/>
  <c r="D9" i="29"/>
  <c r="D9" i="14"/>
  <c r="F133" i="8"/>
  <c r="G133" i="8" s="1"/>
  <c r="D7" i="30"/>
  <c r="D8" i="30"/>
  <c r="D20" i="14"/>
  <c r="E190" i="8"/>
  <c r="F125" i="8"/>
  <c r="G125" i="8" s="1"/>
  <c r="D10" i="29"/>
  <c r="D10" i="14"/>
  <c r="E180" i="8"/>
  <c r="E619" i="19" s="1"/>
  <c r="E181" i="8"/>
  <c r="F43" i="8"/>
  <c r="E384" i="8"/>
  <c r="F95" i="8"/>
  <c r="E422" i="8"/>
  <c r="F138" i="8"/>
  <c r="G138" i="8" s="1"/>
  <c r="D9" i="30"/>
  <c r="D21" i="14"/>
  <c r="E162" i="8"/>
  <c r="E114" i="18" s="1"/>
  <c r="D7" i="29"/>
  <c r="D8" i="29"/>
  <c r="D8" i="14"/>
  <c r="D7" i="14"/>
  <c r="F143" i="8"/>
  <c r="G143" i="8" s="1"/>
  <c r="D10" i="30"/>
  <c r="D22" i="14"/>
  <c r="E9" i="29"/>
  <c r="E11" i="29"/>
  <c r="D373" i="8"/>
  <c r="D11" i="14" s="1"/>
  <c r="E365" i="8"/>
  <c r="E364" i="8"/>
  <c r="E361" i="8"/>
  <c r="E362" i="8"/>
  <c r="E363" i="8"/>
  <c r="F91" i="8"/>
  <c r="E418" i="8"/>
  <c r="F92" i="8"/>
  <c r="E419" i="8"/>
  <c r="F40" i="8"/>
  <c r="E381" i="8"/>
  <c r="F41" i="8"/>
  <c r="E382" i="8"/>
  <c r="E395" i="8"/>
  <c r="E396" i="8"/>
  <c r="F84" i="8"/>
  <c r="E392" i="8"/>
  <c r="E394" i="8"/>
  <c r="E393" i="8"/>
  <c r="E410" i="8"/>
  <c r="E409" i="8"/>
  <c r="E372" i="8"/>
  <c r="E397" i="8"/>
  <c r="E368" i="8"/>
  <c r="E399" i="8"/>
  <c r="E404" i="8"/>
  <c r="E367" i="8"/>
  <c r="E406" i="8"/>
  <c r="E369" i="8"/>
  <c r="E400" i="8"/>
  <c r="E408" i="8"/>
  <c r="E402" i="8"/>
  <c r="E403" i="8"/>
  <c r="E366" i="8"/>
  <c r="E405" i="8"/>
  <c r="E398" i="8"/>
  <c r="E407" i="8"/>
  <c r="E370" i="8"/>
  <c r="E371" i="8"/>
  <c r="E401" i="8"/>
  <c r="G107" i="8"/>
  <c r="G108" i="8" s="1"/>
  <c r="F107" i="8"/>
  <c r="F108" i="8" s="1"/>
  <c r="D107" i="8"/>
  <c r="D108" i="8" s="1"/>
  <c r="G101" i="8"/>
  <c r="F101" i="8"/>
  <c r="E101" i="8"/>
  <c r="D101" i="8"/>
  <c r="D113" i="8"/>
  <c r="E113" i="8"/>
  <c r="F113" i="8"/>
  <c r="G113" i="8"/>
  <c r="G55" i="8"/>
  <c r="G56" i="8" s="1"/>
  <c r="F55" i="8"/>
  <c r="F56" i="8" s="1"/>
  <c r="E55" i="8"/>
  <c r="E56" i="8" s="1"/>
  <c r="D55" i="8"/>
  <c r="D56" i="8" s="1"/>
  <c r="G49" i="8"/>
  <c r="F49" i="8"/>
  <c r="E49" i="8"/>
  <c r="D49" i="8"/>
  <c r="E9" i="30" l="1"/>
  <c r="E10" i="30"/>
  <c r="F258" i="8"/>
  <c r="F260" i="8"/>
  <c r="E7" i="30"/>
  <c r="E8" i="30"/>
  <c r="F259" i="8"/>
  <c r="F7" i="29" s="1"/>
  <c r="E77" i="20"/>
  <c r="E78" i="20"/>
  <c r="D71" i="20"/>
  <c r="D72" i="20"/>
  <c r="D116" i="18"/>
  <c r="D80" i="20" s="1"/>
  <c r="E99" i="21"/>
  <c r="E100" i="21"/>
  <c r="E98" i="21"/>
  <c r="E97" i="21"/>
  <c r="F155" i="8"/>
  <c r="E109" i="18"/>
  <c r="D85" i="21"/>
  <c r="D86" i="21"/>
  <c r="D620" i="19"/>
  <c r="D101" i="21" s="1"/>
  <c r="E8" i="29"/>
  <c r="F261" i="8"/>
  <c r="F7" i="30" s="1"/>
  <c r="F171" i="8"/>
  <c r="E613" i="19"/>
  <c r="F180" i="8"/>
  <c r="F619" i="19" s="1"/>
  <c r="F164" i="8"/>
  <c r="F115" i="18" s="1"/>
  <c r="F79" i="20" s="1"/>
  <c r="G95" i="8"/>
  <c r="G422" i="8" s="1"/>
  <c r="F422" i="8"/>
  <c r="G94" i="8"/>
  <c r="G421" i="8" s="1"/>
  <c r="F421" i="8"/>
  <c r="F162" i="8"/>
  <c r="F114" i="18" s="1"/>
  <c r="E10" i="29"/>
  <c r="F179" i="8"/>
  <c r="G93" i="8"/>
  <c r="G420" i="8" s="1"/>
  <c r="F420" i="8"/>
  <c r="G43" i="8"/>
  <c r="G384" i="8" s="1"/>
  <c r="F384" i="8"/>
  <c r="G42" i="8"/>
  <c r="G383" i="8" s="1"/>
  <c r="F383" i="8"/>
  <c r="F181" i="8"/>
  <c r="F163" i="8"/>
  <c r="F10" i="29"/>
  <c r="F190" i="8"/>
  <c r="F178" i="8"/>
  <c r="F618" i="19" s="1"/>
  <c r="F9" i="30"/>
  <c r="F10" i="30"/>
  <c r="F9" i="29"/>
  <c r="E10" i="14"/>
  <c r="D167" i="30"/>
  <c r="D176" i="30"/>
  <c r="D112" i="30"/>
  <c r="D170" i="30"/>
  <c r="D131" i="30"/>
  <c r="D136" i="30"/>
  <c r="D106" i="30"/>
  <c r="D137" i="30"/>
  <c r="D191" i="30"/>
  <c r="D173" i="30"/>
  <c r="D175" i="30"/>
  <c r="D105" i="30"/>
  <c r="D122" i="30"/>
  <c r="D120" i="30"/>
  <c r="D114" i="30"/>
  <c r="D153" i="30"/>
  <c r="D189" i="30"/>
  <c r="D143" i="30"/>
  <c r="D128" i="30"/>
  <c r="D117" i="30"/>
  <c r="D109" i="30"/>
  <c r="D111" i="30"/>
  <c r="D103" i="30"/>
  <c r="D134" i="30"/>
  <c r="D184" i="30"/>
  <c r="D125" i="30"/>
  <c r="D159" i="30"/>
  <c r="D144" i="30"/>
  <c r="D171" i="30"/>
  <c r="D174" i="30"/>
  <c r="D104" i="30"/>
  <c r="D185" i="30"/>
  <c r="D132" i="30"/>
  <c r="D142" i="30"/>
  <c r="D157" i="30"/>
  <c r="D151" i="30"/>
  <c r="D107" i="30"/>
  <c r="D190" i="30"/>
  <c r="D168" i="30"/>
  <c r="D154" i="30"/>
  <c r="D110" i="30"/>
  <c r="D178" i="30"/>
  <c r="D186" i="30"/>
  <c r="D155" i="30"/>
  <c r="D165" i="30"/>
  <c r="D180" i="30"/>
  <c r="D182" i="30"/>
  <c r="D160" i="30"/>
  <c r="D126" i="30"/>
  <c r="D152" i="30"/>
  <c r="D146" i="30"/>
  <c r="D133" i="30"/>
  <c r="D135" i="30"/>
  <c r="D130" i="30"/>
  <c r="D177" i="30"/>
  <c r="D188" i="30"/>
  <c r="D139" i="30"/>
  <c r="D181" i="30"/>
  <c r="D187" i="30"/>
  <c r="D179" i="30"/>
  <c r="D119" i="30"/>
  <c r="D138" i="30"/>
  <c r="D161" i="30"/>
  <c r="D163" i="30"/>
  <c r="D145" i="30"/>
  <c r="D115" i="30"/>
  <c r="D150" i="30"/>
  <c r="D169" i="30"/>
  <c r="D116" i="30"/>
  <c r="D118" i="30"/>
  <c r="D127" i="30"/>
  <c r="D149" i="30"/>
  <c r="D141" i="30"/>
  <c r="D158" i="30"/>
  <c r="D156" i="30"/>
  <c r="D166" i="30"/>
  <c r="D183" i="30"/>
  <c r="D113" i="30"/>
  <c r="D124" i="30"/>
  <c r="D164" i="30"/>
  <c r="D172" i="30"/>
  <c r="D140" i="30"/>
  <c r="D148" i="30"/>
  <c r="D147" i="30"/>
  <c r="D123" i="30"/>
  <c r="D108" i="30"/>
  <c r="D121" i="30"/>
  <c r="D129" i="30"/>
  <c r="D162" i="30"/>
  <c r="E22" i="14"/>
  <c r="F11" i="29"/>
  <c r="E373" i="8"/>
  <c r="E11" i="14" s="1"/>
  <c r="F365" i="8"/>
  <c r="F361" i="8"/>
  <c r="G363" i="8"/>
  <c r="F363" i="8"/>
  <c r="G362" i="8"/>
  <c r="F362" i="8"/>
  <c r="G364" i="8"/>
  <c r="F364" i="8"/>
  <c r="G92" i="8"/>
  <c r="G419" i="8" s="1"/>
  <c r="F419" i="8"/>
  <c r="G91" i="8"/>
  <c r="G418" i="8" s="1"/>
  <c r="F418" i="8"/>
  <c r="G41" i="8"/>
  <c r="G382" i="8" s="1"/>
  <c r="F382" i="8"/>
  <c r="E8" i="14"/>
  <c r="E7" i="14"/>
  <c r="G40" i="8"/>
  <c r="G381" i="8" s="1"/>
  <c r="F381" i="8"/>
  <c r="G394" i="8"/>
  <c r="F394" i="8"/>
  <c r="F392" i="8"/>
  <c r="G396" i="8"/>
  <c r="F396" i="8"/>
  <c r="E20" i="14"/>
  <c r="E19" i="14"/>
  <c r="G393" i="8"/>
  <c r="F393" i="8"/>
  <c r="G395" i="8"/>
  <c r="F395" i="8"/>
  <c r="G409" i="8"/>
  <c r="F409" i="8"/>
  <c r="G410" i="8"/>
  <c r="F410" i="8"/>
  <c r="G407" i="8"/>
  <c r="F407" i="8"/>
  <c r="G369" i="8"/>
  <c r="F369" i="8"/>
  <c r="G401" i="8"/>
  <c r="F401" i="8"/>
  <c r="F402" i="8"/>
  <c r="E21" i="14"/>
  <c r="G403" i="8"/>
  <c r="F403" i="8"/>
  <c r="G399" i="8"/>
  <c r="F399" i="8"/>
  <c r="G398" i="8"/>
  <c r="F398" i="8"/>
  <c r="G368" i="8"/>
  <c r="F368" i="8"/>
  <c r="F371" i="8"/>
  <c r="G405" i="8"/>
  <c r="F405" i="8"/>
  <c r="G408" i="8"/>
  <c r="F408" i="8"/>
  <c r="G367" i="8"/>
  <c r="F367" i="8"/>
  <c r="G406" i="8"/>
  <c r="F406" i="8"/>
  <c r="F397" i="8"/>
  <c r="E9" i="14"/>
  <c r="G370" i="8"/>
  <c r="F370" i="8"/>
  <c r="F366" i="8"/>
  <c r="G400" i="8"/>
  <c r="F400" i="8"/>
  <c r="G404" i="8"/>
  <c r="F404" i="8"/>
  <c r="G372" i="8"/>
  <c r="F372" i="8"/>
  <c r="E207" i="8"/>
  <c r="F207" i="8" s="1"/>
  <c r="G207" i="8" s="1"/>
  <c r="G84" i="8" l="1"/>
  <c r="G365" i="8"/>
  <c r="F8" i="29"/>
  <c r="G259" i="8"/>
  <c r="G8" i="29" s="1"/>
  <c r="F99" i="21"/>
  <c r="F100" i="21"/>
  <c r="G261" i="8"/>
  <c r="F77" i="20"/>
  <c r="F78" i="20"/>
  <c r="E86" i="21"/>
  <c r="E620" i="19"/>
  <c r="E101" i="21" s="1"/>
  <c r="E85" i="21"/>
  <c r="E71" i="20"/>
  <c r="E116" i="18"/>
  <c r="E80" i="20" s="1"/>
  <c r="E72" i="20"/>
  <c r="G260" i="8"/>
  <c r="F97" i="21"/>
  <c r="F98" i="21"/>
  <c r="G171" i="8"/>
  <c r="G613" i="19" s="1"/>
  <c r="F613" i="19"/>
  <c r="G155" i="8"/>
  <c r="G109" i="18" s="1"/>
  <c r="F109" i="18"/>
  <c r="F8" i="30"/>
  <c r="G258" i="8"/>
  <c r="G179" i="8"/>
  <c r="G190" i="8"/>
  <c r="G164" i="8"/>
  <c r="G115" i="18" s="1"/>
  <c r="G79" i="20" s="1"/>
  <c r="G178" i="8"/>
  <c r="G618" i="19" s="1"/>
  <c r="G162" i="8"/>
  <c r="G114" i="18" s="1"/>
  <c r="G181" i="8"/>
  <c r="G163" i="8"/>
  <c r="G180" i="8"/>
  <c r="G619" i="19" s="1"/>
  <c r="G9" i="30"/>
  <c r="G402" i="8"/>
  <c r="G22" i="14" s="1"/>
  <c r="G10" i="30"/>
  <c r="G371" i="8"/>
  <c r="G10" i="14" s="1"/>
  <c r="G10" i="29"/>
  <c r="G366" i="8"/>
  <c r="G9" i="14" s="1"/>
  <c r="G9" i="29"/>
  <c r="E190" i="30"/>
  <c r="E182" i="30"/>
  <c r="E174" i="30"/>
  <c r="E166" i="30"/>
  <c r="E158" i="30"/>
  <c r="E150" i="30"/>
  <c r="E142" i="30"/>
  <c r="E134" i="30"/>
  <c r="E126" i="30"/>
  <c r="E118" i="30"/>
  <c r="E110" i="30"/>
  <c r="E189" i="30"/>
  <c r="E181" i="30"/>
  <c r="E173" i="30"/>
  <c r="E165" i="30"/>
  <c r="E157" i="30"/>
  <c r="E149" i="30"/>
  <c r="E141" i="30"/>
  <c r="E133" i="30"/>
  <c r="E125" i="30"/>
  <c r="E117" i="30"/>
  <c r="E109" i="30"/>
  <c r="E188" i="30"/>
  <c r="E180" i="30"/>
  <c r="E172" i="30"/>
  <c r="E164" i="30"/>
  <c r="E156" i="30"/>
  <c r="E148" i="30"/>
  <c r="E140" i="30"/>
  <c r="E132" i="30"/>
  <c r="E124" i="30"/>
  <c r="E116" i="30"/>
  <c r="E108" i="30"/>
  <c r="E187" i="30"/>
  <c r="E179" i="30"/>
  <c r="E171" i="30"/>
  <c r="E163" i="30"/>
  <c r="E155" i="30"/>
  <c r="E147" i="30"/>
  <c r="E139" i="30"/>
  <c r="E131" i="30"/>
  <c r="E123" i="30"/>
  <c r="E115" i="30"/>
  <c r="E107" i="30"/>
  <c r="E186" i="30"/>
  <c r="E178" i="30"/>
  <c r="E170" i="30"/>
  <c r="E162" i="30"/>
  <c r="E154" i="30"/>
  <c r="E146" i="30"/>
  <c r="E138" i="30"/>
  <c r="E130" i="30"/>
  <c r="E122" i="30"/>
  <c r="E114" i="30"/>
  <c r="E106" i="30"/>
  <c r="E184" i="30"/>
  <c r="E176" i="30"/>
  <c r="E168" i="30"/>
  <c r="E160" i="30"/>
  <c r="E152" i="30"/>
  <c r="E144" i="30"/>
  <c r="E136" i="30"/>
  <c r="E128" i="30"/>
  <c r="E120" i="30"/>
  <c r="E112" i="30"/>
  <c r="E104" i="30"/>
  <c r="E183" i="30"/>
  <c r="E151" i="30"/>
  <c r="E119" i="30"/>
  <c r="E135" i="30"/>
  <c r="E177" i="30"/>
  <c r="E145" i="30"/>
  <c r="E113" i="30"/>
  <c r="E103" i="30"/>
  <c r="E129" i="30"/>
  <c r="E175" i="30"/>
  <c r="E143" i="30"/>
  <c r="E111" i="30"/>
  <c r="E167" i="30"/>
  <c r="E161" i="30"/>
  <c r="E169" i="30"/>
  <c r="E137" i="30"/>
  <c r="E105" i="30"/>
  <c r="E191" i="30"/>
  <c r="E159" i="30"/>
  <c r="E127" i="30"/>
  <c r="E185" i="30"/>
  <c r="E153" i="30"/>
  <c r="E121" i="30"/>
  <c r="G392" i="8"/>
  <c r="G11" i="29"/>
  <c r="F373" i="8"/>
  <c r="F11" i="14" s="1"/>
  <c r="G361" i="8"/>
  <c r="F7" i="14"/>
  <c r="F8" i="14"/>
  <c r="F20" i="14"/>
  <c r="F19" i="14"/>
  <c r="F22" i="14"/>
  <c r="F21" i="14"/>
  <c r="F10" i="14"/>
  <c r="F9" i="14"/>
  <c r="G397" i="8"/>
  <c r="G21" i="14" s="1"/>
  <c r="G648" i="19"/>
  <c r="G682" i="19" s="1"/>
  <c r="F648" i="19"/>
  <c r="F682" i="19" s="1"/>
  <c r="E648" i="19"/>
  <c r="E682" i="19" s="1"/>
  <c r="D648" i="19"/>
  <c r="D682" i="19" s="1"/>
  <c r="G7" i="29" l="1"/>
  <c r="G7" i="14"/>
  <c r="F71" i="20"/>
  <c r="F116" i="18"/>
  <c r="F80" i="20" s="1"/>
  <c r="F72" i="20"/>
  <c r="G71" i="20"/>
  <c r="G72" i="20"/>
  <c r="G116" i="18"/>
  <c r="G80" i="20" s="1"/>
  <c r="G99" i="21"/>
  <c r="G100" i="21"/>
  <c r="F85" i="21"/>
  <c r="F620" i="19"/>
  <c r="F101" i="21" s="1"/>
  <c r="F86" i="21"/>
  <c r="G85" i="21"/>
  <c r="G86" i="21"/>
  <c r="G620" i="19"/>
  <c r="G101" i="21" s="1"/>
  <c r="G20" i="14"/>
  <c r="G8" i="30"/>
  <c r="G7" i="30"/>
  <c r="G78" i="20"/>
  <c r="G77" i="20"/>
  <c r="G97" i="21"/>
  <c r="G98" i="21"/>
  <c r="G19" i="14"/>
  <c r="G8" i="14"/>
  <c r="G373" i="8"/>
  <c r="G11" i="14" s="1"/>
  <c r="D36" i="30" l="1"/>
  <c r="D60" i="30"/>
  <c r="D84" i="30"/>
  <c r="D13" i="30"/>
  <c r="D21" i="30"/>
  <c r="D29" i="30"/>
  <c r="D37" i="30"/>
  <c r="D45" i="30"/>
  <c r="D53" i="30"/>
  <c r="D61" i="30"/>
  <c r="D69" i="30"/>
  <c r="D77" i="30"/>
  <c r="D85" i="30"/>
  <c r="D93" i="30"/>
  <c r="D28" i="30"/>
  <c r="D68" i="30"/>
  <c r="D92" i="30"/>
  <c r="D14" i="30"/>
  <c r="D22" i="30"/>
  <c r="D30" i="30"/>
  <c r="D38" i="30"/>
  <c r="D46" i="30"/>
  <c r="D54" i="30"/>
  <c r="D62" i="30"/>
  <c r="D70" i="30"/>
  <c r="D78" i="30"/>
  <c r="D86" i="30"/>
  <c r="D94" i="30"/>
  <c r="D12" i="30"/>
  <c r="D52" i="30"/>
  <c r="D76" i="30"/>
  <c r="D15" i="30"/>
  <c r="D23" i="30"/>
  <c r="D31" i="30"/>
  <c r="D39" i="30"/>
  <c r="D47" i="30"/>
  <c r="D55" i="30"/>
  <c r="D63" i="30"/>
  <c r="D71" i="30"/>
  <c r="D79" i="30"/>
  <c r="D87" i="30"/>
  <c r="D95" i="30"/>
  <c r="D16" i="30"/>
  <c r="D24" i="30"/>
  <c r="D32" i="30"/>
  <c r="D40" i="30"/>
  <c r="D48" i="30"/>
  <c r="D56" i="30"/>
  <c r="D64" i="30"/>
  <c r="D72" i="30"/>
  <c r="D80" i="30"/>
  <c r="D88" i="30"/>
  <c r="D20" i="30"/>
  <c r="D17" i="30"/>
  <c r="D25" i="30"/>
  <c r="D33" i="30"/>
  <c r="D41" i="30"/>
  <c r="D49" i="30"/>
  <c r="D57" i="30"/>
  <c r="D65" i="30"/>
  <c r="D73" i="30"/>
  <c r="D81" i="30"/>
  <c r="D89" i="30"/>
  <c r="D44" i="30"/>
  <c r="D18" i="30"/>
  <c r="D26" i="30"/>
  <c r="D34" i="30"/>
  <c r="D42" i="30"/>
  <c r="D50" i="30"/>
  <c r="D58" i="30"/>
  <c r="D66" i="30"/>
  <c r="D74" i="30"/>
  <c r="D82" i="30"/>
  <c r="D90" i="30"/>
  <c r="D11" i="30"/>
  <c r="D19" i="30"/>
  <c r="D27" i="30"/>
  <c r="D35" i="30"/>
  <c r="D43" i="30"/>
  <c r="D51" i="30"/>
  <c r="D59" i="30"/>
  <c r="D67" i="30"/>
  <c r="D75" i="30"/>
  <c r="D83" i="30"/>
  <c r="D91" i="30"/>
  <c r="G188" i="30"/>
  <c r="G180" i="30"/>
  <c r="G172" i="30"/>
  <c r="G164" i="30"/>
  <c r="G156" i="30"/>
  <c r="G148" i="30"/>
  <c r="G140" i="30"/>
  <c r="G132" i="30"/>
  <c r="G124" i="30"/>
  <c r="G116" i="30"/>
  <c r="G108" i="30"/>
  <c r="G187" i="30"/>
  <c r="G179" i="30"/>
  <c r="G171" i="30"/>
  <c r="G163" i="30"/>
  <c r="G155" i="30"/>
  <c r="G147" i="30"/>
  <c r="G139" i="30"/>
  <c r="G131" i="30"/>
  <c r="G123" i="30"/>
  <c r="G115" i="30"/>
  <c r="G107" i="30"/>
  <c r="G186" i="30"/>
  <c r="G178" i="30"/>
  <c r="G170" i="30"/>
  <c r="G162" i="30"/>
  <c r="G154" i="30"/>
  <c r="G146" i="30"/>
  <c r="G138" i="30"/>
  <c r="G130" i="30"/>
  <c r="G122" i="30"/>
  <c r="G114" i="30"/>
  <c r="G106" i="30"/>
  <c r="G185" i="30"/>
  <c r="G177" i="30"/>
  <c r="G169" i="30"/>
  <c r="G161" i="30"/>
  <c r="G153" i="30"/>
  <c r="G145" i="30"/>
  <c r="G137" i="30"/>
  <c r="G129" i="30"/>
  <c r="G121" i="30"/>
  <c r="G113" i="30"/>
  <c r="G105" i="30"/>
  <c r="G184" i="30"/>
  <c r="G176" i="30"/>
  <c r="G168" i="30"/>
  <c r="G160" i="30"/>
  <c r="G152" i="30"/>
  <c r="G144" i="30"/>
  <c r="G136" i="30"/>
  <c r="G128" i="30"/>
  <c r="G120" i="30"/>
  <c r="G112" i="30"/>
  <c r="G104" i="30"/>
  <c r="G190" i="30"/>
  <c r="G182" i="30"/>
  <c r="G174" i="30"/>
  <c r="G166" i="30"/>
  <c r="G158" i="30"/>
  <c r="G150" i="30"/>
  <c r="G142" i="30"/>
  <c r="G134" i="30"/>
  <c r="G126" i="30"/>
  <c r="G118" i="30"/>
  <c r="G110" i="30"/>
  <c r="G165" i="30"/>
  <c r="G133" i="30"/>
  <c r="G181" i="30"/>
  <c r="G175" i="30"/>
  <c r="G191" i="30"/>
  <c r="G159" i="30"/>
  <c r="G127" i="30"/>
  <c r="G117" i="30"/>
  <c r="G189" i="30"/>
  <c r="G157" i="30"/>
  <c r="G125" i="30"/>
  <c r="G149" i="30"/>
  <c r="G111" i="30"/>
  <c r="G183" i="30"/>
  <c r="G151" i="30"/>
  <c r="G119" i="30"/>
  <c r="G143" i="30"/>
  <c r="G173" i="30"/>
  <c r="G141" i="30"/>
  <c r="G109" i="30"/>
  <c r="G167" i="30"/>
  <c r="G135" i="30"/>
  <c r="G103" i="30"/>
  <c r="F189" i="30"/>
  <c r="F181" i="30"/>
  <c r="F173" i="30"/>
  <c r="F165" i="30"/>
  <c r="F157" i="30"/>
  <c r="F149" i="30"/>
  <c r="F141" i="30"/>
  <c r="F133" i="30"/>
  <c r="F125" i="30"/>
  <c r="F117" i="30"/>
  <c r="F109" i="30"/>
  <c r="F188" i="30"/>
  <c r="F180" i="30"/>
  <c r="F172" i="30"/>
  <c r="F164" i="30"/>
  <c r="F156" i="30"/>
  <c r="F148" i="30"/>
  <c r="F140" i="30"/>
  <c r="F132" i="30"/>
  <c r="F124" i="30"/>
  <c r="F116" i="30"/>
  <c r="F108" i="30"/>
  <c r="F187" i="30"/>
  <c r="F179" i="30"/>
  <c r="F171" i="30"/>
  <c r="F163" i="30"/>
  <c r="F155" i="30"/>
  <c r="F147" i="30"/>
  <c r="F139" i="30"/>
  <c r="F131" i="30"/>
  <c r="F123" i="30"/>
  <c r="F115" i="30"/>
  <c r="F107" i="30"/>
  <c r="F186" i="30"/>
  <c r="F178" i="30"/>
  <c r="F170" i="30"/>
  <c r="F162" i="30"/>
  <c r="F154" i="30"/>
  <c r="F146" i="30"/>
  <c r="F138" i="30"/>
  <c r="F130" i="30"/>
  <c r="F122" i="30"/>
  <c r="F114" i="30"/>
  <c r="F106" i="30"/>
  <c r="F185" i="30"/>
  <c r="F177" i="30"/>
  <c r="F169" i="30"/>
  <c r="F161" i="30"/>
  <c r="F153" i="30"/>
  <c r="F145" i="30"/>
  <c r="F137" i="30"/>
  <c r="F129" i="30"/>
  <c r="F121" i="30"/>
  <c r="F113" i="30"/>
  <c r="F105" i="30"/>
  <c r="F191" i="30"/>
  <c r="F183" i="30"/>
  <c r="F175" i="30"/>
  <c r="F167" i="30"/>
  <c r="F159" i="30"/>
  <c r="F151" i="30"/>
  <c r="F143" i="30"/>
  <c r="F135" i="30"/>
  <c r="F127" i="30"/>
  <c r="F119" i="30"/>
  <c r="F111" i="30"/>
  <c r="F103" i="30"/>
  <c r="F190" i="30"/>
  <c r="F158" i="30"/>
  <c r="F126" i="30"/>
  <c r="F110" i="30"/>
  <c r="F136" i="30"/>
  <c r="F184" i="30"/>
  <c r="F152" i="30"/>
  <c r="F120" i="30"/>
  <c r="F168" i="30"/>
  <c r="F182" i="30"/>
  <c r="F150" i="30"/>
  <c r="F118" i="30"/>
  <c r="F142" i="30"/>
  <c r="F176" i="30"/>
  <c r="F144" i="30"/>
  <c r="F112" i="30"/>
  <c r="F174" i="30"/>
  <c r="F104" i="30"/>
  <c r="F166" i="30"/>
  <c r="F134" i="30"/>
  <c r="F160" i="30"/>
  <c r="F128" i="30"/>
  <c r="D23" i="14"/>
  <c r="E288" i="8"/>
  <c r="D44" i="14"/>
  <c r="E312" i="8"/>
  <c r="D68" i="14"/>
  <c r="E320" i="8"/>
  <c r="D76" i="14"/>
  <c r="E328" i="8"/>
  <c r="D84" i="14"/>
  <c r="E336" i="8"/>
  <c r="D92" i="14"/>
  <c r="E344" i="8"/>
  <c r="D100" i="14"/>
  <c r="E273" i="8"/>
  <c r="D29" i="14"/>
  <c r="E281" i="8"/>
  <c r="D37" i="14"/>
  <c r="E289" i="8"/>
  <c r="D45" i="14"/>
  <c r="E297" i="8"/>
  <c r="D53" i="14"/>
  <c r="E305" i="8"/>
  <c r="D61" i="14"/>
  <c r="E313" i="8"/>
  <c r="D69" i="14"/>
  <c r="E321" i="8"/>
  <c r="D77" i="14"/>
  <c r="E329" i="8"/>
  <c r="D85" i="14"/>
  <c r="E337" i="8"/>
  <c r="D93" i="14"/>
  <c r="E345" i="8"/>
  <c r="D101" i="14"/>
  <c r="E296" i="8"/>
  <c r="D52" i="14"/>
  <c r="E282" i="8"/>
  <c r="D38" i="14"/>
  <c r="E314" i="8"/>
  <c r="D70" i="14"/>
  <c r="E330" i="8"/>
  <c r="D86" i="14"/>
  <c r="E275" i="8"/>
  <c r="D31" i="14"/>
  <c r="E283" i="8"/>
  <c r="D39" i="14"/>
  <c r="E291" i="8"/>
  <c r="D47" i="14"/>
  <c r="E299" i="8"/>
  <c r="D55" i="14"/>
  <c r="E307" i="8"/>
  <c r="D63" i="14"/>
  <c r="E315" i="8"/>
  <c r="D71" i="14"/>
  <c r="E323" i="8"/>
  <c r="D79" i="14"/>
  <c r="E331" i="8"/>
  <c r="D87" i="14"/>
  <c r="E339" i="8"/>
  <c r="D95" i="14"/>
  <c r="E347" i="8"/>
  <c r="D103" i="14"/>
  <c r="E280" i="8"/>
  <c r="D36" i="14"/>
  <c r="E298" i="8"/>
  <c r="D54" i="14"/>
  <c r="E338" i="8"/>
  <c r="D94" i="14"/>
  <c r="E268" i="8"/>
  <c r="D24" i="14"/>
  <c r="E276" i="8"/>
  <c r="D32" i="14"/>
  <c r="E284" i="8"/>
  <c r="D40" i="14"/>
  <c r="E292" i="8"/>
  <c r="D48" i="14"/>
  <c r="E300" i="8"/>
  <c r="D56" i="14"/>
  <c r="E308" i="8"/>
  <c r="D64" i="14"/>
  <c r="E316" i="8"/>
  <c r="D72" i="14"/>
  <c r="E324" i="8"/>
  <c r="D80" i="14"/>
  <c r="E332" i="8"/>
  <c r="D88" i="14"/>
  <c r="E340" i="8"/>
  <c r="D96" i="14"/>
  <c r="E348" i="8"/>
  <c r="D104" i="14"/>
  <c r="E272" i="8"/>
  <c r="D28" i="14"/>
  <c r="E290" i="8"/>
  <c r="D46" i="14"/>
  <c r="E346" i="8"/>
  <c r="D102" i="14"/>
  <c r="E269" i="8"/>
  <c r="D25" i="14"/>
  <c r="E277" i="8"/>
  <c r="D33" i="14"/>
  <c r="E285" i="8"/>
  <c r="D41" i="14"/>
  <c r="E293" i="8"/>
  <c r="D49" i="14"/>
  <c r="E301" i="8"/>
  <c r="D57" i="14"/>
  <c r="E309" i="8"/>
  <c r="D65" i="14"/>
  <c r="E317" i="8"/>
  <c r="D73" i="14"/>
  <c r="E325" i="8"/>
  <c r="D81" i="14"/>
  <c r="E333" i="8"/>
  <c r="D89" i="14"/>
  <c r="E341" i="8"/>
  <c r="D97" i="14"/>
  <c r="E349" i="8"/>
  <c r="D105" i="14"/>
  <c r="E270" i="8"/>
  <c r="D26" i="14"/>
  <c r="E278" i="8"/>
  <c r="D34" i="14"/>
  <c r="E286" i="8"/>
  <c r="D42" i="14"/>
  <c r="E294" i="8"/>
  <c r="D50" i="14"/>
  <c r="E302" i="8"/>
  <c r="D58" i="14"/>
  <c r="E310" i="8"/>
  <c r="D66" i="14"/>
  <c r="E318" i="8"/>
  <c r="D74" i="14"/>
  <c r="E326" i="8"/>
  <c r="D82" i="14"/>
  <c r="E334" i="8"/>
  <c r="D90" i="14"/>
  <c r="E342" i="8"/>
  <c r="D98" i="14"/>
  <c r="E350" i="8"/>
  <c r="D106" i="14"/>
  <c r="E304" i="8"/>
  <c r="D60" i="14"/>
  <c r="E274" i="8"/>
  <c r="D30" i="14"/>
  <c r="E306" i="8"/>
  <c r="D62" i="14"/>
  <c r="E322" i="8"/>
  <c r="D78" i="14"/>
  <c r="E271" i="8"/>
  <c r="D27" i="14"/>
  <c r="E279" i="8"/>
  <c r="D35" i="14"/>
  <c r="E287" i="8"/>
  <c r="D43" i="14"/>
  <c r="E295" i="8"/>
  <c r="D51" i="14"/>
  <c r="E303" i="8"/>
  <c r="D59" i="14"/>
  <c r="E311" i="8"/>
  <c r="D67" i="14"/>
  <c r="E319" i="8"/>
  <c r="D75" i="14"/>
  <c r="E327" i="8"/>
  <c r="D83" i="14"/>
  <c r="E335" i="8"/>
  <c r="D91" i="14"/>
  <c r="E343" i="8"/>
  <c r="D99" i="14"/>
  <c r="E351" i="8"/>
  <c r="D107" i="14"/>
  <c r="E267" i="8"/>
  <c r="D258" i="21" l="1"/>
  <c r="E70" i="30"/>
  <c r="E39" i="30"/>
  <c r="E94" i="30"/>
  <c r="E85" i="30"/>
  <c r="E16" i="30"/>
  <c r="E36" i="30"/>
  <c r="E87" i="30"/>
  <c r="E55" i="30"/>
  <c r="E23" i="30"/>
  <c r="E18" i="30"/>
  <c r="E78" i="30"/>
  <c r="E46" i="30"/>
  <c r="E14" i="30"/>
  <c r="E69" i="30"/>
  <c r="E37" i="30"/>
  <c r="E90" i="30"/>
  <c r="E84" i="30"/>
  <c r="E52" i="30"/>
  <c r="E20" i="30"/>
  <c r="E24" i="30"/>
  <c r="E67" i="30"/>
  <c r="E35" i="30"/>
  <c r="E58" i="30"/>
  <c r="E81" i="30"/>
  <c r="E49" i="30"/>
  <c r="E17" i="30"/>
  <c r="E64" i="30"/>
  <c r="E34" i="30"/>
  <c r="E79" i="30"/>
  <c r="E15" i="30"/>
  <c r="E93" i="30"/>
  <c r="E29" i="30"/>
  <c r="E44" i="30"/>
  <c r="E91" i="30"/>
  <c r="E26" i="30"/>
  <c r="E41" i="30"/>
  <c r="E56" i="30"/>
  <c r="E38" i="30"/>
  <c r="E59" i="30"/>
  <c r="E51" i="30"/>
  <c r="E47" i="30"/>
  <c r="E61" i="30"/>
  <c r="E76" i="30"/>
  <c r="E12" i="30"/>
  <c r="E27" i="30"/>
  <c r="E73" i="30"/>
  <c r="E88" i="30"/>
  <c r="E11" i="30"/>
  <c r="E71" i="30"/>
  <c r="E66" i="30"/>
  <c r="E62" i="30"/>
  <c r="E53" i="30"/>
  <c r="E21" i="30"/>
  <c r="E68" i="30"/>
  <c r="E82" i="30"/>
  <c r="E83" i="30"/>
  <c r="E19" i="30"/>
  <c r="E40" i="30"/>
  <c r="E65" i="30"/>
  <c r="E33" i="30"/>
  <c r="E80" i="30"/>
  <c r="E32" i="30"/>
  <c r="E95" i="30"/>
  <c r="E63" i="30"/>
  <c r="E31" i="30"/>
  <c r="E50" i="30"/>
  <c r="E86" i="30"/>
  <c r="E54" i="30"/>
  <c r="E22" i="30"/>
  <c r="E77" i="30"/>
  <c r="E45" i="30"/>
  <c r="E13" i="30"/>
  <c r="E92" i="30"/>
  <c r="E60" i="30"/>
  <c r="E28" i="30"/>
  <c r="E42" i="30"/>
  <c r="E75" i="30"/>
  <c r="E43" i="30"/>
  <c r="E74" i="30"/>
  <c r="E89" i="30"/>
  <c r="E57" i="30"/>
  <c r="E25" i="30"/>
  <c r="E72" i="30"/>
  <c r="E48" i="30"/>
  <c r="E30" i="30"/>
  <c r="D19" i="29"/>
  <c r="D23" i="29"/>
  <c r="D22" i="29"/>
  <c r="D21" i="29"/>
  <c r="D20" i="29"/>
  <c r="E352" i="8"/>
  <c r="F351" i="8"/>
  <c r="E107" i="14"/>
  <c r="F342" i="8"/>
  <c r="E98" i="14"/>
  <c r="F333" i="8"/>
  <c r="E89" i="14"/>
  <c r="F301" i="8"/>
  <c r="E57" i="14"/>
  <c r="F269" i="8"/>
  <c r="E25" i="14"/>
  <c r="F348" i="8"/>
  <c r="E104" i="14"/>
  <c r="F316" i="8"/>
  <c r="E72" i="14"/>
  <c r="F284" i="8"/>
  <c r="E40" i="14"/>
  <c r="F298" i="8"/>
  <c r="E54" i="14"/>
  <c r="F331" i="8"/>
  <c r="E87" i="14"/>
  <c r="F299" i="8"/>
  <c r="E55" i="14"/>
  <c r="F330" i="8"/>
  <c r="E86" i="14"/>
  <c r="F345" i="8"/>
  <c r="E101" i="14"/>
  <c r="F313" i="8"/>
  <c r="E69" i="14"/>
  <c r="F281" i="8"/>
  <c r="E37" i="14"/>
  <c r="F328" i="8"/>
  <c r="E84" i="14"/>
  <c r="F274" i="8"/>
  <c r="E30" i="14"/>
  <c r="F334" i="8"/>
  <c r="E90" i="14"/>
  <c r="F270" i="8"/>
  <c r="E26" i="14"/>
  <c r="F325" i="8"/>
  <c r="E81" i="14"/>
  <c r="F293" i="8"/>
  <c r="E49" i="14"/>
  <c r="F346" i="8"/>
  <c r="E102" i="14"/>
  <c r="F340" i="8"/>
  <c r="E96" i="14"/>
  <c r="F308" i="8"/>
  <c r="E64" i="14"/>
  <c r="F276" i="8"/>
  <c r="E32" i="14"/>
  <c r="F280" i="8"/>
  <c r="E36" i="14"/>
  <c r="F323" i="8"/>
  <c r="E79" i="14"/>
  <c r="F291" i="8"/>
  <c r="E47" i="14"/>
  <c r="F314" i="8"/>
  <c r="E70" i="14"/>
  <c r="F337" i="8"/>
  <c r="E93" i="14"/>
  <c r="F305" i="8"/>
  <c r="E61" i="14"/>
  <c r="F273" i="8"/>
  <c r="E29" i="14"/>
  <c r="F320" i="8"/>
  <c r="E76" i="14"/>
  <c r="F319" i="8"/>
  <c r="E75" i="14"/>
  <c r="F310" i="8"/>
  <c r="E66" i="14"/>
  <c r="F279" i="8"/>
  <c r="E35" i="14"/>
  <c r="F271" i="8"/>
  <c r="E27" i="14"/>
  <c r="F306" i="8"/>
  <c r="E62" i="14"/>
  <c r="F303" i="8"/>
  <c r="E59" i="14"/>
  <c r="F349" i="8"/>
  <c r="E105" i="14"/>
  <c r="F317" i="8"/>
  <c r="E73" i="14"/>
  <c r="F285" i="8"/>
  <c r="E41" i="14"/>
  <c r="F290" i="8"/>
  <c r="E46" i="14"/>
  <c r="F332" i="8"/>
  <c r="E88" i="14"/>
  <c r="F300" i="8"/>
  <c r="E56" i="14"/>
  <c r="F268" i="8"/>
  <c r="E24" i="14"/>
  <c r="F347" i="8"/>
  <c r="E103" i="14"/>
  <c r="F315" i="8"/>
  <c r="E71" i="14"/>
  <c r="F283" i="8"/>
  <c r="E39" i="14"/>
  <c r="F282" i="8"/>
  <c r="E38" i="14"/>
  <c r="F329" i="8"/>
  <c r="E85" i="14"/>
  <c r="F297" i="8"/>
  <c r="E53" i="14"/>
  <c r="F344" i="8"/>
  <c r="E100" i="14"/>
  <c r="F312" i="8"/>
  <c r="E68" i="14"/>
  <c r="F311" i="8"/>
  <c r="E67" i="14"/>
  <c r="F302" i="8"/>
  <c r="E58" i="14"/>
  <c r="F326" i="8"/>
  <c r="E82" i="14"/>
  <c r="F295" i="8"/>
  <c r="E51" i="14"/>
  <c r="F350" i="8"/>
  <c r="E106" i="14"/>
  <c r="F286" i="8"/>
  <c r="E42" i="14"/>
  <c r="F287" i="8"/>
  <c r="E43" i="14"/>
  <c r="F278" i="8"/>
  <c r="E34" i="14"/>
  <c r="F343" i="8"/>
  <c r="E99" i="14"/>
  <c r="F335" i="8"/>
  <c r="E91" i="14"/>
  <c r="F304" i="8"/>
  <c r="E60" i="14"/>
  <c r="F294" i="8"/>
  <c r="E50" i="14"/>
  <c r="F327" i="8"/>
  <c r="E83" i="14"/>
  <c r="F322" i="8"/>
  <c r="E78" i="14"/>
  <c r="F318" i="8"/>
  <c r="E74" i="14"/>
  <c r="F341" i="8"/>
  <c r="E97" i="14"/>
  <c r="F309" i="8"/>
  <c r="E65" i="14"/>
  <c r="F277" i="8"/>
  <c r="E33" i="14"/>
  <c r="F272" i="8"/>
  <c r="E28" i="14"/>
  <c r="F324" i="8"/>
  <c r="E80" i="14"/>
  <c r="F292" i="8"/>
  <c r="E48" i="14"/>
  <c r="F338" i="8"/>
  <c r="E94" i="14"/>
  <c r="F339" i="8"/>
  <c r="E95" i="14"/>
  <c r="F307" i="8"/>
  <c r="E63" i="14"/>
  <c r="F275" i="8"/>
  <c r="E31" i="14"/>
  <c r="F296" i="8"/>
  <c r="E52" i="14"/>
  <c r="F321" i="8"/>
  <c r="E77" i="14"/>
  <c r="F289" i="8"/>
  <c r="E45" i="14"/>
  <c r="F336" i="8"/>
  <c r="E92" i="14"/>
  <c r="F288" i="8"/>
  <c r="E44" i="14"/>
  <c r="F267" i="8"/>
  <c r="E23" i="14"/>
  <c r="G169" i="21"/>
  <c r="F169" i="21"/>
  <c r="E169" i="21"/>
  <c r="D169" i="21"/>
  <c r="G168" i="21"/>
  <c r="F168" i="21"/>
  <c r="E168" i="21"/>
  <c r="D168" i="21"/>
  <c r="G167" i="21"/>
  <c r="F167" i="21"/>
  <c r="E167" i="21"/>
  <c r="D167" i="21"/>
  <c r="G166" i="21"/>
  <c r="F166" i="21"/>
  <c r="E166" i="21"/>
  <c r="D166" i="21"/>
  <c r="G165" i="21"/>
  <c r="F165" i="21"/>
  <c r="E165" i="21"/>
  <c r="D165" i="21"/>
  <c r="G156" i="21"/>
  <c r="F156" i="21"/>
  <c r="E156" i="21"/>
  <c r="D156" i="21"/>
  <c r="G155" i="21"/>
  <c r="F155" i="21"/>
  <c r="E155" i="21"/>
  <c r="D155" i="21"/>
  <c r="G154" i="21"/>
  <c r="F154" i="21"/>
  <c r="E154" i="21"/>
  <c r="D154" i="21"/>
  <c r="G153" i="21"/>
  <c r="F153" i="21"/>
  <c r="E153" i="21"/>
  <c r="D153" i="21"/>
  <c r="G152" i="21"/>
  <c r="F152" i="21"/>
  <c r="E152" i="21"/>
  <c r="D152" i="21"/>
  <c r="G151" i="21"/>
  <c r="F151" i="21"/>
  <c r="E151" i="21"/>
  <c r="D151" i="21"/>
  <c r="G150" i="21"/>
  <c r="F150" i="21"/>
  <c r="E150" i="21"/>
  <c r="D150" i="21"/>
  <c r="G149" i="21"/>
  <c r="F149" i="21"/>
  <c r="E149" i="21"/>
  <c r="D149" i="21"/>
  <c r="G148" i="21"/>
  <c r="F148" i="21"/>
  <c r="E148" i="21"/>
  <c r="D148" i="21"/>
  <c r="G147" i="21"/>
  <c r="F147" i="21"/>
  <c r="E147" i="21"/>
  <c r="D147" i="21"/>
  <c r="G146" i="21"/>
  <c r="F146" i="21"/>
  <c r="E146" i="21"/>
  <c r="D146" i="21"/>
  <c r="G145" i="21"/>
  <c r="F145" i="21"/>
  <c r="E145" i="21"/>
  <c r="D145" i="21"/>
  <c r="G144" i="21"/>
  <c r="F144" i="21"/>
  <c r="E144" i="21"/>
  <c r="D144" i="21"/>
  <c r="G143" i="21"/>
  <c r="F143" i="21"/>
  <c r="E143" i="21"/>
  <c r="D143" i="21"/>
  <c r="G67" i="21"/>
  <c r="F67" i="21"/>
  <c r="E67" i="21"/>
  <c r="D67" i="21"/>
  <c r="G66" i="21"/>
  <c r="F66" i="21"/>
  <c r="E66" i="21"/>
  <c r="D66" i="21"/>
  <c r="G65" i="21"/>
  <c r="F65" i="21"/>
  <c r="E65" i="21"/>
  <c r="D65" i="21"/>
  <c r="G64" i="21"/>
  <c r="F64" i="21"/>
  <c r="E64" i="21"/>
  <c r="D64" i="21"/>
  <c r="G63" i="21"/>
  <c r="F63" i="21"/>
  <c r="E63" i="21"/>
  <c r="D63" i="21"/>
  <c r="G59" i="21"/>
  <c r="F59" i="21"/>
  <c r="E59" i="21"/>
  <c r="D59" i="21"/>
  <c r="G58" i="21"/>
  <c r="F58" i="21"/>
  <c r="E58" i="21"/>
  <c r="D58" i="21"/>
  <c r="G57" i="21"/>
  <c r="F57" i="21"/>
  <c r="E57" i="21"/>
  <c r="D57" i="21"/>
  <c r="G56" i="21"/>
  <c r="F56" i="21"/>
  <c r="E56" i="21"/>
  <c r="D56" i="21"/>
  <c r="G55" i="21"/>
  <c r="F55" i="21"/>
  <c r="E55" i="21"/>
  <c r="D55" i="21"/>
  <c r="G52" i="21"/>
  <c r="F52" i="21"/>
  <c r="E52" i="21"/>
  <c r="D52" i="21"/>
  <c r="G51" i="21"/>
  <c r="F51" i="21"/>
  <c r="E51" i="21"/>
  <c r="D51" i="21"/>
  <c r="G50" i="21"/>
  <c r="F50" i="21"/>
  <c r="E50" i="21"/>
  <c r="D50" i="21"/>
  <c r="G49" i="21"/>
  <c r="F49" i="21"/>
  <c r="E49" i="21"/>
  <c r="D49" i="21"/>
  <c r="G48" i="21"/>
  <c r="F48" i="21"/>
  <c r="E48" i="21"/>
  <c r="D48" i="21"/>
  <c r="G47" i="21"/>
  <c r="F47" i="21"/>
  <c r="E47" i="21"/>
  <c r="D47" i="21"/>
  <c r="G46" i="21"/>
  <c r="F46" i="21"/>
  <c r="E46" i="21"/>
  <c r="D46" i="21"/>
  <c r="G45" i="21"/>
  <c r="F45" i="21"/>
  <c r="E45" i="21"/>
  <c r="D45" i="21"/>
  <c r="G44" i="21"/>
  <c r="F44" i="21"/>
  <c r="E44" i="21"/>
  <c r="D44" i="21"/>
  <c r="G43" i="21"/>
  <c r="F43" i="21"/>
  <c r="E43" i="21"/>
  <c r="D43" i="21"/>
  <c r="G42" i="21"/>
  <c r="F42" i="21"/>
  <c r="E42" i="21"/>
  <c r="D42" i="21"/>
  <c r="G41" i="21"/>
  <c r="F41" i="21"/>
  <c r="E41" i="21"/>
  <c r="D41" i="21"/>
  <c r="G654" i="19"/>
  <c r="F654" i="19"/>
  <c r="E654" i="19"/>
  <c r="D654" i="19"/>
  <c r="G653" i="19"/>
  <c r="F653" i="19"/>
  <c r="E653" i="19"/>
  <c r="D653" i="19"/>
  <c r="G652" i="19"/>
  <c r="F652" i="19"/>
  <c r="E652" i="19"/>
  <c r="D652" i="19"/>
  <c r="G647" i="19"/>
  <c r="F647" i="19"/>
  <c r="E647" i="19"/>
  <c r="D647" i="19"/>
  <c r="G646" i="19"/>
  <c r="F646" i="19"/>
  <c r="E646" i="19"/>
  <c r="D646" i="19"/>
  <c r="G645" i="19"/>
  <c r="F645" i="19"/>
  <c r="E645" i="19"/>
  <c r="D645" i="19"/>
  <c r="G134" i="20"/>
  <c r="F134" i="20"/>
  <c r="E134" i="20"/>
  <c r="D134" i="20"/>
  <c r="G133" i="20"/>
  <c r="F133" i="20"/>
  <c r="E133" i="20"/>
  <c r="D133" i="20"/>
  <c r="G132" i="20"/>
  <c r="F132" i="20"/>
  <c r="E132" i="20"/>
  <c r="D132" i="20"/>
  <c r="G131" i="20"/>
  <c r="F131" i="20"/>
  <c r="E131" i="20"/>
  <c r="D131" i="20"/>
  <c r="G127" i="20"/>
  <c r="F127" i="20"/>
  <c r="E127" i="20"/>
  <c r="D127" i="20"/>
  <c r="G126" i="20"/>
  <c r="F126" i="20"/>
  <c r="E126" i="20"/>
  <c r="D126" i="20"/>
  <c r="G125" i="20"/>
  <c r="F125" i="20"/>
  <c r="E125" i="20"/>
  <c r="D125" i="20"/>
  <c r="G124" i="20"/>
  <c r="F124" i="20"/>
  <c r="E124" i="20"/>
  <c r="D124" i="20"/>
  <c r="G123" i="20"/>
  <c r="F123" i="20"/>
  <c r="E123" i="20"/>
  <c r="D123" i="20"/>
  <c r="G122" i="20"/>
  <c r="F122" i="20"/>
  <c r="E122" i="20"/>
  <c r="D122" i="20"/>
  <c r="G121" i="20"/>
  <c r="F121" i="20"/>
  <c r="E121" i="20"/>
  <c r="D121" i="20"/>
  <c r="G120" i="20"/>
  <c r="F120" i="20"/>
  <c r="E120" i="20"/>
  <c r="D120" i="20"/>
  <c r="G119" i="20"/>
  <c r="F119" i="20"/>
  <c r="E119" i="20"/>
  <c r="D119" i="20"/>
  <c r="G118" i="20"/>
  <c r="F118" i="20"/>
  <c r="E118" i="20"/>
  <c r="D118" i="20"/>
  <c r="G117" i="20"/>
  <c r="F117" i="20"/>
  <c r="E117" i="20"/>
  <c r="D117" i="20"/>
  <c r="G116" i="20"/>
  <c r="F116" i="20"/>
  <c r="E116" i="20"/>
  <c r="D116" i="20"/>
  <c r="G115" i="20"/>
  <c r="F115" i="20"/>
  <c r="E115" i="20"/>
  <c r="D115" i="20"/>
  <c r="G53" i="20"/>
  <c r="F53" i="20"/>
  <c r="E53" i="20"/>
  <c r="D53" i="20"/>
  <c r="G52" i="20"/>
  <c r="F52" i="20"/>
  <c r="E52" i="20"/>
  <c r="D52" i="20"/>
  <c r="G51" i="20"/>
  <c r="F51" i="20"/>
  <c r="E51" i="20"/>
  <c r="D51" i="20"/>
  <c r="G50" i="20"/>
  <c r="F50" i="20"/>
  <c r="E50" i="20"/>
  <c r="D50" i="20"/>
  <c r="G46" i="20"/>
  <c r="F46" i="20"/>
  <c r="E46" i="20"/>
  <c r="D46" i="20"/>
  <c r="G45" i="20"/>
  <c r="F45" i="20"/>
  <c r="E45" i="20"/>
  <c r="D45" i="20"/>
  <c r="G44" i="20"/>
  <c r="F44" i="20"/>
  <c r="E44" i="20"/>
  <c r="D44" i="20"/>
  <c r="G43" i="20"/>
  <c r="F43" i="20"/>
  <c r="E43" i="20"/>
  <c r="D43" i="20"/>
  <c r="G42" i="20"/>
  <c r="F42" i="20"/>
  <c r="E42" i="20"/>
  <c r="D42" i="20"/>
  <c r="G41" i="20"/>
  <c r="F41" i="20"/>
  <c r="E41" i="20"/>
  <c r="D41" i="20"/>
  <c r="G40" i="20"/>
  <c r="F40" i="20"/>
  <c r="E40" i="20"/>
  <c r="D40" i="20"/>
  <c r="G39" i="20"/>
  <c r="F39" i="20"/>
  <c r="E39" i="20"/>
  <c r="D39" i="20"/>
  <c r="G38" i="20"/>
  <c r="F38" i="20"/>
  <c r="E38" i="20"/>
  <c r="D38" i="20"/>
  <c r="G37" i="20"/>
  <c r="F37" i="20"/>
  <c r="E37" i="20"/>
  <c r="D37" i="20"/>
  <c r="G36" i="20"/>
  <c r="F36" i="20"/>
  <c r="E36" i="20"/>
  <c r="D36" i="20"/>
  <c r="G35" i="20"/>
  <c r="F35" i="20"/>
  <c r="E35" i="20"/>
  <c r="D35" i="20"/>
  <c r="G34" i="20"/>
  <c r="F34" i="20"/>
  <c r="E34" i="20"/>
  <c r="D34" i="20"/>
  <c r="G150" i="18"/>
  <c r="F150" i="18"/>
  <c r="E150" i="18"/>
  <c r="D150" i="18"/>
  <c r="G149" i="18"/>
  <c r="F149" i="18"/>
  <c r="E149" i="18"/>
  <c r="D149" i="18"/>
  <c r="G148" i="18"/>
  <c r="F148" i="18"/>
  <c r="E148" i="18"/>
  <c r="D148" i="18"/>
  <c r="G144" i="18"/>
  <c r="F144" i="18"/>
  <c r="E144" i="18"/>
  <c r="D144" i="18"/>
  <c r="G143" i="18"/>
  <c r="F143" i="18"/>
  <c r="E143" i="18"/>
  <c r="D143" i="18"/>
  <c r="G142" i="18"/>
  <c r="F142" i="18"/>
  <c r="E142" i="18"/>
  <c r="D142" i="18"/>
  <c r="G141" i="18"/>
  <c r="F141" i="18"/>
  <c r="E141" i="18"/>
  <c r="D141" i="18"/>
  <c r="G10" i="19"/>
  <c r="G202" i="19" s="1"/>
  <c r="F10" i="19"/>
  <c r="F202" i="19" s="1"/>
  <c r="E10" i="19"/>
  <c r="E202" i="19" s="1"/>
  <c r="D10" i="19"/>
  <c r="D202" i="19" s="1"/>
  <c r="G9" i="19"/>
  <c r="G201" i="19" s="1"/>
  <c r="F9" i="19"/>
  <c r="F201" i="19" s="1"/>
  <c r="E9" i="19"/>
  <c r="E201" i="19" s="1"/>
  <c r="D9" i="19"/>
  <c r="D201" i="19" s="1"/>
  <c r="G8" i="19"/>
  <c r="G200" i="19" s="1"/>
  <c r="F8" i="19"/>
  <c r="F200" i="19" s="1"/>
  <c r="E8" i="19"/>
  <c r="E200" i="19" s="1"/>
  <c r="D8" i="19"/>
  <c r="D200" i="19" s="1"/>
  <c r="G7" i="19"/>
  <c r="G199" i="19" s="1"/>
  <c r="F7" i="19"/>
  <c r="F199" i="19" s="1"/>
  <c r="E7" i="19"/>
  <c r="E199" i="19" s="1"/>
  <c r="D7" i="19"/>
  <c r="D199" i="19" s="1"/>
  <c r="G11" i="18"/>
  <c r="G35" i="18" s="1"/>
  <c r="F11" i="18"/>
  <c r="F35" i="18" s="1"/>
  <c r="E11" i="18"/>
  <c r="E35" i="18" s="1"/>
  <c r="D11" i="18"/>
  <c r="D35" i="18" s="1"/>
  <c r="G10" i="18"/>
  <c r="G34" i="18" s="1"/>
  <c r="F10" i="18"/>
  <c r="F34" i="18" s="1"/>
  <c r="E10" i="18"/>
  <c r="E34" i="18" s="1"/>
  <c r="D10" i="18"/>
  <c r="D34" i="18" s="1"/>
  <c r="G9" i="18"/>
  <c r="G33" i="18" s="1"/>
  <c r="F9" i="18"/>
  <c r="F33" i="18" s="1"/>
  <c r="E9" i="18"/>
  <c r="E33" i="18" s="1"/>
  <c r="D9" i="18"/>
  <c r="D33" i="18" s="1"/>
  <c r="G8" i="18"/>
  <c r="G32" i="18" s="1"/>
  <c r="F8" i="18"/>
  <c r="F32" i="18" s="1"/>
  <c r="E8" i="18"/>
  <c r="E32" i="18" s="1"/>
  <c r="D8" i="18"/>
  <c r="D32" i="18" s="1"/>
  <c r="G7" i="18"/>
  <c r="G31" i="18" s="1"/>
  <c r="F7" i="18"/>
  <c r="F31" i="18" s="1"/>
  <c r="E7" i="18"/>
  <c r="E31" i="18" s="1"/>
  <c r="D7" i="18"/>
  <c r="D31" i="18" s="1"/>
  <c r="G161" i="21"/>
  <c r="F161" i="21"/>
  <c r="E161" i="21"/>
  <c r="D161" i="21"/>
  <c r="G160" i="21"/>
  <c r="F160" i="21"/>
  <c r="E160" i="21"/>
  <c r="D160" i="21"/>
  <c r="G159" i="21"/>
  <c r="F159" i="21"/>
  <c r="E159" i="21"/>
  <c r="D159" i="21"/>
  <c r="G158" i="21"/>
  <c r="F158" i="21"/>
  <c r="E158" i="21"/>
  <c r="D158" i="21"/>
  <c r="D91" i="19"/>
  <c r="D283" i="19" s="1"/>
  <c r="E258" i="21" l="1"/>
  <c r="D260" i="21"/>
  <c r="D261" i="21"/>
  <c r="D259" i="21"/>
  <c r="D263" i="21"/>
  <c r="D262" i="21"/>
  <c r="D264" i="21"/>
  <c r="F36" i="30"/>
  <c r="F94" i="30"/>
  <c r="F91" i="30"/>
  <c r="F49" i="30"/>
  <c r="F14" i="30"/>
  <c r="F77" i="30"/>
  <c r="F80" i="30"/>
  <c r="F55" i="30"/>
  <c r="F47" i="30"/>
  <c r="F84" i="30"/>
  <c r="F25" i="30"/>
  <c r="F60" i="30"/>
  <c r="F33" i="30"/>
  <c r="F51" i="30"/>
  <c r="F68" i="30"/>
  <c r="F85" i="30"/>
  <c r="F38" i="30"/>
  <c r="F22" i="30"/>
  <c r="F39" i="30"/>
  <c r="F56" i="30"/>
  <c r="F26" i="30"/>
  <c r="F12" i="30"/>
  <c r="F29" i="30"/>
  <c r="F50" i="30"/>
  <c r="F63" i="30"/>
  <c r="F81" i="30"/>
  <c r="F24" i="30"/>
  <c r="F90" i="30"/>
  <c r="F78" i="30"/>
  <c r="F57" i="30"/>
  <c r="F75" i="30"/>
  <c r="F92" i="30"/>
  <c r="F86" i="30"/>
  <c r="F19" i="30"/>
  <c r="F87" i="30"/>
  <c r="F73" i="30"/>
  <c r="F54" i="30"/>
  <c r="F43" i="30"/>
  <c r="F53" i="30"/>
  <c r="F11" i="30"/>
  <c r="F65" i="30"/>
  <c r="F83" i="30"/>
  <c r="F16" i="30"/>
  <c r="F62" i="30"/>
  <c r="F48" i="30"/>
  <c r="F31" i="30"/>
  <c r="F70" i="30"/>
  <c r="F88" i="30"/>
  <c r="F27" i="30"/>
  <c r="F44" i="30"/>
  <c r="F61" i="30"/>
  <c r="F15" i="30"/>
  <c r="F64" i="30"/>
  <c r="F58" i="30"/>
  <c r="F20" i="30"/>
  <c r="F37" i="30"/>
  <c r="F18" i="30"/>
  <c r="F89" i="30"/>
  <c r="F42" i="30"/>
  <c r="F13" i="30"/>
  <c r="F95" i="30"/>
  <c r="F71" i="30"/>
  <c r="F67" i="30"/>
  <c r="F34" i="30"/>
  <c r="F32" i="30"/>
  <c r="F40" i="30"/>
  <c r="F82" i="30"/>
  <c r="F21" i="30"/>
  <c r="F66" i="30"/>
  <c r="F79" i="30"/>
  <c r="F30" i="30"/>
  <c r="F46" i="30"/>
  <c r="F41" i="30"/>
  <c r="F59" i="30"/>
  <c r="F76" i="30"/>
  <c r="F93" i="30"/>
  <c r="F23" i="30"/>
  <c r="F17" i="30"/>
  <c r="F35" i="30"/>
  <c r="F52" i="30"/>
  <c r="F69" i="30"/>
  <c r="F72" i="30"/>
  <c r="F74" i="30"/>
  <c r="F28" i="30"/>
  <c r="F45" i="30"/>
  <c r="E95" i="19"/>
  <c r="E287" i="19" s="1"/>
  <c r="E23" i="29"/>
  <c r="F352" i="8"/>
  <c r="G288" i="8"/>
  <c r="F44" i="14"/>
  <c r="G296" i="8"/>
  <c r="F52" i="14"/>
  <c r="F40" i="19" s="1"/>
  <c r="F232" i="19" s="1"/>
  <c r="G338" i="8"/>
  <c r="F94" i="14"/>
  <c r="G277" i="8"/>
  <c r="F33" i="14"/>
  <c r="G322" i="8"/>
  <c r="F78" i="14"/>
  <c r="G335" i="8"/>
  <c r="F91" i="14"/>
  <c r="G286" i="8"/>
  <c r="F42" i="14"/>
  <c r="G302" i="8"/>
  <c r="F58" i="14"/>
  <c r="G297" i="8"/>
  <c r="F53" i="14"/>
  <c r="G315" i="8"/>
  <c r="F71" i="14"/>
  <c r="G332" i="8"/>
  <c r="F88" i="14"/>
  <c r="G349" i="8"/>
  <c r="F105" i="14"/>
  <c r="G279" i="8"/>
  <c r="F35" i="14"/>
  <c r="G273" i="8"/>
  <c r="F29" i="14"/>
  <c r="G291" i="8"/>
  <c r="F47" i="14"/>
  <c r="G308" i="8"/>
  <c r="F64" i="14"/>
  <c r="G325" i="8"/>
  <c r="F81" i="14"/>
  <c r="G328" i="8"/>
  <c r="F84" i="14"/>
  <c r="F72" i="19" s="1"/>
  <c r="F264" i="19" s="1"/>
  <c r="G330" i="8"/>
  <c r="F86" i="14"/>
  <c r="G284" i="8"/>
  <c r="F40" i="14"/>
  <c r="G301" i="8"/>
  <c r="F57" i="14"/>
  <c r="G336" i="8"/>
  <c r="F92" i="14"/>
  <c r="F80" i="19" s="1"/>
  <c r="F272" i="19" s="1"/>
  <c r="G275" i="8"/>
  <c r="F31" i="14"/>
  <c r="G292" i="8"/>
  <c r="F48" i="14"/>
  <c r="G309" i="8"/>
  <c r="F65" i="14"/>
  <c r="G327" i="8"/>
  <c r="F83" i="14"/>
  <c r="G343" i="8"/>
  <c r="F99" i="14"/>
  <c r="G350" i="8"/>
  <c r="F106" i="14"/>
  <c r="G311" i="8"/>
  <c r="F67" i="14"/>
  <c r="G329" i="8"/>
  <c r="F85" i="14"/>
  <c r="F73" i="19" s="1"/>
  <c r="F265" i="19" s="1"/>
  <c r="G347" i="8"/>
  <c r="F103" i="14"/>
  <c r="G290" i="8"/>
  <c r="F46" i="14"/>
  <c r="G303" i="8"/>
  <c r="F59" i="14"/>
  <c r="G310" i="8"/>
  <c r="F66" i="14"/>
  <c r="G305" i="8"/>
  <c r="F61" i="14"/>
  <c r="G323" i="8"/>
  <c r="F79" i="14"/>
  <c r="G340" i="8"/>
  <c r="F96" i="14"/>
  <c r="G270" i="8"/>
  <c r="F26" i="14"/>
  <c r="G281" i="8"/>
  <c r="F37" i="14"/>
  <c r="G299" i="8"/>
  <c r="F55" i="14"/>
  <c r="G316" i="8"/>
  <c r="F72" i="14"/>
  <c r="G333" i="8"/>
  <c r="F89" i="14"/>
  <c r="G289" i="8"/>
  <c r="F45" i="14"/>
  <c r="G307" i="8"/>
  <c r="F63" i="14"/>
  <c r="G324" i="8"/>
  <c r="F80" i="14"/>
  <c r="G341" i="8"/>
  <c r="F97" i="14"/>
  <c r="G294" i="8"/>
  <c r="F50" i="14"/>
  <c r="G278" i="8"/>
  <c r="F34" i="14"/>
  <c r="G295" i="8"/>
  <c r="F51" i="14"/>
  <c r="G312" i="8"/>
  <c r="F68" i="14"/>
  <c r="G282" i="8"/>
  <c r="F38" i="14"/>
  <c r="G268" i="8"/>
  <c r="F24" i="14"/>
  <c r="G285" i="8"/>
  <c r="F41" i="14"/>
  <c r="G306" i="8"/>
  <c r="F62" i="14"/>
  <c r="G319" i="8"/>
  <c r="F75" i="14"/>
  <c r="G337" i="8"/>
  <c r="F93" i="14"/>
  <c r="G280" i="8"/>
  <c r="F36" i="14"/>
  <c r="G346" i="8"/>
  <c r="F102" i="14"/>
  <c r="G334" i="8"/>
  <c r="F90" i="14"/>
  <c r="G313" i="8"/>
  <c r="F69" i="14"/>
  <c r="G331" i="8"/>
  <c r="F87" i="14"/>
  <c r="G348" i="8"/>
  <c r="F104" i="14"/>
  <c r="G342" i="8"/>
  <c r="F98" i="14"/>
  <c r="G321" i="8"/>
  <c r="F77" i="14"/>
  <c r="G339" i="8"/>
  <c r="F95" i="14"/>
  <c r="G272" i="8"/>
  <c r="F28" i="14"/>
  <c r="G318" i="8"/>
  <c r="F74" i="14"/>
  <c r="G304" i="8"/>
  <c r="F60" i="14"/>
  <c r="G287" i="8"/>
  <c r="F43" i="14"/>
  <c r="G326" i="8"/>
  <c r="F82" i="14"/>
  <c r="G344" i="8"/>
  <c r="F100" i="14"/>
  <c r="G283" i="8"/>
  <c r="F39" i="14"/>
  <c r="G300" i="8"/>
  <c r="F56" i="14"/>
  <c r="G317" i="8"/>
  <c r="F73" i="14"/>
  <c r="G271" i="8"/>
  <c r="F27" i="14"/>
  <c r="G320" i="8"/>
  <c r="F76" i="14"/>
  <c r="G314" i="8"/>
  <c r="F70" i="14"/>
  <c r="G276" i="8"/>
  <c r="F32" i="14"/>
  <c r="G293" i="8"/>
  <c r="F49" i="14"/>
  <c r="G274" i="8"/>
  <c r="F30" i="14"/>
  <c r="G345" i="8"/>
  <c r="F101" i="14"/>
  <c r="G298" i="8"/>
  <c r="F54" i="14"/>
  <c r="G269" i="8"/>
  <c r="F25" i="14"/>
  <c r="G351" i="8"/>
  <c r="F107" i="14"/>
  <c r="G267" i="8"/>
  <c r="F23" i="14"/>
  <c r="D23" i="19"/>
  <c r="D215" i="19" s="1"/>
  <c r="D35" i="19"/>
  <c r="D227" i="19" s="1"/>
  <c r="D47" i="19"/>
  <c r="D239" i="19" s="1"/>
  <c r="D59" i="19"/>
  <c r="D251" i="19" s="1"/>
  <c r="D71" i="19"/>
  <c r="D263" i="19" s="1"/>
  <c r="D83" i="19"/>
  <c r="D275" i="19" s="1"/>
  <c r="D95" i="19"/>
  <c r="D287" i="19" s="1"/>
  <c r="E15" i="19"/>
  <c r="E207" i="19" s="1"/>
  <c r="E27" i="19"/>
  <c r="E219" i="19" s="1"/>
  <c r="E39" i="19"/>
  <c r="E231" i="19" s="1"/>
  <c r="E51" i="19"/>
  <c r="E243" i="19" s="1"/>
  <c r="E63" i="19"/>
  <c r="E255" i="19" s="1"/>
  <c r="E75" i="19"/>
  <c r="E267" i="19" s="1"/>
  <c r="E87" i="19"/>
  <c r="E279" i="19" s="1"/>
  <c r="F157" i="21"/>
  <c r="D11" i="19"/>
  <c r="D203" i="19" s="1"/>
  <c r="D21" i="19"/>
  <c r="D213" i="19" s="1"/>
  <c r="D31" i="19"/>
  <c r="D223" i="19" s="1"/>
  <c r="D43" i="19"/>
  <c r="D235" i="19" s="1"/>
  <c r="D53" i="19"/>
  <c r="D245" i="19" s="1"/>
  <c r="D65" i="19"/>
  <c r="D257" i="19" s="1"/>
  <c r="D77" i="19"/>
  <c r="D269" i="19" s="1"/>
  <c r="D89" i="19"/>
  <c r="D281" i="19" s="1"/>
  <c r="D157" i="21"/>
  <c r="E19" i="19"/>
  <c r="E211" i="19" s="1"/>
  <c r="E31" i="19"/>
  <c r="E223" i="19" s="1"/>
  <c r="E43" i="19"/>
  <c r="E235" i="19" s="1"/>
  <c r="E55" i="19"/>
  <c r="E247" i="19" s="1"/>
  <c r="E65" i="19"/>
  <c r="E257" i="19" s="1"/>
  <c r="E77" i="19"/>
  <c r="E269" i="19" s="1"/>
  <c r="E89" i="19"/>
  <c r="E281" i="19" s="1"/>
  <c r="G157" i="21"/>
  <c r="D13" i="19"/>
  <c r="D205" i="19" s="1"/>
  <c r="D25" i="19"/>
  <c r="D217" i="19" s="1"/>
  <c r="D37" i="19"/>
  <c r="D229" i="19" s="1"/>
  <c r="D45" i="19"/>
  <c r="D237" i="19" s="1"/>
  <c r="D57" i="19"/>
  <c r="D249" i="19" s="1"/>
  <c r="D67" i="19"/>
  <c r="D259" i="19" s="1"/>
  <c r="D79" i="19"/>
  <c r="D271" i="19" s="1"/>
  <c r="D93" i="19"/>
  <c r="D285" i="19" s="1"/>
  <c r="E17" i="19"/>
  <c r="E209" i="19" s="1"/>
  <c r="E29" i="19"/>
  <c r="E221" i="19" s="1"/>
  <c r="E41" i="19"/>
  <c r="E233" i="19" s="1"/>
  <c r="E53" i="19"/>
  <c r="E245" i="19" s="1"/>
  <c r="E67" i="19"/>
  <c r="E259" i="19" s="1"/>
  <c r="E79" i="19"/>
  <c r="E271" i="19" s="1"/>
  <c r="E91" i="19"/>
  <c r="E283" i="19" s="1"/>
  <c r="E157" i="21"/>
  <c r="D12" i="19"/>
  <c r="D204" i="19" s="1"/>
  <c r="D14" i="19"/>
  <c r="D206" i="19" s="1"/>
  <c r="D16" i="19"/>
  <c r="D208" i="19" s="1"/>
  <c r="D18" i="19"/>
  <c r="D210" i="19" s="1"/>
  <c r="D20" i="19"/>
  <c r="D212" i="19" s="1"/>
  <c r="D22" i="19"/>
  <c r="D214" i="19" s="1"/>
  <c r="D24" i="19"/>
  <c r="D216" i="19" s="1"/>
  <c r="D26" i="19"/>
  <c r="D218" i="19" s="1"/>
  <c r="D28" i="19"/>
  <c r="D220" i="19" s="1"/>
  <c r="D30" i="19"/>
  <c r="D222" i="19" s="1"/>
  <c r="D32" i="19"/>
  <c r="D224" i="19" s="1"/>
  <c r="D34" i="19"/>
  <c r="D226" i="19" s="1"/>
  <c r="D36" i="19"/>
  <c r="D228" i="19" s="1"/>
  <c r="D38" i="19"/>
  <c r="D230" i="19" s="1"/>
  <c r="D40" i="19"/>
  <c r="D232" i="19" s="1"/>
  <c r="D42" i="19"/>
  <c r="D234" i="19" s="1"/>
  <c r="D44" i="19"/>
  <c r="D236" i="19" s="1"/>
  <c r="D46" i="19"/>
  <c r="D238" i="19" s="1"/>
  <c r="D48" i="19"/>
  <c r="D240" i="19" s="1"/>
  <c r="D50" i="19"/>
  <c r="D242" i="19" s="1"/>
  <c r="D52" i="19"/>
  <c r="D244" i="19" s="1"/>
  <c r="D54" i="19"/>
  <c r="D246" i="19" s="1"/>
  <c r="D56" i="19"/>
  <c r="D248" i="19" s="1"/>
  <c r="D58" i="19"/>
  <c r="D250" i="19" s="1"/>
  <c r="D60" i="19"/>
  <c r="D252" i="19" s="1"/>
  <c r="D62" i="19"/>
  <c r="D254" i="19" s="1"/>
  <c r="D64" i="19"/>
  <c r="D256" i="19" s="1"/>
  <c r="D66" i="19"/>
  <c r="D258" i="19" s="1"/>
  <c r="D68" i="19"/>
  <c r="D260" i="19" s="1"/>
  <c r="D70" i="19"/>
  <c r="D262" i="19" s="1"/>
  <c r="D72" i="19"/>
  <c r="D264" i="19" s="1"/>
  <c r="D74" i="19"/>
  <c r="D266" i="19" s="1"/>
  <c r="D76" i="19"/>
  <c r="D268" i="19" s="1"/>
  <c r="D78" i="19"/>
  <c r="D270" i="19" s="1"/>
  <c r="D80" i="19"/>
  <c r="D272" i="19" s="1"/>
  <c r="D82" i="19"/>
  <c r="D274" i="19" s="1"/>
  <c r="D84" i="19"/>
  <c r="D276" i="19" s="1"/>
  <c r="D86" i="19"/>
  <c r="D278" i="19" s="1"/>
  <c r="D88" i="19"/>
  <c r="D280" i="19" s="1"/>
  <c r="D90" i="19"/>
  <c r="D282" i="19" s="1"/>
  <c r="D92" i="19"/>
  <c r="D284" i="19" s="1"/>
  <c r="D94" i="19"/>
  <c r="D286" i="19" s="1"/>
  <c r="D15" i="19"/>
  <c r="D207" i="19" s="1"/>
  <c r="D27" i="19"/>
  <c r="D219" i="19" s="1"/>
  <c r="D39" i="19"/>
  <c r="D231" i="19" s="1"/>
  <c r="D51" i="19"/>
  <c r="D243" i="19" s="1"/>
  <c r="D63" i="19"/>
  <c r="D255" i="19" s="1"/>
  <c r="D75" i="19"/>
  <c r="D267" i="19" s="1"/>
  <c r="D85" i="19"/>
  <c r="D277" i="19" s="1"/>
  <c r="E23" i="19"/>
  <c r="E215" i="19" s="1"/>
  <c r="E35" i="19"/>
  <c r="E227" i="19" s="1"/>
  <c r="E47" i="19"/>
  <c r="E239" i="19" s="1"/>
  <c r="E59" i="19"/>
  <c r="E251" i="19" s="1"/>
  <c r="E69" i="19"/>
  <c r="E261" i="19" s="1"/>
  <c r="E81" i="19"/>
  <c r="E273" i="19" s="1"/>
  <c r="E93" i="19"/>
  <c r="E285" i="19" s="1"/>
  <c r="E12" i="19"/>
  <c r="E204" i="19" s="1"/>
  <c r="E14" i="19"/>
  <c r="E206" i="19" s="1"/>
  <c r="E16" i="19"/>
  <c r="E208" i="19" s="1"/>
  <c r="E18" i="19"/>
  <c r="E210" i="19" s="1"/>
  <c r="E20" i="19"/>
  <c r="E212" i="19" s="1"/>
  <c r="E22" i="19"/>
  <c r="E214" i="19" s="1"/>
  <c r="E24" i="19"/>
  <c r="E216" i="19" s="1"/>
  <c r="E26" i="19"/>
  <c r="E218" i="19" s="1"/>
  <c r="E28" i="19"/>
  <c r="E220" i="19" s="1"/>
  <c r="E30" i="19"/>
  <c r="E222" i="19" s="1"/>
  <c r="E32" i="19"/>
  <c r="E224" i="19" s="1"/>
  <c r="E34" i="19"/>
  <c r="E226" i="19" s="1"/>
  <c r="E36" i="19"/>
  <c r="E228" i="19" s="1"/>
  <c r="E38" i="19"/>
  <c r="E230" i="19" s="1"/>
  <c r="E40" i="19"/>
  <c r="E232" i="19" s="1"/>
  <c r="E42" i="19"/>
  <c r="E234" i="19" s="1"/>
  <c r="E44" i="19"/>
  <c r="E236" i="19" s="1"/>
  <c r="E46" i="19"/>
  <c r="E238" i="19" s="1"/>
  <c r="E48" i="19"/>
  <c r="E240" i="19" s="1"/>
  <c r="E50" i="19"/>
  <c r="E242" i="19" s="1"/>
  <c r="E52" i="19"/>
  <c r="E244" i="19" s="1"/>
  <c r="E54" i="19"/>
  <c r="E246" i="19" s="1"/>
  <c r="E56" i="19"/>
  <c r="E248" i="19" s="1"/>
  <c r="E58" i="19"/>
  <c r="E250" i="19" s="1"/>
  <c r="E60" i="19"/>
  <c r="E252" i="19" s="1"/>
  <c r="E62" i="19"/>
  <c r="E254" i="19" s="1"/>
  <c r="E64" i="19"/>
  <c r="E256" i="19" s="1"/>
  <c r="E66" i="19"/>
  <c r="E258" i="19" s="1"/>
  <c r="E68" i="19"/>
  <c r="E260" i="19" s="1"/>
  <c r="E70" i="19"/>
  <c r="E262" i="19" s="1"/>
  <c r="E72" i="19"/>
  <c r="E264" i="19" s="1"/>
  <c r="E74" i="19"/>
  <c r="E266" i="19" s="1"/>
  <c r="E76" i="19"/>
  <c r="E268" i="19" s="1"/>
  <c r="E78" i="19"/>
  <c r="E270" i="19" s="1"/>
  <c r="E80" i="19"/>
  <c r="E272" i="19" s="1"/>
  <c r="E82" i="19"/>
  <c r="E274" i="19" s="1"/>
  <c r="E84" i="19"/>
  <c r="E276" i="19" s="1"/>
  <c r="E86" i="19"/>
  <c r="E278" i="19" s="1"/>
  <c r="E88" i="19"/>
  <c r="E280" i="19" s="1"/>
  <c r="E90" i="19"/>
  <c r="E282" i="19" s="1"/>
  <c r="E92" i="19"/>
  <c r="E284" i="19" s="1"/>
  <c r="E94" i="19"/>
  <c r="E286" i="19" s="1"/>
  <c r="D19" i="19"/>
  <c r="D211" i="19" s="1"/>
  <c r="D33" i="19"/>
  <c r="D225" i="19" s="1"/>
  <c r="D49" i="19"/>
  <c r="D241" i="19" s="1"/>
  <c r="D61" i="19"/>
  <c r="D253" i="19" s="1"/>
  <c r="D73" i="19"/>
  <c r="D265" i="19" s="1"/>
  <c r="D87" i="19"/>
  <c r="D279" i="19" s="1"/>
  <c r="E13" i="19"/>
  <c r="E205" i="19" s="1"/>
  <c r="E25" i="19"/>
  <c r="E217" i="19" s="1"/>
  <c r="E37" i="19"/>
  <c r="E229" i="19" s="1"/>
  <c r="E49" i="19"/>
  <c r="E241" i="19" s="1"/>
  <c r="E61" i="19"/>
  <c r="E253" i="19" s="1"/>
  <c r="E73" i="19"/>
  <c r="E265" i="19" s="1"/>
  <c r="E85" i="19"/>
  <c r="E277" i="19" s="1"/>
  <c r="D17" i="19"/>
  <c r="D209" i="19" s="1"/>
  <c r="D29" i="19"/>
  <c r="D221" i="19" s="1"/>
  <c r="D41" i="19"/>
  <c r="D233" i="19" s="1"/>
  <c r="D55" i="19"/>
  <c r="D247" i="19" s="1"/>
  <c r="D69" i="19"/>
  <c r="D261" i="19" s="1"/>
  <c r="D81" i="19"/>
  <c r="D273" i="19" s="1"/>
  <c r="E11" i="19"/>
  <c r="E203" i="19" s="1"/>
  <c r="E21" i="19"/>
  <c r="E213" i="19" s="1"/>
  <c r="E33" i="19"/>
  <c r="E225" i="19" s="1"/>
  <c r="E45" i="19"/>
  <c r="E237" i="19" s="1"/>
  <c r="E57" i="19"/>
  <c r="E249" i="19" s="1"/>
  <c r="E71" i="19"/>
  <c r="E263" i="19" s="1"/>
  <c r="E83" i="19"/>
  <c r="E275" i="19" s="1"/>
  <c r="F258" i="21" l="1"/>
  <c r="F261" i="21" s="1"/>
  <c r="E263" i="21"/>
  <c r="E262" i="21"/>
  <c r="E261" i="21"/>
  <c r="E259" i="21"/>
  <c r="E264" i="21"/>
  <c r="E260" i="21"/>
  <c r="E517" i="19"/>
  <c r="E515" i="19"/>
  <c r="D517" i="19"/>
  <c r="D526" i="19"/>
  <c r="F520" i="19"/>
  <c r="D509" i="19"/>
  <c r="E524" i="19"/>
  <c r="D524" i="19"/>
  <c r="D501" i="19"/>
  <c r="D515" i="19"/>
  <c r="E526" i="19"/>
  <c r="E509" i="19"/>
  <c r="E501" i="19"/>
  <c r="E520" i="19"/>
  <c r="D520" i="19"/>
  <c r="G11" i="30"/>
  <c r="G49" i="14"/>
  <c r="G37" i="19" s="1"/>
  <c r="G229" i="19" s="1"/>
  <c r="G37" i="30"/>
  <c r="G100" i="14"/>
  <c r="G88" i="19" s="1"/>
  <c r="G280" i="19" s="1"/>
  <c r="G88" i="30"/>
  <c r="G98" i="14"/>
  <c r="G86" i="19" s="1"/>
  <c r="G278" i="19" s="1"/>
  <c r="G86" i="30"/>
  <c r="G38" i="14"/>
  <c r="G26" i="19" s="1"/>
  <c r="G218" i="19" s="1"/>
  <c r="G26" i="30"/>
  <c r="G45" i="14"/>
  <c r="G33" i="19" s="1"/>
  <c r="G225" i="19" s="1"/>
  <c r="G33" i="30"/>
  <c r="G103" i="14"/>
  <c r="G91" i="19" s="1"/>
  <c r="G283" i="19" s="1"/>
  <c r="G91" i="30"/>
  <c r="G94" i="14"/>
  <c r="G82" i="19" s="1"/>
  <c r="G274" i="19" s="1"/>
  <c r="G82" i="30"/>
  <c r="G25" i="14"/>
  <c r="G13" i="19" s="1"/>
  <c r="G205" i="19" s="1"/>
  <c r="G13" i="30"/>
  <c r="G27" i="14"/>
  <c r="G15" i="19" s="1"/>
  <c r="G207" i="19" s="1"/>
  <c r="G15" i="30"/>
  <c r="G74" i="14"/>
  <c r="G62" i="19" s="1"/>
  <c r="G254" i="19" s="1"/>
  <c r="G62" i="30"/>
  <c r="G75" i="14"/>
  <c r="G63" i="19" s="1"/>
  <c r="G255" i="19" s="1"/>
  <c r="G63" i="30"/>
  <c r="G50" i="14"/>
  <c r="G38" i="19" s="1"/>
  <c r="G230" i="19" s="1"/>
  <c r="G38" i="30"/>
  <c r="G37" i="14"/>
  <c r="G25" i="19" s="1"/>
  <c r="G217" i="19" s="1"/>
  <c r="G25" i="30"/>
  <c r="G61" i="14"/>
  <c r="G49" i="19" s="1"/>
  <c r="G241" i="19" s="1"/>
  <c r="G49" i="30"/>
  <c r="G99" i="14"/>
  <c r="G87" i="19" s="1"/>
  <c r="G279" i="19" s="1"/>
  <c r="G87" i="30"/>
  <c r="G31" i="14"/>
  <c r="G19" i="19" s="1"/>
  <c r="G211" i="19" s="1"/>
  <c r="G19" i="30"/>
  <c r="G86" i="14"/>
  <c r="G74" i="19" s="1"/>
  <c r="G266" i="19" s="1"/>
  <c r="G74" i="30"/>
  <c r="G47" i="14"/>
  <c r="G35" i="19" s="1"/>
  <c r="G227" i="19" s="1"/>
  <c r="G35" i="30"/>
  <c r="G88" i="14"/>
  <c r="G76" i="19" s="1"/>
  <c r="G268" i="19" s="1"/>
  <c r="G76" i="30"/>
  <c r="G54" i="14"/>
  <c r="G42" i="19" s="1"/>
  <c r="G234" i="19" s="1"/>
  <c r="G42" i="30"/>
  <c r="G32" i="14"/>
  <c r="G20" i="19" s="1"/>
  <c r="G212" i="19" s="1"/>
  <c r="G20" i="30"/>
  <c r="G73" i="14"/>
  <c r="G61" i="19" s="1"/>
  <c r="G253" i="19" s="1"/>
  <c r="G61" i="30"/>
  <c r="G82" i="14"/>
  <c r="G70" i="19" s="1"/>
  <c r="G262" i="19" s="1"/>
  <c r="G70" i="30"/>
  <c r="G28" i="14"/>
  <c r="G16" i="19" s="1"/>
  <c r="G208" i="19" s="1"/>
  <c r="G16" i="30"/>
  <c r="G104" i="14"/>
  <c r="G92" i="19" s="1"/>
  <c r="G284" i="19" s="1"/>
  <c r="G92" i="30"/>
  <c r="G102" i="14"/>
  <c r="G90" i="19" s="1"/>
  <c r="G282" i="19" s="1"/>
  <c r="G90" i="30"/>
  <c r="G62" i="14"/>
  <c r="G50" i="19" s="1"/>
  <c r="G242" i="19" s="1"/>
  <c r="G50" i="30"/>
  <c r="G68" i="14"/>
  <c r="G56" i="19" s="1"/>
  <c r="G248" i="19" s="1"/>
  <c r="G56" i="30"/>
  <c r="G97" i="14"/>
  <c r="G85" i="19" s="1"/>
  <c r="G277" i="19" s="1"/>
  <c r="G85" i="30"/>
  <c r="G89" i="14"/>
  <c r="G77" i="19" s="1"/>
  <c r="G269" i="19" s="1"/>
  <c r="G77" i="30"/>
  <c r="G26" i="14"/>
  <c r="G14" i="19" s="1"/>
  <c r="G206" i="19" s="1"/>
  <c r="G14" i="30"/>
  <c r="G66" i="14"/>
  <c r="G54" i="19" s="1"/>
  <c r="G246" i="19" s="1"/>
  <c r="G54" i="30"/>
  <c r="G85" i="14"/>
  <c r="G73" i="19" s="1"/>
  <c r="G265" i="19" s="1"/>
  <c r="G73" i="30"/>
  <c r="G83" i="14"/>
  <c r="G71" i="19" s="1"/>
  <c r="G263" i="19" s="1"/>
  <c r="G71" i="30"/>
  <c r="G92" i="14"/>
  <c r="G80" i="19" s="1"/>
  <c r="G272" i="19" s="1"/>
  <c r="G80" i="30"/>
  <c r="G84" i="14"/>
  <c r="G72" i="19" s="1"/>
  <c r="G264" i="19" s="1"/>
  <c r="G72" i="30"/>
  <c r="G29" i="14"/>
  <c r="G17" i="19" s="1"/>
  <c r="G209" i="19" s="1"/>
  <c r="G17" i="30"/>
  <c r="G71" i="14"/>
  <c r="G59" i="19" s="1"/>
  <c r="G251" i="19" s="1"/>
  <c r="G59" i="30"/>
  <c r="G91" i="14"/>
  <c r="G79" i="19" s="1"/>
  <c r="G271" i="19" s="1"/>
  <c r="G79" i="30"/>
  <c r="G52" i="14"/>
  <c r="G40" i="19" s="1"/>
  <c r="G232" i="19" s="1"/>
  <c r="G40" i="30"/>
  <c r="G101" i="14"/>
  <c r="G89" i="19" s="1"/>
  <c r="G281" i="19" s="1"/>
  <c r="G89" i="30"/>
  <c r="G70" i="14"/>
  <c r="G58" i="19" s="1"/>
  <c r="G250" i="19" s="1"/>
  <c r="G58" i="30"/>
  <c r="G56" i="14"/>
  <c r="G44" i="19" s="1"/>
  <c r="G236" i="19" s="1"/>
  <c r="G44" i="30"/>
  <c r="G43" i="14"/>
  <c r="G31" i="19" s="1"/>
  <c r="G223" i="19" s="1"/>
  <c r="G31" i="30"/>
  <c r="G95" i="14"/>
  <c r="G83" i="19" s="1"/>
  <c r="G275" i="19" s="1"/>
  <c r="G83" i="30"/>
  <c r="G87" i="14"/>
  <c r="G75" i="19" s="1"/>
  <c r="G267" i="19" s="1"/>
  <c r="G75" i="30"/>
  <c r="G36" i="14"/>
  <c r="G24" i="19" s="1"/>
  <c r="G216" i="19" s="1"/>
  <c r="G24" i="30"/>
  <c r="G41" i="14"/>
  <c r="G29" i="19" s="1"/>
  <c r="G221" i="19" s="1"/>
  <c r="G29" i="30"/>
  <c r="G51" i="14"/>
  <c r="G39" i="19" s="1"/>
  <c r="G231" i="19" s="1"/>
  <c r="G39" i="30"/>
  <c r="G80" i="14"/>
  <c r="G68" i="19" s="1"/>
  <c r="G260" i="19" s="1"/>
  <c r="G68" i="30"/>
  <c r="G72" i="14"/>
  <c r="G60" i="19" s="1"/>
  <c r="G252" i="19" s="1"/>
  <c r="G60" i="30"/>
  <c r="G96" i="14"/>
  <c r="G84" i="19" s="1"/>
  <c r="G276" i="19" s="1"/>
  <c r="G84" i="30"/>
  <c r="G59" i="14"/>
  <c r="G47" i="19" s="1"/>
  <c r="G239" i="19" s="1"/>
  <c r="G47" i="30"/>
  <c r="G67" i="14"/>
  <c r="G55" i="19" s="1"/>
  <c r="G247" i="19" s="1"/>
  <c r="G55" i="30"/>
  <c r="G65" i="14"/>
  <c r="G53" i="19" s="1"/>
  <c r="G245" i="19" s="1"/>
  <c r="G53" i="30"/>
  <c r="G57" i="14"/>
  <c r="G45" i="19" s="1"/>
  <c r="G237" i="19" s="1"/>
  <c r="G45" i="30"/>
  <c r="G81" i="14"/>
  <c r="G69" i="19" s="1"/>
  <c r="G261" i="19" s="1"/>
  <c r="G69" i="30"/>
  <c r="G35" i="14"/>
  <c r="G23" i="19" s="1"/>
  <c r="G215" i="19" s="1"/>
  <c r="G23" i="30"/>
  <c r="G53" i="14"/>
  <c r="G41" i="19" s="1"/>
  <c r="G233" i="19" s="1"/>
  <c r="G41" i="30"/>
  <c r="G78" i="14"/>
  <c r="G66" i="19" s="1"/>
  <c r="G258" i="19" s="1"/>
  <c r="G66" i="30"/>
  <c r="G44" i="14"/>
  <c r="G32" i="19" s="1"/>
  <c r="G224" i="19" s="1"/>
  <c r="G32" i="30"/>
  <c r="G90" i="14"/>
  <c r="G78" i="19" s="1"/>
  <c r="G270" i="19" s="1"/>
  <c r="G78" i="30"/>
  <c r="G42" i="14"/>
  <c r="G30" i="19" s="1"/>
  <c r="G222" i="19" s="1"/>
  <c r="G30" i="30"/>
  <c r="G107" i="14"/>
  <c r="G95" i="19" s="1"/>
  <c r="G287" i="19" s="1"/>
  <c r="G95" i="30"/>
  <c r="G30" i="14"/>
  <c r="G18" i="19" s="1"/>
  <c r="G210" i="19" s="1"/>
  <c r="G18" i="30"/>
  <c r="G76" i="14"/>
  <c r="G64" i="19" s="1"/>
  <c r="G256" i="19" s="1"/>
  <c r="G64" i="30"/>
  <c r="G39" i="14"/>
  <c r="G27" i="19" s="1"/>
  <c r="G219" i="19" s="1"/>
  <c r="G27" i="30"/>
  <c r="G60" i="14"/>
  <c r="G48" i="19" s="1"/>
  <c r="G240" i="19" s="1"/>
  <c r="G48" i="30"/>
  <c r="G77" i="14"/>
  <c r="G65" i="19" s="1"/>
  <c r="G257" i="19" s="1"/>
  <c r="G65" i="30"/>
  <c r="G69" i="14"/>
  <c r="G57" i="19" s="1"/>
  <c r="G249" i="19" s="1"/>
  <c r="G57" i="30"/>
  <c r="G93" i="14"/>
  <c r="G81" i="19" s="1"/>
  <c r="G273" i="19" s="1"/>
  <c r="G81" i="30"/>
  <c r="G24" i="14"/>
  <c r="G12" i="19" s="1"/>
  <c r="G204" i="19" s="1"/>
  <c r="G12" i="30"/>
  <c r="G34" i="14"/>
  <c r="G22" i="19" s="1"/>
  <c r="G214" i="19" s="1"/>
  <c r="G22" i="30"/>
  <c r="G63" i="14"/>
  <c r="G51" i="19" s="1"/>
  <c r="G243" i="19" s="1"/>
  <c r="G51" i="30"/>
  <c r="G55" i="14"/>
  <c r="G43" i="19" s="1"/>
  <c r="G235" i="19" s="1"/>
  <c r="G43" i="30"/>
  <c r="G79" i="14"/>
  <c r="G67" i="19" s="1"/>
  <c r="G259" i="19" s="1"/>
  <c r="G67" i="30"/>
  <c r="G46" i="14"/>
  <c r="G34" i="19" s="1"/>
  <c r="G226" i="19" s="1"/>
  <c r="G34" i="30"/>
  <c r="G106" i="14"/>
  <c r="G94" i="19" s="1"/>
  <c r="G286" i="19" s="1"/>
  <c r="G94" i="30"/>
  <c r="G48" i="14"/>
  <c r="G36" i="19" s="1"/>
  <c r="G228" i="19" s="1"/>
  <c r="G36" i="30"/>
  <c r="G40" i="14"/>
  <c r="G28" i="19" s="1"/>
  <c r="G220" i="19" s="1"/>
  <c r="G28" i="30"/>
  <c r="G64" i="14"/>
  <c r="G52" i="19" s="1"/>
  <c r="G244" i="19" s="1"/>
  <c r="G52" i="30"/>
  <c r="G105" i="14"/>
  <c r="G93" i="19" s="1"/>
  <c r="G285" i="19" s="1"/>
  <c r="G93" i="30"/>
  <c r="G58" i="14"/>
  <c r="G46" i="19" s="1"/>
  <c r="G238" i="19" s="1"/>
  <c r="G46" i="30"/>
  <c r="G33" i="14"/>
  <c r="G21" i="19" s="1"/>
  <c r="G213" i="19" s="1"/>
  <c r="G21" i="30"/>
  <c r="F23" i="19"/>
  <c r="F215" i="19" s="1"/>
  <c r="F32" i="19"/>
  <c r="F224" i="19" s="1"/>
  <c r="F69" i="19"/>
  <c r="F261" i="19" s="1"/>
  <c r="F55" i="19"/>
  <c r="F247" i="19" s="1"/>
  <c r="F24" i="19"/>
  <c r="F216" i="19" s="1"/>
  <c r="F47" i="19"/>
  <c r="F239" i="19" s="1"/>
  <c r="F68" i="19"/>
  <c r="F260" i="19" s="1"/>
  <c r="F45" i="19"/>
  <c r="F237" i="19" s="1"/>
  <c r="F66" i="19"/>
  <c r="F258" i="19" s="1"/>
  <c r="F41" i="19"/>
  <c r="F233" i="19" s="1"/>
  <c r="F53" i="19"/>
  <c r="F245" i="19" s="1"/>
  <c r="F60" i="19"/>
  <c r="F252" i="19" s="1"/>
  <c r="F75" i="19"/>
  <c r="F267" i="19" s="1"/>
  <c r="F39" i="19"/>
  <c r="F231" i="19" s="1"/>
  <c r="F84" i="19"/>
  <c r="F276" i="19" s="1"/>
  <c r="F29" i="19"/>
  <c r="F221" i="19" s="1"/>
  <c r="E19" i="29"/>
  <c r="F77" i="19"/>
  <c r="F269" i="19" s="1"/>
  <c r="F14" i="19"/>
  <c r="F206" i="19" s="1"/>
  <c r="F92" i="19"/>
  <c r="F284" i="19" s="1"/>
  <c r="F56" i="19"/>
  <c r="F248" i="19" s="1"/>
  <c r="F90" i="19"/>
  <c r="F282" i="19" s="1"/>
  <c r="F54" i="19"/>
  <c r="F246" i="19" s="1"/>
  <c r="F59" i="19"/>
  <c r="F251" i="19" s="1"/>
  <c r="F50" i="19"/>
  <c r="F242" i="19" s="1"/>
  <c r="E20" i="29"/>
  <c r="F70" i="19"/>
  <c r="F262" i="19" s="1"/>
  <c r="E21" i="29"/>
  <c r="F58" i="19"/>
  <c r="F250" i="19" s="1"/>
  <c r="E22" i="29"/>
  <c r="F43" i="19"/>
  <c r="F235" i="19" s="1"/>
  <c r="F67" i="19"/>
  <c r="F259" i="19" s="1"/>
  <c r="F34" i="19"/>
  <c r="F226" i="19" s="1"/>
  <c r="F94" i="19"/>
  <c r="F286" i="19" s="1"/>
  <c r="F36" i="19"/>
  <c r="F228" i="19" s="1"/>
  <c r="F28" i="19"/>
  <c r="F220" i="19" s="1"/>
  <c r="F52" i="19"/>
  <c r="F244" i="19" s="1"/>
  <c r="F93" i="19"/>
  <c r="F285" i="19" s="1"/>
  <c r="F46" i="19"/>
  <c r="F238" i="19" s="1"/>
  <c r="F21" i="19"/>
  <c r="F213" i="19" s="1"/>
  <c r="F13" i="19"/>
  <c r="F205" i="19" s="1"/>
  <c r="F37" i="19"/>
  <c r="F229" i="19" s="1"/>
  <c r="F15" i="19"/>
  <c r="F207" i="19" s="1"/>
  <c r="F88" i="19"/>
  <c r="F280" i="19" s="1"/>
  <c r="F62" i="19"/>
  <c r="F254" i="19" s="1"/>
  <c r="F57" i="19"/>
  <c r="F249" i="19" s="1"/>
  <c r="F71" i="19"/>
  <c r="F263" i="19" s="1"/>
  <c r="F42" i="19"/>
  <c r="F234" i="19" s="1"/>
  <c r="F20" i="19"/>
  <c r="F212" i="19" s="1"/>
  <c r="F61" i="19"/>
  <c r="F253" i="19" s="1"/>
  <c r="F16" i="19"/>
  <c r="F208" i="19" s="1"/>
  <c r="F81" i="19"/>
  <c r="F273" i="19" s="1"/>
  <c r="F86" i="19"/>
  <c r="F278" i="19" s="1"/>
  <c r="F38" i="19"/>
  <c r="F230" i="19" s="1"/>
  <c r="F76" i="19"/>
  <c r="F268" i="19" s="1"/>
  <c r="F12" i="19"/>
  <c r="F204" i="19" s="1"/>
  <c r="F25" i="19"/>
  <c r="F217" i="19" s="1"/>
  <c r="F87" i="19"/>
  <c r="F279" i="19" s="1"/>
  <c r="F35" i="19"/>
  <c r="F227" i="19" s="1"/>
  <c r="F30" i="19"/>
  <c r="F222" i="19" s="1"/>
  <c r="F11" i="19"/>
  <c r="F203" i="19" s="1"/>
  <c r="F89" i="19"/>
  <c r="F281" i="19" s="1"/>
  <c r="F44" i="19"/>
  <c r="F236" i="19" s="1"/>
  <c r="F31" i="19"/>
  <c r="F223" i="19" s="1"/>
  <c r="F83" i="19"/>
  <c r="F275" i="19" s="1"/>
  <c r="F26" i="19"/>
  <c r="F218" i="19" s="1"/>
  <c r="F49" i="19"/>
  <c r="F241" i="19" s="1"/>
  <c r="F19" i="19"/>
  <c r="F211" i="19" s="1"/>
  <c r="F85" i="19"/>
  <c r="F277" i="19" s="1"/>
  <c r="F17" i="19"/>
  <c r="F209" i="19" s="1"/>
  <c r="F22" i="19"/>
  <c r="F214" i="19" s="1"/>
  <c r="F78" i="19"/>
  <c r="F270" i="19" s="1"/>
  <c r="F33" i="19"/>
  <c r="F225" i="19" s="1"/>
  <c r="F91" i="19"/>
  <c r="F283" i="19" s="1"/>
  <c r="F74" i="19"/>
  <c r="F266" i="19" s="1"/>
  <c r="F82" i="19"/>
  <c r="F274" i="19" s="1"/>
  <c r="F79" i="19"/>
  <c r="F271" i="19" s="1"/>
  <c r="F95" i="19"/>
  <c r="F287" i="19" s="1"/>
  <c r="F18" i="19"/>
  <c r="F210" i="19" s="1"/>
  <c r="F64" i="19"/>
  <c r="F256" i="19" s="1"/>
  <c r="F27" i="19"/>
  <c r="F219" i="19" s="1"/>
  <c r="F48" i="19"/>
  <c r="F240" i="19" s="1"/>
  <c r="F65" i="19"/>
  <c r="F257" i="19" s="1"/>
  <c r="F51" i="19"/>
  <c r="F243" i="19" s="1"/>
  <c r="F63" i="19"/>
  <c r="F255" i="19" s="1"/>
  <c r="G352" i="8"/>
  <c r="G23" i="14"/>
  <c r="G258" i="21" l="1"/>
  <c r="G261" i="21" s="1"/>
  <c r="F259" i="21"/>
  <c r="F262" i="21"/>
  <c r="F264" i="21"/>
  <c r="F263" i="21"/>
  <c r="F260" i="21"/>
  <c r="G515" i="19"/>
  <c r="G517" i="19"/>
  <c r="F515" i="19"/>
  <c r="F517" i="19"/>
  <c r="F501" i="19"/>
  <c r="F524" i="19"/>
  <c r="F526" i="19"/>
  <c r="G501" i="19"/>
  <c r="G509" i="19"/>
  <c r="G520" i="19"/>
  <c r="F509" i="19"/>
  <c r="G526" i="19"/>
  <c r="G524" i="19"/>
  <c r="F19" i="29"/>
  <c r="F21" i="29"/>
  <c r="F20" i="29"/>
  <c r="F22" i="29"/>
  <c r="F23" i="29"/>
  <c r="G11" i="19"/>
  <c r="G203" i="19" s="1"/>
  <c r="G264" i="21" l="1"/>
  <c r="G259" i="21"/>
  <c r="G263" i="21"/>
  <c r="G262" i="21"/>
  <c r="G260" i="21"/>
  <c r="G22" i="29"/>
  <c r="G23" i="29"/>
  <c r="G21" i="29"/>
  <c r="G20" i="29"/>
  <c r="G19" i="29"/>
  <c r="G701" i="19"/>
  <c r="F701" i="19"/>
  <c r="E701" i="19"/>
  <c r="D701" i="19"/>
  <c r="G694" i="19"/>
  <c r="F694" i="19"/>
  <c r="E694" i="19"/>
  <c r="D694" i="19"/>
  <c r="G667" i="19"/>
  <c r="F667" i="19"/>
  <c r="E667" i="19"/>
  <c r="D667" i="19"/>
  <c r="G660" i="19"/>
  <c r="F660" i="19"/>
  <c r="E660" i="19"/>
  <c r="D660" i="19"/>
  <c r="G650" i="19"/>
  <c r="F650" i="19"/>
  <c r="E650" i="19"/>
  <c r="D650" i="19"/>
  <c r="G643" i="19"/>
  <c r="F643" i="19"/>
  <c r="E643" i="19"/>
  <c r="D643" i="19"/>
  <c r="G633" i="19"/>
  <c r="F633" i="19"/>
  <c r="E633" i="19"/>
  <c r="D633" i="19"/>
  <c r="G626" i="19"/>
  <c r="F626" i="19"/>
  <c r="E626" i="19"/>
  <c r="D626" i="19"/>
  <c r="G616" i="19"/>
  <c r="F616" i="19"/>
  <c r="E616" i="19"/>
  <c r="D616" i="19"/>
  <c r="G609" i="19"/>
  <c r="F609" i="19"/>
  <c r="E609" i="19"/>
  <c r="D609" i="19"/>
  <c r="G599" i="19"/>
  <c r="F599" i="19"/>
  <c r="E599" i="19"/>
  <c r="D599" i="19"/>
  <c r="G592" i="19"/>
  <c r="F592" i="19"/>
  <c r="E592" i="19"/>
  <c r="D592" i="19"/>
  <c r="G180" i="18"/>
  <c r="F180" i="18"/>
  <c r="E180" i="18"/>
  <c r="D180" i="18"/>
  <c r="G173" i="18"/>
  <c r="F173" i="18"/>
  <c r="E173" i="18"/>
  <c r="D173" i="18"/>
  <c r="G163" i="18"/>
  <c r="F163" i="18"/>
  <c r="E163" i="18"/>
  <c r="D163" i="18"/>
  <c r="G156" i="18"/>
  <c r="F156" i="18"/>
  <c r="E156" i="18"/>
  <c r="D156" i="18"/>
  <c r="G146" i="18"/>
  <c r="F146" i="18"/>
  <c r="E146" i="18"/>
  <c r="D146" i="18"/>
  <c r="G139" i="18"/>
  <c r="F139" i="18"/>
  <c r="E139" i="18"/>
  <c r="D139" i="18"/>
  <c r="G129" i="18"/>
  <c r="F129" i="18"/>
  <c r="E129" i="18"/>
  <c r="D129" i="18"/>
  <c r="G122" i="18"/>
  <c r="F122" i="18"/>
  <c r="E122" i="18"/>
  <c r="D122" i="18"/>
  <c r="G112" i="18"/>
  <c r="F112" i="18"/>
  <c r="E112" i="18"/>
  <c r="D112" i="18"/>
  <c r="G105" i="18"/>
  <c r="F105" i="18"/>
  <c r="E105" i="18"/>
  <c r="D105" i="18"/>
  <c r="G95" i="18"/>
  <c r="F95" i="18"/>
  <c r="E95" i="18"/>
  <c r="D95" i="18"/>
  <c r="G88" i="18"/>
  <c r="F88" i="18"/>
  <c r="E88" i="18"/>
  <c r="D88" i="18"/>
  <c r="G300" i="21" l="1"/>
  <c r="F300" i="21"/>
  <c r="E300" i="21"/>
  <c r="D300" i="21"/>
  <c r="G278" i="21"/>
  <c r="F278" i="21"/>
  <c r="E278" i="21"/>
  <c r="D278" i="21"/>
  <c r="G232" i="21"/>
  <c r="F232" i="21"/>
  <c r="E232" i="21"/>
  <c r="D232" i="21"/>
  <c r="G210" i="21"/>
  <c r="F210" i="21"/>
  <c r="E210" i="21"/>
  <c r="D210" i="21"/>
  <c r="G197" i="21"/>
  <c r="F197" i="21"/>
  <c r="E197" i="21"/>
  <c r="D197" i="21"/>
  <c r="G175" i="21"/>
  <c r="F175" i="21"/>
  <c r="E175" i="21"/>
  <c r="D175" i="21"/>
  <c r="G163" i="21"/>
  <c r="F163" i="21"/>
  <c r="E163" i="21"/>
  <c r="D163" i="21"/>
  <c r="G141" i="21"/>
  <c r="F141" i="21"/>
  <c r="E141" i="21"/>
  <c r="D141" i="21"/>
  <c r="G129" i="21"/>
  <c r="F129" i="21"/>
  <c r="E129" i="21"/>
  <c r="D129" i="21"/>
  <c r="G107" i="21"/>
  <c r="F107" i="21"/>
  <c r="E107" i="21"/>
  <c r="D107" i="21"/>
  <c r="G95" i="21"/>
  <c r="F95" i="21"/>
  <c r="E95" i="21"/>
  <c r="D95" i="21"/>
  <c r="G73" i="21"/>
  <c r="F73" i="21"/>
  <c r="E73" i="21"/>
  <c r="D73" i="21"/>
  <c r="G61" i="21"/>
  <c r="F61" i="21"/>
  <c r="E61" i="21"/>
  <c r="D61" i="21"/>
  <c r="G39" i="21"/>
  <c r="F39" i="21"/>
  <c r="E39" i="21"/>
  <c r="D39" i="21"/>
  <c r="G27" i="21"/>
  <c r="F27" i="21"/>
  <c r="E27" i="21"/>
  <c r="D27" i="21"/>
  <c r="G5" i="21"/>
  <c r="F5" i="21"/>
  <c r="E5" i="21"/>
  <c r="D5" i="21"/>
  <c r="G211" i="20" l="1"/>
  <c r="F211" i="20"/>
  <c r="E211" i="20"/>
  <c r="D211" i="20"/>
  <c r="G195" i="20"/>
  <c r="F195" i="20"/>
  <c r="E195" i="20"/>
  <c r="D195" i="20"/>
  <c r="G184" i="20"/>
  <c r="F184" i="20"/>
  <c r="E184" i="20"/>
  <c r="D184" i="20"/>
  <c r="G168" i="20"/>
  <c r="F168" i="20"/>
  <c r="E168" i="20"/>
  <c r="D168" i="20"/>
  <c r="G156" i="20"/>
  <c r="F156" i="20"/>
  <c r="E156" i="20"/>
  <c r="D156" i="20"/>
  <c r="G140" i="20"/>
  <c r="F140" i="20"/>
  <c r="E140" i="20"/>
  <c r="D140" i="20"/>
  <c r="G129" i="20"/>
  <c r="F129" i="20"/>
  <c r="E129" i="20"/>
  <c r="D129" i="20"/>
  <c r="G113" i="20"/>
  <c r="F113" i="20"/>
  <c r="E113" i="20"/>
  <c r="D113" i="20"/>
  <c r="D21" i="20"/>
  <c r="E21" i="20"/>
  <c r="F21" i="20"/>
  <c r="G21" i="20"/>
  <c r="G102" i="20"/>
  <c r="F102" i="20"/>
  <c r="E102" i="20"/>
  <c r="D102" i="20"/>
  <c r="G86" i="20"/>
  <c r="F86" i="20"/>
  <c r="E86" i="20"/>
  <c r="D86" i="20"/>
  <c r="G75" i="20"/>
  <c r="F75" i="20"/>
  <c r="E75" i="20"/>
  <c r="D75" i="20"/>
  <c r="G59" i="20"/>
  <c r="F59" i="20"/>
  <c r="E59" i="20"/>
  <c r="D59" i="20"/>
  <c r="G48" i="20"/>
  <c r="F48" i="20"/>
  <c r="E48" i="20"/>
  <c r="D48" i="20"/>
  <c r="G32" i="20"/>
  <c r="F32" i="20"/>
  <c r="E32" i="20"/>
  <c r="D32" i="20"/>
  <c r="G5" i="20"/>
  <c r="F5" i="20"/>
  <c r="E5" i="20"/>
  <c r="D5" i="20"/>
  <c r="G581" i="19" l="1"/>
  <c r="F581" i="19"/>
  <c r="E581" i="19"/>
  <c r="D581" i="19"/>
  <c r="G485" i="19"/>
  <c r="F485" i="19"/>
  <c r="E485" i="19"/>
  <c r="D485" i="19"/>
  <c r="G389" i="19"/>
  <c r="F389" i="19"/>
  <c r="E389" i="19"/>
  <c r="D389" i="19"/>
  <c r="G293" i="19"/>
  <c r="F293" i="19"/>
  <c r="E293" i="19"/>
  <c r="D293" i="19"/>
  <c r="G77" i="18"/>
  <c r="F77" i="18"/>
  <c r="E77" i="18"/>
  <c r="D77" i="18"/>
  <c r="G65" i="18"/>
  <c r="F65" i="18"/>
  <c r="E65" i="18"/>
  <c r="D65" i="18"/>
  <c r="G53" i="18"/>
  <c r="F53" i="18"/>
  <c r="E53" i="18"/>
  <c r="D53" i="18"/>
  <c r="G197" i="19" l="1"/>
  <c r="F197" i="19"/>
  <c r="E197" i="19"/>
  <c r="D197" i="19"/>
  <c r="C191" i="19"/>
  <c r="B191" i="19"/>
  <c r="C190" i="19"/>
  <c r="B190" i="19"/>
  <c r="C189" i="19"/>
  <c r="B189" i="19"/>
  <c r="C188" i="19"/>
  <c r="B188" i="19"/>
  <c r="C187" i="19"/>
  <c r="B187" i="19"/>
  <c r="C186" i="19"/>
  <c r="B186" i="19"/>
  <c r="C185" i="19"/>
  <c r="B185" i="19"/>
  <c r="C184" i="19"/>
  <c r="B184" i="19"/>
  <c r="C183" i="19"/>
  <c r="B183" i="19"/>
  <c r="C182" i="19"/>
  <c r="B182" i="19"/>
  <c r="C181" i="19"/>
  <c r="B181" i="19"/>
  <c r="C180" i="19"/>
  <c r="B180" i="19"/>
  <c r="C179" i="19"/>
  <c r="B179" i="19"/>
  <c r="C178" i="19"/>
  <c r="B178" i="19"/>
  <c r="C177" i="19"/>
  <c r="B177" i="19"/>
  <c r="C176" i="19"/>
  <c r="B176" i="19"/>
  <c r="C175" i="19"/>
  <c r="B175" i="19"/>
  <c r="C174" i="19"/>
  <c r="B174" i="19"/>
  <c r="C173" i="19"/>
  <c r="B173" i="19"/>
  <c r="C172" i="19"/>
  <c r="B172" i="19"/>
  <c r="C171" i="19"/>
  <c r="B171" i="19"/>
  <c r="C170" i="19"/>
  <c r="B170" i="19"/>
  <c r="C169" i="19"/>
  <c r="B169" i="19"/>
  <c r="C168" i="19"/>
  <c r="B168" i="19"/>
  <c r="C167" i="19"/>
  <c r="B167" i="19"/>
  <c r="C166" i="19"/>
  <c r="B166" i="19"/>
  <c r="C165" i="19"/>
  <c r="B165" i="19"/>
  <c r="C164" i="19"/>
  <c r="B164" i="19"/>
  <c r="C163" i="19"/>
  <c r="B163" i="19"/>
  <c r="C162" i="19"/>
  <c r="B162" i="19"/>
  <c r="C161" i="19"/>
  <c r="B161" i="19"/>
  <c r="C160" i="19"/>
  <c r="B160" i="19"/>
  <c r="C159" i="19"/>
  <c r="B159" i="19"/>
  <c r="C158" i="19"/>
  <c r="B158" i="19"/>
  <c r="C157" i="19"/>
  <c r="B157" i="19"/>
  <c r="C156" i="19"/>
  <c r="B156" i="19"/>
  <c r="C155" i="19"/>
  <c r="B155" i="19"/>
  <c r="C154" i="19"/>
  <c r="B154" i="19"/>
  <c r="C153" i="19"/>
  <c r="B153" i="19"/>
  <c r="C152" i="19"/>
  <c r="B152" i="19"/>
  <c r="C151" i="19"/>
  <c r="B151" i="19"/>
  <c r="C150" i="19"/>
  <c r="B150" i="19"/>
  <c r="C149" i="19"/>
  <c r="B149" i="19"/>
  <c r="C148" i="19"/>
  <c r="B148" i="19"/>
  <c r="C147" i="19"/>
  <c r="B147" i="19"/>
  <c r="C146" i="19"/>
  <c r="B146" i="19"/>
  <c r="C145" i="19"/>
  <c r="B145" i="19"/>
  <c r="C144" i="19"/>
  <c r="B144" i="19"/>
  <c r="C143" i="19"/>
  <c r="B143" i="19"/>
  <c r="C142" i="19"/>
  <c r="B142" i="19"/>
  <c r="C141" i="19"/>
  <c r="B141" i="19"/>
  <c r="C140" i="19"/>
  <c r="B140" i="19"/>
  <c r="C139" i="19"/>
  <c r="B139" i="19"/>
  <c r="C138" i="19"/>
  <c r="B138" i="19"/>
  <c r="C137" i="19"/>
  <c r="B137" i="19"/>
  <c r="C136" i="19"/>
  <c r="B136" i="19"/>
  <c r="C135" i="19"/>
  <c r="B135" i="19"/>
  <c r="C134" i="19"/>
  <c r="B134" i="19"/>
  <c r="C133" i="19"/>
  <c r="B133" i="19"/>
  <c r="C132" i="19"/>
  <c r="B132" i="19"/>
  <c r="C131" i="19"/>
  <c r="B131" i="19"/>
  <c r="C130" i="19"/>
  <c r="B130" i="19"/>
  <c r="C129" i="19"/>
  <c r="B129" i="19"/>
  <c r="C128" i="19"/>
  <c r="B128" i="19"/>
  <c r="C127" i="19"/>
  <c r="B127" i="19"/>
  <c r="C126" i="19"/>
  <c r="B126" i="19"/>
  <c r="C125" i="19"/>
  <c r="B125" i="19"/>
  <c r="C124" i="19"/>
  <c r="B124" i="19"/>
  <c r="C123" i="19"/>
  <c r="B123" i="19"/>
  <c r="C122" i="19"/>
  <c r="B122" i="19"/>
  <c r="C121" i="19"/>
  <c r="B121" i="19"/>
  <c r="C120" i="19"/>
  <c r="B120" i="19"/>
  <c r="C119" i="19"/>
  <c r="B119" i="19"/>
  <c r="C118" i="19"/>
  <c r="B118" i="19"/>
  <c r="C117" i="19"/>
  <c r="B117" i="19"/>
  <c r="C116" i="19"/>
  <c r="B116" i="19"/>
  <c r="C115" i="19"/>
  <c r="B115" i="19"/>
  <c r="C114" i="19"/>
  <c r="B114" i="19"/>
  <c r="C113" i="19"/>
  <c r="B113" i="19"/>
  <c r="C112" i="19"/>
  <c r="B112" i="19"/>
  <c r="C111" i="19"/>
  <c r="B111" i="19"/>
  <c r="C110" i="19"/>
  <c r="B110" i="19"/>
  <c r="C109" i="19"/>
  <c r="B109" i="19"/>
  <c r="C108" i="19"/>
  <c r="B108" i="19"/>
  <c r="C107" i="19"/>
  <c r="B107" i="19"/>
  <c r="C106" i="19"/>
  <c r="B106" i="19"/>
  <c r="C105" i="19"/>
  <c r="B105" i="19"/>
  <c r="C104" i="19"/>
  <c r="B104" i="19"/>
  <c r="C103" i="19"/>
  <c r="B103" i="19"/>
  <c r="G101" i="19"/>
  <c r="F101" i="19"/>
  <c r="E101" i="19"/>
  <c r="D101" i="19"/>
  <c r="G5" i="19"/>
  <c r="F5" i="19"/>
  <c r="E5" i="19"/>
  <c r="D5" i="19"/>
  <c r="G41" i="18" l="1"/>
  <c r="F41" i="18"/>
  <c r="E41" i="18"/>
  <c r="D41" i="18"/>
  <c r="G29" i="18"/>
  <c r="F29" i="18"/>
  <c r="E29" i="18"/>
  <c r="D29" i="18"/>
  <c r="G17" i="18"/>
  <c r="F17" i="18"/>
  <c r="E17" i="18"/>
  <c r="D17" i="18"/>
  <c r="G5" i="18"/>
  <c r="F5" i="18"/>
  <c r="E5" i="18"/>
  <c r="D5" i="18"/>
  <c r="B92" i="13" l="1"/>
  <c r="B93"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C4" i="13" a="1"/>
  <c r="C4" i="13" s="1"/>
  <c r="B5" i="13"/>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I7" i="6"/>
  <c r="H7" i="6"/>
  <c r="G7"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K5" i="6"/>
  <c r="J5" i="6"/>
  <c r="I5" i="6"/>
  <c r="H5" i="6"/>
  <c r="G5" i="6"/>
  <c r="C21" i="6"/>
  <c r="B22" i="6"/>
  <c r="B13" i="6"/>
  <c r="C12" i="6"/>
  <c r="C4" i="6" a="1"/>
  <c r="E4" i="6" s="1"/>
  <c r="E22" i="6" s="1"/>
  <c r="B9" i="6"/>
  <c r="B27" i="6" s="1"/>
  <c r="B8" i="6"/>
  <c r="B17" i="6" s="1"/>
  <c r="B7" i="6"/>
  <c r="B6" i="6"/>
  <c r="B5" i="6"/>
  <c r="B14" i="6" s="1"/>
  <c r="G17" i="14"/>
  <c r="F17" i="14"/>
  <c r="E17" i="14"/>
  <c r="D17" i="14"/>
  <c r="G5" i="14"/>
  <c r="F5" i="14"/>
  <c r="E5" i="14"/>
  <c r="D5" i="14"/>
  <c r="B18" i="6" l="1"/>
  <c r="B168" i="13"/>
  <c r="B261" i="13"/>
  <c r="B152" i="13"/>
  <c r="B245" i="13"/>
  <c r="B112" i="13"/>
  <c r="B205" i="13"/>
  <c r="B23" i="6"/>
  <c r="B183" i="13"/>
  <c r="B276" i="13"/>
  <c r="B175" i="13"/>
  <c r="B268" i="13"/>
  <c r="B167" i="13"/>
  <c r="B260" i="13"/>
  <c r="B159" i="13"/>
  <c r="B252" i="13"/>
  <c r="B151" i="13"/>
  <c r="B244" i="13"/>
  <c r="B143" i="13"/>
  <c r="B236" i="13"/>
  <c r="B135" i="13"/>
  <c r="B228" i="13"/>
  <c r="B127" i="13"/>
  <c r="B220" i="13"/>
  <c r="B119" i="13"/>
  <c r="B212" i="13"/>
  <c r="B111" i="13"/>
  <c r="B204" i="13"/>
  <c r="B103" i="13"/>
  <c r="B196" i="13"/>
  <c r="B184" i="13"/>
  <c r="B277" i="13"/>
  <c r="B160" i="13"/>
  <c r="B253" i="13"/>
  <c r="B144" i="13"/>
  <c r="B237" i="13"/>
  <c r="B104" i="13"/>
  <c r="B197" i="13"/>
  <c r="B182" i="13"/>
  <c r="B275" i="13"/>
  <c r="B174" i="13"/>
  <c r="B267" i="13"/>
  <c r="B166" i="13"/>
  <c r="B259" i="13"/>
  <c r="B158" i="13"/>
  <c r="B251" i="13"/>
  <c r="B150" i="13"/>
  <c r="B243" i="13"/>
  <c r="B142" i="13"/>
  <c r="B235" i="13"/>
  <c r="B134" i="13"/>
  <c r="B227" i="13"/>
  <c r="B126" i="13"/>
  <c r="B219" i="13"/>
  <c r="B118" i="13"/>
  <c r="B211" i="13"/>
  <c r="B110" i="13"/>
  <c r="B203" i="13"/>
  <c r="B102" i="13"/>
  <c r="B195" i="13"/>
  <c r="B181" i="13"/>
  <c r="B274" i="13"/>
  <c r="B266" i="13"/>
  <c r="B173" i="13"/>
  <c r="B165" i="13"/>
  <c r="B258" i="13"/>
  <c r="B250" i="13"/>
  <c r="B157" i="13"/>
  <c r="B149" i="13"/>
  <c r="B242" i="13"/>
  <c r="B234" i="13"/>
  <c r="B141" i="13"/>
  <c r="B226" i="13"/>
  <c r="B133" i="13"/>
  <c r="B125" i="13"/>
  <c r="B218" i="13"/>
  <c r="B117" i="13"/>
  <c r="B210" i="13"/>
  <c r="B202" i="13"/>
  <c r="B109" i="13"/>
  <c r="B101" i="13"/>
  <c r="B194" i="13"/>
  <c r="B128" i="13"/>
  <c r="B221" i="13"/>
  <c r="E13" i="6"/>
  <c r="B273" i="13"/>
  <c r="B180" i="13"/>
  <c r="B265" i="13"/>
  <c r="B172" i="13"/>
  <c r="B257" i="13"/>
  <c r="B164" i="13"/>
  <c r="B249" i="13"/>
  <c r="B156" i="13"/>
  <c r="B241" i="13"/>
  <c r="B148" i="13"/>
  <c r="B233" i="13"/>
  <c r="B140" i="13"/>
  <c r="B225" i="13"/>
  <c r="B132" i="13"/>
  <c r="B217" i="13"/>
  <c r="B124" i="13"/>
  <c r="B209" i="13"/>
  <c r="B116" i="13"/>
  <c r="B201" i="13"/>
  <c r="B108" i="13"/>
  <c r="B193" i="13"/>
  <c r="B100" i="13"/>
  <c r="B136" i="13"/>
  <c r="B229" i="13"/>
  <c r="B179" i="13"/>
  <c r="B272" i="13"/>
  <c r="B171" i="13"/>
  <c r="B264" i="13"/>
  <c r="B163" i="13"/>
  <c r="B256" i="13"/>
  <c r="B155" i="13"/>
  <c r="B248" i="13"/>
  <c r="B147" i="13"/>
  <c r="B240" i="13"/>
  <c r="B139" i="13"/>
  <c r="B232" i="13"/>
  <c r="B131" i="13"/>
  <c r="B224" i="13"/>
  <c r="B123" i="13"/>
  <c r="B216" i="13"/>
  <c r="B115" i="13"/>
  <c r="B208" i="13"/>
  <c r="B107" i="13"/>
  <c r="B200" i="13"/>
  <c r="B99" i="13"/>
  <c r="B192" i="13"/>
  <c r="B176" i="13"/>
  <c r="B269" i="13"/>
  <c r="B120" i="13"/>
  <c r="B213" i="13"/>
  <c r="B98" i="13"/>
  <c r="B191" i="13"/>
  <c r="B178" i="13"/>
  <c r="B271" i="13"/>
  <c r="B170" i="13"/>
  <c r="B263" i="13"/>
  <c r="B162" i="13"/>
  <c r="B255" i="13"/>
  <c r="B154" i="13"/>
  <c r="B247" i="13"/>
  <c r="B146" i="13"/>
  <c r="B239" i="13"/>
  <c r="B138" i="13"/>
  <c r="B231" i="13"/>
  <c r="B130" i="13"/>
  <c r="B223" i="13"/>
  <c r="B122" i="13"/>
  <c r="B215" i="13"/>
  <c r="B114" i="13"/>
  <c r="B207" i="13"/>
  <c r="B106" i="13"/>
  <c r="B199" i="13"/>
  <c r="B186" i="13"/>
  <c r="B279" i="13"/>
  <c r="C97" i="13"/>
  <c r="C190" i="13"/>
  <c r="B177" i="13"/>
  <c r="B270" i="13"/>
  <c r="B169" i="13"/>
  <c r="B262" i="13"/>
  <c r="B161" i="13"/>
  <c r="B254" i="13"/>
  <c r="B153" i="13"/>
  <c r="B246" i="13"/>
  <c r="B145" i="13"/>
  <c r="B238" i="13"/>
  <c r="B137" i="13"/>
  <c r="B230" i="13"/>
  <c r="B129" i="13"/>
  <c r="B222" i="13"/>
  <c r="B121" i="13"/>
  <c r="B214" i="13"/>
  <c r="B113" i="13"/>
  <c r="B206" i="13"/>
  <c r="B105" i="13"/>
  <c r="B198" i="13"/>
  <c r="B185" i="13"/>
  <c r="B278" i="13"/>
  <c r="C5" i="13" a="1"/>
  <c r="C91" i="13" s="1"/>
  <c r="C98" i="13" a="1"/>
  <c r="E5" i="13" a="1"/>
  <c r="E48" i="13" s="1"/>
  <c r="E98" i="13" a="1"/>
  <c r="G98" i="13" a="1"/>
  <c r="D5" i="13" a="1"/>
  <c r="D9" i="13" s="1"/>
  <c r="D98" i="13" a="1"/>
  <c r="F5" i="13" a="1"/>
  <c r="F5" i="13" s="1"/>
  <c r="F98" i="13" a="1"/>
  <c r="F354" i="19"/>
  <c r="D354" i="19"/>
  <c r="E354" i="19"/>
  <c r="G354" i="19"/>
  <c r="F299" i="19"/>
  <c r="D299" i="19"/>
  <c r="G299" i="19"/>
  <c r="E299" i="19"/>
  <c r="G307" i="19"/>
  <c r="E307" i="19"/>
  <c r="F307" i="19"/>
  <c r="D307" i="19"/>
  <c r="E315" i="19"/>
  <c r="D315" i="19"/>
  <c r="G315" i="19"/>
  <c r="F315" i="19"/>
  <c r="E323" i="19"/>
  <c r="G323" i="19"/>
  <c r="D323" i="19"/>
  <c r="F323" i="19"/>
  <c r="F331" i="19"/>
  <c r="D331" i="19"/>
  <c r="G331" i="19"/>
  <c r="E331" i="19"/>
  <c r="G339" i="19"/>
  <c r="F339" i="19"/>
  <c r="E339" i="19"/>
  <c r="D339" i="19"/>
  <c r="G347" i="19"/>
  <c r="E347" i="19"/>
  <c r="D347" i="19"/>
  <c r="F347" i="19"/>
  <c r="D355" i="19"/>
  <c r="G355" i="19"/>
  <c r="E355" i="19"/>
  <c r="F355" i="19"/>
  <c r="E363" i="19"/>
  <c r="G363" i="19"/>
  <c r="F363" i="19"/>
  <c r="D363" i="19"/>
  <c r="E371" i="19"/>
  <c r="G371" i="19"/>
  <c r="D371" i="19"/>
  <c r="F371" i="19"/>
  <c r="E379" i="19"/>
  <c r="D379" i="19"/>
  <c r="G379" i="19"/>
  <c r="F379" i="19"/>
  <c r="D346" i="19"/>
  <c r="E346" i="19"/>
  <c r="G346" i="19"/>
  <c r="F346" i="19"/>
  <c r="D378" i="19"/>
  <c r="F378" i="19"/>
  <c r="E378" i="19"/>
  <c r="G378" i="19"/>
  <c r="G300" i="19"/>
  <c r="F300" i="19"/>
  <c r="E300" i="19"/>
  <c r="D300" i="19"/>
  <c r="F308" i="19"/>
  <c r="E308" i="19"/>
  <c r="D308" i="19"/>
  <c r="G308" i="19"/>
  <c r="E316" i="19"/>
  <c r="G316" i="19"/>
  <c r="D316" i="19"/>
  <c r="F316" i="19"/>
  <c r="F324" i="19"/>
  <c r="G324" i="19"/>
  <c r="D324" i="19"/>
  <c r="E324" i="19"/>
  <c r="G332" i="19"/>
  <c r="D332" i="19"/>
  <c r="F332" i="19"/>
  <c r="E332" i="19"/>
  <c r="E340" i="19"/>
  <c r="F340" i="19"/>
  <c r="D340" i="19"/>
  <c r="G340" i="19"/>
  <c r="E348" i="19"/>
  <c r="D348" i="19"/>
  <c r="G348" i="19"/>
  <c r="F348" i="19"/>
  <c r="D356" i="19"/>
  <c r="G356" i="19"/>
  <c r="F356" i="19"/>
  <c r="E356" i="19"/>
  <c r="G364" i="19"/>
  <c r="F364" i="19"/>
  <c r="D364" i="19"/>
  <c r="E364" i="19"/>
  <c r="E372" i="19"/>
  <c r="D372" i="19"/>
  <c r="F372" i="19"/>
  <c r="G372" i="19"/>
  <c r="F380" i="19"/>
  <c r="E380" i="19"/>
  <c r="G380" i="19"/>
  <c r="D380" i="19"/>
  <c r="F322" i="19"/>
  <c r="G322" i="19"/>
  <c r="E322" i="19"/>
  <c r="D322" i="19"/>
  <c r="F301" i="19"/>
  <c r="D301" i="19"/>
  <c r="E301" i="19"/>
  <c r="G301" i="19"/>
  <c r="G309" i="19"/>
  <c r="E309" i="19"/>
  <c r="D309" i="19"/>
  <c r="F309" i="19"/>
  <c r="D317" i="19"/>
  <c r="E317" i="19"/>
  <c r="F317" i="19"/>
  <c r="G317" i="19"/>
  <c r="E325" i="19"/>
  <c r="G325" i="19"/>
  <c r="F325" i="19"/>
  <c r="D325" i="19"/>
  <c r="F333" i="19"/>
  <c r="D333" i="19"/>
  <c r="G333" i="19"/>
  <c r="E333" i="19"/>
  <c r="G341" i="19"/>
  <c r="F341" i="19"/>
  <c r="E341" i="19"/>
  <c r="D341" i="19"/>
  <c r="D349" i="19"/>
  <c r="E349" i="19"/>
  <c r="F349" i="19"/>
  <c r="G349" i="19"/>
  <c r="F357" i="19"/>
  <c r="G357" i="19"/>
  <c r="E357" i="19"/>
  <c r="D357" i="19"/>
  <c r="E365" i="19"/>
  <c r="D365" i="19"/>
  <c r="F365" i="19"/>
  <c r="G365" i="19"/>
  <c r="F373" i="19"/>
  <c r="E373" i="19"/>
  <c r="G373" i="19"/>
  <c r="D373" i="19"/>
  <c r="D381" i="19"/>
  <c r="F381" i="19"/>
  <c r="E381" i="19"/>
  <c r="G381" i="19"/>
  <c r="D296" i="19"/>
  <c r="G296" i="19"/>
  <c r="F296" i="19"/>
  <c r="E296" i="19"/>
  <c r="E314" i="19"/>
  <c r="D314" i="19"/>
  <c r="G314" i="19"/>
  <c r="F314" i="19"/>
  <c r="F370" i="19"/>
  <c r="D370" i="19"/>
  <c r="E370" i="19"/>
  <c r="G370" i="19"/>
  <c r="D302" i="19"/>
  <c r="F302" i="19"/>
  <c r="E302" i="19"/>
  <c r="G302" i="19"/>
  <c r="D310" i="19"/>
  <c r="E310" i="19"/>
  <c r="G310" i="19"/>
  <c r="F310" i="19"/>
  <c r="G318" i="19"/>
  <c r="F318" i="19"/>
  <c r="E318" i="19"/>
  <c r="D318" i="19"/>
  <c r="G326" i="19"/>
  <c r="D326" i="19"/>
  <c r="F326" i="19"/>
  <c r="E326" i="19"/>
  <c r="F334" i="19"/>
  <c r="E334" i="19"/>
  <c r="G334" i="19"/>
  <c r="D334" i="19"/>
  <c r="E342" i="19"/>
  <c r="D342" i="19"/>
  <c r="G342" i="19"/>
  <c r="F342" i="19"/>
  <c r="G350" i="19"/>
  <c r="F350" i="19"/>
  <c r="D350" i="19"/>
  <c r="E350" i="19"/>
  <c r="E358" i="19"/>
  <c r="D358" i="19"/>
  <c r="G358" i="19"/>
  <c r="F358" i="19"/>
  <c r="G366" i="19"/>
  <c r="F366" i="19"/>
  <c r="D366" i="19"/>
  <c r="E366" i="19"/>
  <c r="D374" i="19"/>
  <c r="E374" i="19"/>
  <c r="G374" i="19"/>
  <c r="F374" i="19"/>
  <c r="F382" i="19"/>
  <c r="E382" i="19"/>
  <c r="G382" i="19"/>
  <c r="D382" i="19"/>
  <c r="E297" i="19"/>
  <c r="F297" i="19"/>
  <c r="G297" i="19"/>
  <c r="D297" i="19"/>
  <c r="F306" i="19"/>
  <c r="D306" i="19"/>
  <c r="G306" i="19"/>
  <c r="E306" i="19"/>
  <c r="D362" i="19"/>
  <c r="E362" i="19"/>
  <c r="G362" i="19"/>
  <c r="F362" i="19"/>
  <c r="D303" i="19"/>
  <c r="F303" i="19"/>
  <c r="G303" i="19"/>
  <c r="E303" i="19"/>
  <c r="G311" i="19"/>
  <c r="F311" i="19"/>
  <c r="E311" i="19"/>
  <c r="D311" i="19"/>
  <c r="D319" i="19"/>
  <c r="E319" i="19"/>
  <c r="F319" i="19"/>
  <c r="G319" i="19"/>
  <c r="F327" i="19"/>
  <c r="G327" i="19"/>
  <c r="D327" i="19"/>
  <c r="E327" i="19"/>
  <c r="D335" i="19"/>
  <c r="G335" i="19"/>
  <c r="E335" i="19"/>
  <c r="F335" i="19"/>
  <c r="G343" i="19"/>
  <c r="D343" i="19"/>
  <c r="E343" i="19"/>
  <c r="F343" i="19"/>
  <c r="D351" i="19"/>
  <c r="E351" i="19"/>
  <c r="F351" i="19"/>
  <c r="G351" i="19"/>
  <c r="F359" i="19"/>
  <c r="G359" i="19"/>
  <c r="D359" i="19"/>
  <c r="E359" i="19"/>
  <c r="D367" i="19"/>
  <c r="F367" i="19"/>
  <c r="E367" i="19"/>
  <c r="G367" i="19"/>
  <c r="G375" i="19"/>
  <c r="F375" i="19"/>
  <c r="D375" i="19"/>
  <c r="E375" i="19"/>
  <c r="G383" i="19"/>
  <c r="F383" i="19"/>
  <c r="E383" i="19"/>
  <c r="D383" i="19"/>
  <c r="D298" i="19"/>
  <c r="G298" i="19"/>
  <c r="E298" i="19"/>
  <c r="F298" i="19"/>
  <c r="D330" i="19"/>
  <c r="G330" i="19"/>
  <c r="F330" i="19"/>
  <c r="E330" i="19"/>
  <c r="F304" i="19"/>
  <c r="G304" i="19"/>
  <c r="E304" i="19"/>
  <c r="D304" i="19"/>
  <c r="G312" i="19"/>
  <c r="E312" i="19"/>
  <c r="D312" i="19"/>
  <c r="F312" i="19"/>
  <c r="F320" i="19"/>
  <c r="E320" i="19"/>
  <c r="G320" i="19"/>
  <c r="D320" i="19"/>
  <c r="D328" i="19"/>
  <c r="F328" i="19"/>
  <c r="E328" i="19"/>
  <c r="G328" i="19"/>
  <c r="F336" i="19"/>
  <c r="G336" i="19"/>
  <c r="E336" i="19"/>
  <c r="D336" i="19"/>
  <c r="E344" i="19"/>
  <c r="D344" i="19"/>
  <c r="G344" i="19"/>
  <c r="F344" i="19"/>
  <c r="F352" i="19"/>
  <c r="E352" i="19"/>
  <c r="G352" i="19"/>
  <c r="D352" i="19"/>
  <c r="D360" i="19"/>
  <c r="E360" i="19"/>
  <c r="G360" i="19"/>
  <c r="F360" i="19"/>
  <c r="E368" i="19"/>
  <c r="F368" i="19"/>
  <c r="D368" i="19"/>
  <c r="G368" i="19"/>
  <c r="E376" i="19"/>
  <c r="D376" i="19"/>
  <c r="G376" i="19"/>
  <c r="F376" i="19"/>
  <c r="F338" i="19"/>
  <c r="D338" i="19"/>
  <c r="E338" i="19"/>
  <c r="G338" i="19"/>
  <c r="F305" i="19"/>
  <c r="D305" i="19"/>
  <c r="G305" i="19"/>
  <c r="E305" i="19"/>
  <c r="D313" i="19"/>
  <c r="E313" i="19"/>
  <c r="G313" i="19"/>
  <c r="F313" i="19"/>
  <c r="E321" i="19"/>
  <c r="D321" i="19"/>
  <c r="G321" i="19"/>
  <c r="F321" i="19"/>
  <c r="E329" i="19"/>
  <c r="G329" i="19"/>
  <c r="F329" i="19"/>
  <c r="D329" i="19"/>
  <c r="F337" i="19"/>
  <c r="D337" i="19"/>
  <c r="G337" i="19"/>
  <c r="E337" i="19"/>
  <c r="G345" i="19"/>
  <c r="D345" i="19"/>
  <c r="E345" i="19"/>
  <c r="F345" i="19"/>
  <c r="G353" i="19"/>
  <c r="F353" i="19"/>
  <c r="D353" i="19"/>
  <c r="E353" i="19"/>
  <c r="F361" i="19"/>
  <c r="D361" i="19"/>
  <c r="G361" i="19"/>
  <c r="E361" i="19"/>
  <c r="E369" i="19"/>
  <c r="G369" i="19"/>
  <c r="D369" i="19"/>
  <c r="F369" i="19"/>
  <c r="G377" i="19"/>
  <c r="D377" i="19"/>
  <c r="E377" i="19"/>
  <c r="F377" i="19"/>
  <c r="B24" i="6"/>
  <c r="B15" i="6"/>
  <c r="B16" i="6"/>
  <c r="B25" i="6"/>
  <c r="G5" i="13" a="1"/>
  <c r="G66" i="13" s="1"/>
  <c r="B26" i="6"/>
  <c r="G4" i="13"/>
  <c r="F4" i="13"/>
  <c r="E4" i="13"/>
  <c r="D4" i="13"/>
  <c r="CK4" i="6"/>
  <c r="CC4" i="6"/>
  <c r="BU4" i="6"/>
  <c r="BM4" i="6"/>
  <c r="BE4" i="6"/>
  <c r="AW4" i="6"/>
  <c r="AO4" i="6"/>
  <c r="AG4" i="6"/>
  <c r="Y4" i="6"/>
  <c r="Q4" i="6"/>
  <c r="I4" i="6"/>
  <c r="BX4" i="6"/>
  <c r="AR4" i="6"/>
  <c r="T4" i="6"/>
  <c r="CE4" i="6"/>
  <c r="AY4" i="6"/>
  <c r="S4" i="6"/>
  <c r="CL4" i="6"/>
  <c r="CD4" i="6"/>
  <c r="BV4" i="6"/>
  <c r="BN4" i="6"/>
  <c r="BF4" i="6"/>
  <c r="AX4" i="6"/>
  <c r="AP4" i="6"/>
  <c r="AH4" i="6"/>
  <c r="Z4" i="6"/>
  <c r="R4" i="6"/>
  <c r="J4" i="6"/>
  <c r="CJ4" i="6"/>
  <c r="CB4" i="6"/>
  <c r="BT4" i="6"/>
  <c r="BL4" i="6"/>
  <c r="BD4" i="6"/>
  <c r="AV4" i="6"/>
  <c r="AN4" i="6"/>
  <c r="AF4" i="6"/>
  <c r="X4" i="6"/>
  <c r="P4" i="6"/>
  <c r="H4" i="6"/>
  <c r="CF4" i="6"/>
  <c r="BH4" i="6"/>
  <c r="AZ4" i="6"/>
  <c r="AB4" i="6"/>
  <c r="D4" i="6"/>
  <c r="CM4" i="6"/>
  <c r="BW4" i="6"/>
  <c r="BG4" i="6"/>
  <c r="AQ4" i="6"/>
  <c r="AA4" i="6"/>
  <c r="K4" i="6"/>
  <c r="CI4" i="6"/>
  <c r="BS4" i="6"/>
  <c r="BK4" i="6"/>
  <c r="AU4" i="6"/>
  <c r="AM4" i="6"/>
  <c r="W4" i="6"/>
  <c r="G4" i="6"/>
  <c r="CH4" i="6"/>
  <c r="BZ4" i="6"/>
  <c r="BR4" i="6"/>
  <c r="BJ4" i="6"/>
  <c r="BB4" i="6"/>
  <c r="AT4" i="6"/>
  <c r="AL4" i="6"/>
  <c r="AD4" i="6"/>
  <c r="V4" i="6"/>
  <c r="N4" i="6"/>
  <c r="F4" i="6"/>
  <c r="BP4" i="6"/>
  <c r="AJ4" i="6"/>
  <c r="L4" i="6"/>
  <c r="BO4" i="6"/>
  <c r="AI4" i="6"/>
  <c r="C4" i="6"/>
  <c r="CA4" i="6"/>
  <c r="BC4" i="6"/>
  <c r="AE4" i="6"/>
  <c r="O4" i="6"/>
  <c r="CG4" i="6"/>
  <c r="BY4" i="6"/>
  <c r="BQ4" i="6"/>
  <c r="BI4" i="6"/>
  <c r="BA4" i="6"/>
  <c r="AS4" i="6"/>
  <c r="AK4" i="6"/>
  <c r="AC4" i="6"/>
  <c r="U4" i="6"/>
  <c r="M4" i="6"/>
  <c r="F97" i="13" l="1"/>
  <c r="F190" i="13"/>
  <c r="E190" i="13"/>
  <c r="E97" i="13"/>
  <c r="G97" i="13"/>
  <c r="G190" i="13"/>
  <c r="D190" i="13"/>
  <c r="D97" i="13"/>
  <c r="E295" i="19"/>
  <c r="E391" i="19" s="1"/>
  <c r="D295" i="19"/>
  <c r="D391" i="19" s="1"/>
  <c r="G295" i="19"/>
  <c r="G391" i="19" s="1"/>
  <c r="F295" i="19"/>
  <c r="F391" i="19" s="1"/>
  <c r="G98" i="13"/>
  <c r="G176" i="13"/>
  <c r="G103" i="13"/>
  <c r="G126" i="13"/>
  <c r="G160" i="13"/>
  <c r="G172" i="13"/>
  <c r="G108" i="13"/>
  <c r="G173" i="13"/>
  <c r="G155" i="13"/>
  <c r="G161" i="13"/>
  <c r="G133" i="13"/>
  <c r="G138" i="13"/>
  <c r="G134" i="13"/>
  <c r="G146" i="13"/>
  <c r="G144" i="13"/>
  <c r="G182" i="13"/>
  <c r="G118" i="13"/>
  <c r="G128" i="13"/>
  <c r="G164" i="13"/>
  <c r="G100" i="13"/>
  <c r="G157" i="13"/>
  <c r="G147" i="13"/>
  <c r="G121" i="13"/>
  <c r="G109" i="13"/>
  <c r="G130" i="13"/>
  <c r="G180" i="13"/>
  <c r="G165" i="13"/>
  <c r="G112" i="13"/>
  <c r="G174" i="13"/>
  <c r="G110" i="13"/>
  <c r="G183" i="13"/>
  <c r="G156" i="13"/>
  <c r="G169" i="13"/>
  <c r="G141" i="13"/>
  <c r="G139" i="13"/>
  <c r="G168" i="13"/>
  <c r="G186" i="13"/>
  <c r="G122" i="13"/>
  <c r="G184" i="13"/>
  <c r="G99" i="13"/>
  <c r="G167" i="13"/>
  <c r="G166" i="13"/>
  <c r="G102" i="13"/>
  <c r="G135" i="13"/>
  <c r="G148" i="13"/>
  <c r="G137" i="13"/>
  <c r="G125" i="13"/>
  <c r="G131" i="13"/>
  <c r="G136" i="13"/>
  <c r="G178" i="13"/>
  <c r="G114" i="13"/>
  <c r="G159" i="13"/>
  <c r="G158" i="13"/>
  <c r="G185" i="13"/>
  <c r="G181" i="13"/>
  <c r="G140" i="13"/>
  <c r="G129" i="13"/>
  <c r="G101" i="13"/>
  <c r="G123" i="13"/>
  <c r="G104" i="13"/>
  <c r="G170" i="13"/>
  <c r="G106" i="13"/>
  <c r="G116" i="13"/>
  <c r="G177" i="13"/>
  <c r="G127" i="13"/>
  <c r="G150" i="13"/>
  <c r="G153" i="13"/>
  <c r="G149" i="13"/>
  <c r="G132" i="13"/>
  <c r="G152" i="13"/>
  <c r="G179" i="13"/>
  <c r="G115" i="13"/>
  <c r="G175" i="13"/>
  <c r="G162" i="13"/>
  <c r="G113" i="13"/>
  <c r="G163" i="13"/>
  <c r="G145" i="13"/>
  <c r="G119" i="13"/>
  <c r="G142" i="13"/>
  <c r="G105" i="13"/>
  <c r="G117" i="13"/>
  <c r="G124" i="13"/>
  <c r="G120" i="13"/>
  <c r="G171" i="13"/>
  <c r="G107" i="13"/>
  <c r="G143" i="13"/>
  <c r="G154" i="13"/>
  <c r="G111" i="13"/>
  <c r="G151" i="13"/>
  <c r="F100" i="13"/>
  <c r="F120" i="13"/>
  <c r="F135" i="13"/>
  <c r="F101" i="13"/>
  <c r="F170" i="13"/>
  <c r="F106" i="13"/>
  <c r="F137" i="13"/>
  <c r="F136" i="13"/>
  <c r="F142" i="13"/>
  <c r="F141" i="13"/>
  <c r="F155" i="13"/>
  <c r="F157" i="13"/>
  <c r="F145" i="13"/>
  <c r="F104" i="13"/>
  <c r="F127" i="13"/>
  <c r="F172" i="13"/>
  <c r="F162" i="13"/>
  <c r="F98" i="13"/>
  <c r="F129" i="13"/>
  <c r="F128" i="13"/>
  <c r="F134" i="13"/>
  <c r="F117" i="13"/>
  <c r="F147" i="13"/>
  <c r="F133" i="13"/>
  <c r="F152" i="13"/>
  <c r="F183" i="13"/>
  <c r="F119" i="13"/>
  <c r="F156" i="13"/>
  <c r="F154" i="13"/>
  <c r="F185" i="13"/>
  <c r="F121" i="13"/>
  <c r="F112" i="13"/>
  <c r="F126" i="13"/>
  <c r="F164" i="13"/>
  <c r="F139" i="13"/>
  <c r="F109" i="13"/>
  <c r="F178" i="13"/>
  <c r="F99" i="13"/>
  <c r="F175" i="13"/>
  <c r="F111" i="13"/>
  <c r="F140" i="13"/>
  <c r="F146" i="13"/>
  <c r="F177" i="13"/>
  <c r="F113" i="13"/>
  <c r="F182" i="13"/>
  <c r="F118" i="13"/>
  <c r="F132" i="13"/>
  <c r="F131" i="13"/>
  <c r="F180" i="13"/>
  <c r="F114" i="13"/>
  <c r="F167" i="13"/>
  <c r="F103" i="13"/>
  <c r="F124" i="13"/>
  <c r="F138" i="13"/>
  <c r="F169" i="13"/>
  <c r="F105" i="13"/>
  <c r="F174" i="13"/>
  <c r="F110" i="13"/>
  <c r="F116" i="13"/>
  <c r="F123" i="13"/>
  <c r="F148" i="13"/>
  <c r="F144" i="13"/>
  <c r="F165" i="13"/>
  <c r="F176" i="13"/>
  <c r="F159" i="13"/>
  <c r="F173" i="13"/>
  <c r="F108" i="13"/>
  <c r="F130" i="13"/>
  <c r="F161" i="13"/>
  <c r="F184" i="13"/>
  <c r="F166" i="13"/>
  <c r="F102" i="13"/>
  <c r="F179" i="13"/>
  <c r="F115" i="13"/>
  <c r="F125" i="13"/>
  <c r="F163" i="13"/>
  <c r="F160" i="13"/>
  <c r="F151" i="13"/>
  <c r="F149" i="13"/>
  <c r="F186" i="13"/>
  <c r="F122" i="13"/>
  <c r="F153" i="13"/>
  <c r="F168" i="13"/>
  <c r="F158" i="13"/>
  <c r="F181" i="13"/>
  <c r="F171" i="13"/>
  <c r="F107" i="13"/>
  <c r="F143" i="13"/>
  <c r="F150" i="13"/>
  <c r="E99" i="13"/>
  <c r="E161" i="13"/>
  <c r="E159" i="13"/>
  <c r="E170" i="13"/>
  <c r="E112" i="13"/>
  <c r="E157" i="13"/>
  <c r="E162" i="13"/>
  <c r="E104" i="13"/>
  <c r="E156" i="13"/>
  <c r="E186" i="13"/>
  <c r="E182" i="13"/>
  <c r="E139" i="13"/>
  <c r="E98" i="13"/>
  <c r="E136" i="13"/>
  <c r="E129" i="13"/>
  <c r="E151" i="13"/>
  <c r="E146" i="13"/>
  <c r="E166" i="13"/>
  <c r="E149" i="13"/>
  <c r="E138" i="13"/>
  <c r="E174" i="13"/>
  <c r="E148" i="13"/>
  <c r="E154" i="13"/>
  <c r="E150" i="13"/>
  <c r="E131" i="13"/>
  <c r="E103" i="13"/>
  <c r="E100" i="13"/>
  <c r="E184" i="13"/>
  <c r="E143" i="13"/>
  <c r="E114" i="13"/>
  <c r="E142" i="13"/>
  <c r="E141" i="13"/>
  <c r="E106" i="13"/>
  <c r="E158" i="13"/>
  <c r="E140" i="13"/>
  <c r="E122" i="13"/>
  <c r="E118" i="13"/>
  <c r="E123" i="13"/>
  <c r="E164" i="13"/>
  <c r="E152" i="13"/>
  <c r="E135" i="13"/>
  <c r="E169" i="13"/>
  <c r="E126" i="13"/>
  <c r="E133" i="13"/>
  <c r="E177" i="13"/>
  <c r="E134" i="13"/>
  <c r="E132" i="13"/>
  <c r="E185" i="13"/>
  <c r="E179" i="13"/>
  <c r="E115" i="13"/>
  <c r="E128" i="13"/>
  <c r="E127" i="13"/>
  <c r="E137" i="13"/>
  <c r="E102" i="13"/>
  <c r="E125" i="13"/>
  <c r="E153" i="13"/>
  <c r="E110" i="13"/>
  <c r="E124" i="13"/>
  <c r="E145" i="13"/>
  <c r="E171" i="13"/>
  <c r="E107" i="13"/>
  <c r="E165" i="13"/>
  <c r="E147" i="13"/>
  <c r="E178" i="13"/>
  <c r="E183" i="13"/>
  <c r="E119" i="13"/>
  <c r="E105" i="13"/>
  <c r="E181" i="13"/>
  <c r="E117" i="13"/>
  <c r="E121" i="13"/>
  <c r="E180" i="13"/>
  <c r="E116" i="13"/>
  <c r="E113" i="13"/>
  <c r="E163" i="13"/>
  <c r="E144" i="13"/>
  <c r="E120" i="13"/>
  <c r="E130" i="13"/>
  <c r="E175" i="13"/>
  <c r="E111" i="13"/>
  <c r="E176" i="13"/>
  <c r="E173" i="13"/>
  <c r="E109" i="13"/>
  <c r="E160" i="13"/>
  <c r="E172" i="13"/>
  <c r="E108" i="13"/>
  <c r="E168" i="13"/>
  <c r="E155" i="13"/>
  <c r="E167" i="13"/>
  <c r="E101" i="13"/>
  <c r="D98" i="13"/>
  <c r="D185" i="13"/>
  <c r="D169" i="13"/>
  <c r="D177" i="13"/>
  <c r="D161" i="13"/>
  <c r="D129" i="13"/>
  <c r="D152" i="13"/>
  <c r="D175" i="13"/>
  <c r="D111" i="13"/>
  <c r="D134" i="13"/>
  <c r="D157" i="13"/>
  <c r="D180" i="13"/>
  <c r="D116" i="13"/>
  <c r="D139" i="13"/>
  <c r="D170" i="13"/>
  <c r="D106" i="13"/>
  <c r="D160" i="13"/>
  <c r="D124" i="13"/>
  <c r="D121" i="13"/>
  <c r="D144" i="13"/>
  <c r="D167" i="13"/>
  <c r="D103" i="13"/>
  <c r="D126" i="13"/>
  <c r="D149" i="13"/>
  <c r="D172" i="13"/>
  <c r="D108" i="13"/>
  <c r="D131" i="13"/>
  <c r="D162" i="13"/>
  <c r="D119" i="13"/>
  <c r="D178" i="13"/>
  <c r="D113" i="13"/>
  <c r="D136" i="13"/>
  <c r="D159" i="13"/>
  <c r="D182" i="13"/>
  <c r="D118" i="13"/>
  <c r="D141" i="13"/>
  <c r="D164" i="13"/>
  <c r="D100" i="13"/>
  <c r="D123" i="13"/>
  <c r="D154" i="13"/>
  <c r="D183" i="13"/>
  <c r="D147" i="13"/>
  <c r="D105" i="13"/>
  <c r="D128" i="13"/>
  <c r="D151" i="13"/>
  <c r="D174" i="13"/>
  <c r="D110" i="13"/>
  <c r="D133" i="13"/>
  <c r="D156" i="13"/>
  <c r="D179" i="13"/>
  <c r="D115" i="13"/>
  <c r="D146" i="13"/>
  <c r="D184" i="13"/>
  <c r="D120" i="13"/>
  <c r="D143" i="13"/>
  <c r="D166" i="13"/>
  <c r="D102" i="13"/>
  <c r="D125" i="13"/>
  <c r="D148" i="13"/>
  <c r="D171" i="13"/>
  <c r="D107" i="13"/>
  <c r="D138" i="13"/>
  <c r="D165" i="13"/>
  <c r="D153" i="13"/>
  <c r="D176" i="13"/>
  <c r="D112" i="13"/>
  <c r="D135" i="13"/>
  <c r="D158" i="13"/>
  <c r="D181" i="13"/>
  <c r="D117" i="13"/>
  <c r="D140" i="13"/>
  <c r="D163" i="13"/>
  <c r="D99" i="13"/>
  <c r="D130" i="13"/>
  <c r="D142" i="13"/>
  <c r="D114" i="13"/>
  <c r="D145" i="13"/>
  <c r="D168" i="13"/>
  <c r="D104" i="13"/>
  <c r="D127" i="13"/>
  <c r="D150" i="13"/>
  <c r="D173" i="13"/>
  <c r="D109" i="13"/>
  <c r="D132" i="13"/>
  <c r="D155" i="13"/>
  <c r="D186" i="13"/>
  <c r="D122" i="13"/>
  <c r="D137" i="13"/>
  <c r="D101" i="13"/>
  <c r="C98" i="13"/>
  <c r="C112" i="13"/>
  <c r="C135" i="13"/>
  <c r="C118" i="13"/>
  <c r="C125" i="13"/>
  <c r="C126" i="13"/>
  <c r="C176" i="13"/>
  <c r="C163" i="13"/>
  <c r="C99" i="13"/>
  <c r="C134" i="13"/>
  <c r="C170" i="13"/>
  <c r="C106" i="13"/>
  <c r="C160" i="13"/>
  <c r="C150" i="13"/>
  <c r="C169" i="13"/>
  <c r="C104" i="13"/>
  <c r="C127" i="13"/>
  <c r="C181" i="13"/>
  <c r="C117" i="13"/>
  <c r="C164" i="13"/>
  <c r="C166" i="13"/>
  <c r="C155" i="13"/>
  <c r="C153" i="13"/>
  <c r="C110" i="13"/>
  <c r="C162" i="13"/>
  <c r="C152" i="13"/>
  <c r="C114" i="13"/>
  <c r="C137" i="13"/>
  <c r="C183" i="13"/>
  <c r="C119" i="13"/>
  <c r="C173" i="13"/>
  <c r="C109" i="13"/>
  <c r="C148" i="13"/>
  <c r="C142" i="13"/>
  <c r="C147" i="13"/>
  <c r="C121" i="13"/>
  <c r="C172" i="13"/>
  <c r="C154" i="13"/>
  <c r="C133" i="13"/>
  <c r="C178" i="13"/>
  <c r="C184" i="13"/>
  <c r="C175" i="13"/>
  <c r="C111" i="13"/>
  <c r="C165" i="13"/>
  <c r="C101" i="13"/>
  <c r="C132" i="13"/>
  <c r="C102" i="13"/>
  <c r="C139" i="13"/>
  <c r="C144" i="13"/>
  <c r="C156" i="13"/>
  <c r="C146" i="13"/>
  <c r="C168" i="13"/>
  <c r="C167" i="13"/>
  <c r="C103" i="13"/>
  <c r="C157" i="13"/>
  <c r="C185" i="13"/>
  <c r="C116" i="13"/>
  <c r="C180" i="13"/>
  <c r="C131" i="13"/>
  <c r="C182" i="13"/>
  <c r="C140" i="13"/>
  <c r="C138" i="13"/>
  <c r="C120" i="13"/>
  <c r="C171" i="13"/>
  <c r="C136" i="13"/>
  <c r="C159" i="13"/>
  <c r="C177" i="13"/>
  <c r="C149" i="13"/>
  <c r="C145" i="13"/>
  <c r="C100" i="13"/>
  <c r="C124" i="13"/>
  <c r="C123" i="13"/>
  <c r="C174" i="13"/>
  <c r="C108" i="13"/>
  <c r="C130" i="13"/>
  <c r="C129" i="13"/>
  <c r="C128" i="13"/>
  <c r="C151" i="13"/>
  <c r="C105" i="13"/>
  <c r="C141" i="13"/>
  <c r="C113" i="13"/>
  <c r="C161" i="13"/>
  <c r="C179" i="13"/>
  <c r="C115" i="13"/>
  <c r="C158" i="13"/>
  <c r="C186" i="13"/>
  <c r="C122" i="13"/>
  <c r="C143" i="13"/>
  <c r="C107" i="13"/>
  <c r="F16" i="13"/>
  <c r="G48" i="13"/>
  <c r="E39" i="13"/>
  <c r="F44" i="13"/>
  <c r="F78" i="13"/>
  <c r="F71" i="13"/>
  <c r="F75" i="13"/>
  <c r="F43" i="13"/>
  <c r="G23" i="13"/>
  <c r="E41" i="13"/>
  <c r="F68" i="13"/>
  <c r="F32" i="13"/>
  <c r="F79" i="13"/>
  <c r="F91" i="13"/>
  <c r="F51" i="13"/>
  <c r="G71" i="13"/>
  <c r="F13" i="13"/>
  <c r="F84" i="13"/>
  <c r="F88" i="13"/>
  <c r="F87" i="13"/>
  <c r="F26" i="13"/>
  <c r="G21" i="13"/>
  <c r="G79" i="13"/>
  <c r="F37" i="13"/>
  <c r="F36" i="13"/>
  <c r="F34" i="13"/>
  <c r="F14" i="13"/>
  <c r="F92" i="13"/>
  <c r="F41" i="13"/>
  <c r="F42" i="13"/>
  <c r="G25" i="13"/>
  <c r="F69" i="13"/>
  <c r="F7" i="13"/>
  <c r="F90" i="13"/>
  <c r="G85" i="13"/>
  <c r="E13" i="13"/>
  <c r="F77" i="13"/>
  <c r="F62" i="13"/>
  <c r="F15" i="13"/>
  <c r="F57" i="13"/>
  <c r="F11" i="13"/>
  <c r="G38" i="13"/>
  <c r="G81" i="13"/>
  <c r="F6" i="13"/>
  <c r="G29" i="13"/>
  <c r="F45" i="13"/>
  <c r="G77" i="13"/>
  <c r="F54" i="13"/>
  <c r="F49" i="13"/>
  <c r="G33" i="13"/>
  <c r="E7" i="13"/>
  <c r="F12" i="13"/>
  <c r="F70" i="13"/>
  <c r="F63" i="13"/>
  <c r="F65" i="13"/>
  <c r="F27" i="13"/>
  <c r="G15" i="13"/>
  <c r="G89" i="13"/>
  <c r="C25" i="13"/>
  <c r="E62" i="13"/>
  <c r="E64" i="13"/>
  <c r="E85" i="13"/>
  <c r="C85" i="13"/>
  <c r="E56" i="13"/>
  <c r="C59" i="13"/>
  <c r="C33" i="13"/>
  <c r="C67" i="13"/>
  <c r="E70" i="13"/>
  <c r="E79" i="13"/>
  <c r="E72" i="13"/>
  <c r="E65" i="13"/>
  <c r="F85" i="13"/>
  <c r="F89" i="13"/>
  <c r="C10" i="13"/>
  <c r="E6" i="13"/>
  <c r="E8" i="13"/>
  <c r="E88" i="13"/>
  <c r="F93" i="13"/>
  <c r="F23" i="13"/>
  <c r="F28" i="13"/>
  <c r="F50" i="13"/>
  <c r="G46" i="13"/>
  <c r="G50" i="13"/>
  <c r="C50" i="13"/>
  <c r="E29" i="13"/>
  <c r="E30" i="13"/>
  <c r="E23" i="13"/>
  <c r="E16" i="13"/>
  <c r="E25" i="13"/>
  <c r="F21" i="13"/>
  <c r="F24" i="13"/>
  <c r="F38" i="13"/>
  <c r="F56" i="13"/>
  <c r="F31" i="13"/>
  <c r="F25" i="13"/>
  <c r="F35" i="13"/>
  <c r="F58" i="13"/>
  <c r="F60" i="13"/>
  <c r="G54" i="13"/>
  <c r="G64" i="13"/>
  <c r="G58" i="13"/>
  <c r="C89" i="13"/>
  <c r="E93" i="13"/>
  <c r="E87" i="13"/>
  <c r="E80" i="13"/>
  <c r="E89" i="13"/>
  <c r="G75" i="13"/>
  <c r="E21" i="13"/>
  <c r="E15" i="13"/>
  <c r="F48" i="13"/>
  <c r="F19" i="13"/>
  <c r="F67" i="13"/>
  <c r="G56" i="13"/>
  <c r="C20" i="13"/>
  <c r="C58" i="13"/>
  <c r="E37" i="13"/>
  <c r="E38" i="13"/>
  <c r="E31" i="13"/>
  <c r="E24" i="13"/>
  <c r="E33" i="13"/>
  <c r="F29" i="13"/>
  <c r="F40" i="13"/>
  <c r="F46" i="13"/>
  <c r="F72" i="13"/>
  <c r="F39" i="13"/>
  <c r="F33" i="13"/>
  <c r="F59" i="13"/>
  <c r="F66" i="13"/>
  <c r="G13" i="13"/>
  <c r="G7" i="13"/>
  <c r="G17" i="13"/>
  <c r="C84" i="13"/>
  <c r="E69" i="13"/>
  <c r="E54" i="13"/>
  <c r="E47" i="13"/>
  <c r="E49" i="13"/>
  <c r="E77" i="13"/>
  <c r="E71" i="13"/>
  <c r="E57" i="13"/>
  <c r="C76" i="13"/>
  <c r="C69" i="13"/>
  <c r="E61" i="13"/>
  <c r="E46" i="13"/>
  <c r="AK22" i="6"/>
  <c r="AK13" i="6"/>
  <c r="BP22" i="6"/>
  <c r="BP13" i="6"/>
  <c r="BK22" i="6"/>
  <c r="BK13" i="6"/>
  <c r="CJ13" i="6"/>
  <c r="CJ22" i="6"/>
  <c r="AR22" i="6"/>
  <c r="AR13" i="6"/>
  <c r="D37" i="13"/>
  <c r="D46" i="13"/>
  <c r="D63" i="13"/>
  <c r="D56" i="13"/>
  <c r="AS22" i="6"/>
  <c r="AS13" i="6"/>
  <c r="F13" i="6"/>
  <c r="F22" i="6"/>
  <c r="BR13" i="6"/>
  <c r="BR22" i="6"/>
  <c r="D22" i="6"/>
  <c r="D13" i="6"/>
  <c r="AF13" i="6"/>
  <c r="AF22" i="6"/>
  <c r="J13" i="6"/>
  <c r="J22" i="6"/>
  <c r="BV13" i="6"/>
  <c r="BV22" i="6"/>
  <c r="BM22" i="6"/>
  <c r="BM13" i="6"/>
  <c r="D45" i="13"/>
  <c r="D7" i="13"/>
  <c r="D90" i="13"/>
  <c r="G5" i="13"/>
  <c r="G12" i="13"/>
  <c r="G44" i="13"/>
  <c r="G27" i="13"/>
  <c r="G60" i="13"/>
  <c r="G28" i="13"/>
  <c r="G68" i="13"/>
  <c r="G52" i="13"/>
  <c r="G43" i="13"/>
  <c r="G11" i="13"/>
  <c r="G76" i="13"/>
  <c r="G19" i="13"/>
  <c r="G84" i="13"/>
  <c r="G20" i="13"/>
  <c r="G92" i="13"/>
  <c r="G36" i="13"/>
  <c r="G35" i="13"/>
  <c r="G51" i="13"/>
  <c r="BQ22" i="6"/>
  <c r="BQ13" i="6"/>
  <c r="AD13" i="6"/>
  <c r="AD22" i="6"/>
  <c r="AA22" i="6"/>
  <c r="AA13" i="6"/>
  <c r="BD13" i="6"/>
  <c r="BD22" i="6"/>
  <c r="Y22" i="6"/>
  <c r="Y13" i="6"/>
  <c r="C44" i="13"/>
  <c r="C57" i="13"/>
  <c r="C82" i="13"/>
  <c r="D14" i="13"/>
  <c r="D31" i="13"/>
  <c r="D88" i="13"/>
  <c r="G45" i="13"/>
  <c r="G70" i="13"/>
  <c r="G39" i="13"/>
  <c r="G16" i="13"/>
  <c r="G80" i="13"/>
  <c r="G49" i="13"/>
  <c r="E5" i="13"/>
  <c r="E26" i="13"/>
  <c r="E44" i="13"/>
  <c r="E67" i="13"/>
  <c r="E90" i="13"/>
  <c r="E11" i="13"/>
  <c r="E34" i="13"/>
  <c r="E52" i="13"/>
  <c r="E75" i="13"/>
  <c r="E12" i="13"/>
  <c r="E35" i="13"/>
  <c r="E58" i="13"/>
  <c r="E76" i="13"/>
  <c r="E20" i="13"/>
  <c r="E59" i="13"/>
  <c r="E91" i="13"/>
  <c r="E27" i="13"/>
  <c r="E60" i="13"/>
  <c r="E92" i="13"/>
  <c r="E28" i="13"/>
  <c r="E66" i="13"/>
  <c r="E50" i="13"/>
  <c r="E36" i="13"/>
  <c r="E68" i="13"/>
  <c r="E43" i="13"/>
  <c r="E82" i="13"/>
  <c r="E83" i="13"/>
  <c r="E42" i="13"/>
  <c r="E74" i="13"/>
  <c r="E10" i="13"/>
  <c r="E18" i="13"/>
  <c r="E19" i="13"/>
  <c r="E51" i="13"/>
  <c r="E84" i="13"/>
  <c r="AE22" i="6"/>
  <c r="AE13" i="6"/>
  <c r="BJ22" i="6"/>
  <c r="BJ13" i="6"/>
  <c r="CM22" i="6"/>
  <c r="CM13" i="6"/>
  <c r="BN22" i="6"/>
  <c r="BN13" i="6"/>
  <c r="BE22" i="6"/>
  <c r="BE13" i="6"/>
  <c r="D33" i="13"/>
  <c r="D82" i="13"/>
  <c r="D74" i="13"/>
  <c r="D89" i="13"/>
  <c r="C12" i="13"/>
  <c r="C16" i="13"/>
  <c r="C38" i="13"/>
  <c r="C56" i="13"/>
  <c r="C79" i="13"/>
  <c r="C7" i="13"/>
  <c r="C23" i="13"/>
  <c r="C46" i="13"/>
  <c r="C64" i="13"/>
  <c r="C87" i="13"/>
  <c r="C8" i="13"/>
  <c r="C24" i="13"/>
  <c r="C47" i="13"/>
  <c r="C70" i="13"/>
  <c r="C88" i="13"/>
  <c r="C15" i="13"/>
  <c r="C48" i="13"/>
  <c r="C80" i="13"/>
  <c r="C13" i="13"/>
  <c r="C39" i="13"/>
  <c r="C72" i="13"/>
  <c r="C21" i="13"/>
  <c r="C54" i="13"/>
  <c r="C86" i="13"/>
  <c r="C22" i="13"/>
  <c r="C55" i="13"/>
  <c r="C30" i="13"/>
  <c r="C62" i="13"/>
  <c r="C6" i="13"/>
  <c r="C32" i="13"/>
  <c r="C71" i="13"/>
  <c r="C5" i="13"/>
  <c r="C31" i="13"/>
  <c r="C63" i="13"/>
  <c r="C78" i="13"/>
  <c r="C14" i="13"/>
  <c r="C40" i="13"/>
  <c r="C13" i="6"/>
  <c r="C22" i="6"/>
  <c r="CH13" i="6"/>
  <c r="CH22" i="6"/>
  <c r="AZ22" i="6"/>
  <c r="AZ13" i="6"/>
  <c r="AV22" i="6"/>
  <c r="AV13" i="6"/>
  <c r="CL13" i="6"/>
  <c r="CL22" i="6"/>
  <c r="CC22" i="6"/>
  <c r="CC13" i="6"/>
  <c r="C36" i="13"/>
  <c r="C49" i="13"/>
  <c r="C93" i="13"/>
  <c r="C74" i="13"/>
  <c r="C83" i="13"/>
  <c r="D61" i="13"/>
  <c r="D6" i="13"/>
  <c r="D70" i="13"/>
  <c r="D23" i="13"/>
  <c r="D87" i="13"/>
  <c r="D80" i="13"/>
  <c r="G37" i="13"/>
  <c r="G83" i="13"/>
  <c r="G62" i="13"/>
  <c r="G31" i="13"/>
  <c r="G8" i="13"/>
  <c r="G41" i="13"/>
  <c r="G74" i="13"/>
  <c r="AI13" i="6"/>
  <c r="AI22" i="6"/>
  <c r="G13" i="6"/>
  <c r="G22" i="6"/>
  <c r="BH22" i="6"/>
  <c r="BH13" i="6"/>
  <c r="AH22" i="6"/>
  <c r="AH13" i="6"/>
  <c r="CK22" i="6"/>
  <c r="CK13" i="6"/>
  <c r="C53" i="13"/>
  <c r="C18" i="13"/>
  <c r="C27" i="13"/>
  <c r="D69" i="13"/>
  <c r="D78" i="13"/>
  <c r="D17" i="13"/>
  <c r="G6" i="13"/>
  <c r="G82" i="13"/>
  <c r="M22" i="6"/>
  <c r="M13" i="6"/>
  <c r="BY22" i="6"/>
  <c r="BY13" i="6"/>
  <c r="BO13" i="6"/>
  <c r="BO22" i="6"/>
  <c r="AL22" i="6"/>
  <c r="AL13" i="6"/>
  <c r="W22" i="6"/>
  <c r="W13" i="6"/>
  <c r="AQ13" i="6"/>
  <c r="AQ22" i="6"/>
  <c r="CF13" i="6"/>
  <c r="CF22" i="6"/>
  <c r="BL22" i="6"/>
  <c r="BL13" i="6"/>
  <c r="AP22" i="6"/>
  <c r="AP13" i="6"/>
  <c r="AY13" i="6"/>
  <c r="AY22" i="6"/>
  <c r="AG22" i="6"/>
  <c r="AG13" i="6"/>
  <c r="C52" i="13"/>
  <c r="C77" i="13"/>
  <c r="C65" i="13"/>
  <c r="C26" i="13"/>
  <c r="C90" i="13"/>
  <c r="C35" i="13"/>
  <c r="D13" i="13"/>
  <c r="D77" i="13"/>
  <c r="D22" i="13"/>
  <c r="D86" i="13"/>
  <c r="D39" i="13"/>
  <c r="D49" i="13"/>
  <c r="D32" i="13"/>
  <c r="E45" i="13"/>
  <c r="E14" i="13"/>
  <c r="E78" i="13"/>
  <c r="E55" i="13"/>
  <c r="E32" i="13"/>
  <c r="E9" i="13"/>
  <c r="E73" i="13"/>
  <c r="F53" i="13"/>
  <c r="F64" i="13"/>
  <c r="F22" i="13"/>
  <c r="F86" i="13"/>
  <c r="F52" i="13"/>
  <c r="F47" i="13"/>
  <c r="F9" i="13"/>
  <c r="F73" i="13"/>
  <c r="F10" i="13"/>
  <c r="F74" i="13"/>
  <c r="F83" i="13"/>
  <c r="G53" i="13"/>
  <c r="G14" i="13"/>
  <c r="G78" i="13"/>
  <c r="G47" i="13"/>
  <c r="G24" i="13"/>
  <c r="G88" i="13"/>
  <c r="G57" i="13"/>
  <c r="G26" i="13"/>
  <c r="G90" i="13"/>
  <c r="D5" i="13"/>
  <c r="D19" i="13"/>
  <c r="D42" i="13"/>
  <c r="D67" i="13"/>
  <c r="D27" i="13"/>
  <c r="D50" i="13"/>
  <c r="D76" i="13"/>
  <c r="D10" i="13"/>
  <c r="D28" i="13"/>
  <c r="D51" i="13"/>
  <c r="D83" i="13"/>
  <c r="D35" i="13"/>
  <c r="D75" i="13"/>
  <c r="D26" i="13"/>
  <c r="D60" i="13"/>
  <c r="D36" i="13"/>
  <c r="D84" i="13"/>
  <c r="D11" i="13"/>
  <c r="D43" i="13"/>
  <c r="D91" i="13"/>
  <c r="D12" i="13"/>
  <c r="D44" i="13"/>
  <c r="D92" i="13"/>
  <c r="D20" i="13"/>
  <c r="D59" i="13"/>
  <c r="D18" i="13"/>
  <c r="D52" i="13"/>
  <c r="D34" i="13"/>
  <c r="D68" i="13"/>
  <c r="BC22" i="6"/>
  <c r="BC13" i="6"/>
  <c r="BX22" i="6"/>
  <c r="BX13" i="6"/>
  <c r="D57" i="13"/>
  <c r="D71" i="13"/>
  <c r="D64" i="13"/>
  <c r="BA22" i="6"/>
  <c r="BA13" i="6"/>
  <c r="N22" i="6"/>
  <c r="N13" i="6"/>
  <c r="BZ13" i="6"/>
  <c r="BZ22" i="6"/>
  <c r="AB13" i="6"/>
  <c r="AB22" i="6"/>
  <c r="CD13" i="6"/>
  <c r="CD22" i="6"/>
  <c r="BU22" i="6"/>
  <c r="BU13" i="6"/>
  <c r="C92" i="13"/>
  <c r="C61" i="13"/>
  <c r="C75" i="13"/>
  <c r="D62" i="13"/>
  <c r="D79" i="13"/>
  <c r="D72" i="13"/>
  <c r="G93" i="13"/>
  <c r="BI22" i="6"/>
  <c r="BI13" i="6"/>
  <c r="K13" i="6"/>
  <c r="K22" i="6"/>
  <c r="Q22" i="6"/>
  <c r="Q13" i="6"/>
  <c r="C19" i="13"/>
  <c r="G10" i="13"/>
  <c r="S13" i="6"/>
  <c r="S22" i="6"/>
  <c r="D24" i="13"/>
  <c r="G18" i="13"/>
  <c r="U22" i="6"/>
  <c r="U13" i="6"/>
  <c r="CG22" i="6"/>
  <c r="CG13" i="6"/>
  <c r="L22" i="6"/>
  <c r="L13" i="6"/>
  <c r="AT13" i="6"/>
  <c r="AT22" i="6"/>
  <c r="AM22" i="6"/>
  <c r="AM13" i="6"/>
  <c r="BG13" i="6"/>
  <c r="BG22" i="6"/>
  <c r="H13" i="6"/>
  <c r="H22" i="6"/>
  <c r="BT22" i="6"/>
  <c r="BT13" i="6"/>
  <c r="AX22" i="6"/>
  <c r="AX13" i="6"/>
  <c r="CE22" i="6"/>
  <c r="CE13" i="6"/>
  <c r="AO22" i="6"/>
  <c r="AO13" i="6"/>
  <c r="C60" i="13"/>
  <c r="C9" i="13"/>
  <c r="C73" i="13"/>
  <c r="C34" i="13"/>
  <c r="C37" i="13"/>
  <c r="C43" i="13"/>
  <c r="D21" i="13"/>
  <c r="D85" i="13"/>
  <c r="D30" i="13"/>
  <c r="D25" i="13"/>
  <c r="D47" i="13"/>
  <c r="D81" i="13"/>
  <c r="D40" i="13"/>
  <c r="D41" i="13"/>
  <c r="E53" i="13"/>
  <c r="E22" i="13"/>
  <c r="E86" i="13"/>
  <c r="E63" i="13"/>
  <c r="E40" i="13"/>
  <c r="E17" i="13"/>
  <c r="E81" i="13"/>
  <c r="F61" i="13"/>
  <c r="F80" i="13"/>
  <c r="F30" i="13"/>
  <c r="F8" i="13"/>
  <c r="F76" i="13"/>
  <c r="F55" i="13"/>
  <c r="F17" i="13"/>
  <c r="F81" i="13"/>
  <c r="F18" i="13"/>
  <c r="F82" i="13"/>
  <c r="F20" i="13"/>
  <c r="G61" i="13"/>
  <c r="G22" i="13"/>
  <c r="G86" i="13"/>
  <c r="G55" i="13"/>
  <c r="G32" i="13"/>
  <c r="G67" i="13"/>
  <c r="G65" i="13"/>
  <c r="G34" i="13"/>
  <c r="G59" i="13"/>
  <c r="X22" i="6"/>
  <c r="X13" i="6"/>
  <c r="BS13" i="6"/>
  <c r="BS22" i="6"/>
  <c r="D54" i="13"/>
  <c r="CA13" i="6"/>
  <c r="CA22" i="6"/>
  <c r="CI22" i="6"/>
  <c r="CI13" i="6"/>
  <c r="AN13" i="6"/>
  <c r="AN22" i="6"/>
  <c r="R22" i="6"/>
  <c r="R13" i="6"/>
  <c r="I22" i="6"/>
  <c r="I13" i="6"/>
  <c r="C28" i="13"/>
  <c r="C41" i="13"/>
  <c r="C66" i="13"/>
  <c r="C11" i="13"/>
  <c r="D53" i="13"/>
  <c r="D66" i="13"/>
  <c r="D15" i="13"/>
  <c r="D8" i="13"/>
  <c r="G87" i="13"/>
  <c r="V13" i="6"/>
  <c r="V22" i="6"/>
  <c r="Z22" i="6"/>
  <c r="Z13" i="6"/>
  <c r="C29" i="13"/>
  <c r="D16" i="13"/>
  <c r="G72" i="13"/>
  <c r="AC22" i="6"/>
  <c r="AC13" i="6"/>
  <c r="O22" i="6"/>
  <c r="O13" i="6"/>
  <c r="AJ22" i="6"/>
  <c r="AJ13" i="6"/>
  <c r="BB13" i="6"/>
  <c r="BB22" i="6"/>
  <c r="AU22" i="6"/>
  <c r="AU13" i="6"/>
  <c r="BW22" i="6"/>
  <c r="BW13" i="6"/>
  <c r="P13" i="6"/>
  <c r="P22" i="6"/>
  <c r="CB22" i="6"/>
  <c r="CB13" i="6"/>
  <c r="BF22" i="6"/>
  <c r="BF13" i="6"/>
  <c r="T22" i="6"/>
  <c r="T13" i="6"/>
  <c r="AW22" i="6"/>
  <c r="AW13" i="6"/>
  <c r="C68" i="13"/>
  <c r="C17" i="13"/>
  <c r="C81" i="13"/>
  <c r="C42" i="13"/>
  <c r="C45" i="13"/>
  <c r="C51" i="13"/>
  <c r="D29" i="13"/>
  <c r="D93" i="13"/>
  <c r="D38" i="13"/>
  <c r="D73" i="13"/>
  <c r="D55" i="13"/>
  <c r="D58" i="13"/>
  <c r="D48" i="13"/>
  <c r="D65" i="13"/>
  <c r="G69" i="13"/>
  <c r="G30" i="13"/>
  <c r="G91" i="13"/>
  <c r="G63" i="13"/>
  <c r="G40" i="13"/>
  <c r="G9" i="13"/>
  <c r="G73" i="13"/>
  <c r="G42" i="13"/>
  <c r="E474" i="19" l="1"/>
  <c r="G404" i="19"/>
  <c r="F433" i="19"/>
  <c r="F421" i="19"/>
  <c r="F454" i="19"/>
  <c r="G467" i="19"/>
  <c r="G469" i="19"/>
  <c r="E471" i="19"/>
  <c r="F414" i="19"/>
  <c r="G438" i="19"/>
  <c r="F409" i="19"/>
  <c r="G431" i="19"/>
  <c r="G454" i="19"/>
  <c r="F450" i="19"/>
  <c r="E456" i="19"/>
  <c r="G393" i="19"/>
  <c r="E412" i="19"/>
  <c r="F448" i="19"/>
  <c r="E434" i="19"/>
  <c r="G462" i="19"/>
  <c r="G442" i="19"/>
  <c r="G411" i="19"/>
  <c r="G425" i="19"/>
  <c r="G479" i="19"/>
  <c r="F413" i="19"/>
  <c r="G395" i="19"/>
  <c r="D420" i="19"/>
  <c r="E453" i="19"/>
  <c r="G470" i="19"/>
  <c r="E394" i="19"/>
  <c r="F425" i="19"/>
  <c r="F411" i="19"/>
  <c r="G436" i="19"/>
  <c r="D469" i="19"/>
  <c r="D393" i="19"/>
  <c r="D400" i="19"/>
  <c r="F441" i="19"/>
  <c r="E419" i="19"/>
  <c r="E444" i="19"/>
  <c r="D477" i="19"/>
  <c r="D573" i="19" s="1"/>
  <c r="F402" i="19"/>
  <c r="G408" i="19"/>
  <c r="D457" i="19"/>
  <c r="F396" i="19"/>
  <c r="D429" i="19"/>
  <c r="F446" i="19"/>
  <c r="F463" i="19"/>
  <c r="D401" i="19"/>
  <c r="E450" i="19"/>
  <c r="D412" i="19"/>
  <c r="F445" i="19"/>
  <c r="D462" i="19"/>
  <c r="E479" i="19"/>
  <c r="G417" i="19"/>
  <c r="G450" i="19"/>
  <c r="F412" i="19"/>
  <c r="G445" i="19"/>
  <c r="E462" i="19"/>
  <c r="D479" i="19"/>
  <c r="D575" i="19" s="1"/>
  <c r="F417" i="19"/>
  <c r="F395" i="19"/>
  <c r="F420" i="19"/>
  <c r="F453" i="19"/>
  <c r="D470" i="19"/>
  <c r="E409" i="19"/>
  <c r="E404" i="19"/>
  <c r="F437" i="19"/>
  <c r="D454" i="19"/>
  <c r="F471" i="19"/>
  <c r="D436" i="19"/>
  <c r="E400" i="19"/>
  <c r="E441" i="19"/>
  <c r="E427" i="19"/>
  <c r="E452" i="19"/>
  <c r="E392" i="19"/>
  <c r="F458" i="19"/>
  <c r="D416" i="19"/>
  <c r="E457" i="19"/>
  <c r="G435" i="19"/>
  <c r="G460" i="19"/>
  <c r="E410" i="19"/>
  <c r="D399" i="19"/>
  <c r="D424" i="19"/>
  <c r="D450" i="19"/>
  <c r="G412" i="19"/>
  <c r="E445" i="19"/>
  <c r="F462" i="19"/>
  <c r="F479" i="19"/>
  <c r="D417" i="19"/>
  <c r="F403" i="19"/>
  <c r="F428" i="19"/>
  <c r="F461" i="19"/>
  <c r="G478" i="19"/>
  <c r="F426" i="19"/>
  <c r="G433" i="19"/>
  <c r="D403" i="19"/>
  <c r="E428" i="19"/>
  <c r="G461" i="19"/>
  <c r="D478" i="19"/>
  <c r="D574" i="19" s="1"/>
  <c r="E426" i="19"/>
  <c r="E433" i="19"/>
  <c r="E411" i="19"/>
  <c r="E436" i="19"/>
  <c r="F469" i="19"/>
  <c r="E393" i="19"/>
  <c r="D395" i="19"/>
  <c r="G420" i="19"/>
  <c r="G453" i="19"/>
  <c r="E470" i="19"/>
  <c r="G394" i="19"/>
  <c r="G427" i="19"/>
  <c r="F452" i="19"/>
  <c r="F392" i="19"/>
  <c r="G458" i="19"/>
  <c r="G416" i="19"/>
  <c r="G457" i="19"/>
  <c r="F443" i="19"/>
  <c r="G468" i="19"/>
  <c r="G466" i="19"/>
  <c r="D407" i="19"/>
  <c r="D432" i="19"/>
  <c r="F473" i="19"/>
  <c r="D451" i="19"/>
  <c r="F476" i="19"/>
  <c r="D398" i="19"/>
  <c r="D415" i="19"/>
  <c r="E440" i="19"/>
  <c r="E403" i="19"/>
  <c r="D428" i="19"/>
  <c r="D461" i="19"/>
  <c r="E478" i="19"/>
  <c r="G426" i="19"/>
  <c r="D433" i="19"/>
  <c r="D419" i="19"/>
  <c r="G444" i="19"/>
  <c r="E477" i="19"/>
  <c r="G402" i="19"/>
  <c r="D408" i="19"/>
  <c r="D449" i="19"/>
  <c r="F419" i="19"/>
  <c r="F444" i="19"/>
  <c r="G477" i="19"/>
  <c r="E402" i="19"/>
  <c r="F408" i="19"/>
  <c r="E449" i="19"/>
  <c r="F427" i="19"/>
  <c r="D452" i="19"/>
  <c r="D392" i="19"/>
  <c r="D458" i="19"/>
  <c r="D411" i="19"/>
  <c r="F436" i="19"/>
  <c r="E469" i="19"/>
  <c r="F393" i="19"/>
  <c r="G400" i="19"/>
  <c r="D445" i="19"/>
  <c r="D443" i="19"/>
  <c r="F468" i="19"/>
  <c r="E466" i="19"/>
  <c r="E407" i="19"/>
  <c r="E432" i="19"/>
  <c r="E473" i="19"/>
  <c r="D459" i="19"/>
  <c r="D418" i="19"/>
  <c r="F406" i="19"/>
  <c r="E423" i="19"/>
  <c r="D448" i="19"/>
  <c r="E417" i="19"/>
  <c r="E467" i="19"/>
  <c r="F397" i="19"/>
  <c r="G414" i="19"/>
  <c r="D431" i="19"/>
  <c r="D456" i="19"/>
  <c r="G419" i="19"/>
  <c r="D444" i="19"/>
  <c r="F477" i="19"/>
  <c r="D402" i="19"/>
  <c r="E408" i="19"/>
  <c r="F449" i="19"/>
  <c r="E435" i="19"/>
  <c r="D460" i="19"/>
  <c r="G410" i="19"/>
  <c r="G399" i="19"/>
  <c r="E424" i="19"/>
  <c r="D465" i="19"/>
  <c r="D435" i="19"/>
  <c r="E460" i="19"/>
  <c r="F410" i="19"/>
  <c r="E399" i="19"/>
  <c r="G424" i="19"/>
  <c r="F465" i="19"/>
  <c r="G443" i="19"/>
  <c r="E468" i="19"/>
  <c r="F466" i="19"/>
  <c r="G407" i="19"/>
  <c r="D427" i="19"/>
  <c r="G452" i="19"/>
  <c r="G392" i="19"/>
  <c r="E458" i="19"/>
  <c r="E416" i="19"/>
  <c r="D455" i="19"/>
  <c r="F459" i="19"/>
  <c r="E418" i="19"/>
  <c r="G406" i="19"/>
  <c r="D423" i="19"/>
  <c r="G448" i="19"/>
  <c r="G449" i="19"/>
  <c r="F475" i="19"/>
  <c r="F405" i="19"/>
  <c r="E422" i="19"/>
  <c r="F439" i="19"/>
  <c r="G464" i="19"/>
  <c r="E465" i="19"/>
  <c r="D442" i="19"/>
  <c r="D413" i="19"/>
  <c r="F430" i="19"/>
  <c r="D447" i="19"/>
  <c r="E472" i="19"/>
  <c r="F435" i="19"/>
  <c r="F460" i="19"/>
  <c r="D410" i="19"/>
  <c r="F399" i="19"/>
  <c r="F424" i="19"/>
  <c r="G465" i="19"/>
  <c r="E451" i="19"/>
  <c r="G476" i="19"/>
  <c r="E398" i="19"/>
  <c r="F415" i="19"/>
  <c r="G440" i="19"/>
  <c r="G439" i="19"/>
  <c r="F451" i="19"/>
  <c r="D476" i="19"/>
  <c r="D572" i="19" s="1"/>
  <c r="G398" i="19"/>
  <c r="G415" i="19"/>
  <c r="F440" i="19"/>
  <c r="G471" i="19"/>
  <c r="E459" i="19"/>
  <c r="F418" i="19"/>
  <c r="D406" i="19"/>
  <c r="F423" i="19"/>
  <c r="E443" i="19"/>
  <c r="D468" i="19"/>
  <c r="D466" i="19"/>
  <c r="F407" i="19"/>
  <c r="G432" i="19"/>
  <c r="G475" i="19"/>
  <c r="D405" i="19"/>
  <c r="F422" i="19"/>
  <c r="E439" i="19"/>
  <c r="D464" i="19"/>
  <c r="G441" i="19"/>
  <c r="G474" i="19"/>
  <c r="D421" i="19"/>
  <c r="F438" i="19"/>
  <c r="E455" i="19"/>
  <c r="G434" i="19"/>
  <c r="G473" i="19"/>
  <c r="G396" i="19"/>
  <c r="F429" i="19"/>
  <c r="G446" i="19"/>
  <c r="D463" i="19"/>
  <c r="F401" i="19"/>
  <c r="G451" i="19"/>
  <c r="E476" i="19"/>
  <c r="F398" i="19"/>
  <c r="E415" i="19"/>
  <c r="D440" i="19"/>
  <c r="D394" i="19"/>
  <c r="D467" i="19"/>
  <c r="E397" i="19"/>
  <c r="E414" i="19"/>
  <c r="E431" i="19"/>
  <c r="G456" i="19"/>
  <c r="F400" i="19"/>
  <c r="F467" i="19"/>
  <c r="G397" i="19"/>
  <c r="D414" i="19"/>
  <c r="F431" i="19"/>
  <c r="F456" i="19"/>
  <c r="F432" i="19"/>
  <c r="E475" i="19"/>
  <c r="G405" i="19"/>
  <c r="G422" i="19"/>
  <c r="F455" i="19"/>
  <c r="G459" i="19"/>
  <c r="G418" i="19"/>
  <c r="E406" i="19"/>
  <c r="G423" i="19"/>
  <c r="E448" i="19"/>
  <c r="D397" i="19"/>
  <c r="G430" i="19"/>
  <c r="F447" i="19"/>
  <c r="G472" i="19"/>
  <c r="E464" i="19"/>
  <c r="F442" i="19"/>
  <c r="G413" i="19"/>
  <c r="D430" i="19"/>
  <c r="G447" i="19"/>
  <c r="F472" i="19"/>
  <c r="E425" i="19"/>
  <c r="D474" i="19"/>
  <c r="E421" i="19"/>
  <c r="E438" i="19"/>
  <c r="F416" i="19"/>
  <c r="D475" i="19"/>
  <c r="D571" i="19" s="1"/>
  <c r="E405" i="19"/>
  <c r="D422" i="19"/>
  <c r="D439" i="19"/>
  <c r="F464" i="19"/>
  <c r="D437" i="19"/>
  <c r="D404" i="19"/>
  <c r="E437" i="19"/>
  <c r="D471" i="19"/>
  <c r="G409" i="19"/>
  <c r="E395" i="19"/>
  <c r="E420" i="19"/>
  <c r="D453" i="19"/>
  <c r="F470" i="19"/>
  <c r="F394" i="19"/>
  <c r="D425" i="19"/>
  <c r="G403" i="19"/>
  <c r="G428" i="19"/>
  <c r="E461" i="19"/>
  <c r="F478" i="19"/>
  <c r="D426" i="19"/>
  <c r="D409" i="19"/>
  <c r="E442" i="19"/>
  <c r="E413" i="19"/>
  <c r="E430" i="19"/>
  <c r="E447" i="19"/>
  <c r="D472" i="19"/>
  <c r="F457" i="19"/>
  <c r="E396" i="19"/>
  <c r="G429" i="19"/>
  <c r="D446" i="19"/>
  <c r="E463" i="19"/>
  <c r="G401" i="19"/>
  <c r="D434" i="19"/>
  <c r="D396" i="19"/>
  <c r="E429" i="19"/>
  <c r="E446" i="19"/>
  <c r="G463" i="19"/>
  <c r="E401" i="19"/>
  <c r="D441" i="19"/>
  <c r="F404" i="19"/>
  <c r="G437" i="19"/>
  <c r="E454" i="19"/>
  <c r="F434" i="19"/>
  <c r="F474" i="19"/>
  <c r="G421" i="19"/>
  <c r="D438" i="19"/>
  <c r="G455" i="19"/>
  <c r="D473" i="19"/>
  <c r="D46" i="18"/>
  <c r="E45" i="18"/>
  <c r="D45" i="18"/>
  <c r="F45" i="18"/>
  <c r="G45" i="18"/>
  <c r="D47" i="18"/>
  <c r="F47" i="18"/>
  <c r="G47" i="18"/>
  <c r="E47" i="18"/>
  <c r="E43" i="18"/>
  <c r="D43" i="18"/>
  <c r="F43" i="18"/>
  <c r="G43" i="18"/>
  <c r="G46" i="18"/>
  <c r="F46" i="18"/>
  <c r="E46" i="18"/>
  <c r="D44" i="18"/>
  <c r="F44" i="18"/>
  <c r="E44" i="18"/>
  <c r="G44" i="18"/>
  <c r="G265" i="8"/>
  <c r="F265" i="8"/>
  <c r="E265" i="8"/>
  <c r="D265" i="8"/>
  <c r="E56" i="18" l="1"/>
  <c r="E68" i="18" s="1"/>
  <c r="D56" i="18"/>
  <c r="D68" i="18" s="1"/>
  <c r="G57" i="18"/>
  <c r="G69" i="18" s="1"/>
  <c r="F57" i="18"/>
  <c r="F69" i="18" s="1"/>
  <c r="G55" i="18"/>
  <c r="G67" i="18" s="1"/>
  <c r="F55" i="18"/>
  <c r="F67" i="18" s="1"/>
  <c r="D55" i="18"/>
  <c r="D67" i="18" s="1"/>
  <c r="D57" i="18"/>
  <c r="D69" i="18" s="1"/>
  <c r="F56" i="18"/>
  <c r="F68" i="18" s="1"/>
  <c r="E55" i="18"/>
  <c r="E67" i="18" s="1"/>
  <c r="E57" i="18"/>
  <c r="E69" i="18" s="1"/>
  <c r="G56" i="18"/>
  <c r="G68" i="18" s="1"/>
  <c r="D58" i="18"/>
  <c r="D70" i="18" s="1"/>
  <c r="E58" i="18"/>
  <c r="E70" i="18" s="1"/>
  <c r="G59" i="18"/>
  <c r="G71" i="18" s="1"/>
  <c r="E59" i="18"/>
  <c r="E71" i="18" s="1"/>
  <c r="F58" i="18"/>
  <c r="F70" i="18" s="1"/>
  <c r="F59" i="18"/>
  <c r="F71" i="18" s="1"/>
  <c r="G58" i="18"/>
  <c r="G70" i="18" s="1"/>
  <c r="D59" i="18"/>
  <c r="D71" i="18" s="1"/>
  <c r="G256" i="8"/>
  <c r="F256" i="8"/>
  <c r="E256" i="8"/>
  <c r="D256" i="8"/>
  <c r="G211" i="8"/>
  <c r="F211" i="8"/>
  <c r="E211" i="8"/>
  <c r="D211" i="8"/>
  <c r="G202" i="8"/>
  <c r="F202" i="8"/>
  <c r="E202" i="8"/>
  <c r="D202" i="8"/>
  <c r="G195" i="8"/>
  <c r="F195" i="8"/>
  <c r="E195" i="8"/>
  <c r="D195" i="8"/>
  <c r="G188" i="8"/>
  <c r="F188" i="8"/>
  <c r="E188" i="8"/>
  <c r="D188" i="8"/>
  <c r="G176" i="8"/>
  <c r="F176" i="8"/>
  <c r="E176" i="8"/>
  <c r="D176" i="8"/>
  <c r="G160" i="8"/>
  <c r="F160" i="8"/>
  <c r="E160" i="8"/>
  <c r="D160" i="8"/>
  <c r="G169" i="8"/>
  <c r="F169" i="8"/>
  <c r="E169" i="8"/>
  <c r="D169" i="8"/>
  <c r="G153" i="8"/>
  <c r="F153" i="8"/>
  <c r="E153" i="8"/>
  <c r="D153" i="8"/>
  <c r="G89" i="8"/>
  <c r="F89" i="8"/>
  <c r="E89" i="8"/>
  <c r="D89" i="8"/>
  <c r="G131" i="8"/>
  <c r="F131" i="8"/>
  <c r="D131" i="8"/>
  <c r="G63" i="8"/>
  <c r="F63" i="8"/>
  <c r="E63" i="8"/>
  <c r="D63" i="8"/>
  <c r="G38" i="8"/>
  <c r="F38" i="8"/>
  <c r="E38" i="8"/>
  <c r="D38" i="8"/>
  <c r="D79" i="18" l="1"/>
  <c r="F79" i="18"/>
  <c r="E79" i="18"/>
  <c r="G79" i="18"/>
  <c r="G80" i="18"/>
  <c r="D81" i="18"/>
  <c r="E82" i="18"/>
  <c r="D82" i="18"/>
  <c r="E80" i="18"/>
  <c r="G81" i="18"/>
  <c r="F82" i="18"/>
  <c r="D80" i="18"/>
  <c r="F81" i="18"/>
  <c r="F80" i="18"/>
  <c r="E81" i="18"/>
  <c r="D487" i="19" l="1"/>
  <c r="D506" i="19"/>
  <c r="D539" i="19"/>
  <c r="D514" i="19"/>
  <c r="D555" i="19"/>
  <c r="D565" i="19"/>
  <c r="D530" i="19"/>
  <c r="D560" i="19"/>
  <c r="D542" i="19"/>
  <c r="D544" i="19"/>
  <c r="D488" i="19"/>
  <c r="D550" i="19"/>
  <c r="D541" i="19"/>
  <c r="D564" i="19"/>
  <c r="D513" i="19"/>
  <c r="D567" i="19"/>
  <c r="D502" i="19"/>
  <c r="D538" i="19"/>
  <c r="D529" i="19"/>
  <c r="D510" i="19"/>
  <c r="D519" i="19"/>
  <c r="D548" i="19"/>
  <c r="D553" i="19"/>
  <c r="D495" i="19"/>
  <c r="D543" i="19"/>
  <c r="D566" i="19"/>
  <c r="D537" i="19"/>
  <c r="D507" i="19"/>
  <c r="D532" i="19"/>
  <c r="D494" i="19"/>
  <c r="D525" i="19"/>
  <c r="D563" i="19"/>
  <c r="D558" i="19"/>
  <c r="D490" i="19"/>
  <c r="D585" i="19" s="1"/>
  <c r="D545" i="19"/>
  <c r="D489" i="19"/>
  <c r="D584" i="19" s="1"/>
  <c r="D14" i="21" s="1"/>
  <c r="D116" i="21" s="1"/>
  <c r="D184" i="21" s="1"/>
  <c r="D492" i="19"/>
  <c r="D536" i="19"/>
  <c r="D504" i="19"/>
  <c r="D551" i="19"/>
  <c r="D511" i="19"/>
  <c r="D522" i="19"/>
  <c r="D559" i="19"/>
  <c r="D523" i="19"/>
  <c r="D547" i="19"/>
  <c r="D516" i="19"/>
  <c r="D568" i="19"/>
  <c r="D557" i="19"/>
  <c r="D493" i="19"/>
  <c r="D500" i="19"/>
  <c r="D503" i="19"/>
  <c r="D497" i="19"/>
  <c r="D521" i="19"/>
  <c r="D549" i="19"/>
  <c r="D556" i="19"/>
  <c r="D496" i="19"/>
  <c r="D534" i="19"/>
  <c r="D569" i="19"/>
  <c r="D561" i="19"/>
  <c r="D505" i="19"/>
  <c r="D552" i="19"/>
  <c r="D535" i="19"/>
  <c r="D562" i="19"/>
  <c r="D508" i="19"/>
  <c r="D528" i="19"/>
  <c r="D498" i="19"/>
  <c r="D570" i="19"/>
  <c r="D546" i="19"/>
  <c r="D527" i="19"/>
  <c r="D518" i="19"/>
  <c r="D491" i="19"/>
  <c r="D531" i="19"/>
  <c r="D499" i="19"/>
  <c r="D540" i="19"/>
  <c r="D533" i="19"/>
  <c r="D554" i="19"/>
  <c r="D512" i="19"/>
  <c r="G82" i="18"/>
  <c r="G19" i="20" s="1"/>
  <c r="G154" i="20" s="1"/>
  <c r="F26" i="20"/>
  <c r="F18" i="20"/>
  <c r="E13" i="20"/>
  <c r="E98" i="18"/>
  <c r="E132" i="18" s="1"/>
  <c r="G26" i="20"/>
  <c r="G17" i="20"/>
  <c r="G100" i="20" s="1"/>
  <c r="G18" i="20"/>
  <c r="G92" i="18"/>
  <c r="G126" i="18" s="1"/>
  <c r="G99" i="18"/>
  <c r="G133" i="18" s="1"/>
  <c r="F91" i="18"/>
  <c r="F125" i="18" s="1"/>
  <c r="F25" i="20"/>
  <c r="F12" i="20"/>
  <c r="F98" i="18"/>
  <c r="F132" i="18" s="1"/>
  <c r="F16" i="20"/>
  <c r="F14" i="20"/>
  <c r="F15" i="20"/>
  <c r="F13" i="20"/>
  <c r="E93" i="18"/>
  <c r="E127" i="18" s="1"/>
  <c r="E19" i="20"/>
  <c r="D18" i="20"/>
  <c r="D99" i="18"/>
  <c r="D133" i="18" s="1"/>
  <c r="D17" i="20"/>
  <c r="D100" i="20" s="1"/>
  <c r="D92" i="18"/>
  <c r="D126" i="18" s="1"/>
  <c r="D26" i="20"/>
  <c r="E26" i="20"/>
  <c r="E92" i="18"/>
  <c r="E126" i="18" s="1"/>
  <c r="E17" i="20"/>
  <c r="E100" i="20" s="1"/>
  <c r="E18" i="20"/>
  <c r="E99" i="18"/>
  <c r="E133" i="18" s="1"/>
  <c r="D93" i="18"/>
  <c r="D127" i="18" s="1"/>
  <c r="D19" i="20"/>
  <c r="D98" i="18"/>
  <c r="D132" i="18" s="1"/>
  <c r="D25" i="20"/>
  <c r="D91" i="18"/>
  <c r="D125" i="18" s="1"/>
  <c r="D15" i="20"/>
  <c r="D13" i="20"/>
  <c r="D14" i="20"/>
  <c r="D16" i="20"/>
  <c r="D12" i="20"/>
  <c r="F93" i="18"/>
  <c r="F127" i="18" s="1"/>
  <c r="F19" i="20"/>
  <c r="E16" i="20"/>
  <c r="E91" i="18"/>
  <c r="E125" i="18" s="1"/>
  <c r="E25" i="20"/>
  <c r="E15" i="20"/>
  <c r="F99" i="18"/>
  <c r="F133" i="18" s="1"/>
  <c r="E12" i="20"/>
  <c r="F17" i="20"/>
  <c r="F100" i="20" s="1"/>
  <c r="E14" i="20"/>
  <c r="F92" i="18"/>
  <c r="F126" i="18" s="1"/>
  <c r="E191" i="8"/>
  <c r="G13" i="20"/>
  <c r="G14" i="20"/>
  <c r="G16" i="20"/>
  <c r="G98" i="18"/>
  <c r="G132" i="18" s="1"/>
  <c r="G25" i="20"/>
  <c r="G91" i="18"/>
  <c r="G125" i="18" s="1"/>
  <c r="G12" i="20"/>
  <c r="G15" i="20"/>
  <c r="F154" i="20" l="1"/>
  <c r="E154" i="20"/>
  <c r="D154" i="20"/>
  <c r="E572" i="19"/>
  <c r="E574" i="19"/>
  <c r="E575" i="19"/>
  <c r="E573" i="19"/>
  <c r="E571" i="19"/>
  <c r="E487" i="19"/>
  <c r="E497" i="19"/>
  <c r="E538" i="19"/>
  <c r="E494" i="19"/>
  <c r="E504" i="19"/>
  <c r="E489" i="19"/>
  <c r="E584" i="19" s="1"/>
  <c r="E602" i="19" s="1"/>
  <c r="E636" i="19" s="1"/>
  <c r="E528" i="19"/>
  <c r="E513" i="19"/>
  <c r="E532" i="19"/>
  <c r="E540" i="19"/>
  <c r="E551" i="19"/>
  <c r="E541" i="19"/>
  <c r="E560" i="19"/>
  <c r="E561" i="19"/>
  <c r="E534" i="19"/>
  <c r="E502" i="19"/>
  <c r="E543" i="19"/>
  <c r="E508" i="19"/>
  <c r="E547" i="19"/>
  <c r="E565" i="19"/>
  <c r="E537" i="19"/>
  <c r="E527" i="19"/>
  <c r="E503" i="19"/>
  <c r="E562" i="19"/>
  <c r="E553" i="19"/>
  <c r="E542" i="19"/>
  <c r="E550" i="19"/>
  <c r="E569" i="19"/>
  <c r="E506" i="19"/>
  <c r="E544" i="19"/>
  <c r="E492" i="19"/>
  <c r="E525" i="19"/>
  <c r="E514" i="19"/>
  <c r="E548" i="19"/>
  <c r="E568" i="19"/>
  <c r="E523" i="19"/>
  <c r="E570" i="19"/>
  <c r="E499" i="19"/>
  <c r="E559" i="19"/>
  <c r="E498" i="19"/>
  <c r="E552" i="19"/>
  <c r="E493" i="19"/>
  <c r="E495" i="19"/>
  <c r="E500" i="19"/>
  <c r="E518" i="19"/>
  <c r="E545" i="19"/>
  <c r="E505" i="19"/>
  <c r="E564" i="19"/>
  <c r="E496" i="19"/>
  <c r="E554" i="19"/>
  <c r="E566" i="19"/>
  <c r="E522" i="19"/>
  <c r="E516" i="19"/>
  <c r="E530" i="19"/>
  <c r="E557" i="19"/>
  <c r="E556" i="19"/>
  <c r="E558" i="19"/>
  <c r="E533" i="19"/>
  <c r="E536" i="19"/>
  <c r="E519" i="19"/>
  <c r="E529" i="19"/>
  <c r="E555" i="19"/>
  <c r="E549" i="19"/>
  <c r="E531" i="19"/>
  <c r="E491" i="19"/>
  <c r="E511" i="19"/>
  <c r="E546" i="19"/>
  <c r="E535" i="19"/>
  <c r="E512" i="19"/>
  <c r="E510" i="19"/>
  <c r="E507" i="19"/>
  <c r="E490" i="19"/>
  <c r="E585" i="19" s="1"/>
  <c r="E521" i="19"/>
  <c r="E488" i="19"/>
  <c r="E539" i="19"/>
  <c r="E563" i="19"/>
  <c r="E567" i="19"/>
  <c r="D15" i="21"/>
  <c r="D117" i="21" s="1"/>
  <c r="D185" i="21" s="1"/>
  <c r="D32" i="21"/>
  <c r="D134" i="21" s="1"/>
  <c r="D202" i="21" s="1"/>
  <c r="D12" i="21"/>
  <c r="D114" i="21" s="1"/>
  <c r="D182" i="21" s="1"/>
  <c r="G93" i="18"/>
  <c r="G127" i="18" s="1"/>
  <c r="D13" i="21"/>
  <c r="D115" i="21" s="1"/>
  <c r="D183" i="21" s="1"/>
  <c r="D602" i="19"/>
  <c r="D636" i="19" s="1"/>
  <c r="D31" i="21"/>
  <c r="D133" i="21" s="1"/>
  <c r="D201" i="21" s="1"/>
  <c r="D595" i="19"/>
  <c r="D629" i="19" s="1"/>
  <c r="D16" i="21"/>
  <c r="D118" i="21" s="1"/>
  <c r="D186" i="21" s="1"/>
  <c r="D583" i="19"/>
  <c r="D29" i="21" s="1"/>
  <c r="D131" i="21" s="1"/>
  <c r="D199" i="21" s="1"/>
  <c r="D586" i="19"/>
  <c r="F191" i="8"/>
  <c r="D17" i="21"/>
  <c r="D119" i="21" s="1"/>
  <c r="D187" i="21" s="1"/>
  <c r="D33" i="21"/>
  <c r="D135" i="21" s="1"/>
  <c r="D203" i="21" s="1"/>
  <c r="D596" i="19"/>
  <c r="D630" i="19" s="1"/>
  <c r="D18" i="21"/>
  <c r="D120" i="21" s="1"/>
  <c r="D188" i="21" s="1"/>
  <c r="D603" i="19"/>
  <c r="D637" i="19" s="1"/>
  <c r="E24" i="20"/>
  <c r="E105" i="20" s="1"/>
  <c r="E11" i="20"/>
  <c r="E92" i="20" s="1"/>
  <c r="E9" i="20"/>
  <c r="E90" i="20" s="1"/>
  <c r="E7" i="20"/>
  <c r="E88" i="20" s="1"/>
  <c r="E23" i="20"/>
  <c r="E104" i="20" s="1"/>
  <c r="E10" i="20"/>
  <c r="E91" i="20" s="1"/>
  <c r="E8" i="20"/>
  <c r="E89" i="20" s="1"/>
  <c r="F23" i="20"/>
  <c r="F104" i="20" s="1"/>
  <c r="F10" i="20"/>
  <c r="F91" i="20" s="1"/>
  <c r="F8" i="20"/>
  <c r="F89" i="20" s="1"/>
  <c r="F9" i="20"/>
  <c r="F90" i="20" s="1"/>
  <c r="F11" i="20"/>
  <c r="F92" i="20" s="1"/>
  <c r="F24" i="20"/>
  <c r="F105" i="20" s="1"/>
  <c r="F7" i="20"/>
  <c r="F88" i="20" s="1"/>
  <c r="G23" i="20"/>
  <c r="G104" i="20" s="1"/>
  <c r="G10" i="20"/>
  <c r="G91" i="20" s="1"/>
  <c r="G8" i="20"/>
  <c r="G89" i="20" s="1"/>
  <c r="G24" i="20"/>
  <c r="G105" i="20" s="1"/>
  <c r="G11" i="20"/>
  <c r="G92" i="20" s="1"/>
  <c r="G9" i="20"/>
  <c r="G90" i="20" s="1"/>
  <c r="G7" i="20"/>
  <c r="G88" i="20" s="1"/>
  <c r="D24" i="20"/>
  <c r="D105" i="20" s="1"/>
  <c r="D11" i="20"/>
  <c r="D92" i="20" s="1"/>
  <c r="D9" i="20"/>
  <c r="D90" i="20" s="1"/>
  <c r="D7" i="20"/>
  <c r="D88" i="20" s="1"/>
  <c r="D23" i="20"/>
  <c r="D104" i="20" s="1"/>
  <c r="D10" i="20"/>
  <c r="D91" i="20" s="1"/>
  <c r="D8" i="20"/>
  <c r="D89" i="20" s="1"/>
  <c r="D97" i="18"/>
  <c r="D90" i="18"/>
  <c r="D99" i="20"/>
  <c r="G107" i="20"/>
  <c r="G98" i="20"/>
  <c r="F107" i="20"/>
  <c r="F98" i="20"/>
  <c r="E107" i="20"/>
  <c r="E98" i="20"/>
  <c r="D107" i="20"/>
  <c r="D98" i="20"/>
  <c r="G99" i="20"/>
  <c r="F99" i="20"/>
  <c r="E99" i="20"/>
  <c r="D106" i="20"/>
  <c r="D97" i="20"/>
  <c r="D95" i="20"/>
  <c r="D93" i="20"/>
  <c r="G96" i="20"/>
  <c r="G94" i="20"/>
  <c r="F96" i="20"/>
  <c r="F94" i="20"/>
  <c r="E96" i="20"/>
  <c r="E94" i="20"/>
  <c r="D96" i="20"/>
  <c r="D94" i="20"/>
  <c r="G106" i="20"/>
  <c r="G97" i="20"/>
  <c r="G95" i="20"/>
  <c r="G93" i="20"/>
  <c r="F106" i="20"/>
  <c r="F97" i="20"/>
  <c r="F95" i="20"/>
  <c r="F93" i="20"/>
  <c r="E106" i="20"/>
  <c r="E97" i="20"/>
  <c r="E95" i="20"/>
  <c r="E93" i="20"/>
  <c r="F97" i="18"/>
  <c r="F90" i="18"/>
  <c r="E90" i="18"/>
  <c r="E97" i="18"/>
  <c r="G97" i="18"/>
  <c r="G90" i="18"/>
  <c r="F572" i="19" l="1"/>
  <c r="F574" i="19"/>
  <c r="F575" i="19"/>
  <c r="F571" i="19"/>
  <c r="F573" i="19"/>
  <c r="F487" i="19"/>
  <c r="F554" i="19"/>
  <c r="F543" i="19"/>
  <c r="F511" i="19"/>
  <c r="F533" i="19"/>
  <c r="F568" i="19"/>
  <c r="F528" i="19"/>
  <c r="F546" i="19"/>
  <c r="F495" i="19"/>
  <c r="F540" i="19"/>
  <c r="F567" i="19"/>
  <c r="F570" i="19"/>
  <c r="F551" i="19"/>
  <c r="F556" i="19"/>
  <c r="F541" i="19"/>
  <c r="F531" i="19"/>
  <c r="F499" i="19"/>
  <c r="F493" i="19"/>
  <c r="F521" i="19"/>
  <c r="F491" i="19"/>
  <c r="F513" i="19"/>
  <c r="F530" i="19"/>
  <c r="F563" i="19"/>
  <c r="F535" i="19"/>
  <c r="F523" i="19"/>
  <c r="F544" i="19"/>
  <c r="F510" i="19"/>
  <c r="F504" i="19"/>
  <c r="F532" i="19"/>
  <c r="F558" i="19"/>
  <c r="F547" i="19"/>
  <c r="F490" i="19"/>
  <c r="F585" i="19" s="1"/>
  <c r="F527" i="19"/>
  <c r="F489" i="19"/>
  <c r="F584" i="19" s="1"/>
  <c r="F595" i="19" s="1"/>
  <c r="F629" i="19" s="1"/>
  <c r="F508" i="19"/>
  <c r="F518" i="19"/>
  <c r="F516" i="19"/>
  <c r="F539" i="19"/>
  <c r="F537" i="19"/>
  <c r="F492" i="19"/>
  <c r="F553" i="19"/>
  <c r="F525" i="19"/>
  <c r="F494" i="19"/>
  <c r="F519" i="19"/>
  <c r="F497" i="19"/>
  <c r="F506" i="19"/>
  <c r="F569" i="19"/>
  <c r="F496" i="19"/>
  <c r="F555" i="19"/>
  <c r="F548" i="19"/>
  <c r="F507" i="19"/>
  <c r="F549" i="19"/>
  <c r="F552" i="19"/>
  <c r="F561" i="19"/>
  <c r="F542" i="19"/>
  <c r="F534" i="19"/>
  <c r="F560" i="19"/>
  <c r="F557" i="19"/>
  <c r="F503" i="19"/>
  <c r="F505" i="19"/>
  <c r="F545" i="19"/>
  <c r="F538" i="19"/>
  <c r="F562" i="19"/>
  <c r="F500" i="19"/>
  <c r="F565" i="19"/>
  <c r="F512" i="19"/>
  <c r="F566" i="19"/>
  <c r="F514" i="19"/>
  <c r="F564" i="19"/>
  <c r="F502" i="19"/>
  <c r="F529" i="19"/>
  <c r="F536" i="19"/>
  <c r="F488" i="19"/>
  <c r="F498" i="19"/>
  <c r="F559" i="19"/>
  <c r="F522" i="19"/>
  <c r="F550" i="19"/>
  <c r="E32" i="21"/>
  <c r="E134" i="21" s="1"/>
  <c r="E202" i="21" s="1"/>
  <c r="E16" i="21"/>
  <c r="E118" i="21" s="1"/>
  <c r="E186" i="21" s="1"/>
  <c r="E31" i="21"/>
  <c r="E133" i="21" s="1"/>
  <c r="E201" i="21" s="1"/>
  <c r="E12" i="21"/>
  <c r="E114" i="21" s="1"/>
  <c r="E182" i="21" s="1"/>
  <c r="E595" i="19"/>
  <c r="E629" i="19" s="1"/>
  <c r="E14" i="21"/>
  <c r="E116" i="21" s="1"/>
  <c r="E184" i="21" s="1"/>
  <c r="E15" i="21"/>
  <c r="E117" i="21" s="1"/>
  <c r="E185" i="21" s="1"/>
  <c r="E13" i="21"/>
  <c r="E115" i="21" s="1"/>
  <c r="E183" i="21" s="1"/>
  <c r="E586" i="19"/>
  <c r="E583" i="19"/>
  <c r="E8" i="21" s="1"/>
  <c r="E110" i="21" s="1"/>
  <c r="D7" i="21"/>
  <c r="D109" i="21" s="1"/>
  <c r="D177" i="21" s="1"/>
  <c r="D9" i="21"/>
  <c r="D111" i="21" s="1"/>
  <c r="D179" i="21" s="1"/>
  <c r="D30" i="21"/>
  <c r="D132" i="21" s="1"/>
  <c r="D200" i="21" s="1"/>
  <c r="D594" i="19"/>
  <c r="D628" i="19" s="1"/>
  <c r="D601" i="19"/>
  <c r="D635" i="19" s="1"/>
  <c r="D8" i="21"/>
  <c r="D110" i="21" s="1"/>
  <c r="D178" i="21" s="1"/>
  <c r="D11" i="21"/>
  <c r="D113" i="21" s="1"/>
  <c r="D181" i="21" s="1"/>
  <c r="D10" i="21"/>
  <c r="D112" i="21" s="1"/>
  <c r="D180" i="21" s="1"/>
  <c r="G191" i="8"/>
  <c r="E596" i="19"/>
  <c r="E630" i="19" s="1"/>
  <c r="E17" i="21"/>
  <c r="E119" i="21" s="1"/>
  <c r="E603" i="19"/>
  <c r="E637" i="19" s="1"/>
  <c r="E18" i="21"/>
  <c r="E120" i="21" s="1"/>
  <c r="E33" i="21"/>
  <c r="E135" i="21" s="1"/>
  <c r="D597" i="19"/>
  <c r="D631" i="19" s="1"/>
  <c r="D24" i="21"/>
  <c r="D126" i="21" s="1"/>
  <c r="D22" i="21"/>
  <c r="D124" i="21" s="1"/>
  <c r="D19" i="21"/>
  <c r="D121" i="21" s="1"/>
  <c r="D20" i="21"/>
  <c r="D122" i="21" s="1"/>
  <c r="D25" i="21"/>
  <c r="D127" i="21" s="1"/>
  <c r="D23" i="21"/>
  <c r="D125" i="21" s="1"/>
  <c r="D21" i="21"/>
  <c r="D123" i="21" s="1"/>
  <c r="D131" i="18"/>
  <c r="F131" i="18"/>
  <c r="E131" i="18"/>
  <c r="G131" i="18"/>
  <c r="D124" i="18"/>
  <c r="E124" i="18"/>
  <c r="G124" i="18"/>
  <c r="F124" i="18"/>
  <c r="F150" i="20"/>
  <c r="F143" i="20"/>
  <c r="F146" i="20"/>
  <c r="E151" i="20"/>
  <c r="G153" i="20"/>
  <c r="D159" i="20"/>
  <c r="F159" i="20"/>
  <c r="E160" i="20"/>
  <c r="G160" i="20"/>
  <c r="G150" i="20"/>
  <c r="D152" i="20"/>
  <c r="D153" i="20"/>
  <c r="F158" i="20"/>
  <c r="E142" i="20"/>
  <c r="G142" i="20"/>
  <c r="F147" i="20"/>
  <c r="D148" i="20"/>
  <c r="D147" i="20"/>
  <c r="D161" i="20"/>
  <c r="G143" i="20"/>
  <c r="E144" i="20"/>
  <c r="G144" i="20"/>
  <c r="G149" i="20"/>
  <c r="G152" i="20"/>
  <c r="D146" i="20"/>
  <c r="G148" i="20"/>
  <c r="F145" i="20"/>
  <c r="D150" i="20"/>
  <c r="D149" i="20"/>
  <c r="E152" i="20"/>
  <c r="G145" i="20"/>
  <c r="E146" i="20"/>
  <c r="G146" i="20"/>
  <c r="E149" i="20"/>
  <c r="F153" i="20"/>
  <c r="D158" i="20"/>
  <c r="G151" i="20"/>
  <c r="G161" i="20"/>
  <c r="F149" i="20"/>
  <c r="F151" i="20"/>
  <c r="E148" i="20"/>
  <c r="D151" i="20"/>
  <c r="E161" i="20"/>
  <c r="E143" i="20"/>
  <c r="G158" i="20"/>
  <c r="E159" i="20"/>
  <c r="G159" i="20"/>
  <c r="F160" i="20"/>
  <c r="E150" i="20"/>
  <c r="D160" i="20"/>
  <c r="F152" i="20"/>
  <c r="E145" i="20"/>
  <c r="D142" i="20"/>
  <c r="F142" i="20"/>
  <c r="D143" i="20"/>
  <c r="E147" i="20"/>
  <c r="G147" i="20"/>
  <c r="F148" i="20"/>
  <c r="E153" i="20"/>
  <c r="F161" i="20"/>
  <c r="E158" i="20"/>
  <c r="D144" i="20"/>
  <c r="F144" i="20"/>
  <c r="D145" i="20"/>
  <c r="G575" i="19" l="1"/>
  <c r="G573" i="19"/>
  <c r="G572" i="19"/>
  <c r="G574" i="19"/>
  <c r="G571" i="19"/>
  <c r="G487" i="19"/>
  <c r="G568" i="19"/>
  <c r="G527" i="19"/>
  <c r="G557" i="19"/>
  <c r="G532" i="19"/>
  <c r="G499" i="19"/>
  <c r="G494" i="19"/>
  <c r="G556" i="19"/>
  <c r="G555" i="19"/>
  <c r="G518" i="19"/>
  <c r="G496" i="19"/>
  <c r="G491" i="19"/>
  <c r="G551" i="19"/>
  <c r="G529" i="19"/>
  <c r="G563" i="19"/>
  <c r="G514" i="19"/>
  <c r="G522" i="19"/>
  <c r="G493" i="19"/>
  <c r="G560" i="19"/>
  <c r="G505" i="19"/>
  <c r="G511" i="19"/>
  <c r="G530" i="19"/>
  <c r="G521" i="19"/>
  <c r="G544" i="19"/>
  <c r="G548" i="19"/>
  <c r="G553" i="19"/>
  <c r="G502" i="19"/>
  <c r="G534" i="19"/>
  <c r="G543" i="19"/>
  <c r="G552" i="19"/>
  <c r="G531" i="19"/>
  <c r="G545" i="19"/>
  <c r="G559" i="19"/>
  <c r="G488" i="19"/>
  <c r="G549" i="19"/>
  <c r="G542" i="19"/>
  <c r="G503" i="19"/>
  <c r="G500" i="19"/>
  <c r="G540" i="19"/>
  <c r="G565" i="19"/>
  <c r="G564" i="19"/>
  <c r="G513" i="19"/>
  <c r="G525" i="19"/>
  <c r="G506" i="19"/>
  <c r="G566" i="19"/>
  <c r="G528" i="19"/>
  <c r="G570" i="19"/>
  <c r="G512" i="19"/>
  <c r="G537" i="19"/>
  <c r="G498" i="19"/>
  <c r="G541" i="19"/>
  <c r="G569" i="19"/>
  <c r="G561" i="19"/>
  <c r="G490" i="19"/>
  <c r="G585" i="19" s="1"/>
  <c r="G538" i="19"/>
  <c r="G516" i="19"/>
  <c r="G554" i="19"/>
  <c r="G489" i="19"/>
  <c r="G584" i="19" s="1"/>
  <c r="G12" i="21" s="1"/>
  <c r="G114" i="21" s="1"/>
  <c r="G182" i="21" s="1"/>
  <c r="G562" i="19"/>
  <c r="G546" i="19"/>
  <c r="G495" i="19"/>
  <c r="G508" i="19"/>
  <c r="G550" i="19"/>
  <c r="G536" i="19"/>
  <c r="G558" i="19"/>
  <c r="G567" i="19"/>
  <c r="G510" i="19"/>
  <c r="G504" i="19"/>
  <c r="G533" i="19"/>
  <c r="G492" i="19"/>
  <c r="G497" i="19"/>
  <c r="G519" i="19"/>
  <c r="G539" i="19"/>
  <c r="G523" i="19"/>
  <c r="G547" i="19"/>
  <c r="G507" i="19"/>
  <c r="G535" i="19"/>
  <c r="F15" i="21"/>
  <c r="F117" i="21" s="1"/>
  <c r="F185" i="21" s="1"/>
  <c r="F12" i="21"/>
  <c r="F114" i="21" s="1"/>
  <c r="F182" i="21" s="1"/>
  <c r="F602" i="19"/>
  <c r="F636" i="19" s="1"/>
  <c r="F32" i="21"/>
  <c r="F134" i="21" s="1"/>
  <c r="F202" i="21" s="1"/>
  <c r="F14" i="21"/>
  <c r="F116" i="21" s="1"/>
  <c r="F184" i="21" s="1"/>
  <c r="F16" i="21"/>
  <c r="F118" i="21" s="1"/>
  <c r="F186" i="21" s="1"/>
  <c r="F13" i="21"/>
  <c r="F115" i="21" s="1"/>
  <c r="F183" i="21" s="1"/>
  <c r="F31" i="21"/>
  <c r="F133" i="21" s="1"/>
  <c r="F201" i="21" s="1"/>
  <c r="F583" i="19"/>
  <c r="F586" i="19"/>
  <c r="D665" i="19"/>
  <c r="D699" i="19" s="1"/>
  <c r="E10" i="21"/>
  <c r="E112" i="21" s="1"/>
  <c r="E180" i="21" s="1"/>
  <c r="E9" i="21"/>
  <c r="E111" i="21" s="1"/>
  <c r="E179" i="21" s="1"/>
  <c r="E11" i="21"/>
  <c r="E113" i="21" s="1"/>
  <c r="E181" i="21" s="1"/>
  <c r="E601" i="19"/>
  <c r="E635" i="19" s="1"/>
  <c r="E7" i="21"/>
  <c r="E109" i="21" s="1"/>
  <c r="E177" i="21" s="1"/>
  <c r="E594" i="19"/>
  <c r="E628" i="19" s="1"/>
  <c r="E30" i="21"/>
  <c r="E132" i="21" s="1"/>
  <c r="E200" i="21" s="1"/>
  <c r="E29" i="21"/>
  <c r="E131" i="21" s="1"/>
  <c r="E199" i="21" s="1"/>
  <c r="D664" i="19"/>
  <c r="D698" i="19" s="1"/>
  <c r="D662" i="19"/>
  <c r="D696" i="19" s="1"/>
  <c r="D195" i="21"/>
  <c r="E203" i="21"/>
  <c r="F17" i="21"/>
  <c r="F119" i="21" s="1"/>
  <c r="F33" i="21"/>
  <c r="F135" i="21" s="1"/>
  <c r="F596" i="19"/>
  <c r="F630" i="19" s="1"/>
  <c r="F18" i="21"/>
  <c r="F120" i="21" s="1"/>
  <c r="F603" i="19"/>
  <c r="F637" i="19" s="1"/>
  <c r="D190" i="21"/>
  <c r="E188" i="21"/>
  <c r="D193" i="21"/>
  <c r="D189" i="21"/>
  <c r="D159" i="18"/>
  <c r="D176" i="18" s="1"/>
  <c r="D192" i="21"/>
  <c r="E187" i="21"/>
  <c r="D194" i="21"/>
  <c r="E178" i="21"/>
  <c r="D671" i="19"/>
  <c r="D705" i="19" s="1"/>
  <c r="E19" i="21"/>
  <c r="E121" i="21" s="1"/>
  <c r="E597" i="19"/>
  <c r="E631" i="19" s="1"/>
  <c r="E24" i="21"/>
  <c r="E126" i="21" s="1"/>
  <c r="E21" i="21"/>
  <c r="E123" i="21" s="1"/>
  <c r="E22" i="21"/>
  <c r="E124" i="21" s="1"/>
  <c r="E20" i="21"/>
  <c r="E122" i="21" s="1"/>
  <c r="E25" i="21"/>
  <c r="E127" i="21" s="1"/>
  <c r="E23" i="21"/>
  <c r="E125" i="21" s="1"/>
  <c r="D670" i="19"/>
  <c r="D704" i="19" s="1"/>
  <c r="D191" i="21"/>
  <c r="D663" i="19"/>
  <c r="D697" i="19" s="1"/>
  <c r="D669" i="19"/>
  <c r="D703" i="19" s="1"/>
  <c r="E166" i="18"/>
  <c r="E183" i="18" s="1"/>
  <c r="D161" i="18"/>
  <c r="D178" i="18" s="1"/>
  <c r="F165" i="18"/>
  <c r="F182" i="18" s="1"/>
  <c r="G165" i="18"/>
  <c r="G182" i="18" s="1"/>
  <c r="D165" i="18"/>
  <c r="D182" i="18" s="1"/>
  <c r="D160" i="18"/>
  <c r="D177" i="18" s="1"/>
  <c r="E161" i="18"/>
  <c r="E178" i="18" s="1"/>
  <c r="D166" i="18"/>
  <c r="D183" i="18" s="1"/>
  <c r="D158" i="18"/>
  <c r="D175" i="18" s="1"/>
  <c r="F160" i="18"/>
  <c r="F177" i="18" s="1"/>
  <c r="D167" i="18"/>
  <c r="D184" i="18" s="1"/>
  <c r="F158" i="18"/>
  <c r="F175" i="18" s="1"/>
  <c r="F167" i="18"/>
  <c r="F184" i="18" s="1"/>
  <c r="E158" i="18"/>
  <c r="E175" i="18" s="1"/>
  <c r="E160" i="18"/>
  <c r="E177" i="18" s="1"/>
  <c r="F159" i="18"/>
  <c r="F176" i="18" s="1"/>
  <c r="E167" i="18"/>
  <c r="E184" i="18" s="1"/>
  <c r="F161" i="18"/>
  <c r="F178" i="18" s="1"/>
  <c r="F166" i="18"/>
  <c r="F183" i="18" s="1"/>
  <c r="E159" i="18"/>
  <c r="E176" i="18" s="1"/>
  <c r="E165" i="18"/>
  <c r="E182" i="18" s="1"/>
  <c r="G167" i="18"/>
  <c r="G184" i="18" s="1"/>
  <c r="G159" i="18"/>
  <c r="G176" i="18" s="1"/>
  <c r="G161" i="18"/>
  <c r="G178" i="18" s="1"/>
  <c r="G166" i="18"/>
  <c r="G183" i="18" s="1"/>
  <c r="G158" i="18"/>
  <c r="G175" i="18" s="1"/>
  <c r="G160" i="18"/>
  <c r="G177" i="18" s="1"/>
  <c r="D162" i="20"/>
  <c r="G162" i="20"/>
  <c r="F162" i="20"/>
  <c r="E162" i="20"/>
  <c r="G14" i="21" l="1"/>
  <c r="G116" i="21" s="1"/>
  <c r="G184" i="21" s="1"/>
  <c r="G595" i="19"/>
  <c r="G629" i="19" s="1"/>
  <c r="G13" i="21"/>
  <c r="G115" i="21" s="1"/>
  <c r="G183" i="21" s="1"/>
  <c r="G15" i="21"/>
  <c r="G117" i="21" s="1"/>
  <c r="G185" i="21" s="1"/>
  <c r="G16" i="21"/>
  <c r="G118" i="21" s="1"/>
  <c r="G186" i="21" s="1"/>
  <c r="G31" i="21"/>
  <c r="G133" i="21" s="1"/>
  <c r="G201" i="21" s="1"/>
  <c r="G32" i="21"/>
  <c r="G134" i="21" s="1"/>
  <c r="G202" i="21" s="1"/>
  <c r="G602" i="19"/>
  <c r="G636" i="19" s="1"/>
  <c r="G583" i="19"/>
  <c r="G8" i="21" s="1"/>
  <c r="G110" i="21" s="1"/>
  <c r="G586" i="19"/>
  <c r="E665" i="19"/>
  <c r="E699" i="19" s="1"/>
  <c r="D706" i="19"/>
  <c r="D707" i="19" s="1"/>
  <c r="E189" i="21"/>
  <c r="E662" i="19"/>
  <c r="E696" i="19" s="1"/>
  <c r="E193" i="21"/>
  <c r="E669" i="19"/>
  <c r="E703" i="19" s="1"/>
  <c r="D204" i="21"/>
  <c r="E670" i="19"/>
  <c r="E704" i="19" s="1"/>
  <c r="E195" i="21"/>
  <c r="E190" i="21"/>
  <c r="E664" i="19"/>
  <c r="E698" i="19" s="1"/>
  <c r="F9" i="21"/>
  <c r="F111" i="21" s="1"/>
  <c r="F30" i="21"/>
  <c r="F132" i="21" s="1"/>
  <c r="F29" i="21"/>
  <c r="F131" i="21" s="1"/>
  <c r="F8" i="21"/>
  <c r="F110" i="21" s="1"/>
  <c r="F7" i="21"/>
  <c r="F109" i="21" s="1"/>
  <c r="F11" i="21"/>
  <c r="F113" i="21" s="1"/>
  <c r="F594" i="19"/>
  <c r="F628" i="19" s="1"/>
  <c r="F10" i="21"/>
  <c r="F112" i="21" s="1"/>
  <c r="F601" i="19"/>
  <c r="F635" i="19" s="1"/>
  <c r="F187" i="21"/>
  <c r="E192" i="21"/>
  <c r="F19" i="21"/>
  <c r="F121" i="21" s="1"/>
  <c r="F597" i="19"/>
  <c r="F631" i="19" s="1"/>
  <c r="F24" i="21"/>
  <c r="F126" i="21" s="1"/>
  <c r="F22" i="21"/>
  <c r="F124" i="21" s="1"/>
  <c r="F20" i="21"/>
  <c r="F122" i="21" s="1"/>
  <c r="F21" i="21"/>
  <c r="F123" i="21" s="1"/>
  <c r="F25" i="21"/>
  <c r="F127" i="21" s="1"/>
  <c r="F23" i="21"/>
  <c r="F125" i="21" s="1"/>
  <c r="F188" i="21"/>
  <c r="E191" i="21"/>
  <c r="E671" i="19"/>
  <c r="E705" i="19" s="1"/>
  <c r="G17" i="21"/>
  <c r="G119" i="21" s="1"/>
  <c r="G603" i="19"/>
  <c r="G637" i="19" s="1"/>
  <c r="G596" i="19"/>
  <c r="G630" i="19" s="1"/>
  <c r="G18" i="21"/>
  <c r="G120" i="21" s="1"/>
  <c r="G33" i="21"/>
  <c r="G135" i="21" s="1"/>
  <c r="E194" i="21"/>
  <c r="E663" i="19"/>
  <c r="E697" i="19" s="1"/>
  <c r="F203" i="21"/>
  <c r="D185" i="18"/>
  <c r="D186" i="18" s="1"/>
  <c r="G185" i="18"/>
  <c r="G186" i="18" s="1"/>
  <c r="F185" i="18"/>
  <c r="F186" i="18" s="1"/>
  <c r="E185" i="18"/>
  <c r="E186" i="18" s="1"/>
  <c r="G175" i="20"/>
  <c r="J10" i="54" s="1"/>
  <c r="I10" i="49" s="1"/>
  <c r="G189" i="20"/>
  <c r="G216" i="20" s="1"/>
  <c r="G178" i="20"/>
  <c r="G181" i="20"/>
  <c r="G176" i="20"/>
  <c r="G179" i="20"/>
  <c r="G180" i="20"/>
  <c r="J15" i="54" s="1"/>
  <c r="I15" i="49" s="1"/>
  <c r="G182" i="20"/>
  <c r="J17" i="54" s="1"/>
  <c r="I17" i="49" s="1"/>
  <c r="G188" i="20"/>
  <c r="G215" i="20" s="1"/>
  <c r="G177" i="20"/>
  <c r="G173" i="20"/>
  <c r="G186" i="20"/>
  <c r="G213" i="20" s="1"/>
  <c r="G171" i="20"/>
  <c r="G170" i="20"/>
  <c r="J5" i="54" s="1"/>
  <c r="I5" i="49" s="1"/>
  <c r="G187" i="20"/>
  <c r="G214" i="20" s="1"/>
  <c r="G174" i="20"/>
  <c r="G172" i="20"/>
  <c r="F180" i="20"/>
  <c r="F175" i="20"/>
  <c r="F189" i="20"/>
  <c r="F216" i="20" s="1"/>
  <c r="F178" i="20"/>
  <c r="F181" i="20"/>
  <c r="F177" i="20"/>
  <c r="F176" i="20"/>
  <c r="F179" i="20"/>
  <c r="F182" i="20"/>
  <c r="F188" i="20"/>
  <c r="F215" i="20" s="1"/>
  <c r="F174" i="20"/>
  <c r="F186" i="20"/>
  <c r="F213" i="20" s="1"/>
  <c r="F187" i="20"/>
  <c r="F214" i="20" s="1"/>
  <c r="F172" i="20"/>
  <c r="F170" i="20"/>
  <c r="F173" i="20"/>
  <c r="F171" i="20"/>
  <c r="E188" i="20"/>
  <c r="E215" i="20" s="1"/>
  <c r="E177" i="20"/>
  <c r="E180" i="20"/>
  <c r="E175" i="20"/>
  <c r="E189" i="20"/>
  <c r="E216" i="20" s="1"/>
  <c r="E178" i="20"/>
  <c r="E182" i="20"/>
  <c r="E181" i="20"/>
  <c r="E176" i="20"/>
  <c r="E179" i="20"/>
  <c r="E171" i="20"/>
  <c r="E173" i="20"/>
  <c r="E187" i="20"/>
  <c r="E214" i="20" s="1"/>
  <c r="E186" i="20"/>
  <c r="E213" i="20" s="1"/>
  <c r="E172" i="20"/>
  <c r="E174" i="20"/>
  <c r="E170" i="20"/>
  <c r="D182" i="20"/>
  <c r="D9" i="38" s="1"/>
  <c r="D188" i="20"/>
  <c r="D215" i="20" s="1"/>
  <c r="D177" i="20"/>
  <c r="D204" i="20" s="1"/>
  <c r="D180" i="20"/>
  <c r="D8" i="38" s="1"/>
  <c r="D175" i="20"/>
  <c r="D7" i="38" s="1"/>
  <c r="D189" i="20"/>
  <c r="D216" i="20" s="1"/>
  <c r="D178" i="20"/>
  <c r="D205" i="20" s="1"/>
  <c r="D181" i="20"/>
  <c r="D208" i="20" s="1"/>
  <c r="D179" i="20"/>
  <c r="D206" i="20" s="1"/>
  <c r="D176" i="20"/>
  <c r="D203" i="20" s="1"/>
  <c r="D170" i="20"/>
  <c r="D6" i="38" s="1"/>
  <c r="D172" i="20"/>
  <c r="D199" i="20" s="1"/>
  <c r="D171" i="20"/>
  <c r="D198" i="20" s="1"/>
  <c r="D174" i="20"/>
  <c r="D201" i="20" s="1"/>
  <c r="D186" i="20"/>
  <c r="D213" i="20" s="1"/>
  <c r="D187" i="20"/>
  <c r="D214" i="20" s="1"/>
  <c r="D173" i="20"/>
  <c r="D200" i="20" s="1"/>
  <c r="E9" i="38" l="1"/>
  <c r="H17" i="54"/>
  <c r="E7" i="38"/>
  <c r="H10" i="54"/>
  <c r="E200" i="20"/>
  <c r="H8" i="54"/>
  <c r="E198" i="20"/>
  <c r="H6" i="54"/>
  <c r="E8" i="38"/>
  <c r="H15" i="54"/>
  <c r="E199" i="20"/>
  <c r="H7" i="54"/>
  <c r="E206" i="20"/>
  <c r="H14" i="54"/>
  <c r="E204" i="20"/>
  <c r="H12" i="54"/>
  <c r="E6" i="38"/>
  <c r="H5" i="54"/>
  <c r="E203" i="20"/>
  <c r="H11" i="54"/>
  <c r="E205" i="20"/>
  <c r="H13" i="54"/>
  <c r="E201" i="20"/>
  <c r="H9" i="54"/>
  <c r="E208" i="20"/>
  <c r="H16" i="54"/>
  <c r="F203" i="20"/>
  <c r="I11" i="54"/>
  <c r="F199" i="20"/>
  <c r="I7" i="54"/>
  <c r="F204" i="20"/>
  <c r="I12" i="54"/>
  <c r="G199" i="20"/>
  <c r="J7" i="54"/>
  <c r="I7" i="49" s="1"/>
  <c r="F208" i="20"/>
  <c r="I16" i="54"/>
  <c r="G206" i="20"/>
  <c r="J14" i="54"/>
  <c r="F200" i="20"/>
  <c r="I8" i="54"/>
  <c r="F6" i="38"/>
  <c r="I5" i="54"/>
  <c r="G198" i="20"/>
  <c r="J6" i="54"/>
  <c r="I6" i="49" s="1"/>
  <c r="G201" i="20"/>
  <c r="J9" i="54"/>
  <c r="I9" i="49" s="1"/>
  <c r="F205" i="20"/>
  <c r="I13" i="54"/>
  <c r="G203" i="20"/>
  <c r="J11" i="54"/>
  <c r="I11" i="49" s="1"/>
  <c r="F201" i="20"/>
  <c r="I9" i="54"/>
  <c r="G208" i="20"/>
  <c r="J16" i="54"/>
  <c r="I16" i="49" s="1"/>
  <c r="G200" i="20"/>
  <c r="J8" i="54"/>
  <c r="I8" i="49" s="1"/>
  <c r="F206" i="20"/>
  <c r="I14" i="54"/>
  <c r="F7" i="38"/>
  <c r="I10" i="54"/>
  <c r="G205" i="20"/>
  <c r="J13" i="54"/>
  <c r="I13" i="49" s="1"/>
  <c r="F198" i="20"/>
  <c r="I6" i="54"/>
  <c r="F9" i="38"/>
  <c r="I17" i="54"/>
  <c r="F8" i="38"/>
  <c r="I15" i="54"/>
  <c r="G204" i="20"/>
  <c r="J12" i="54"/>
  <c r="I12" i="49" s="1"/>
  <c r="G601" i="19"/>
  <c r="G635" i="19" s="1"/>
  <c r="G7" i="38"/>
  <c r="G9" i="38"/>
  <c r="G8" i="38"/>
  <c r="G6" i="38"/>
  <c r="G10" i="21"/>
  <c r="G112" i="21" s="1"/>
  <c r="G180" i="21" s="1"/>
  <c r="G11" i="21"/>
  <c r="G113" i="21" s="1"/>
  <c r="G181" i="21" s="1"/>
  <c r="G9" i="21"/>
  <c r="G111" i="21" s="1"/>
  <c r="G179" i="21" s="1"/>
  <c r="G29" i="21"/>
  <c r="G131" i="21" s="1"/>
  <c r="G199" i="21" s="1"/>
  <c r="G7" i="21"/>
  <c r="G109" i="21" s="1"/>
  <c r="G177" i="21" s="1"/>
  <c r="G30" i="21"/>
  <c r="G132" i="21" s="1"/>
  <c r="G200" i="21" s="1"/>
  <c r="G594" i="19"/>
  <c r="G628" i="19" s="1"/>
  <c r="F664" i="19"/>
  <c r="F698" i="19" s="1"/>
  <c r="F669" i="19"/>
  <c r="F703" i="19" s="1"/>
  <c r="E204" i="21"/>
  <c r="E236" i="21" s="1"/>
  <c r="E304" i="21" s="1"/>
  <c r="F195" i="21"/>
  <c r="F180" i="21"/>
  <c r="D238" i="21"/>
  <c r="D306" i="21" s="1"/>
  <c r="D216" i="21"/>
  <c r="D284" i="21" s="1"/>
  <c r="D212" i="21"/>
  <c r="D221" i="21"/>
  <c r="D289" i="21" s="1"/>
  <c r="D223" i="21"/>
  <c r="D291" i="21" s="1"/>
  <c r="D235" i="21"/>
  <c r="D303" i="21" s="1"/>
  <c r="D236" i="21"/>
  <c r="D304" i="21" s="1"/>
  <c r="D218" i="21"/>
  <c r="D286" i="21" s="1"/>
  <c r="D214" i="21"/>
  <c r="D282" i="21" s="1"/>
  <c r="D219" i="21"/>
  <c r="D287" i="21" s="1"/>
  <c r="D220" i="21"/>
  <c r="D288" i="21" s="1"/>
  <c r="D217" i="21"/>
  <c r="D215" i="21"/>
  <c r="D283" i="21" s="1"/>
  <c r="D234" i="21"/>
  <c r="D302" i="21" s="1"/>
  <c r="D237" i="21"/>
  <c r="D305" i="21" s="1"/>
  <c r="D213" i="21"/>
  <c r="D281" i="21" s="1"/>
  <c r="D222" i="21"/>
  <c r="D226" i="21"/>
  <c r="D294" i="21" s="1"/>
  <c r="D230" i="21"/>
  <c r="D298" i="21" s="1"/>
  <c r="D229" i="21"/>
  <c r="D297" i="21" s="1"/>
  <c r="D228" i="21"/>
  <c r="D296" i="21" s="1"/>
  <c r="D225" i="21"/>
  <c r="D293" i="21" s="1"/>
  <c r="D224" i="21"/>
  <c r="D227" i="21"/>
  <c r="D295" i="21" s="1"/>
  <c r="F191" i="21"/>
  <c r="F662" i="19"/>
  <c r="F696" i="19" s="1"/>
  <c r="F663" i="19"/>
  <c r="F697" i="19" s="1"/>
  <c r="F670" i="19"/>
  <c r="F704" i="19" s="1"/>
  <c r="F179" i="21"/>
  <c r="G203" i="21"/>
  <c r="F190" i="21"/>
  <c r="F181" i="21"/>
  <c r="G178" i="21"/>
  <c r="G188" i="21"/>
  <c r="F192" i="21"/>
  <c r="F177" i="21"/>
  <c r="E706" i="19"/>
  <c r="E707" i="19" s="1"/>
  <c r="F194" i="21"/>
  <c r="F178" i="21"/>
  <c r="F193" i="21"/>
  <c r="F665" i="19"/>
  <c r="F699" i="19" s="1"/>
  <c r="F199" i="21"/>
  <c r="G187" i="21"/>
  <c r="F189" i="21"/>
  <c r="F671" i="19"/>
  <c r="F705" i="19" s="1"/>
  <c r="F200" i="21"/>
  <c r="G21" i="21"/>
  <c r="G123" i="21" s="1"/>
  <c r="G23" i="21"/>
  <c r="G125" i="21" s="1"/>
  <c r="G193" i="21" s="1"/>
  <c r="G20" i="21"/>
  <c r="G122" i="21" s="1"/>
  <c r="G22" i="21"/>
  <c r="G124" i="21" s="1"/>
  <c r="G25" i="21"/>
  <c r="G127" i="21" s="1"/>
  <c r="G24" i="21"/>
  <c r="G126" i="21" s="1"/>
  <c r="G597" i="19"/>
  <c r="G631" i="19" s="1"/>
  <c r="G19" i="21"/>
  <c r="G121" i="21" s="1"/>
  <c r="D7" i="31"/>
  <c r="E7" i="31"/>
  <c r="G7" i="31"/>
  <c r="F7" i="31"/>
  <c r="F209" i="20"/>
  <c r="F207" i="20"/>
  <c r="E209" i="20"/>
  <c r="F197" i="20"/>
  <c r="G209" i="20"/>
  <c r="D207" i="20"/>
  <c r="G207" i="20"/>
  <c r="G197" i="20"/>
  <c r="E197" i="20"/>
  <c r="D197" i="20"/>
  <c r="E207" i="20"/>
  <c r="D209" i="20"/>
  <c r="G202" i="20"/>
  <c r="D202" i="20"/>
  <c r="E202" i="20"/>
  <c r="F202" i="20"/>
  <c r="S43" i="54" l="1"/>
  <c r="G9" i="49"/>
  <c r="S46" i="54"/>
  <c r="G12" i="49"/>
  <c r="G6" i="49"/>
  <c r="S40" i="54"/>
  <c r="G13" i="49"/>
  <c r="S47" i="54"/>
  <c r="G14" i="49"/>
  <c r="S48" i="54"/>
  <c r="G8" i="49"/>
  <c r="S42" i="54"/>
  <c r="S45" i="54"/>
  <c r="G11" i="49"/>
  <c r="G7" i="49"/>
  <c r="S41" i="54"/>
  <c r="S44" i="54"/>
  <c r="G10" i="49"/>
  <c r="G16" i="49"/>
  <c r="T50" i="54"/>
  <c r="G5" i="49"/>
  <c r="S39" i="54"/>
  <c r="G15" i="49"/>
  <c r="T49" i="54"/>
  <c r="S51" i="54"/>
  <c r="G17" i="49"/>
  <c r="H14" i="49"/>
  <c r="T48" i="54"/>
  <c r="H8" i="49"/>
  <c r="U42" i="54"/>
  <c r="T42" i="54"/>
  <c r="U48" i="54"/>
  <c r="I14" i="49"/>
  <c r="H7" i="49"/>
  <c r="U41" i="54"/>
  <c r="T41" i="54"/>
  <c r="U51" i="54"/>
  <c r="H17" i="49"/>
  <c r="T51" i="54"/>
  <c r="H5" i="49"/>
  <c r="U39" i="54"/>
  <c r="T39" i="54"/>
  <c r="U40" i="54"/>
  <c r="H6" i="49"/>
  <c r="T40" i="54"/>
  <c r="T47" i="54"/>
  <c r="H13" i="49"/>
  <c r="U47" i="54"/>
  <c r="H15" i="49"/>
  <c r="U49" i="54"/>
  <c r="H10" i="49"/>
  <c r="U44" i="54"/>
  <c r="T44" i="54"/>
  <c r="U43" i="54"/>
  <c r="H9" i="49"/>
  <c r="T43" i="54"/>
  <c r="U50" i="54"/>
  <c r="H16" i="49"/>
  <c r="H11" i="49"/>
  <c r="T45" i="54"/>
  <c r="U45" i="54"/>
  <c r="H12" i="49"/>
  <c r="U46" i="54"/>
  <c r="T46" i="54"/>
  <c r="D13" i="38"/>
  <c r="D292" i="21"/>
  <c r="D11" i="38"/>
  <c r="D285" i="21"/>
  <c r="D10" i="38"/>
  <c r="D280" i="21"/>
  <c r="D12" i="38"/>
  <c r="D290" i="21"/>
  <c r="G665" i="19"/>
  <c r="G699" i="19" s="1"/>
  <c r="E238" i="21"/>
  <c r="E306" i="21" s="1"/>
  <c r="E215" i="21"/>
  <c r="E216" i="21"/>
  <c r="E234" i="21"/>
  <c r="E302" i="21" s="1"/>
  <c r="E235" i="21"/>
  <c r="E303" i="21" s="1"/>
  <c r="E219" i="21"/>
  <c r="E229" i="21"/>
  <c r="E224" i="21"/>
  <c r="E220" i="21"/>
  <c r="G669" i="19"/>
  <c r="G703" i="19" s="1"/>
  <c r="E225" i="21"/>
  <c r="E214" i="21"/>
  <c r="E237" i="21"/>
  <c r="E305" i="21" s="1"/>
  <c r="E222" i="21"/>
  <c r="E230" i="21"/>
  <c r="E223" i="21"/>
  <c r="E218" i="21"/>
  <c r="E228" i="21"/>
  <c r="E217" i="21"/>
  <c r="E227" i="21"/>
  <c r="E213" i="21"/>
  <c r="E221" i="21"/>
  <c r="E226" i="21"/>
  <c r="E212" i="21"/>
  <c r="G190" i="21"/>
  <c r="F204" i="21"/>
  <c r="G191" i="21"/>
  <c r="G189" i="21"/>
  <c r="G663" i="19"/>
  <c r="G697" i="19" s="1"/>
  <c r="G671" i="19"/>
  <c r="G705" i="19" s="1"/>
  <c r="G664" i="19"/>
  <c r="G698" i="19" s="1"/>
  <c r="G194" i="21"/>
  <c r="G670" i="19"/>
  <c r="G704" i="19" s="1"/>
  <c r="G192" i="21"/>
  <c r="G195" i="21"/>
  <c r="G662" i="19"/>
  <c r="G696" i="19" s="1"/>
  <c r="F706" i="19"/>
  <c r="F707" i="19" s="1"/>
  <c r="E217" i="20"/>
  <c r="E9" i="31" s="1"/>
  <c r="D217" i="20"/>
  <c r="D9" i="31" s="1"/>
  <c r="G217" i="20"/>
  <c r="F217" i="20"/>
  <c r="G18" i="8"/>
  <c r="D18" i="8"/>
  <c r="F18" i="8"/>
  <c r="E18" i="8"/>
  <c r="E281" i="21" l="1"/>
  <c r="H19" i="54"/>
  <c r="E298" i="21"/>
  <c r="H36" i="54"/>
  <c r="E289" i="21"/>
  <c r="H27" i="54"/>
  <c r="E295" i="21"/>
  <c r="H33" i="54"/>
  <c r="E282" i="21"/>
  <c r="H20" i="54"/>
  <c r="E294" i="21"/>
  <c r="H32" i="54"/>
  <c r="E290" i="21"/>
  <c r="H28" i="54"/>
  <c r="E285" i="21"/>
  <c r="H23" i="54"/>
  <c r="E293" i="21"/>
  <c r="H31" i="54"/>
  <c r="E284" i="21"/>
  <c r="H22" i="54"/>
  <c r="E287" i="21"/>
  <c r="H25" i="54"/>
  <c r="E296" i="21"/>
  <c r="H34" i="54"/>
  <c r="E283" i="21"/>
  <c r="H21" i="54"/>
  <c r="E286" i="21"/>
  <c r="H24" i="54"/>
  <c r="E288" i="21"/>
  <c r="H26" i="54"/>
  <c r="E297" i="21"/>
  <c r="H35" i="54"/>
  <c r="E280" i="21"/>
  <c r="H18" i="54"/>
  <c r="E291" i="21"/>
  <c r="H29" i="54"/>
  <c r="E292" i="21"/>
  <c r="H30" i="54"/>
  <c r="E10" i="38"/>
  <c r="E13" i="38"/>
  <c r="E12" i="38"/>
  <c r="E11" i="38"/>
  <c r="G204" i="21"/>
  <c r="G230" i="21" s="1"/>
  <c r="D8" i="31"/>
  <c r="D307" i="21"/>
  <c r="D308" i="21" s="1"/>
  <c r="G706" i="19"/>
  <c r="G707" i="19" s="1"/>
  <c r="F237" i="21"/>
  <c r="F305" i="21" s="1"/>
  <c r="F217" i="21"/>
  <c r="I23" i="54" s="1"/>
  <c r="F218" i="21"/>
  <c r="F220" i="21"/>
  <c r="F236" i="21"/>
  <c r="F304" i="21" s="1"/>
  <c r="F219" i="21"/>
  <c r="F221" i="21"/>
  <c r="F223" i="21"/>
  <c r="F238" i="21"/>
  <c r="F306" i="21" s="1"/>
  <c r="F222" i="21"/>
  <c r="I28" i="54" s="1"/>
  <c r="F230" i="21"/>
  <c r="F228" i="21"/>
  <c r="F235" i="21"/>
  <c r="F303" i="21" s="1"/>
  <c r="F225" i="21"/>
  <c r="F226" i="21"/>
  <c r="F215" i="21"/>
  <c r="F216" i="21"/>
  <c r="F227" i="21"/>
  <c r="F229" i="21"/>
  <c r="F234" i="21"/>
  <c r="F302" i="21" s="1"/>
  <c r="F214" i="21"/>
  <c r="F212" i="21"/>
  <c r="I18" i="54" s="1"/>
  <c r="F213" i="21"/>
  <c r="F224" i="21"/>
  <c r="I30" i="54" s="1"/>
  <c r="E218" i="20"/>
  <c r="G218" i="20"/>
  <c r="G9" i="31"/>
  <c r="F218" i="20"/>
  <c r="F9" i="31"/>
  <c r="D218" i="20"/>
  <c r="S69" i="54" l="1"/>
  <c r="G35" i="49"/>
  <c r="G30" i="49"/>
  <c r="S64" i="54"/>
  <c r="T60" i="54"/>
  <c r="G26" i="49"/>
  <c r="T59" i="54"/>
  <c r="G25" i="49"/>
  <c r="G28" i="49"/>
  <c r="T62" i="54"/>
  <c r="T61" i="54"/>
  <c r="G27" i="49"/>
  <c r="T63" i="54"/>
  <c r="G29" i="49"/>
  <c r="T58" i="54"/>
  <c r="G24" i="49"/>
  <c r="G22" i="49"/>
  <c r="S56" i="54"/>
  <c r="S66" i="54"/>
  <c r="G32" i="49"/>
  <c r="S70" i="54"/>
  <c r="G36" i="49"/>
  <c r="G33" i="49"/>
  <c r="S67" i="54"/>
  <c r="S68" i="54"/>
  <c r="G34" i="49"/>
  <c r="S52" i="54"/>
  <c r="G18" i="49"/>
  <c r="G21" i="49"/>
  <c r="S55" i="54"/>
  <c r="G31" i="49"/>
  <c r="S65" i="54"/>
  <c r="S54" i="54"/>
  <c r="G20" i="49"/>
  <c r="S53" i="54"/>
  <c r="G19" i="49"/>
  <c r="T57" i="54"/>
  <c r="G23" i="49"/>
  <c r="F294" i="21"/>
  <c r="I32" i="54"/>
  <c r="F289" i="21"/>
  <c r="I27" i="54"/>
  <c r="F283" i="21"/>
  <c r="I21" i="54"/>
  <c r="F287" i="21"/>
  <c r="I25" i="54"/>
  <c r="F284" i="21"/>
  <c r="I22" i="54"/>
  <c r="H18" i="49"/>
  <c r="T52" i="54"/>
  <c r="F282" i="21"/>
  <c r="I20" i="54"/>
  <c r="G298" i="21"/>
  <c r="J36" i="54"/>
  <c r="F296" i="21"/>
  <c r="I34" i="54"/>
  <c r="F288" i="21"/>
  <c r="I26" i="54"/>
  <c r="H30" i="49"/>
  <c r="T64" i="54"/>
  <c r="F281" i="21"/>
  <c r="I19" i="54"/>
  <c r="F297" i="21"/>
  <c r="I35" i="54"/>
  <c r="F298" i="21"/>
  <c r="I36" i="54"/>
  <c r="F286" i="21"/>
  <c r="I24" i="54"/>
  <c r="F291" i="21"/>
  <c r="I29" i="54"/>
  <c r="F293" i="21"/>
  <c r="I31" i="54"/>
  <c r="F295" i="21"/>
  <c r="I33" i="54"/>
  <c r="H28" i="49"/>
  <c r="U62" i="54"/>
  <c r="U57" i="54"/>
  <c r="H23" i="49"/>
  <c r="D11" i="31"/>
  <c r="F12" i="38"/>
  <c r="F290" i="21"/>
  <c r="F13" i="38"/>
  <c r="F292" i="21"/>
  <c r="F10" i="38"/>
  <c r="F280" i="21"/>
  <c r="F11" i="38"/>
  <c r="F285" i="21"/>
  <c r="E8" i="31"/>
  <c r="E307" i="21"/>
  <c r="E308" i="21" s="1"/>
  <c r="G225" i="21"/>
  <c r="G224" i="21"/>
  <c r="G216" i="21"/>
  <c r="G214" i="21"/>
  <c r="G215" i="21"/>
  <c r="G212" i="21"/>
  <c r="J18" i="54" s="1"/>
  <c r="I18" i="49" s="1"/>
  <c r="G213" i="21"/>
  <c r="G238" i="21"/>
  <c r="G306" i="21" s="1"/>
  <c r="G226" i="21"/>
  <c r="G220" i="21"/>
  <c r="G234" i="21"/>
  <c r="G302" i="21" s="1"/>
  <c r="G218" i="21"/>
  <c r="G222" i="21"/>
  <c r="J28" i="54" s="1"/>
  <c r="I28" i="49" s="1"/>
  <c r="G236" i="21"/>
  <c r="G304" i="21" s="1"/>
  <c r="G227" i="21"/>
  <c r="G235" i="21"/>
  <c r="G303" i="21" s="1"/>
  <c r="G221" i="21"/>
  <c r="G229" i="21"/>
  <c r="G223" i="21"/>
  <c r="G219" i="21"/>
  <c r="G237" i="21"/>
  <c r="G305" i="21" s="1"/>
  <c r="G217" i="21"/>
  <c r="J23" i="54" s="1"/>
  <c r="I23" i="49" s="1"/>
  <c r="G228" i="21"/>
  <c r="D10" i="31"/>
  <c r="D12" i="31" s="1"/>
  <c r="U58" i="54" l="1"/>
  <c r="H24" i="49"/>
  <c r="H20" i="49"/>
  <c r="T54" i="54"/>
  <c r="G295" i="21"/>
  <c r="J33" i="54"/>
  <c r="I33" i="49" s="1"/>
  <c r="H21" i="49"/>
  <c r="T55" i="54"/>
  <c r="H25" i="49"/>
  <c r="U59" i="54"/>
  <c r="H36" i="49"/>
  <c r="T70" i="54"/>
  <c r="H26" i="49"/>
  <c r="U60" i="54"/>
  <c r="U52" i="54"/>
  <c r="G281" i="21"/>
  <c r="J19" i="54"/>
  <c r="I19" i="49" s="1"/>
  <c r="G283" i="21"/>
  <c r="J21" i="54"/>
  <c r="I21" i="49" s="1"/>
  <c r="G284" i="21"/>
  <c r="J22" i="54"/>
  <c r="U61" i="54"/>
  <c r="H27" i="49"/>
  <c r="G286" i="21"/>
  <c r="J24" i="54"/>
  <c r="I24" i="49" s="1"/>
  <c r="G291" i="21"/>
  <c r="J29" i="54"/>
  <c r="I29" i="49" s="1"/>
  <c r="G297" i="21"/>
  <c r="J35" i="54"/>
  <c r="I35" i="49" s="1"/>
  <c r="G288" i="21"/>
  <c r="J26" i="54"/>
  <c r="I26" i="49" s="1"/>
  <c r="G292" i="21"/>
  <c r="J30" i="54"/>
  <c r="H31" i="49"/>
  <c r="T65" i="54"/>
  <c r="H35" i="49"/>
  <c r="U69" i="54"/>
  <c r="T69" i="54"/>
  <c r="H34" i="49"/>
  <c r="T68" i="54"/>
  <c r="G287" i="21"/>
  <c r="J25" i="54"/>
  <c r="I25" i="49" s="1"/>
  <c r="H33" i="49"/>
  <c r="T67" i="54"/>
  <c r="G289" i="21"/>
  <c r="J27" i="54"/>
  <c r="I27" i="49" s="1"/>
  <c r="G294" i="21"/>
  <c r="J32" i="54"/>
  <c r="I32" i="49" s="1"/>
  <c r="G293" i="21"/>
  <c r="J31" i="54"/>
  <c r="I31" i="49" s="1"/>
  <c r="T56" i="54"/>
  <c r="H22" i="49"/>
  <c r="H32" i="49"/>
  <c r="T66" i="54"/>
  <c r="G296" i="21"/>
  <c r="J34" i="54"/>
  <c r="I34" i="49" s="1"/>
  <c r="G282" i="21"/>
  <c r="J20" i="54"/>
  <c r="H29" i="49"/>
  <c r="U63" i="54"/>
  <c r="H19" i="49"/>
  <c r="U53" i="54"/>
  <c r="T53" i="54"/>
  <c r="U70" i="54"/>
  <c r="I36" i="49"/>
  <c r="E11" i="31"/>
  <c r="G10" i="38"/>
  <c r="G280" i="21"/>
  <c r="G12" i="38"/>
  <c r="G290" i="21"/>
  <c r="G11" i="38"/>
  <c r="G285" i="21"/>
  <c r="D13" i="31"/>
  <c r="G13" i="38"/>
  <c r="E10" i="31"/>
  <c r="E12" i="31" s="1"/>
  <c r="F10" i="51" s="1"/>
  <c r="F11" i="51" s="1"/>
  <c r="C9" i="53" s="1"/>
  <c r="D9" i="53" s="1"/>
  <c r="F8" i="31"/>
  <c r="F307" i="21"/>
  <c r="F308" i="21" s="1"/>
  <c r="U66" i="54" l="1"/>
  <c r="U67" i="54"/>
  <c r="U55" i="54"/>
  <c r="U56" i="54"/>
  <c r="I22" i="49"/>
  <c r="U65" i="54"/>
  <c r="U54" i="54"/>
  <c r="I20" i="49"/>
  <c r="U68" i="54"/>
  <c r="U64" i="54"/>
  <c r="I30" i="49"/>
  <c r="F11" i="31"/>
  <c r="E13" i="31"/>
  <c r="G8" i="31"/>
  <c r="G307" i="21"/>
  <c r="G308" i="21" s="1"/>
  <c r="F10" i="31"/>
  <c r="F12" i="31" s="1"/>
  <c r="F13" i="31" l="1"/>
  <c r="G11" i="31"/>
  <c r="G10" i="31"/>
  <c r="G12" i="31" s="1"/>
  <c r="G13" i="31" l="1"/>
</calcChain>
</file>

<file path=xl/comments1.xml><?xml version="1.0" encoding="utf-8"?>
<comments xmlns="http://schemas.openxmlformats.org/spreadsheetml/2006/main">
  <authors>
    <author>Daniel Horta (ERSE)</author>
  </authors>
  <commentList>
    <comment ref="G38" authorId="0" shapeId="0">
      <text>
        <r>
          <rPr>
            <b/>
            <sz val="9"/>
            <color indexed="81"/>
            <rFont val="Tahoma"/>
            <charset val="1"/>
          </rPr>
          <t>Valores desta coluna colados manulamente do ano anterior.</t>
        </r>
      </text>
    </comment>
  </commentList>
</comments>
</file>

<file path=xl/sharedStrings.xml><?xml version="1.0" encoding="utf-8"?>
<sst xmlns="http://schemas.openxmlformats.org/spreadsheetml/2006/main" count="5148" uniqueCount="830">
  <si>
    <t>CTS Campo Maior</t>
  </si>
  <si>
    <t>Exit point</t>
  </si>
  <si>
    <t>Entry point</t>
  </si>
  <si>
    <t>Effective distance, in km</t>
  </si>
  <si>
    <t>Distance, in km</t>
  </si>
  <si>
    <t>Economic value</t>
  </si>
  <si>
    <t>Product</t>
  </si>
  <si>
    <t>Entry</t>
  </si>
  <si>
    <t>VIP</t>
  </si>
  <si>
    <t>Annual</t>
  </si>
  <si>
    <t>Quarterly</t>
  </si>
  <si>
    <t>Monthly</t>
  </si>
  <si>
    <t>Daily</t>
  </si>
  <si>
    <t>Within-day</t>
  </si>
  <si>
    <t>LNG terminal</t>
  </si>
  <si>
    <t>Underground storage</t>
  </si>
  <si>
    <t>Exit</t>
  </si>
  <si>
    <t>Distribution networks and HP customers</t>
  </si>
  <si>
    <t>Long uses</t>
  </si>
  <si>
    <t>HP customers</t>
  </si>
  <si>
    <t>Annual Flexible Tariff - Annual Base Capacity</t>
  </si>
  <si>
    <t>Annual Flexible Tariff - Additional Monthly Capacity (April to September)</t>
  </si>
  <si>
    <t>Flexible Monthly Tariff - Monthly Capacity (October to March)</t>
  </si>
  <si>
    <t>Flexible Monthly Tariff - Monthly Capacity (April to September)</t>
  </si>
  <si>
    <t>Daily Flexible Tariff - Daily Capacity (October to March)</t>
  </si>
  <si>
    <t>Daily Flexible Tariff - Daily Capacity (April to September)</t>
  </si>
  <si>
    <t>Gas producers</t>
  </si>
  <si>
    <t>Used capacity at injection</t>
  </si>
  <si>
    <t>2023-24</t>
  </si>
  <si>
    <t>2024-25</t>
  </si>
  <si>
    <t>2025-26</t>
  </si>
  <si>
    <t>Allowed revenues of the transmission system operator</t>
  </si>
  <si>
    <t>TOTAL</t>
  </si>
  <si>
    <t>2. Demand forecast by entry point</t>
  </si>
  <si>
    <t>3. Demand forecast by exit point</t>
  </si>
  <si>
    <t>2026-27</t>
  </si>
  <si>
    <t>Allowed revenues</t>
  </si>
  <si>
    <t>Entry-exit split</t>
  </si>
  <si>
    <t>Multipliers at entry points</t>
  </si>
  <si>
    <t>Multipliers at exit points</t>
  </si>
  <si>
    <t>Discounts at entry points (interruptible capacity)</t>
  </si>
  <si>
    <t>Discounts at exit points (interruptible capacity)</t>
  </si>
  <si>
    <t>4. Multipliers and discounts</t>
  </si>
  <si>
    <t>5. Parameters for the Reference Price Methodology</t>
  </si>
  <si>
    <t>Economic value factor</t>
  </si>
  <si>
    <t>Domestic exit points</t>
  </si>
  <si>
    <t>Physical flow factor at entry points</t>
  </si>
  <si>
    <t>Gas routes ending in domestic exit points</t>
  </si>
  <si>
    <t>Other gas routes</t>
  </si>
  <si>
    <t>Physical flow factor at exit points</t>
  </si>
  <si>
    <t>Campo Maior (entry)</t>
  </si>
  <si>
    <t>Valença do Minho (entry)</t>
  </si>
  <si>
    <t>Campo Maior (exit)</t>
  </si>
  <si>
    <t>Valença do Minho (exit)</t>
  </si>
  <si>
    <t>GRMS 01059</t>
  </si>
  <si>
    <t>Setúbal</t>
  </si>
  <si>
    <t>GRMS 01109</t>
  </si>
  <si>
    <t>Seixal</t>
  </si>
  <si>
    <t>GRMS 01119</t>
  </si>
  <si>
    <t>Palmela - BV</t>
  </si>
  <si>
    <t>GRMS 01129</t>
  </si>
  <si>
    <t>GRMS 01139</t>
  </si>
  <si>
    <t>Rio Frio</t>
  </si>
  <si>
    <t>GRMS 01149</t>
  </si>
  <si>
    <t>Alcochete</t>
  </si>
  <si>
    <t>GRMS 01159</t>
  </si>
  <si>
    <t>Barreiro</t>
  </si>
  <si>
    <t>GRMS 01179</t>
  </si>
  <si>
    <t>Benavente - JCT</t>
  </si>
  <si>
    <t>GRMS 01189</t>
  </si>
  <si>
    <t>Castanheira do Ribatejo</t>
  </si>
  <si>
    <t>GRMS 01209</t>
  </si>
  <si>
    <t>Frielas</t>
  </si>
  <si>
    <t>GRMS 01219</t>
  </si>
  <si>
    <t>C.T. Carregado</t>
  </si>
  <si>
    <t>GRMS 01229</t>
  </si>
  <si>
    <t xml:space="preserve"> Loures</t>
  </si>
  <si>
    <t>GRMS 01239</t>
  </si>
  <si>
    <t>Alpriate</t>
  </si>
  <si>
    <t>GRMS 01259</t>
  </si>
  <si>
    <t>Alenquer - ICJCT</t>
  </si>
  <si>
    <t>GRMS 01269</t>
  </si>
  <si>
    <t>GRMS 01279</t>
  </si>
  <si>
    <t>GRMS 01309</t>
  </si>
  <si>
    <t>Cartaxo</t>
  </si>
  <si>
    <t>GRMS 01319</t>
  </si>
  <si>
    <t>Abrigada</t>
  </si>
  <si>
    <t>GRMS 01359</t>
  </si>
  <si>
    <t>Torres Vedras</t>
  </si>
  <si>
    <t>GRMS 01369</t>
  </si>
  <si>
    <t>GRMS 01409</t>
  </si>
  <si>
    <t>Rio Maior</t>
  </si>
  <si>
    <t>GRMS 02069</t>
  </si>
  <si>
    <t>Porto de Mós</t>
  </si>
  <si>
    <t>GRMS 02089</t>
  </si>
  <si>
    <t>Maceira</t>
  </si>
  <si>
    <t>GRMS 02159</t>
  </si>
  <si>
    <t>Leiria</t>
  </si>
  <si>
    <t>GRMS 02509</t>
  </si>
  <si>
    <t>Carriço</t>
  </si>
  <si>
    <t>GRMS 02519</t>
  </si>
  <si>
    <t>Leirosa</t>
  </si>
  <si>
    <t>GRMS 02539</t>
  </si>
  <si>
    <t>GRMS 02549</t>
  </si>
  <si>
    <t>C.C.C. Lares</t>
  </si>
  <si>
    <t>GRMS 02559</t>
  </si>
  <si>
    <t>Pombal - JCT</t>
  </si>
  <si>
    <t>GRMS 02569</t>
  </si>
  <si>
    <t>GRMS 02709</t>
  </si>
  <si>
    <t>Soure</t>
  </si>
  <si>
    <t>GRMS 02719</t>
  </si>
  <si>
    <t>Montemor</t>
  </si>
  <si>
    <t>GRMS 02739</t>
  </si>
  <si>
    <t>Condeixa</t>
  </si>
  <si>
    <t>GRMS 03009</t>
  </si>
  <si>
    <t>Ameal</t>
  </si>
  <si>
    <t>GRMS 03059</t>
  </si>
  <si>
    <t>Coimbra</t>
  </si>
  <si>
    <t>GRMS 03069</t>
  </si>
  <si>
    <t>Souselas</t>
  </si>
  <si>
    <t>GRMS 03109</t>
  </si>
  <si>
    <t>Mealhada</t>
  </si>
  <si>
    <t>GRMS 03169</t>
  </si>
  <si>
    <t>Cantanhede</t>
  </si>
  <si>
    <t>GRMS 03219</t>
  </si>
  <si>
    <t>Oliveira do Bairro</t>
  </si>
  <si>
    <t>GRMS 03229</t>
  </si>
  <si>
    <t>Oiã</t>
  </si>
  <si>
    <t>GRMS 03259</t>
  </si>
  <si>
    <t>Aveiro - GRMS</t>
  </si>
  <si>
    <t>GRMS 03269</t>
  </si>
  <si>
    <t>GRMS 03309</t>
  </si>
  <si>
    <t>Roxico</t>
  </si>
  <si>
    <t>GRMS 03359</t>
  </si>
  <si>
    <t>Estarreja</t>
  </si>
  <si>
    <t>GRMS 03369</t>
  </si>
  <si>
    <t>GRMS 03459</t>
  </si>
  <si>
    <t>Feira - JCT</t>
  </si>
  <si>
    <t>GRMS 03559</t>
  </si>
  <si>
    <t>Fiães</t>
  </si>
  <si>
    <t>GRMS 03609</t>
  </si>
  <si>
    <t>Vila Nova de Gaia</t>
  </si>
  <si>
    <t>GRMS 03619</t>
  </si>
  <si>
    <t>Avintes</t>
  </si>
  <si>
    <t>GRMS 03659</t>
  </si>
  <si>
    <t>C.T. Tapada</t>
  </si>
  <si>
    <t>GRMS 04059</t>
  </si>
  <si>
    <t>Valongo</t>
  </si>
  <si>
    <t>GRMS 04109</t>
  </si>
  <si>
    <t>Maia</t>
  </si>
  <si>
    <t>GRMS 04149</t>
  </si>
  <si>
    <t>Perafita</t>
  </si>
  <si>
    <t>GRMS 04159</t>
  </si>
  <si>
    <t>Santo Tirso</t>
  </si>
  <si>
    <t>GRMS 04209</t>
  </si>
  <si>
    <t>Famalicão</t>
  </si>
  <si>
    <t>GRMS 05009</t>
  </si>
  <si>
    <t>Braga</t>
  </si>
  <si>
    <t>GRMS 05119</t>
  </si>
  <si>
    <t>Barcelos</t>
  </si>
  <si>
    <t>GRMS 05179</t>
  </si>
  <si>
    <t>Viana do Castelo</t>
  </si>
  <si>
    <t>GRMS 05309</t>
  </si>
  <si>
    <t>Ponte de Lima</t>
  </si>
  <si>
    <t>GRMS 05609</t>
  </si>
  <si>
    <t>Vila Nova de Cerveira</t>
  </si>
  <si>
    <t>GRMS 07009</t>
  </si>
  <si>
    <t>Campo Maior</t>
  </si>
  <si>
    <t>GRMS 08009</t>
  </si>
  <si>
    <t>Ponte de Sor</t>
  </si>
  <si>
    <t>GRMS 08109</t>
  </si>
  <si>
    <t>Pego</t>
  </si>
  <si>
    <t>GRMS 08119</t>
  </si>
  <si>
    <t>C.C.C. Pego</t>
  </si>
  <si>
    <t>GRMS 08209</t>
  </si>
  <si>
    <t>Santa Margarida da Coutada</t>
  </si>
  <si>
    <t>GRMS 08309</t>
  </si>
  <si>
    <t>Asseiceira</t>
  </si>
  <si>
    <t>GRMS 08409</t>
  </si>
  <si>
    <t>Sabacheira</t>
  </si>
  <si>
    <t>GRMS 08559</t>
  </si>
  <si>
    <t>Madalena</t>
  </si>
  <si>
    <t>GRMS 10079</t>
  </si>
  <si>
    <t>Portalegre</t>
  </si>
  <si>
    <t>GRMS 10159</t>
  </si>
  <si>
    <t>Vila Velha de Rodão</t>
  </si>
  <si>
    <t>GRMS 10209</t>
  </si>
  <si>
    <t>Castelo Branco</t>
  </si>
  <si>
    <t>GRMS 10309</t>
  </si>
  <si>
    <t>Fundão</t>
  </si>
  <si>
    <t>GRMS 10359</t>
  </si>
  <si>
    <t>Covilhã</t>
  </si>
  <si>
    <t>GRMS 10459</t>
  </si>
  <si>
    <t>Guarda</t>
  </si>
  <si>
    <t>GRMS 11109</t>
  </si>
  <si>
    <t>Mortágua</t>
  </si>
  <si>
    <t>GRMS 11159</t>
  </si>
  <si>
    <t>Santa Comba Dão</t>
  </si>
  <si>
    <t>GRMS 11209</t>
  </si>
  <si>
    <t>Tondela</t>
  </si>
  <si>
    <t>GRMS 11279</t>
  </si>
  <si>
    <t>Viseu</t>
  </si>
  <si>
    <t>GRMS 11309</t>
  </si>
  <si>
    <t>Mangualde</t>
  </si>
  <si>
    <t>GRMS 12209</t>
  </si>
  <si>
    <t>Mitrena</t>
  </si>
  <si>
    <t>GRMS 12609</t>
  </si>
  <si>
    <t>Chaparral</t>
  </si>
  <si>
    <t>GRMS 12619</t>
  </si>
  <si>
    <t>GRMS 12619B</t>
  </si>
  <si>
    <t>Zona Industrial e Logística de Sines (ZILS)</t>
  </si>
  <si>
    <t>GRMS 12629</t>
  </si>
  <si>
    <t>GRMS 12809</t>
  </si>
  <si>
    <t>Sines</t>
  </si>
  <si>
    <t>Type</t>
  </si>
  <si>
    <t>CTS Valença do Minho</t>
  </si>
  <si>
    <t>Interconnection point</t>
  </si>
  <si>
    <t>LNG Terminal Sines</t>
  </si>
  <si>
    <t>Underground storage Carriço</t>
  </si>
  <si>
    <t>Producer</t>
  </si>
  <si>
    <t>Domestic exit</t>
  </si>
  <si>
    <t>1. Forecasted capacity at entry points</t>
  </si>
  <si>
    <t>1. Forecasted capacity at exit points</t>
  </si>
  <si>
    <t>5. Weight of cost at entry points</t>
  </si>
  <si>
    <t>Virtual Interconnection point</t>
  </si>
  <si>
    <t>VIP Iberico</t>
  </si>
  <si>
    <t>5. Weight of cost at exit points</t>
  </si>
  <si>
    <t>HP customers and distribution networks</t>
  </si>
  <si>
    <t>Product of firm capacity</t>
  </si>
  <si>
    <t>Product of interruptible capacity</t>
  </si>
  <si>
    <t>2. Multipliers</t>
  </si>
  <si>
    <t>3. Discounts</t>
  </si>
  <si>
    <t>Without multipliers and without discounts.</t>
  </si>
  <si>
    <t>Includes yearly and short-term products. Includes firm and interruptible capacity. Conversion internalizes multipliers.</t>
  </si>
  <si>
    <t>9. Discounts at entry points by firm/interruptible capacity</t>
  </si>
  <si>
    <t>Includes discounts.</t>
  </si>
  <si>
    <t>Discounts at entry points</t>
  </si>
  <si>
    <t>Discounts at exit points</t>
  </si>
  <si>
    <t>Firm capacity</t>
  </si>
  <si>
    <t>Interruptible capacity</t>
  </si>
  <si>
    <t>Intra-system network use</t>
  </si>
  <si>
    <t>Cross-system network use</t>
  </si>
  <si>
    <t>Network use</t>
  </si>
  <si>
    <t>Cross-system network use = Flow [Entry from LNG terminal] towards [Exit to VIP Iberico]</t>
  </si>
  <si>
    <t>Capacity structure by GRMS</t>
  </si>
  <si>
    <t>6. Demand forecast for RPM</t>
  </si>
  <si>
    <t>LNG Terminal</t>
  </si>
  <si>
    <t>2. Average weighted distance at entry points</t>
  </si>
  <si>
    <t>Calculation according to CWD (without effective capacity and without effective distance).</t>
  </si>
  <si>
    <t>2. Average weighted distance at exit points</t>
  </si>
  <si>
    <t>Includes yearly and short-term products. Includes firm and interruptible capacity. Conversion internalizes multipliers (but not discounts).</t>
  </si>
  <si>
    <t>CWD</t>
  </si>
  <si>
    <t>List of RPM</t>
  </si>
  <si>
    <t>Discount mode</t>
  </si>
  <si>
    <t>On</t>
  </si>
  <si>
    <t>Off</t>
  </si>
  <si>
    <t>Default: On</t>
  </si>
  <si>
    <t>Domestic consumption</t>
  </si>
  <si>
    <t>Yes</t>
  </si>
  <si>
    <t>No</t>
  </si>
  <si>
    <t>In order to simulate the Postage Stamp approach, prices are set here equal to 1.</t>
  </si>
  <si>
    <t>Commercial utilization factor at entry points</t>
  </si>
  <si>
    <t>Commercial utilization factor at exit points</t>
  </si>
  <si>
    <t>Commercial utilization factor by default. Physical flow factor in mCWD.</t>
  </si>
  <si>
    <t>Effective capacity by default. Forecasted capacity in CWD.</t>
  </si>
  <si>
    <t>Direction</t>
  </si>
  <si>
    <t>Point</t>
  </si>
  <si>
    <t>Price for a capacity product for firm capacity with a duration of one year</t>
  </si>
  <si>
    <t>mCWD (2019)</t>
  </si>
  <si>
    <t>Point ID</t>
  </si>
  <si>
    <t>Point designation</t>
  </si>
  <si>
    <t>Designation by TSO</t>
  </si>
  <si>
    <t>Entry point?</t>
  </si>
  <si>
    <t>Exit point?</t>
  </si>
  <si>
    <t>IP Campo Maior</t>
  </si>
  <si>
    <t>IP Valença</t>
  </si>
  <si>
    <t>CTS Valença</t>
  </si>
  <si>
    <t>Terminal de GNL</t>
  </si>
  <si>
    <t>Armazenamento Subterrâneo</t>
  </si>
  <si>
    <t>PP Gas producers</t>
  </si>
  <si>
    <t>GRMS 01059 - Setúbal</t>
  </si>
  <si>
    <t>GRMS 01109 - Seixal</t>
  </si>
  <si>
    <t>GRMS 01119 - Palmela - BV</t>
  </si>
  <si>
    <t>GRMS 01129 - Seixal</t>
  </si>
  <si>
    <t>GRMS 01139 - Rio Frio</t>
  </si>
  <si>
    <t>GRMS 01149 - Alcochete</t>
  </si>
  <si>
    <t>GRMS 01159 - Barreiro</t>
  </si>
  <si>
    <t>GRMS 01179 - Benavente - JCT</t>
  </si>
  <si>
    <t>GRMS 01189 - Castanheira do Ribatejo</t>
  </si>
  <si>
    <t>GRMS 01209 - Frielas</t>
  </si>
  <si>
    <t>GRMS 01219 - C.T. Carregado</t>
  </si>
  <si>
    <t>GRMS 01229 -  Loures</t>
  </si>
  <si>
    <t>GRMS 01239 - Alpriate</t>
  </si>
  <si>
    <t>GRMS 01259 - Alenquer - ICJCT</t>
  </si>
  <si>
    <t>GRMS 01269 - C.T. Carregado</t>
  </si>
  <si>
    <t>GRMS 01279 - Alpriate</t>
  </si>
  <si>
    <t>GRMS 01309 - Cartaxo</t>
  </si>
  <si>
    <t>GRMS 01319 - Abrigada</t>
  </si>
  <si>
    <t>GRMS 01359 - Torres Vedras</t>
  </si>
  <si>
    <t>GRMS 01369 - Torres Vedras</t>
  </si>
  <si>
    <t>GRMS 01409 - Rio Maior</t>
  </si>
  <si>
    <t>GRMS 02069 - Porto de Mós</t>
  </si>
  <si>
    <t>GRMS 02089 - Maceira</t>
  </si>
  <si>
    <t>GRMS 02159 - Leiria</t>
  </si>
  <si>
    <t>GRMS 02509 - Carriço</t>
  </si>
  <si>
    <t>GRMS 02519 - Leirosa</t>
  </si>
  <si>
    <t>GRMS 02539 - Leirosa</t>
  </si>
  <si>
    <t>GRMS 02549 - C.C.C. Lares</t>
  </si>
  <si>
    <t>GRMS 02559 - Pombal - JCT</t>
  </si>
  <si>
    <t>GRMS 02569 - C.C.C. Lares</t>
  </si>
  <si>
    <t>GRMS 02709 - Soure</t>
  </si>
  <si>
    <t>GRMS 02719 - Montemor</t>
  </si>
  <si>
    <t>GRMS 02739 - Condeixa</t>
  </si>
  <si>
    <t>GRMS 03009 - Ameal</t>
  </si>
  <si>
    <t>GRMS 03059 - Coimbra</t>
  </si>
  <si>
    <t>GRMS 03069 - Souselas</t>
  </si>
  <si>
    <t>GRMS 03109 - Mealhada</t>
  </si>
  <si>
    <t>GRMS 03169 - Cantanhede</t>
  </si>
  <si>
    <t>GRMS 03219 - Oliveira do Bairro</t>
  </si>
  <si>
    <t>GRMS 03229 - Oiã</t>
  </si>
  <si>
    <t>GRMS 03259 - Aveiro - GRMS</t>
  </si>
  <si>
    <t>GRMS 03269 - Aveiro - GRMS</t>
  </si>
  <si>
    <t>GRMS 03309 - Roxico</t>
  </si>
  <si>
    <t>GRMS 03359 - Estarreja</t>
  </si>
  <si>
    <t>GRMS 03369 - Estarreja</t>
  </si>
  <si>
    <t>GRMS 03459 - Feira - JCT</t>
  </si>
  <si>
    <t>GRMS 03559 - Fiães</t>
  </si>
  <si>
    <t>GRMS 03609 - Vila Nova de Gaia</t>
  </si>
  <si>
    <t>GRMS 03619 - Avintes</t>
  </si>
  <si>
    <t>GRMS 03659 - C.T. Tapada</t>
  </si>
  <si>
    <t>GRMS 04059 - Valongo</t>
  </si>
  <si>
    <t>GRMS 04109 - Maia</t>
  </si>
  <si>
    <t>GRMS 04149 - Perafita</t>
  </si>
  <si>
    <t>GRMS 04159 - Santo Tirso</t>
  </si>
  <si>
    <t>GRMS 04209 - Famalicão</t>
  </si>
  <si>
    <t>GRMS 05009 - Braga</t>
  </si>
  <si>
    <t>GRMS 05119 - Barcelos</t>
  </si>
  <si>
    <t>GRMS 05179 - Viana do Castelo</t>
  </si>
  <si>
    <t>GRMS 05309 - Ponte de Lima</t>
  </si>
  <si>
    <t>GRMS 05609 - Vila Nova de Cerveira</t>
  </si>
  <si>
    <t>GRMS 07009 - Campo Maior</t>
  </si>
  <si>
    <t>GRMS 08009 - Ponte de Sor</t>
  </si>
  <si>
    <t>GRMS 08109 - Pego</t>
  </si>
  <si>
    <t>GRMS 08119 - C.C.C. Pego</t>
  </si>
  <si>
    <t>GRMS 08209 - Santa Margarida da Coutada</t>
  </si>
  <si>
    <t>GRMS 08309 - Asseiceira</t>
  </si>
  <si>
    <t>GRMS 08409 - Sabacheira</t>
  </si>
  <si>
    <t>GRMS 08559 - Madalena</t>
  </si>
  <si>
    <t>GRMS 10079 - Portalegre</t>
  </si>
  <si>
    <t>GRMS 10159 - Vila Velha de Rodão</t>
  </si>
  <si>
    <t>GRMS 10209 - Castelo Branco</t>
  </si>
  <si>
    <t>GRMS 10309 - Fundão</t>
  </si>
  <si>
    <t>GRMS 10359 - Covilhã</t>
  </si>
  <si>
    <t>GRMS 10459 - Guarda</t>
  </si>
  <si>
    <t>GRMS 11109 - Mortágua</t>
  </si>
  <si>
    <t>GRMS 11159 - Santa Comba Dão</t>
  </si>
  <si>
    <t>GRMS 11209 - Tondela</t>
  </si>
  <si>
    <t>GRMS 11279 - Viseu</t>
  </si>
  <si>
    <t>GRMS 11309 - Mangualde</t>
  </si>
  <si>
    <t>GRMS 12209 - Mitrena</t>
  </si>
  <si>
    <t>GRMS 12609 - Chaparral</t>
  </si>
  <si>
    <t>GRMS 12619 - Chaparral</t>
  </si>
  <si>
    <t>GRMS 12619B - Zona Industrial e Logística de Sines (ZILS)</t>
  </si>
  <si>
    <t>GRMS 12629 - Chaparral</t>
  </si>
  <si>
    <t>GRMS 12809 - Sines</t>
  </si>
  <si>
    <t>NP Abul</t>
  </si>
  <si>
    <t>Abul</t>
  </si>
  <si>
    <t>NP Albergaria-a-Velha</t>
  </si>
  <si>
    <t>Albergaria-a-Velha</t>
  </si>
  <si>
    <t>NP Alcobaça</t>
  </si>
  <si>
    <t>Alcobaça</t>
  </si>
  <si>
    <t>NP Alenquer</t>
  </si>
  <si>
    <t>Alenquer</t>
  </si>
  <si>
    <t>NP Almojanda</t>
  </si>
  <si>
    <t>Almojanda</t>
  </si>
  <si>
    <t>NP Alter-do-Chão</t>
  </si>
  <si>
    <t>Alter-do-Chão</t>
  </si>
  <si>
    <t>NP Alto da Serra</t>
  </si>
  <si>
    <t>Alto da Serra</t>
  </si>
  <si>
    <t>NP Arcozelo</t>
  </si>
  <si>
    <t>Arcozelo</t>
  </si>
  <si>
    <t>NP Areias de Vilar</t>
  </si>
  <si>
    <t>Areias de Vilar</t>
  </si>
  <si>
    <t>NP Arruda</t>
  </si>
  <si>
    <t>Arruda</t>
  </si>
  <si>
    <t>NP Atalaia</t>
  </si>
  <si>
    <t>Atalaia</t>
  </si>
  <si>
    <t>NP Aveiro</t>
  </si>
  <si>
    <t>Aveiro</t>
  </si>
  <si>
    <t>NP Avelãs de Ambom</t>
  </si>
  <si>
    <t>Avelãs de Ambom</t>
  </si>
  <si>
    <t>NP Azambuja</t>
  </si>
  <si>
    <t>Azambuja</t>
  </si>
  <si>
    <t>NP Belmonte</t>
  </si>
  <si>
    <t>Belmonte</t>
  </si>
  <si>
    <t>NP Benavente</t>
  </si>
  <si>
    <t>Benavente</t>
  </si>
  <si>
    <t>NP Bidoeira</t>
  </si>
  <si>
    <t>Bidoeira</t>
  </si>
  <si>
    <t>NP Cachada</t>
  </si>
  <si>
    <t>Cachada</t>
  </si>
  <si>
    <t>NP Carregado</t>
  </si>
  <si>
    <t>Carregado</t>
  </si>
  <si>
    <t>NP Castelo de Vide</t>
  </si>
  <si>
    <t>Castelo de Vide</t>
  </si>
  <si>
    <t>NP Celorico</t>
  </si>
  <si>
    <t>Celorico</t>
  </si>
  <si>
    <t>NP Elvas</t>
  </si>
  <si>
    <t>Elvas</t>
  </si>
  <si>
    <t>NP Feira</t>
  </si>
  <si>
    <t>Feira</t>
  </si>
  <si>
    <t>NP Gaia</t>
  </si>
  <si>
    <t>Gaia</t>
  </si>
  <si>
    <t>NP Gondomar</t>
  </si>
  <si>
    <t>Gondomar</t>
  </si>
  <si>
    <t>NP Grândola</t>
  </si>
  <si>
    <t>Grândola</t>
  </si>
  <si>
    <t>NP Labruja</t>
  </si>
  <si>
    <t>Labruja</t>
  </si>
  <si>
    <t>NP Luso</t>
  </si>
  <si>
    <t>Luso</t>
  </si>
  <si>
    <t>NP Marinha Grande</t>
  </si>
  <si>
    <t>Marinha Grande</t>
  </si>
  <si>
    <t>NP Monforte</t>
  </si>
  <si>
    <t>Monforte</t>
  </si>
  <si>
    <t>NP Mosteiró</t>
  </si>
  <si>
    <t>Mosteiró</t>
  </si>
  <si>
    <t>NP Ortigosa</t>
  </si>
  <si>
    <t>Ortigosa</t>
  </si>
  <si>
    <t>NP Ourém</t>
  </si>
  <si>
    <t>Ourém</t>
  </si>
  <si>
    <t>NP Ovar</t>
  </si>
  <si>
    <t>Ovar</t>
  </si>
  <si>
    <t>NP Palmela</t>
  </si>
  <si>
    <t>Palmela</t>
  </si>
  <si>
    <t>NP Palmela B</t>
  </si>
  <si>
    <t>Palmela B</t>
  </si>
  <si>
    <t>NP Paredes de Coura</t>
  </si>
  <si>
    <t>Paredes de Coura</t>
  </si>
  <si>
    <t>NP Pombal</t>
  </si>
  <si>
    <t>Pombal</t>
  </si>
  <si>
    <t>NP Ponte</t>
  </si>
  <si>
    <t>Ponte</t>
  </si>
  <si>
    <t>NP Porto Coelheiro</t>
  </si>
  <si>
    <t>Porto Coelheiro</t>
  </si>
  <si>
    <t>NP Quereledo</t>
  </si>
  <si>
    <t>Quereledo</t>
  </si>
  <si>
    <t>NP Rêgo de Água</t>
  </si>
  <si>
    <t>Rêgo de Água</t>
  </si>
  <si>
    <t>NP S. Cosme Vale</t>
  </si>
  <si>
    <t>S. Cosme Vale</t>
  </si>
  <si>
    <t>NP S. Julião</t>
  </si>
  <si>
    <t>S. Julião</t>
  </si>
  <si>
    <t>NP Silgueiros</t>
  </si>
  <si>
    <t>Silgueiros</t>
  </si>
  <si>
    <t>NP Sto André</t>
  </si>
  <si>
    <t>Sto André</t>
  </si>
  <si>
    <t>NP V. Soeiro do Chão</t>
  </si>
  <si>
    <t>V. Soeiro do Chão</t>
  </si>
  <si>
    <t>NP Vale Marim</t>
  </si>
  <si>
    <t>Vale Marim</t>
  </si>
  <si>
    <t>pk 0,14 (Valença)</t>
  </si>
  <si>
    <t>0,14 (Valença)</t>
  </si>
  <si>
    <t>pk 0,40 (Campo Maior)</t>
  </si>
  <si>
    <t>0,40 (Campo Maior)</t>
  </si>
  <si>
    <t>pk 1,31 (Sines)</t>
  </si>
  <si>
    <t>1,31 (Sines)</t>
  </si>
  <si>
    <t>pk 2,19 (Sines)</t>
  </si>
  <si>
    <t>2,19 (Sines)</t>
  </si>
  <si>
    <t>DP Air Liquide</t>
  </si>
  <si>
    <t>Air Liquide</t>
  </si>
  <si>
    <t>DP C. Ribatejo</t>
  </si>
  <si>
    <t>C. Ribatejo</t>
  </si>
  <si>
    <t>DP C.T. Carregado</t>
  </si>
  <si>
    <t>DP C.T. Outeiro</t>
  </si>
  <si>
    <t>C.T. Outeiro</t>
  </si>
  <si>
    <t>DP Cogeração Carriço</t>
  </si>
  <si>
    <t>Cogeração Carriço</t>
  </si>
  <si>
    <t>DP 02508 - Cogeração Carriço</t>
  </si>
  <si>
    <t>DP Indorama</t>
  </si>
  <si>
    <t>Indorama</t>
  </si>
  <si>
    <t>DP Navigator Setúbal</t>
  </si>
  <si>
    <t>Navigator Setúbal</t>
  </si>
  <si>
    <t>DP Portucel (Viana)</t>
  </si>
  <si>
    <t>Portucel (Viana)</t>
  </si>
  <si>
    <t>DP 05178 - Portucel (Viana)</t>
  </si>
  <si>
    <t>DP Refinaria Sines #1</t>
  </si>
  <si>
    <t>Refinaria Sines #1</t>
  </si>
  <si>
    <t>DP Refinaria Sines #2</t>
  </si>
  <si>
    <t>Refinaria Sines #2</t>
  </si>
  <si>
    <t>DP Repsol</t>
  </si>
  <si>
    <t>Repsol</t>
  </si>
  <si>
    <t>DP Soporcel</t>
  </si>
  <si>
    <t>DP 02518 - Soporcel</t>
  </si>
  <si>
    <t>Point ID start</t>
  </si>
  <si>
    <t>Point ID end</t>
  </si>
  <si>
    <t>Distance [km]</t>
  </si>
  <si>
    <t>E/X system</t>
  </si>
  <si>
    <t>Trunk?</t>
  </si>
  <si>
    <t>Bi-directional?</t>
  </si>
  <si>
    <t>Instrumental?</t>
  </si>
  <si>
    <t>Lote</t>
  </si>
  <si>
    <t>Comments</t>
  </si>
  <si>
    <t>Unidirectional based on TSO information</t>
  </si>
  <si>
    <t>Beyond GRMS 03659. Unidirectional based on TSO information.</t>
  </si>
  <si>
    <t>Instrumental distance (unidirectional)</t>
  </si>
  <si>
    <t>According to TSO's distance matrix, GRMS 02509 is at zero distance from Underground Storage</t>
  </si>
  <si>
    <t>Fictional point</t>
  </si>
  <si>
    <t>Beyond GRMS 01219. Unidirectional based on TSO information.</t>
  </si>
  <si>
    <t>Beyond GRMS 01269. Unidirectional based on TSO information.</t>
  </si>
  <si>
    <t>Beyond GRMS 12619. Unidirectional based on TSO information</t>
  </si>
  <si>
    <t>According to TSO's distance matrix, GRMS12809 is at zero distance from LNG terminal</t>
  </si>
  <si>
    <t xml:space="preserve">Instrumental distance </t>
  </si>
  <si>
    <t>Distance matrix from each entry point to each exit point.</t>
  </si>
  <si>
    <t>Distance matrix from each exit point to each entry point.</t>
  </si>
  <si>
    <r>
      <t xml:space="preserve">Simplified Tariff Model
</t>
    </r>
    <r>
      <rPr>
        <sz val="11"/>
        <color theme="1"/>
        <rFont val="Calibri"/>
        <family val="2"/>
      </rPr>
      <t>Art. 30(2)(b) Commission Regulation (EU) 2017/460</t>
    </r>
  </si>
  <si>
    <r>
      <t xml:space="preserve">Modelo Tarifário Simplificado
</t>
    </r>
    <r>
      <rPr>
        <sz val="11"/>
        <color theme="1"/>
        <rFont val="Calibri"/>
        <family val="2"/>
      </rPr>
      <t>Art. 30(2)(b) Regulamento da Comissão (UE) 2017/460</t>
    </r>
  </si>
  <si>
    <t>Folha de cálculo | Worksheet</t>
  </si>
  <si>
    <t>Input</t>
  </si>
  <si>
    <t>Input capacity</t>
  </si>
  <si>
    <t>Entry Tariff_1</t>
  </si>
  <si>
    <t>Entry Tariff_2</t>
  </si>
  <si>
    <t>Exit Tariff_1</t>
  </si>
  <si>
    <t>Exit Tariff_2</t>
  </si>
  <si>
    <t>Reference prices</t>
  </si>
  <si>
    <t>CAA</t>
  </si>
  <si>
    <t>A1.Network points</t>
  </si>
  <si>
    <t>A2.Network segments</t>
  </si>
  <si>
    <t>Choose a reference price methodology:</t>
  </si>
  <si>
    <t>Choose whether discounts shall be included:</t>
  </si>
  <si>
    <t>RPM &amp; Discounts</t>
  </si>
  <si>
    <t>Descrição da folha de cálculo</t>
  </si>
  <si>
    <t>Description of the worksheet</t>
  </si>
  <si>
    <t>Input parameters related to revenues, demand scenario, multipliers, discounts, entry-exit split, among other parameters.</t>
  </si>
  <si>
    <t>Matriz de distância de cada ponto de entrada a cada ponto de saída.</t>
  </si>
  <si>
    <t>Matriz de distância de cada ponto de saída a cada ponto de entrada.</t>
  </si>
  <si>
    <t>Parâmetros de entrada relacionados a proveitos permitidos, cenário de procura, multiplicadores, descontos, divisão de entrada-saída, entre outros parâmetros.</t>
  </si>
  <si>
    <t>Converts forecasted capacity values into an equivalent capacity reference, in which the capacity value is multiplied by the respective multiplier, whenever a multiplier other than 1 is applicable.
This procedure ensures that the reference price to be determined by the reference price methodology does not depend on the structure of the capacity products.</t>
  </si>
  <si>
    <t>Converte os valores de capacidade prevista para o referencial de capacidade equivalente, isto é, em que o valor de capacidade é multiplicado pelo respetivo multiplicador, sempre que seja aplicável um multiplicador diferente de 1. Este procedimento garante que o preço de referência a determinar pela metodologia de preço de referência não dependa da estrutura dos produtos de capacidade.</t>
  </si>
  <si>
    <t>Calcula os preços de entrada da tarifa de transporte no referencial de um produto de capacidade firme com a duração de um ano.</t>
  </si>
  <si>
    <t>Calculates the entry prices of the transmission tariff on the basis of a firm capacity product with a duration of one year.</t>
  </si>
  <si>
    <t>Calculates the exit prices of the transmission tariff on the basis of a firm capacity product with a duration of one year.</t>
  </si>
  <si>
    <t>Calcula os preços de entrada da tarifa de transporte para os vários referenciais, incluindo produtos de capacidade firmes e interruptíveis e produtos de capacidade com horizonte diferente do anual.</t>
  </si>
  <si>
    <t>Calculates transmission tariff entry prices for various references, including firm and interruptible capacity products and capacity products with a horizon other than annual.</t>
  </si>
  <si>
    <t>Tabela resumo com os preços da tarifa de transporte no referencial de um produto de capacidade firme com a duração de um ano.</t>
  </si>
  <si>
    <t>Summary table with the prices of the transmission tariff on the basis of a firm capacity product with a duration of one year.</t>
  </si>
  <si>
    <t>Anexo A1. Lista com todos os pontos de entrada e de saída da rede de transporte.</t>
  </si>
  <si>
    <t>Anexo A2. Lista com todos os segmentos da rede de transporte, incluindo as respetivas distâncias.</t>
  </si>
  <si>
    <t>Annex 2. List of all segments of the transmission network, including their respective distances.</t>
  </si>
  <si>
    <t>Annex 1. List of all entry and exit points of the transmission network.</t>
  </si>
  <si>
    <t>Distance Matrix_Entry</t>
  </si>
  <si>
    <t>Distance Matrix_Exit</t>
  </si>
  <si>
    <r>
      <t xml:space="preserve">Este modelo tarifário simplificado calcula as tarifas de transporte de acordo com a </t>
    </r>
    <r>
      <rPr>
        <b/>
        <sz val="11"/>
        <color theme="1"/>
        <rFont val="Calibri"/>
        <family val="2"/>
      </rPr>
      <t>metodologia CWD modificada</t>
    </r>
    <r>
      <rPr>
        <sz val="11"/>
        <color theme="1"/>
        <rFont val="Calibri"/>
        <family val="2"/>
        <scheme val="minor"/>
      </rPr>
      <t>.
O utilizador pode avaliar as mudanças nas tarifas de transporte em resultado de alterações na capacidade prevista e dos proveitos permitidos do operador da rede de transporte. Assim, este modelo está em conformidade com o requisito do artigo 30(2)(b), ou seja, a publicação de "um modelo tarifário simplificado, atualizado periodicamente, acompanhado da explicação de como o utilizar, para permitir aos utilizadores da rede o cálculo das tarifas de transporte aplicáveis ao período tarifário em vigor e uma estimativa da sua possível evolução para além desse período tarifário".
Todas as informações incluídas neste ficheiro são publicadas apenas para fins informativos.
As tarifas de transporte não incluem impostos.</t>
    </r>
  </si>
  <si>
    <t>Calcula os preços de saída da tarifa de transporte no referencial de um produto de capacidade firme com a duração de um ano.</t>
  </si>
  <si>
    <t>Calcula os preços de saída da tarifa de transporte para os vários referenciais, incluindo produtos de capacidade firmes e interruptíveis, produtos de capacidade com horizonte diferente do anual e opções tarifárias.</t>
  </si>
  <si>
    <t>Inclui os cálculos referentes à avaliação de imputação de custos.</t>
  </si>
  <si>
    <t>Includes the calculations relating to the cost allocation assessment.</t>
  </si>
  <si>
    <t>Calculates transmission tariff exit prices for various references, including firm and interruptible capacity products, capacity products with a horizon other than annual and tariff options.</t>
  </si>
  <si>
    <r>
      <t xml:space="preserve">This simplified tariff model calculates transmission tariffs according to the </t>
    </r>
    <r>
      <rPr>
        <b/>
        <sz val="11"/>
        <color theme="1"/>
        <rFont val="Calibri"/>
        <family val="2"/>
      </rPr>
      <t>modified CWD methodology</t>
    </r>
    <r>
      <rPr>
        <sz val="11"/>
        <color theme="1"/>
        <rFont val="Calibri"/>
        <family val="2"/>
        <scheme val="minor"/>
      </rPr>
      <t xml:space="preserve">.
The user may assess changes in transmission tariffs as a result of changes in forecasted capacity and allowed revenues of the transmission system operator. This model therefore complies with the requirement of Article 30(2)(b), i.e. the publication of a "simplified tariff model, updated regularly, accompanied by the explanation of how to use it, enabling network users to calculate the transmission tariffs applicable for the prevailing tariff period and to estimate their possible evolution beyond such tariff period".
All information included in this file is published for informational purposes only.
The transmission tariffs do not include taxes.
</t>
    </r>
  </si>
  <si>
    <t>Transmission services</t>
  </si>
  <si>
    <t>Non-transmission services</t>
  </si>
  <si>
    <t>CWD 28/72</t>
  </si>
  <si>
    <t>Counter-factual</t>
  </si>
  <si>
    <t>Distance matrix</t>
  </si>
  <si>
    <t>Assumption for RPM</t>
  </si>
  <si>
    <t>Note</t>
  </si>
  <si>
    <t>Trunk</t>
  </si>
  <si>
    <t>Entry split</t>
  </si>
  <si>
    <t>Parameter</t>
  </si>
  <si>
    <t>Only a share of the revenues (56%), corresponding to the non-regional assets, is allocated through the RPM, as transmission service revenues.
The remaining share is allocated as non-transmission service revenues to domestic exits, as a uniform capacity price.</t>
  </si>
  <si>
    <t>Version of distance matrix that excludes network segments that are not part of the trunk network</t>
  </si>
  <si>
    <t>Value applicable to gas routes ending in domestic exits.</t>
  </si>
  <si>
    <t>Share of revenues recovered from entry points.</t>
  </si>
  <si>
    <t>Only for counter-factual.</t>
  </si>
  <si>
    <t>Euros</t>
  </si>
  <si>
    <t>mCWD (2024)</t>
  </si>
  <si>
    <r>
      <t xml:space="preserve">Contém duas opções para o utilizador. A segunda opção permite desativar o efeito dos descontos aplicados.
A primeira opção permite escolher entre seis metodologias de cálculo distintas:
1) </t>
    </r>
    <r>
      <rPr>
        <b/>
        <sz val="11"/>
        <color theme="1"/>
        <rFont val="Calibri"/>
        <family val="2"/>
      </rPr>
      <t>CWD</t>
    </r>
    <r>
      <rPr>
        <sz val="11"/>
        <color theme="1"/>
        <rFont val="Calibri"/>
        <family val="2"/>
        <scheme val="minor"/>
      </rPr>
      <t xml:space="preserve"> - Metodologia da distância ponderada pela capacidade, definida no artigo 8.º do Código de Rede de Tarifas</t>
    </r>
    <r>
      <rPr>
        <b/>
        <sz val="11"/>
        <color theme="1"/>
        <rFont val="Calibri"/>
        <family val="2"/>
        <scheme val="minor"/>
      </rPr>
      <t xml:space="preserve">
</t>
    </r>
    <r>
      <rPr>
        <sz val="11"/>
        <color theme="1"/>
        <rFont val="Calibri"/>
        <family val="2"/>
        <scheme val="minor"/>
      </rPr>
      <t xml:space="preserve">2) </t>
    </r>
    <r>
      <rPr>
        <b/>
        <sz val="11"/>
        <color theme="1"/>
        <rFont val="Calibri"/>
        <family val="2"/>
        <scheme val="minor"/>
      </rPr>
      <t>CWD 28/72</t>
    </r>
    <r>
      <rPr>
        <sz val="11"/>
        <color theme="1"/>
        <rFont val="Calibri"/>
        <family val="2"/>
        <scheme val="minor"/>
      </rPr>
      <t xml:space="preserve"> - Metodologia da distância ponderada pela capacidade, definida no artigo 8.º do Código de Rede de Tarifas, com uma divisão de entrada-saída de 28/72
3) </t>
    </r>
    <r>
      <rPr>
        <b/>
        <sz val="11"/>
        <color theme="1"/>
        <rFont val="Calibri"/>
        <family val="2"/>
        <scheme val="minor"/>
      </rPr>
      <t>Postage stamp 28/72</t>
    </r>
    <r>
      <rPr>
        <sz val="11"/>
        <color theme="1"/>
        <rFont val="Calibri"/>
        <family val="2"/>
        <scheme val="minor"/>
      </rPr>
      <t xml:space="preserve"> - Metodologia do tipo selo postal, segundo a qual os preços são iguais nos vários pontos de entrada e iguais nos vários pontos de saída, com uma divisão de entrada-saída de 28/72
4) </t>
    </r>
    <r>
      <rPr>
        <b/>
        <sz val="11"/>
        <color theme="1"/>
        <rFont val="Calibri"/>
        <family val="2"/>
        <scheme val="minor"/>
      </rPr>
      <t>mCWD (2019)</t>
    </r>
    <r>
      <rPr>
        <sz val="11"/>
        <color theme="1"/>
        <rFont val="Calibri"/>
        <family val="2"/>
        <scheme val="minor"/>
      </rPr>
      <t xml:space="preserve"> - Metodologia modificada da distância ponderada pela capacidade, com os parâmetros que vigoraram entre os ano gás 2019-2020 e 2023-2024
5) </t>
    </r>
    <r>
      <rPr>
        <b/>
        <sz val="11"/>
        <color theme="1"/>
        <rFont val="Calibri"/>
        <family val="2"/>
        <scheme val="minor"/>
      </rPr>
      <t>mCWD (2024)</t>
    </r>
    <r>
      <rPr>
        <sz val="11"/>
        <color theme="1"/>
        <rFont val="Calibri"/>
        <family val="2"/>
        <scheme val="minor"/>
      </rPr>
      <t xml:space="preserve"> - Metodologia modificada da distância ponderada pela capacidade, com os parâmetros da decisão fundamentada de 2024
6) </t>
    </r>
    <r>
      <rPr>
        <b/>
        <sz val="11"/>
        <color theme="1"/>
        <rFont val="Calibri"/>
        <family val="2"/>
        <scheme val="minor"/>
      </rPr>
      <t>Counter-factual</t>
    </r>
    <r>
      <rPr>
        <sz val="11"/>
        <color theme="1"/>
        <rFont val="Calibri"/>
        <family val="2"/>
        <scheme val="minor"/>
      </rPr>
      <t xml:space="preserve"> - Metodologia nos termos da secção 4.4 do Relatório da Consulta Pública n.º 117</t>
    </r>
  </si>
  <si>
    <r>
      <t xml:space="preserve">Contains two options for the user. The second option allows you to disable the effect of applied discounts.
The first option allows you to choose between four different calculation methodologies:
1) </t>
    </r>
    <r>
      <rPr>
        <b/>
        <sz val="11"/>
        <color theme="1"/>
        <rFont val="Calibri"/>
        <family val="2"/>
      </rPr>
      <t>CWD</t>
    </r>
    <r>
      <rPr>
        <sz val="11"/>
        <color theme="1"/>
        <rFont val="Calibri"/>
        <family val="2"/>
        <scheme val="minor"/>
      </rPr>
      <t xml:space="preserve"> - Capacity-weighted distance methodology, defined in Article 8 of the Tariff Network Code
2) </t>
    </r>
    <r>
      <rPr>
        <b/>
        <sz val="11"/>
        <color theme="1"/>
        <rFont val="Calibri"/>
        <family val="2"/>
        <scheme val="minor"/>
      </rPr>
      <t>CWD 28/72</t>
    </r>
    <r>
      <rPr>
        <sz val="11"/>
        <color theme="1"/>
        <rFont val="Calibri"/>
        <family val="2"/>
        <scheme val="minor"/>
      </rPr>
      <t xml:space="preserve"> - Capacity-weighted distance methodology, defined in Article 8 of the Tariff Network Code, with an entry-exit split of 28/72
3) </t>
    </r>
    <r>
      <rPr>
        <b/>
        <sz val="11"/>
        <color theme="1"/>
        <rFont val="Calibri"/>
        <family val="2"/>
        <scheme val="minor"/>
      </rPr>
      <t>Postage stamp 28/72</t>
    </r>
    <r>
      <rPr>
        <sz val="11"/>
        <color theme="1"/>
        <rFont val="Calibri"/>
        <family val="2"/>
        <scheme val="minor"/>
      </rPr>
      <t xml:space="preserve"> - Postage stamp methodology, according to which prices are the same at the various entry points and the same at the various exit points, with an entry-exit split of 28/72
4) </t>
    </r>
    <r>
      <rPr>
        <b/>
        <sz val="11"/>
        <color theme="1"/>
        <rFont val="Calibri"/>
        <family val="2"/>
        <scheme val="minor"/>
      </rPr>
      <t>mCWD (2019)</t>
    </r>
    <r>
      <rPr>
        <sz val="11"/>
        <color theme="1"/>
        <rFont val="Calibri"/>
        <family val="2"/>
        <scheme val="minor"/>
      </rPr>
      <t xml:space="preserve"> - Modified capacity-weighted distance methodology, with the parameters that have been in force between gas years 2019-2020 and 2023-2024
5) </t>
    </r>
    <r>
      <rPr>
        <b/>
        <sz val="11"/>
        <color theme="1"/>
        <rFont val="Calibri"/>
        <family val="2"/>
        <scheme val="minor"/>
      </rPr>
      <t>mCWD (2024)</t>
    </r>
    <r>
      <rPr>
        <sz val="11"/>
        <color theme="1"/>
        <rFont val="Calibri"/>
        <family val="2"/>
        <scheme val="minor"/>
      </rPr>
      <t xml:space="preserve"> - Modified capacity-weighted distance methodology, with the parameters approved with the motivated decision of 2024.
6) </t>
    </r>
    <r>
      <rPr>
        <b/>
        <sz val="11"/>
        <color theme="1"/>
        <rFont val="Calibri"/>
        <family val="2"/>
        <scheme val="minor"/>
      </rPr>
      <t>Counter-factual</t>
    </r>
    <r>
      <rPr>
        <sz val="11"/>
        <color theme="1"/>
        <rFont val="Calibri"/>
        <family val="2"/>
        <scheme val="minor"/>
      </rPr>
      <t xml:space="preserve"> - Methodology provided for in section 4.4 of the Report of Public Consultation No. 117
</t>
    </r>
  </si>
  <si>
    <t>Última atualização: 28-Março-2024</t>
  </si>
  <si>
    <t>Last update: 28-March-2024</t>
  </si>
  <si>
    <t>Postage stamp 28/72</t>
  </si>
  <si>
    <t>Default: mCWD (2024)</t>
  </si>
  <si>
    <t>A3.Distance matrix</t>
  </si>
  <si>
    <t>Anexo A3. Matriz de distâncias, para dois cenários: com e sem os gasodutos periféricos.</t>
  </si>
  <si>
    <t>2. Only primary pipelines</t>
  </si>
  <si>
    <t>1. All pipelines,</t>
  </si>
  <si>
    <t>including primary</t>
  </si>
  <si>
    <t>and secondary pipelines</t>
  </si>
  <si>
    <t>Annex 3. Distance matrix, for two scenarios: with and without secondary pipelines.</t>
  </si>
  <si>
    <t>A4a.CWD Entry Av. Distance</t>
  </si>
  <si>
    <t>A4b.CWD Exit Av. Distance</t>
  </si>
  <si>
    <t>Anexo A4a. Cálculos auxiliares que determinam informação utilizada na folha de cálculo 'CAA'.</t>
  </si>
  <si>
    <t>Anexo A4b. Cálculos auxiliares que determinam informação utilizada na folha de cálculo 'CAA'.</t>
  </si>
  <si>
    <t>Annex 4b. Auxiliary calculations that determine information used in the 'CAA' spreadsheet.</t>
  </si>
  <si>
    <t>Annex 4a. Auxiliary calculations that determine information used in the 'CAA' spreadsheet.</t>
  </si>
  <si>
    <t>A5.Counter-factual</t>
  </si>
  <si>
    <t>Annex 5. Assumptions used in the methodology 'Counter-factual'</t>
  </si>
  <si>
    <t>Anexo A5. Pressupostos utilizados na metodologia  'Counter-factual'</t>
  </si>
  <si>
    <t>1. Allowed revenues of the transmission system operator, in Euros</t>
  </si>
  <si>
    <t>2.1 Firm capacity, in kWh/day</t>
  </si>
  <si>
    <t>2.2 Interruptible capacity, in kWh/day</t>
  </si>
  <si>
    <t>2.3 Gas volume, in MWh</t>
  </si>
  <si>
    <t>3.1 Firm capacity, in kWh/day</t>
  </si>
  <si>
    <t>3.2 Interruptible capacity, in kWh/day</t>
  </si>
  <si>
    <t>3.3 Gas volume, in MWh</t>
  </si>
  <si>
    <t>Technical capacity at entry points, GWh/day</t>
  </si>
  <si>
    <t>Technical capacity at exit points, GWh/day</t>
  </si>
  <si>
    <t>Technical capacity at VIP Iberico, GWh/day</t>
  </si>
  <si>
    <t>6.1 Firm capacity at entry points, in kWh/day</t>
  </si>
  <si>
    <t>6.2 Interruptible capacity at entry points, in kWh/day</t>
  </si>
  <si>
    <t>6.3 Firm capacity at exit points, in kWh/day</t>
  </si>
  <si>
    <t>6.4 Interruptible capacity at exit points, in kWh/day</t>
  </si>
  <si>
    <t>1.a Entry capacity forecast (equivalent capacity), in kWh/day</t>
  </si>
  <si>
    <t>1.b Exit capacity forecast (equivalent capacity), in kWh/day</t>
  </si>
  <si>
    <t>1. Forecasted capacity at entry points, in kWh/day</t>
  </si>
  <si>
    <t>4. Average weighted distance at entry points, in km</t>
  </si>
  <si>
    <t>Reference price, in EUR/kWh/d/year</t>
  </si>
  <si>
    <t>6. Pre-equalization price at entry points, in EUR/kWh/d/year</t>
  </si>
  <si>
    <t>7. Post-equalization price at entry points, in EUR/kWh/d/year</t>
  </si>
  <si>
    <t>8. Post-equalization price at entry points by firm/interruptible capacity, in EUR/kWh/d/year</t>
  </si>
  <si>
    <t>10. Pre-scaling price at entry points by firm/interruptible capacity, in EUR/kWh/d/year</t>
  </si>
  <si>
    <t>10. Demand, kWh/day</t>
  </si>
  <si>
    <t>11. Reference prices, in EUR/kWh/d/year</t>
  </si>
  <si>
    <t>12. Revenues, in EUR</t>
  </si>
  <si>
    <t>1. Post-equalization price by entry point and capacity product, in EUR/kWh/d/year</t>
  </si>
  <si>
    <t>4. Pre-scaling prices by entry point and capacity product, in EUR/kWh/d/year</t>
  </si>
  <si>
    <t>5. Demand forecast by entry point, kWh/day</t>
  </si>
  <si>
    <t>6. Pre-scaling revenues, in EUR</t>
  </si>
  <si>
    <t>7. Reference prices, in EUR/kWh/d/year</t>
  </si>
  <si>
    <t>8. Revenues from reference prices, in EUR</t>
  </si>
  <si>
    <t>1. Forecasted capacity at exit points, in kWh/day</t>
  </si>
  <si>
    <t>4. Average weighted distance at exit points, in km</t>
  </si>
  <si>
    <t>6. Pre-equalization price at exit points, in EUR/kWh/d/year</t>
  </si>
  <si>
    <t>7. Post-equalization price at exit points, in EUR/kWh/d/year</t>
  </si>
  <si>
    <t>8. Post-equalization price at exit points by firm/interruptible capacity, in EUR/kWh/d/year</t>
  </si>
  <si>
    <t>10. Demand, in kWh/day</t>
  </si>
  <si>
    <t>12. Prices for non-transmission services, in EUR/kWh/d/year</t>
  </si>
  <si>
    <t>13. Revenues, in EUR</t>
  </si>
  <si>
    <t>1. Post-equalization price by exit point and capacity product, in EUR/kWh/d/year</t>
  </si>
  <si>
    <t>4. Pre-scaling prices by exit point and capacity product, in EUR/kWh/d/year</t>
  </si>
  <si>
    <t>5. Demand forecast by exit point, in kWh/day</t>
  </si>
  <si>
    <t>8. Prices for non-transmission services, in EUR/kWh/d/year</t>
  </si>
  <si>
    <t>9. Revenues, in EUR</t>
  </si>
  <si>
    <t>Seixal #1</t>
  </si>
  <si>
    <t>Seixal #2</t>
  </si>
  <si>
    <t>C.T. Carregado #1</t>
  </si>
  <si>
    <t>Loures</t>
  </si>
  <si>
    <t>Alpriate #1</t>
  </si>
  <si>
    <t>C.T. Carregado #2</t>
  </si>
  <si>
    <t>Alpriate #2</t>
  </si>
  <si>
    <t>Torres Vedras #1</t>
  </si>
  <si>
    <t>Torres Vedras #2</t>
  </si>
  <si>
    <t>Leirosa #1</t>
  </si>
  <si>
    <t>Leirosa #2</t>
  </si>
  <si>
    <t>C.C.C. Lares #1</t>
  </si>
  <si>
    <t>C.C.C. Lares #2</t>
  </si>
  <si>
    <t>Aveiro - GRMS #1</t>
  </si>
  <si>
    <t>Aveiro - GRMS #2</t>
  </si>
  <si>
    <t>Estarreja #1</t>
  </si>
  <si>
    <t>Estarreja #2</t>
  </si>
  <si>
    <t>Chaparral #1</t>
  </si>
  <si>
    <t>Chaparral #2</t>
  </si>
  <si>
    <t>Chaparral #3</t>
  </si>
  <si>
    <t>Beyond GRMS 03369. Unidirectional based on TSO information</t>
  </si>
  <si>
    <t>Beyond GRMS 12609. Unidirectional based on TSO information</t>
  </si>
  <si>
    <t>Beyond GRMS 12629. Unidirectional based on TSO information</t>
  </si>
  <si>
    <t>Language / Idioma</t>
  </si>
  <si>
    <t>Português</t>
  </si>
  <si>
    <t>2023-2024</t>
  </si>
  <si>
    <t>2024-2025</t>
  </si>
  <si>
    <t>2025-2026</t>
  </si>
  <si>
    <t>2026-2027</t>
  </si>
  <si>
    <t>Chosen language</t>
  </si>
  <si>
    <t>English</t>
  </si>
  <si>
    <t>Information</t>
  </si>
  <si>
    <t>Transmission tariffs for natural gas</t>
  </si>
  <si>
    <t>Tarifas de transporte para o gás natural</t>
  </si>
  <si>
    <t>Simplified tariff model</t>
  </si>
  <si>
    <t>Modelo tarifário simplificado</t>
  </si>
  <si>
    <t>All calculated data are for information purposes only.</t>
  </si>
  <si>
    <t>Todos os dados calculados são apenas para fins informativos.</t>
  </si>
  <si>
    <t>The calculated prices do not include value-added tax (VAT).</t>
  </si>
  <si>
    <t>Os preços calculados não incluem o imposto sobre o valor acrescentado (IVA).</t>
  </si>
  <si>
    <t>Description of the simplified tariff model</t>
  </si>
  <si>
    <t>Descrição do modelo tarifário simplificado</t>
  </si>
  <si>
    <t>This model includes two additional worksheets, with the following purposes:</t>
  </si>
  <si>
    <t>Este modelo inclui duas folhas de cálculo adicionais, com as seguintes finalidades:</t>
  </si>
  <si>
    <t xml:space="preserve">Input - </t>
  </si>
  <si>
    <t xml:space="preserve">Output - </t>
  </si>
  <si>
    <t>This worksheet includes the allowed revenues of the transmission system operator and the forecasted capacity demand.</t>
  </si>
  <si>
    <t>Esta folha inclui os proveitos permitidos do operador da rede de transporte e os valores para a capacidade prevista.</t>
  </si>
  <si>
    <t>This worksheet computes the transmission tariffs applicable for the use of the transmission system based on the values from the 'Input' worksheet.</t>
  </si>
  <si>
    <t>Esta folha calcula as tarifas de transporte aplicáveis para o uso da rede de transporte com base nos valores da folha 'Input'.</t>
  </si>
  <si>
    <t>The values that can be changed by the user are the yellow cells included in the 'Input' worksheet.</t>
  </si>
  <si>
    <t>Os valores que podem ser alterados pelo utilizador são as células amarelas incluídas na folha 'Input'.</t>
  </si>
  <si>
    <t>Color legend</t>
  </si>
  <si>
    <t>Legenda de cores</t>
  </si>
  <si>
    <t>This information can be changed by the user in order to simulate what the transmission tariffs would have been equal to if demand or revenues were different.</t>
  </si>
  <si>
    <t>Esta informação pode ser alterada pelo utilizador para simular qual teria sido o efeito nas tarifas de transporte se a procura ou os proveitos tivessem sido diferentes.</t>
  </si>
  <si>
    <t>Green cells in the worksheet 'Output' are computed based on the values entered in the yellow cells in the 'Input' worksheet.</t>
  </si>
  <si>
    <t>Células verdes na folha 'Output' são valores estimados com base nos valores introduzidos nas células amarelas na folha 'Input'.</t>
  </si>
  <si>
    <t>Last update:</t>
  </si>
  <si>
    <t>Última atualização:</t>
  </si>
  <si>
    <t>Proveitos permitidos</t>
  </si>
  <si>
    <t>Proveitos permitidos do operador da rede de transporte</t>
  </si>
  <si>
    <t>Forecasted capacity demand</t>
  </si>
  <si>
    <t>Capacidade prevista</t>
  </si>
  <si>
    <t>Ponto</t>
  </si>
  <si>
    <t>Produtos</t>
  </si>
  <si>
    <t>Entrada</t>
  </si>
  <si>
    <t>Saída</t>
  </si>
  <si>
    <t>VIP Ibérico</t>
  </si>
  <si>
    <t>Underground Storage</t>
  </si>
  <si>
    <t>Produtores de gás</t>
  </si>
  <si>
    <t>Distribution networks and HP Customers</t>
  </si>
  <si>
    <t>Redes de distribuição e clientes em AP</t>
  </si>
  <si>
    <t>HP Customers</t>
  </si>
  <si>
    <t>Clientes em AP</t>
  </si>
  <si>
    <t>Yearly</t>
  </si>
  <si>
    <t>Anual</t>
  </si>
  <si>
    <t>Trimestral</t>
  </si>
  <si>
    <t>Mensal</t>
  </si>
  <si>
    <t>Diário</t>
  </si>
  <si>
    <t>Intraday</t>
  </si>
  <si>
    <t>Intradiário</t>
  </si>
  <si>
    <t>Capacidade utilizada na injeção</t>
  </si>
  <si>
    <t>Long Uses</t>
  </si>
  <si>
    <t>Longas utilizações</t>
  </si>
  <si>
    <t>Annual Flexible Rate - Annual Base Capacity</t>
  </si>
  <si>
    <t>Tarifa flexível anual - capacidade base anual</t>
  </si>
  <si>
    <t>Annual Flexible Rate - Additional Monthly Capacity (April to September)</t>
  </si>
  <si>
    <t>Tarifa flexível anual - capacidade mensal adicional (abril a setembro)</t>
  </si>
  <si>
    <t>Flexible Monthly Rate - Monthly Capacity (October to March)</t>
  </si>
  <si>
    <t>Tarifa flexível mensal - capacidade mensal (outubro a março)</t>
  </si>
  <si>
    <t>Flexible Monthly Rate - Monthly Capacity (April to September)</t>
  </si>
  <si>
    <t>Tarifa flexível mensal - capacidade mensal (abril a setembro)</t>
  </si>
  <si>
    <t>Daily Flexible Rate - Daily Capacity (October to March)</t>
  </si>
  <si>
    <t>Tarifa flexível diária - capacidade diária (outubro a março)</t>
  </si>
  <si>
    <t>Daily Flexible Rate - Daily Capacity (April to September)</t>
  </si>
  <si>
    <t>Tarifa flexível diária - capacidade diária (abril a setembro)</t>
  </si>
  <si>
    <t>Unit</t>
  </si>
  <si>
    <t>Unidade</t>
  </si>
  <si>
    <t>kWh/day</t>
  </si>
  <si>
    <t>kWh/dia</t>
  </si>
  <si>
    <t>kWh/h</t>
  </si>
  <si>
    <t>Yellow cells can be changed by the user</t>
  </si>
  <si>
    <t>Células amarelas podem ser alteradas pelo utilizador</t>
  </si>
  <si>
    <t>Output</t>
  </si>
  <si>
    <t>Transmission tariffs</t>
  </si>
  <si>
    <t>Tarifas de uso da rede de transporte</t>
  </si>
  <si>
    <t>€/(kWh/day)/year</t>
  </si>
  <si>
    <t>€/(kWh/dia)/ano</t>
  </si>
  <si>
    <t>€/(kWh/h)/year</t>
  </si>
  <si>
    <t>€/(kWh/h)/ano</t>
  </si>
  <si>
    <t>Green cells are estimates</t>
  </si>
  <si>
    <t>Células verdes são estimativas</t>
  </si>
  <si>
    <t>Art 30(1)(a)</t>
  </si>
  <si>
    <t>Interconnection point (Campo Maior)</t>
  </si>
  <si>
    <t>Ponto de interligação (Campo Maior)</t>
  </si>
  <si>
    <t>Interconnection point (Valença do Minho)</t>
  </si>
  <si>
    <t>Ponto de interligação (Valença do Minho)</t>
  </si>
  <si>
    <t>Terminal de GNL (Sines)</t>
  </si>
  <si>
    <t>Armazenamento Subterrâneo (Carriço)</t>
  </si>
  <si>
    <t>Tipo</t>
  </si>
  <si>
    <t>Contracted</t>
  </si>
  <si>
    <t>Contratada</t>
  </si>
  <si>
    <t>Used</t>
  </si>
  <si>
    <t>Utilizada</t>
  </si>
  <si>
    <t>Type of point</t>
  </si>
  <si>
    <t>Tipo de ponto</t>
  </si>
  <si>
    <t>Valença do Minho</t>
  </si>
  <si>
    <t>LNG terminal (Sines)</t>
  </si>
  <si>
    <t>Terminal de Sines</t>
  </si>
  <si>
    <t>Underground storage (Carriço)</t>
  </si>
  <si>
    <t>Lisboagás, Setgás, Carregado, Ribatejo</t>
  </si>
  <si>
    <t>Portgás, Outeiro power plant</t>
  </si>
  <si>
    <t>Portgás, Central Outeiro</t>
  </si>
  <si>
    <t>Lusitâniagás, Lares power plant, Figueira da Foz power plant</t>
  </si>
  <si>
    <t>Lusitâniagás, Central Lares, Central Figueira da Foz</t>
  </si>
  <si>
    <t>Tagusgás, Pego power plant</t>
  </si>
  <si>
    <t>Tagusgás, Central Pego</t>
  </si>
  <si>
    <t>Portucel</t>
  </si>
  <si>
    <t>Sines Refinary, Portucel</t>
  </si>
  <si>
    <t>Refinaria Sines, Portucel</t>
  </si>
  <si>
    <t>Beiragás</t>
  </si>
  <si>
    <t>Ponto de interligação</t>
  </si>
  <si>
    <t>Terminal GNL</t>
  </si>
  <si>
    <t>Storage</t>
  </si>
  <si>
    <t>Armazenamento</t>
  </si>
  <si>
    <t>Consumption</t>
  </si>
  <si>
    <t>Consumo</t>
  </si>
  <si>
    <t>Technical capacity</t>
  </si>
  <si>
    <t>Capacidade técnica</t>
  </si>
  <si>
    <t>Physical flow</t>
  </si>
  <si>
    <t>Fluxo físico</t>
  </si>
  <si>
    <t>Physical utilization factor</t>
  </si>
  <si>
    <t>Fator de utilização física</t>
  </si>
  <si>
    <t>Artigo do código de rede</t>
  </si>
  <si>
    <t>Descrição</t>
  </si>
  <si>
    <t>Art. 30 (1)(b)(i)</t>
  </si>
  <si>
    <t>Proveitos permitidos/previstos, em milhares de euros</t>
  </si>
  <si>
    <t>Art. 30 (1)(b)(iv)</t>
  </si>
  <si>
    <t>Receitas dos serviços de transporte, em milhares de euros</t>
  </si>
  <si>
    <t>Art. 30 (1)(b)(v)(1)</t>
  </si>
  <si>
    <t>Divisão capacidade-energia</t>
  </si>
  <si>
    <t>Capacidade</t>
  </si>
  <si>
    <t>Energia</t>
  </si>
  <si>
    <t>Art. 30 (1)(b)(v)(2)</t>
  </si>
  <si>
    <t>Divisão entrada-saída (nas tarifas de transporte baseadas na capacidade)</t>
  </si>
  <si>
    <t>Art. 30 (1)(b)(v)(3)</t>
  </si>
  <si>
    <t>Divisão transfronteiriço-nacional (calculada nos termos do artigo 5.º)</t>
  </si>
  <si>
    <t>Utilização intrasistema</t>
  </si>
  <si>
    <t>Utilização intersistema</t>
  </si>
  <si>
    <t>Capacidade técnica, em GWh/dia</t>
  </si>
  <si>
    <t>-</t>
  </si>
  <si>
    <t>Pontos de entrada/saída</t>
  </si>
  <si>
    <t>Divisão capacidade-energia, ou seja, a repartição entre a receita proveniente das tarifas de transporte baseadas na capacidade e a receita proveniente das tarifas de transporte baseadas na energia</t>
  </si>
  <si>
    <t>Divisão entrada-saída, ou seja, a repartição entre a receita proveniente das tarifas de transporte baseadas na capacidade em todos os pontos de entrada e a receita proveniente das tarifas de transporte baseadas na capacidade em todos os pontos de saída</t>
  </si>
  <si>
    <t>Transfronteiriço</t>
  </si>
  <si>
    <t>Nacional</t>
  </si>
  <si>
    <t>Divisão transfronteiriço-nacional, ou seja, a repartição entre a receita proveniente dos utilizadores nacionais da rede, tanto nos pontos de entrada como nos de saída, e a receita proveniente dos utilizadores transfronteiriços da rede, tanto nos pontos de entrada como de saída, calculada nos termos do artigo 5.º.</t>
  </si>
  <si>
    <t>Tarifas de uso da rede de transporte (até ao final do período de regulação)</t>
  </si>
  <si>
    <t>Ano Gás 2024-2025</t>
  </si>
  <si>
    <t>Revenues from network use, in EUR</t>
  </si>
  <si>
    <t>NOTA</t>
  </si>
  <si>
    <t>This simplified tariff model presents the transmission tariffs for natural gas since gas year 2024-2025 until gas year 2026-2027.</t>
  </si>
  <si>
    <t>Este modelo tarifário simplificado apresenta as tarifas de transporte de gás natural desde o ano gás de 2024-2025 até ao ano gás 2026-2027.</t>
  </si>
  <si>
    <t>Yellow cells in the worksheet 'Input' corresponds to the information used in the tariff approval for gas year 2024-2025.</t>
  </si>
  <si>
    <t>Células amarelas na folha 'Input' é informação utilizada na aprovação das tarifas para o ano gás 2024-2025.</t>
  </si>
  <si>
    <t>» Nota: Fórmula adaptada, em conformidade com o Regulamento Tarifário.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</si>
</sst>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 _€_-;\-* #,##0.00\ _€_-;_-* &quot;-&quot;??\ _€_-;_-@_-"/>
    <numFmt numFmtId="165" formatCode="0.0"/>
    <numFmt numFmtId="166" formatCode="0.000%"/>
    <numFmt numFmtId="167" formatCode="0.0%"/>
    <numFmt numFmtId="168" formatCode="#,##0.0"/>
    <numFmt numFmtId="169" formatCode="#,##0.000000"/>
    <numFmt numFmtId="170" formatCode="#,##0.000"/>
    <numFmt numFmtId="171" formatCode="0.0000"/>
    <numFmt numFmtId="172" formatCode="#,##0.0000"/>
    <numFmt numFmtId="173" formatCode="#,##0\ &quot;€&quot;"/>
    <numFmt numFmtId="174" formatCode="0.00000000"/>
    <numFmt numFmtId="175" formatCode="0.0000%"/>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indexed="8"/>
      <name val="Calibri"/>
      <family val="2"/>
    </font>
    <font>
      <sz val="11"/>
      <color rgb="FF000000"/>
      <name val="Calibri"/>
      <family val="2"/>
      <scheme val="minor"/>
    </font>
    <font>
      <b/>
      <sz val="11"/>
      <color theme="4"/>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1"/>
      <color theme="1" tint="0.499984740745262"/>
      <name val="Calibri"/>
      <family val="2"/>
      <scheme val="minor"/>
    </font>
    <font>
      <sz val="10"/>
      <color theme="1"/>
      <name val="Arial"/>
      <family val="2"/>
    </font>
    <font>
      <b/>
      <sz val="11"/>
      <color theme="1"/>
      <name val="Calibri"/>
      <family val="2"/>
    </font>
    <font>
      <sz val="11"/>
      <color theme="1"/>
      <name val="Calibri"/>
      <family val="2"/>
    </font>
    <font>
      <b/>
      <sz val="11"/>
      <color rgb="FFFF0000"/>
      <name val="Calibri"/>
      <family val="2"/>
      <scheme val="minor"/>
    </font>
    <font>
      <sz val="9"/>
      <color theme="1"/>
      <name val="Calibri"/>
      <family val="2"/>
      <scheme val="minor"/>
    </font>
    <font>
      <b/>
      <sz val="10"/>
      <color theme="0"/>
      <name val="Arial"/>
      <family val="2"/>
    </font>
    <font>
      <i/>
      <sz val="11"/>
      <color rgb="FFCC9925"/>
      <name val="Calibri"/>
      <family val="2"/>
      <scheme val="minor"/>
    </font>
    <font>
      <b/>
      <sz val="18"/>
      <color rgb="FFCC9925"/>
      <name val="Calibri"/>
      <family val="2"/>
      <scheme val="minor"/>
    </font>
    <font>
      <b/>
      <sz val="18"/>
      <color theme="1"/>
      <name val="Calibri"/>
      <family val="2"/>
      <scheme val="minor"/>
    </font>
    <font>
      <b/>
      <sz val="14"/>
      <color rgb="FFCC9925"/>
      <name val="Calibri"/>
      <family val="2"/>
      <scheme val="minor"/>
    </font>
    <font>
      <b/>
      <sz val="14"/>
      <color theme="0"/>
      <name val="Calibri"/>
      <family val="2"/>
      <scheme val="minor"/>
    </font>
    <font>
      <b/>
      <sz val="12"/>
      <color rgb="FFCC9925"/>
      <name val="Calibri"/>
      <family val="2"/>
      <scheme val="minor"/>
    </font>
    <font>
      <sz val="11"/>
      <color theme="1"/>
      <name val="Symbol"/>
      <family val="1"/>
      <charset val="2"/>
    </font>
    <font>
      <b/>
      <sz val="10"/>
      <color theme="1"/>
      <name val="Calibri"/>
      <family val="2"/>
      <scheme val="minor"/>
    </font>
    <font>
      <sz val="10"/>
      <color theme="1"/>
      <name val="Calibri"/>
      <family val="2"/>
      <scheme val="minor"/>
    </font>
    <font>
      <b/>
      <sz val="14"/>
      <color theme="1"/>
      <name val="Calibri"/>
      <family val="2"/>
      <scheme val="minor"/>
    </font>
    <font>
      <b/>
      <sz val="9"/>
      <color indexed="81"/>
      <name val="Tahoma"/>
      <charset val="1"/>
    </font>
    <font>
      <sz val="11"/>
      <color rgb="FF00B050"/>
      <name val="Calibri"/>
      <family val="2"/>
      <scheme val="minor"/>
    </font>
  </fonts>
  <fills count="19">
    <fill>
      <patternFill patternType="none"/>
    </fill>
    <fill>
      <patternFill patternType="gray125"/>
    </fill>
    <fill>
      <patternFill patternType="solid">
        <fgColor theme="6"/>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rgb="FFFFFF00"/>
        <bgColor indexed="64"/>
      </patternFill>
    </fill>
    <fill>
      <patternFill patternType="solid">
        <fgColor theme="4"/>
        <bgColor indexed="64"/>
      </patternFill>
    </fill>
    <fill>
      <patternFill patternType="solid">
        <fgColor rgb="FFCC9925"/>
        <bgColor indexed="64"/>
      </patternFill>
    </fill>
    <fill>
      <patternFill patternType="solid">
        <fgColor rgb="FF92D050"/>
        <bgColor indexed="64"/>
      </patternFill>
    </fill>
    <fill>
      <patternFill patternType="solid">
        <fgColor theme="0" tint="-0.499984740745262"/>
        <bgColor indexed="64"/>
      </patternFill>
    </fill>
    <fill>
      <patternFill patternType="solid">
        <fgColor theme="9"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medium">
        <color theme="1"/>
      </left>
      <right style="medium">
        <color theme="1"/>
      </right>
      <top style="medium">
        <color theme="1"/>
      </top>
      <bottom style="medium">
        <color theme="1"/>
      </bottom>
      <diagonal/>
    </border>
    <border>
      <left/>
      <right/>
      <top/>
      <bottom style="thick">
        <color rgb="FFCC9925"/>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rgb="FFCC9925"/>
      </left>
      <right/>
      <top style="medium">
        <color rgb="FFCC9925"/>
      </top>
      <bottom/>
      <diagonal/>
    </border>
    <border>
      <left/>
      <right/>
      <top style="medium">
        <color rgb="FFCC9925"/>
      </top>
      <bottom/>
      <diagonal/>
    </border>
    <border>
      <left/>
      <right style="medium">
        <color rgb="FFCC9925"/>
      </right>
      <top style="medium">
        <color rgb="FFCC9925"/>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9925"/>
      </left>
      <right/>
      <top/>
      <bottom/>
      <diagonal/>
    </border>
    <border>
      <left/>
      <right style="medium">
        <color rgb="FFCC9925"/>
      </right>
      <top/>
      <bottom/>
      <diagonal/>
    </border>
    <border>
      <left style="medium">
        <color rgb="FFCC9925"/>
      </left>
      <right/>
      <top/>
      <bottom style="medium">
        <color rgb="FFCC9925"/>
      </bottom>
      <diagonal/>
    </border>
    <border>
      <left/>
      <right/>
      <top/>
      <bottom style="medium">
        <color rgb="FFCC9925"/>
      </bottom>
      <diagonal/>
    </border>
    <border>
      <left/>
      <right style="medium">
        <color rgb="FFCC9925"/>
      </right>
      <top/>
      <bottom style="medium">
        <color rgb="FFCC9925"/>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theme="1"/>
      </left>
      <right style="thin">
        <color theme="1"/>
      </right>
      <top style="thin">
        <color theme="1"/>
      </top>
      <bottom style="medium">
        <color indexed="64"/>
      </bottom>
      <diagonal/>
    </border>
    <border>
      <left style="thin">
        <color indexed="64"/>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0" fontId="5" fillId="0" borderId="0"/>
  </cellStyleXfs>
  <cellXfs count="355">
    <xf numFmtId="0" fontId="0" fillId="0" borderId="0" xfId="0"/>
    <xf numFmtId="0" fontId="0" fillId="0" borderId="0" xfId="0"/>
    <xf numFmtId="0" fontId="6" fillId="0" borderId="0" xfId="0" applyFont="1"/>
    <xf numFmtId="0" fontId="0" fillId="0" borderId="1" xfId="0" applyFont="1" applyBorder="1"/>
    <xf numFmtId="3" fontId="0" fillId="4" borderId="1" xfId="0" applyNumberFormat="1" applyFont="1" applyFill="1" applyBorder="1" applyAlignment="1">
      <alignment horizontal="right"/>
    </xf>
    <xf numFmtId="0" fontId="2" fillId="5" borderId="0" xfId="0" applyFont="1" applyFill="1"/>
    <xf numFmtId="0" fontId="2" fillId="3" borderId="2" xfId="0" applyFont="1" applyFill="1" applyBorder="1" applyAlignment="1">
      <alignment horizontal="centerContinuous"/>
    </xf>
    <xf numFmtId="0" fontId="0" fillId="2" borderId="2" xfId="0" applyFont="1" applyFill="1" applyBorder="1" applyAlignment="1">
      <alignment horizontal="center"/>
    </xf>
    <xf numFmtId="0" fontId="0" fillId="0" borderId="3" xfId="0" applyFont="1" applyFill="1" applyBorder="1" applyAlignment="1">
      <alignment horizontal="centerContinuous"/>
    </xf>
    <xf numFmtId="0" fontId="2" fillId="3" borderId="4" xfId="0" applyFont="1" applyFill="1" applyBorder="1"/>
    <xf numFmtId="0" fontId="0" fillId="2" borderId="4" xfId="0" applyFont="1" applyFill="1" applyBorder="1"/>
    <xf numFmtId="0" fontId="7" fillId="2" borderId="5" xfId="0" applyFont="1" applyFill="1" applyBorder="1"/>
    <xf numFmtId="0" fontId="7" fillId="2" borderId="3" xfId="0" applyFont="1" applyFill="1" applyBorder="1"/>
    <xf numFmtId="0" fontId="0" fillId="2" borderId="5" xfId="0" applyFont="1" applyFill="1" applyBorder="1"/>
    <xf numFmtId="0" fontId="0" fillId="2" borderId="3" xfId="0" applyFont="1" applyFill="1" applyBorder="1"/>
    <xf numFmtId="0" fontId="0" fillId="2" borderId="1" xfId="0" applyFont="1" applyFill="1" applyBorder="1"/>
    <xf numFmtId="0" fontId="0" fillId="0" borderId="6" xfId="0" applyFont="1" applyBorder="1" applyAlignment="1">
      <alignment horizontal="left"/>
    </xf>
    <xf numFmtId="0" fontId="0" fillId="0" borderId="7" xfId="0" applyFont="1" applyBorder="1" applyAlignment="1">
      <alignment horizontal="left"/>
    </xf>
    <xf numFmtId="0" fontId="0" fillId="0" borderId="6" xfId="0" applyFont="1" applyBorder="1"/>
    <xf numFmtId="0" fontId="0" fillId="0" borderId="7" xfId="0" applyFont="1" applyBorder="1"/>
    <xf numFmtId="3" fontId="2" fillId="3" borderId="7" xfId="0" applyNumberFormat="1" applyFont="1" applyFill="1" applyBorder="1" applyAlignment="1">
      <alignment horizontal="right"/>
    </xf>
    <xf numFmtId="0" fontId="2" fillId="3" borderId="10" xfId="0" applyFont="1" applyFill="1" applyBorder="1"/>
    <xf numFmtId="0" fontId="2" fillId="3" borderId="11" xfId="0" applyFont="1" applyFill="1" applyBorder="1"/>
    <xf numFmtId="0" fontId="0" fillId="2" borderId="11" xfId="0" applyFont="1" applyFill="1" applyBorder="1" applyAlignment="1">
      <alignment horizontal="center"/>
    </xf>
    <xf numFmtId="0" fontId="0" fillId="3" borderId="3" xfId="0" applyFill="1" applyBorder="1"/>
    <xf numFmtId="0" fontId="0" fillId="3" borderId="5" xfId="0" applyFill="1" applyBorder="1"/>
    <xf numFmtId="0" fontId="2" fillId="3" borderId="8" xfId="0" applyFont="1" applyFill="1" applyBorder="1"/>
    <xf numFmtId="0" fontId="2" fillId="3" borderId="9" xfId="0" applyFont="1" applyFill="1" applyBorder="1"/>
    <xf numFmtId="0" fontId="0" fillId="3" borderId="13" xfId="0" applyFill="1" applyBorder="1"/>
    <xf numFmtId="0" fontId="0" fillId="3" borderId="14" xfId="0" applyFill="1" applyBorder="1"/>
    <xf numFmtId="0" fontId="0" fillId="3" borderId="15" xfId="0" applyFill="1" applyBorder="1"/>
    <xf numFmtId="0" fontId="0" fillId="3" borderId="12" xfId="0" applyFill="1" applyBorder="1"/>
    <xf numFmtId="0" fontId="2" fillId="5" borderId="0" xfId="0" applyFont="1" applyFill="1" applyAlignment="1">
      <alignment horizontal="left" vertical="center"/>
    </xf>
    <xf numFmtId="0" fontId="0" fillId="0" borderId="0" xfId="0" applyAlignment="1">
      <alignment horizontal="left" vertical="center"/>
    </xf>
    <xf numFmtId="9" fontId="0" fillId="4" borderId="1" xfId="1" applyFont="1" applyFill="1" applyBorder="1" applyAlignment="1">
      <alignment horizontal="right"/>
    </xf>
    <xf numFmtId="0" fontId="2" fillId="5" borderId="0" xfId="0" applyFont="1" applyFill="1" applyAlignment="1">
      <alignment horizontal="left" vertical="center" indent="1"/>
    </xf>
    <xf numFmtId="0" fontId="0" fillId="0" borderId="1" xfId="0" applyFont="1" applyFill="1" applyBorder="1"/>
    <xf numFmtId="0" fontId="8" fillId="0" borderId="0" xfId="0" applyFont="1"/>
    <xf numFmtId="3" fontId="0" fillId="0" borderId="1" xfId="0" applyNumberFormat="1" applyFont="1" applyFill="1" applyBorder="1" applyAlignment="1">
      <alignment horizontal="right"/>
    </xf>
    <xf numFmtId="0" fontId="0" fillId="4" borderId="1" xfId="0" applyNumberFormat="1" applyFont="1" applyFill="1" applyBorder="1" applyAlignment="1">
      <alignment horizontal="right"/>
    </xf>
    <xf numFmtId="167" fontId="0" fillId="4" borderId="1" xfId="1" applyNumberFormat="1" applyFont="1" applyFill="1" applyBorder="1" applyAlignment="1">
      <alignment horizontal="right"/>
    </xf>
    <xf numFmtId="0" fontId="2" fillId="3" borderId="10" xfId="0" applyFont="1" applyFill="1" applyBorder="1" applyAlignment="1">
      <alignment horizontal="left"/>
    </xf>
    <xf numFmtId="0" fontId="2" fillId="3" borderId="16" xfId="0" applyFont="1" applyFill="1" applyBorder="1" applyAlignment="1">
      <alignment horizontal="left"/>
    </xf>
    <xf numFmtId="0" fontId="3" fillId="3" borderId="16" xfId="0" applyFont="1" applyFill="1" applyBorder="1" applyAlignment="1">
      <alignment horizontal="left"/>
    </xf>
    <xf numFmtId="0" fontId="3" fillId="3" borderId="11" xfId="0" applyFont="1" applyFill="1" applyBorder="1" applyAlignment="1">
      <alignment horizontal="left"/>
    </xf>
    <xf numFmtId="0" fontId="0" fillId="2" borderId="12" xfId="0" applyFont="1" applyFill="1" applyBorder="1"/>
    <xf numFmtId="0" fontId="2" fillId="3" borderId="2" xfId="0" applyFont="1" applyFill="1" applyBorder="1" applyAlignment="1">
      <alignment horizontal="left"/>
    </xf>
    <xf numFmtId="0" fontId="0" fillId="2" borderId="15" xfId="0" applyFont="1" applyFill="1" applyBorder="1"/>
    <xf numFmtId="0" fontId="0" fillId="2" borderId="14" xfId="0" applyFont="1" applyFill="1" applyBorder="1"/>
    <xf numFmtId="165" fontId="0" fillId="4" borderId="2" xfId="0" applyNumberFormat="1" applyFont="1" applyFill="1" applyBorder="1"/>
    <xf numFmtId="9" fontId="0" fillId="0" borderId="1" xfId="0" applyNumberFormat="1" applyFont="1" applyFill="1" applyBorder="1"/>
    <xf numFmtId="9" fontId="0" fillId="0" borderId="1" xfId="1" applyNumberFormat="1" applyFont="1" applyFill="1" applyBorder="1"/>
    <xf numFmtId="168" fontId="0" fillId="0" borderId="1" xfId="0" applyNumberFormat="1" applyFont="1" applyFill="1" applyBorder="1"/>
    <xf numFmtId="168" fontId="0" fillId="0" borderId="1" xfId="0" applyNumberFormat="1" applyBorder="1"/>
    <xf numFmtId="9" fontId="0" fillId="0" borderId="1" xfId="1" applyFont="1" applyFill="1" applyBorder="1" applyAlignment="1">
      <alignment horizontal="right"/>
    </xf>
    <xf numFmtId="168" fontId="0" fillId="0" borderId="1" xfId="0" applyNumberFormat="1" applyFont="1" applyFill="1" applyBorder="1" applyAlignment="1">
      <alignment horizontal="right"/>
    </xf>
    <xf numFmtId="167" fontId="0" fillId="0" borderId="1" xfId="1" applyNumberFormat="1" applyFont="1" applyFill="1" applyBorder="1" applyAlignment="1">
      <alignment horizontal="right"/>
    </xf>
    <xf numFmtId="169" fontId="0" fillId="0" borderId="1" xfId="0" applyNumberFormat="1" applyFont="1" applyFill="1" applyBorder="1" applyAlignment="1">
      <alignment horizontal="right"/>
    </xf>
    <xf numFmtId="0" fontId="0" fillId="0" borderId="1" xfId="0" applyNumberFormat="1" applyFont="1" applyFill="1" applyBorder="1" applyAlignment="1">
      <alignment horizontal="right"/>
    </xf>
    <xf numFmtId="3" fontId="0" fillId="0" borderId="0" xfId="0" applyNumberFormat="1"/>
    <xf numFmtId="0" fontId="0" fillId="0" borderId="0" xfId="0" applyFill="1" applyBorder="1" applyAlignment="1">
      <alignment horizontal="right"/>
    </xf>
    <xf numFmtId="0" fontId="9" fillId="0" borderId="0" xfId="0" applyFont="1"/>
    <xf numFmtId="9" fontId="1" fillId="4" borderId="1" xfId="1" applyFont="1" applyFill="1" applyBorder="1" applyAlignment="1">
      <alignment horizontal="right"/>
    </xf>
    <xf numFmtId="3" fontId="9" fillId="0" borderId="0" xfId="0" applyNumberFormat="1" applyFont="1"/>
    <xf numFmtId="3" fontId="0" fillId="6" borderId="1" xfId="0" applyNumberFormat="1" applyFont="1" applyFill="1" applyBorder="1" applyAlignment="1">
      <alignment horizontal="right"/>
    </xf>
    <xf numFmtId="3" fontId="0" fillId="7" borderId="1" xfId="0" applyNumberFormat="1" applyFont="1" applyFill="1" applyBorder="1" applyAlignment="1">
      <alignment horizontal="right"/>
    </xf>
    <xf numFmtId="0" fontId="0" fillId="7" borderId="1" xfId="0" applyNumberFormat="1" applyFont="1" applyFill="1" applyBorder="1" applyAlignment="1">
      <alignment horizontal="right"/>
    </xf>
    <xf numFmtId="9" fontId="0" fillId="7" borderId="1" xfId="1" applyFont="1" applyFill="1" applyBorder="1" applyAlignment="1">
      <alignment horizontal="right"/>
    </xf>
    <xf numFmtId="167" fontId="0" fillId="7" borderId="1" xfId="1" applyNumberFormat="1" applyFont="1" applyFill="1" applyBorder="1" applyAlignment="1">
      <alignment horizontal="right"/>
    </xf>
    <xf numFmtId="166" fontId="0" fillId="7" borderId="1" xfId="1" applyNumberFormat="1" applyFont="1" applyFill="1" applyBorder="1" applyAlignment="1">
      <alignment horizontal="right"/>
    </xf>
    <xf numFmtId="166" fontId="0" fillId="6" borderId="1" xfId="1" applyNumberFormat="1" applyFont="1" applyFill="1" applyBorder="1" applyAlignment="1">
      <alignment horizontal="right"/>
    </xf>
    <xf numFmtId="9" fontId="0" fillId="0" borderId="1" xfId="1" applyFont="1" applyBorder="1"/>
    <xf numFmtId="0" fontId="0" fillId="0" borderId="4" xfId="0" applyFont="1" applyFill="1" applyBorder="1"/>
    <xf numFmtId="0" fontId="0" fillId="0" borderId="3" xfId="0" applyFont="1" applyFill="1" applyBorder="1"/>
    <xf numFmtId="0" fontId="7" fillId="0" borderId="6" xfId="0" applyFont="1" applyFill="1" applyBorder="1"/>
    <xf numFmtId="0" fontId="7" fillId="0" borderId="7" xfId="0" applyFont="1" applyFill="1" applyBorder="1"/>
    <xf numFmtId="3" fontId="7" fillId="0" borderId="1" xfId="0" applyNumberFormat="1" applyFont="1" applyFill="1" applyBorder="1" applyAlignment="1">
      <alignment horizontal="right"/>
    </xf>
    <xf numFmtId="0" fontId="7" fillId="0" borderId="0" xfId="0" applyFont="1"/>
    <xf numFmtId="0" fontId="0" fillId="8" borderId="4" xfId="0" applyFill="1" applyBorder="1"/>
    <xf numFmtId="0" fontId="0" fillId="8" borderId="5" xfId="0" applyFill="1" applyBorder="1"/>
    <xf numFmtId="0" fontId="0" fillId="8" borderId="3" xfId="0" applyFill="1" applyBorder="1"/>
    <xf numFmtId="9" fontId="0" fillId="0" borderId="1" xfId="1" applyNumberFormat="1" applyFont="1" applyFill="1" applyBorder="1" applyAlignment="1">
      <alignment horizontal="right"/>
    </xf>
    <xf numFmtId="0" fontId="0" fillId="8" borderId="1" xfId="0" applyFill="1" applyBorder="1"/>
    <xf numFmtId="0" fontId="10" fillId="0" borderId="0" xfId="0" applyFont="1" applyAlignment="1">
      <alignment horizontal="left" indent="1"/>
    </xf>
    <xf numFmtId="170" fontId="0" fillId="4" borderId="1" xfId="0" applyNumberFormat="1" applyFont="1" applyFill="1" applyBorder="1" applyAlignment="1">
      <alignment horizontal="right"/>
    </xf>
    <xf numFmtId="170" fontId="0" fillId="7" borderId="1" xfId="0" applyNumberFormat="1" applyFont="1" applyFill="1" applyBorder="1" applyAlignment="1">
      <alignment horizontal="right"/>
    </xf>
    <xf numFmtId="0" fontId="0" fillId="0" borderId="0" xfId="0" applyFill="1"/>
    <xf numFmtId="167" fontId="0" fillId="6" borderId="1" xfId="1" applyNumberFormat="1" applyFont="1" applyFill="1" applyBorder="1" applyAlignment="1">
      <alignment horizontal="right"/>
    </xf>
    <xf numFmtId="169" fontId="0" fillId="7" borderId="1" xfId="0" applyNumberFormat="1" applyFont="1" applyFill="1" applyBorder="1" applyAlignment="1">
      <alignment horizontal="right"/>
    </xf>
    <xf numFmtId="0" fontId="0" fillId="0" borderId="22" xfId="0" applyBorder="1"/>
    <xf numFmtId="0" fontId="11" fillId="11" borderId="25" xfId="0" applyFont="1" applyFill="1" applyBorder="1"/>
    <xf numFmtId="0" fontId="11" fillId="0" borderId="25" xfId="0" applyFont="1" applyBorder="1"/>
    <xf numFmtId="0" fontId="11" fillId="0" borderId="27" xfId="0" applyFont="1" applyBorder="1"/>
    <xf numFmtId="0" fontId="0" fillId="0" borderId="0" xfId="0" applyAlignment="1">
      <alignment vertical="top"/>
    </xf>
    <xf numFmtId="0" fontId="7" fillId="12" borderId="1" xfId="0" applyFont="1" applyFill="1" applyBorder="1" applyAlignment="1">
      <alignment wrapText="1"/>
    </xf>
    <xf numFmtId="0" fontId="0" fillId="0" borderId="1" xfId="0" applyFont="1" applyBorder="1" applyAlignment="1">
      <alignment vertical="top" wrapText="1"/>
    </xf>
    <xf numFmtId="0" fontId="7" fillId="8" borderId="6" xfId="0" applyFont="1" applyFill="1" applyBorder="1"/>
    <xf numFmtId="0" fontId="7" fillId="8" borderId="7" xfId="0" applyFont="1" applyFill="1"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7" fillId="8" borderId="1" xfId="0" applyFont="1" applyFill="1" applyBorder="1"/>
    <xf numFmtId="3" fontId="9" fillId="6" borderId="1" xfId="0" applyNumberFormat="1" applyFont="1" applyFill="1" applyBorder="1" applyAlignment="1">
      <alignment horizontal="right"/>
    </xf>
    <xf numFmtId="0" fontId="3" fillId="14" borderId="0" xfId="0" applyFont="1" applyFill="1"/>
    <xf numFmtId="0" fontId="2" fillId="14" borderId="0" xfId="0" applyFont="1" applyFill="1"/>
    <xf numFmtId="0" fontId="15" fillId="0" borderId="0" xfId="0" applyFont="1"/>
    <xf numFmtId="0" fontId="15" fillId="0" borderId="0" xfId="0" applyFont="1" applyAlignment="1">
      <alignment horizontal="left" vertical="top"/>
    </xf>
    <xf numFmtId="9" fontId="15" fillId="0" borderId="0" xfId="0" applyNumberFormat="1" applyFont="1" applyAlignment="1">
      <alignment horizontal="left" vertical="top"/>
    </xf>
    <xf numFmtId="0" fontId="15" fillId="0" borderId="0" xfId="0" applyFont="1" applyAlignment="1">
      <alignment horizontal="left" vertical="top" wrapText="1"/>
    </xf>
    <xf numFmtId="0" fontId="7" fillId="0" borderId="10" xfId="0" applyFont="1" applyFill="1" applyBorder="1"/>
    <xf numFmtId="0" fontId="7" fillId="0" borderId="11" xfId="0" applyFont="1" applyFill="1" applyBorder="1"/>
    <xf numFmtId="3" fontId="7" fillId="4" borderId="7" xfId="0" applyNumberFormat="1" applyFont="1" applyFill="1" applyBorder="1" applyAlignment="1">
      <alignment horizontal="right"/>
    </xf>
    <xf numFmtId="3" fontId="7" fillId="7" borderId="1" xfId="0" applyNumberFormat="1" applyFont="1" applyFill="1" applyBorder="1" applyAlignment="1">
      <alignment horizontal="right"/>
    </xf>
    <xf numFmtId="0" fontId="0" fillId="0" borderId="0" xfId="0" applyFont="1" applyFill="1" applyBorder="1"/>
    <xf numFmtId="0" fontId="0" fillId="0" borderId="0" xfId="0" applyFont="1" applyBorder="1"/>
    <xf numFmtId="169" fontId="0" fillId="0" borderId="0" xfId="0" applyNumberFormat="1" applyFont="1" applyFill="1" applyBorder="1" applyAlignment="1">
      <alignment horizontal="right"/>
    </xf>
    <xf numFmtId="0" fontId="0" fillId="0" borderId="1" xfId="0" applyBorder="1"/>
    <xf numFmtId="4" fontId="0" fillId="6" borderId="1" xfId="0" applyNumberFormat="1" applyFont="1" applyFill="1" applyBorder="1" applyAlignment="1">
      <alignment horizontal="right"/>
    </xf>
    <xf numFmtId="0" fontId="0" fillId="0" borderId="1" xfId="0" applyFont="1" applyFill="1" applyBorder="1" applyAlignment="1">
      <alignment vertical="top" wrapText="1"/>
    </xf>
    <xf numFmtId="0" fontId="7" fillId="0" borderId="0" xfId="0" quotePrefix="1" applyFont="1"/>
    <xf numFmtId="0" fontId="16" fillId="10" borderId="26" xfId="0" applyFont="1" applyFill="1" applyBorder="1"/>
    <xf numFmtId="0" fontId="0" fillId="9" borderId="0" xfId="0" applyFill="1" applyProtection="1">
      <protection hidden="1"/>
    </xf>
    <xf numFmtId="0" fontId="0" fillId="0" borderId="0" xfId="0" applyProtection="1">
      <protection hidden="1"/>
    </xf>
    <xf numFmtId="0" fontId="0" fillId="0" borderId="0" xfId="0" applyFill="1" applyProtection="1">
      <protection hidden="1"/>
    </xf>
    <xf numFmtId="0" fontId="7" fillId="0" borderId="0" xfId="0" applyFont="1" applyAlignment="1" applyProtection="1">
      <alignment horizontal="right" indent="1"/>
      <protection hidden="1"/>
    </xf>
    <xf numFmtId="0" fontId="7" fillId="15" borderId="28" xfId="0" applyFont="1" applyFill="1" applyBorder="1" applyAlignment="1" applyProtection="1">
      <alignment horizontal="center"/>
      <protection locked="0" hidden="1"/>
    </xf>
    <xf numFmtId="0" fontId="17" fillId="0" borderId="0" xfId="0" applyFont="1" applyAlignment="1" applyProtection="1">
      <alignment horizontal="right"/>
      <protection hidden="1"/>
    </xf>
    <xf numFmtId="14" fontId="17" fillId="0" borderId="0" xfId="0" applyNumberFormat="1" applyFont="1" applyAlignment="1" applyProtection="1">
      <alignment horizontal="center"/>
      <protection hidden="1"/>
    </xf>
    <xf numFmtId="0" fontId="18" fillId="0" borderId="0" xfId="0" applyFont="1" applyProtection="1">
      <protection hidden="1"/>
    </xf>
    <xf numFmtId="0" fontId="19" fillId="0" borderId="0" xfId="0" applyFont="1" applyProtection="1">
      <protection hidden="1"/>
    </xf>
    <xf numFmtId="0" fontId="20" fillId="0" borderId="29" xfId="0" applyFont="1" applyBorder="1" applyProtection="1">
      <protection hidden="1"/>
    </xf>
    <xf numFmtId="0" fontId="0" fillId="0" borderId="29" xfId="0" applyBorder="1" applyProtection="1">
      <protection hidden="1"/>
    </xf>
    <xf numFmtId="0" fontId="7" fillId="0" borderId="0" xfId="0" applyFont="1" applyAlignment="1" applyProtection="1">
      <alignment horizontal="right"/>
      <protection hidden="1"/>
    </xf>
    <xf numFmtId="0" fontId="0" fillId="13" borderId="0" xfId="0" applyFill="1" applyProtection="1">
      <protection hidden="1"/>
    </xf>
    <xf numFmtId="0" fontId="0" fillId="0" borderId="0" xfId="0" applyAlignment="1" applyProtection="1">
      <alignment horizontal="left" indent="1"/>
      <protection hidden="1"/>
    </xf>
    <xf numFmtId="0" fontId="0" fillId="16" borderId="0" xfId="0" applyFill="1" applyProtection="1">
      <protection hidden="1"/>
    </xf>
    <xf numFmtId="0" fontId="0" fillId="9" borderId="0" xfId="0" applyFill="1"/>
    <xf numFmtId="0" fontId="21" fillId="15" borderId="30" xfId="0" applyFont="1" applyFill="1" applyBorder="1"/>
    <xf numFmtId="0" fontId="0" fillId="15" borderId="19" xfId="0" applyFill="1" applyBorder="1"/>
    <xf numFmtId="0" fontId="0" fillId="15" borderId="20" xfId="0" applyFill="1" applyBorder="1"/>
    <xf numFmtId="0" fontId="0" fillId="15" borderId="31" xfId="0" applyFill="1" applyBorder="1"/>
    <xf numFmtId="0" fontId="0" fillId="15" borderId="0" xfId="0" applyFill="1" applyBorder="1"/>
    <xf numFmtId="0" fontId="2" fillId="17" borderId="32" xfId="0" applyFont="1" applyFill="1" applyBorder="1" applyAlignment="1">
      <alignment horizontal="center"/>
    </xf>
    <xf numFmtId="0" fontId="2" fillId="15" borderId="0" xfId="0" applyFont="1" applyFill="1" applyBorder="1" applyAlignment="1">
      <alignment horizontal="center"/>
    </xf>
    <xf numFmtId="0" fontId="0" fillId="15" borderId="33" xfId="0" applyFill="1" applyBorder="1"/>
    <xf numFmtId="0" fontId="0" fillId="0" borderId="34" xfId="0" applyFill="1" applyBorder="1"/>
    <xf numFmtId="0" fontId="22" fillId="0" borderId="35" xfId="0" applyFont="1" applyFill="1" applyBorder="1" applyAlignment="1">
      <alignment horizontal="left"/>
    </xf>
    <xf numFmtId="0" fontId="0" fillId="0" borderId="35" xfId="0" applyFill="1" applyBorder="1"/>
    <xf numFmtId="0" fontId="0" fillId="0" borderId="36" xfId="0" applyFill="1" applyBorder="1"/>
    <xf numFmtId="0" fontId="0" fillId="0" borderId="17" xfId="0" applyFont="1" applyBorder="1"/>
    <xf numFmtId="0" fontId="7" fillId="0" borderId="24" xfId="0" applyFont="1" applyBorder="1"/>
    <xf numFmtId="0" fontId="7" fillId="15" borderId="0" xfId="0" applyFont="1" applyFill="1" applyBorder="1" applyAlignment="1">
      <alignment horizontal="left"/>
    </xf>
    <xf numFmtId="173" fontId="0" fillId="13" borderId="39" xfId="0" applyNumberFormat="1" applyFont="1" applyFill="1" applyBorder="1" applyProtection="1">
      <protection locked="0"/>
    </xf>
    <xf numFmtId="173" fontId="0" fillId="13" borderId="40" xfId="0" applyNumberFormat="1" applyFont="1" applyFill="1" applyBorder="1" applyProtection="1">
      <protection locked="0"/>
    </xf>
    <xf numFmtId="173" fontId="14" fillId="15" borderId="0" xfId="0" applyNumberFormat="1" applyFont="1" applyFill="1" applyBorder="1"/>
    <xf numFmtId="0" fontId="0" fillId="0" borderId="41" xfId="0" applyFill="1" applyBorder="1"/>
    <xf numFmtId="0" fontId="0" fillId="13" borderId="0" xfId="0" applyFill="1" applyBorder="1"/>
    <xf numFmtId="0" fontId="0" fillId="0" borderId="0" xfId="0" applyFill="1" applyBorder="1" applyAlignment="1">
      <alignment horizontal="left" indent="1"/>
    </xf>
    <xf numFmtId="0" fontId="0" fillId="0" borderId="42" xfId="0" applyFill="1" applyBorder="1"/>
    <xf numFmtId="0" fontId="0" fillId="15" borderId="21" xfId="0" applyFill="1" applyBorder="1"/>
    <xf numFmtId="0" fontId="0" fillId="15" borderId="22" xfId="0" applyFill="1" applyBorder="1"/>
    <xf numFmtId="0" fontId="14" fillId="15" borderId="22" xfId="0" applyFont="1" applyFill="1" applyBorder="1"/>
    <xf numFmtId="0" fontId="0" fillId="15" borderId="23" xfId="0" applyFill="1" applyBorder="1"/>
    <xf numFmtId="0" fontId="0" fillId="0" borderId="43" xfId="0" applyFill="1" applyBorder="1"/>
    <xf numFmtId="0" fontId="0" fillId="0" borderId="44" xfId="0" applyFill="1" applyBorder="1"/>
    <xf numFmtId="0" fontId="0" fillId="0" borderId="45" xfId="0" applyFill="1" applyBorder="1"/>
    <xf numFmtId="0" fontId="2" fillId="17" borderId="17" xfId="0" applyFont="1" applyFill="1" applyBorder="1"/>
    <xf numFmtId="0" fontId="2" fillId="17" borderId="24" xfId="0" applyFont="1" applyFill="1" applyBorder="1"/>
    <xf numFmtId="0" fontId="2" fillId="17" borderId="28" xfId="0" applyFont="1" applyFill="1" applyBorder="1" applyAlignment="1">
      <alignment horizontal="center"/>
    </xf>
    <xf numFmtId="0" fontId="2" fillId="17" borderId="30" xfId="0" applyFont="1" applyFill="1" applyBorder="1" applyAlignment="1">
      <alignment horizontal="center"/>
    </xf>
    <xf numFmtId="0" fontId="0" fillId="0" borderId="46" xfId="0" applyBorder="1"/>
    <xf numFmtId="0" fontId="0" fillId="0" borderId="47" xfId="0" applyBorder="1"/>
    <xf numFmtId="3" fontId="0" fillId="13" borderId="49" xfId="0" applyNumberFormat="1" applyFont="1" applyFill="1" applyBorder="1" applyProtection="1"/>
    <xf numFmtId="3" fontId="0" fillId="13" borderId="47" xfId="0" applyNumberFormat="1" applyFont="1" applyFill="1" applyBorder="1" applyProtection="1">
      <protection locked="0"/>
    </xf>
    <xf numFmtId="0" fontId="7" fillId="15" borderId="13" xfId="0" applyFont="1" applyFill="1" applyBorder="1" applyAlignment="1">
      <alignment horizontal="left"/>
    </xf>
    <xf numFmtId="0" fontId="0" fillId="0" borderId="50" xfId="0" applyBorder="1" applyAlignment="1">
      <alignment horizontal="left"/>
    </xf>
    <xf numFmtId="0" fontId="2" fillId="17" borderId="51" xfId="0" applyFont="1" applyFill="1" applyBorder="1" applyAlignment="1">
      <alignment horizontal="center"/>
    </xf>
    <xf numFmtId="0" fontId="0" fillId="0" borderId="52" xfId="0" applyBorder="1"/>
    <xf numFmtId="0" fontId="0" fillId="0" borderId="53" xfId="0" applyBorder="1"/>
    <xf numFmtId="3" fontId="0" fillId="13" borderId="1" xfId="0" applyNumberFormat="1" applyFont="1" applyFill="1" applyBorder="1" applyProtection="1"/>
    <xf numFmtId="3" fontId="0" fillId="13" borderId="53" xfId="0" applyNumberFormat="1" applyFont="1" applyFill="1" applyBorder="1" applyProtection="1">
      <protection locked="0"/>
    </xf>
    <xf numFmtId="0" fontId="0" fillId="0" borderId="55" xfId="0" applyBorder="1"/>
    <xf numFmtId="0" fontId="8" fillId="15" borderId="0" xfId="0" applyFont="1" applyFill="1" applyBorder="1"/>
    <xf numFmtId="0" fontId="8" fillId="15" borderId="13" xfId="0" applyFont="1" applyFill="1" applyBorder="1"/>
    <xf numFmtId="0" fontId="0" fillId="0" borderId="56" xfId="0" applyBorder="1"/>
    <xf numFmtId="0" fontId="0" fillId="0" borderId="57" xfId="0" applyBorder="1"/>
    <xf numFmtId="3" fontId="0" fillId="13" borderId="59" xfId="0" applyNumberFormat="1" applyFont="1" applyFill="1" applyBorder="1" applyProtection="1"/>
    <xf numFmtId="3" fontId="0" fillId="13" borderId="57" xfId="0" applyNumberFormat="1" applyFont="1" applyFill="1" applyBorder="1" applyProtection="1">
      <protection locked="0"/>
    </xf>
    <xf numFmtId="0" fontId="0" fillId="0" borderId="60" xfId="0" applyBorder="1"/>
    <xf numFmtId="3" fontId="0" fillId="13" borderId="61" xfId="0" applyNumberFormat="1" applyFont="1" applyFill="1" applyBorder="1" applyProtection="1"/>
    <xf numFmtId="0" fontId="0" fillId="0" borderId="62" xfId="0" applyBorder="1" applyAlignment="1">
      <alignment horizontal="left"/>
    </xf>
    <xf numFmtId="0" fontId="3" fillId="17" borderId="51" xfId="0" applyFont="1" applyFill="1" applyBorder="1"/>
    <xf numFmtId="0" fontId="3" fillId="17" borderId="63" xfId="0" applyFont="1" applyFill="1" applyBorder="1"/>
    <xf numFmtId="0" fontId="0" fillId="0" borderId="64" xfId="0" applyBorder="1"/>
    <xf numFmtId="3" fontId="0" fillId="13" borderId="5" xfId="0" applyNumberFormat="1" applyFont="1" applyFill="1" applyBorder="1" applyProtection="1"/>
    <xf numFmtId="3" fontId="0" fillId="13" borderId="64" xfId="0" applyNumberFormat="1" applyFont="1" applyFill="1" applyBorder="1" applyProtection="1">
      <protection locked="0"/>
    </xf>
    <xf numFmtId="0" fontId="0" fillId="0" borderId="51" xfId="0" applyBorder="1"/>
    <xf numFmtId="0" fontId="0" fillId="0" borderId="37" xfId="0" applyBorder="1"/>
    <xf numFmtId="0" fontId="0" fillId="0" borderId="40" xfId="0" applyBorder="1"/>
    <xf numFmtId="3" fontId="0" fillId="13" borderId="38" xfId="0" applyNumberFormat="1" applyFont="1" applyFill="1" applyBorder="1" applyProtection="1"/>
    <xf numFmtId="3" fontId="0" fillId="13" borderId="40" xfId="0" applyNumberFormat="1" applyFont="1" applyFill="1" applyBorder="1" applyProtection="1">
      <protection locked="0"/>
    </xf>
    <xf numFmtId="0" fontId="0" fillId="0" borderId="32" xfId="0" applyBorder="1"/>
    <xf numFmtId="0" fontId="0" fillId="0" borderId="62" xfId="0" applyBorder="1"/>
    <xf numFmtId="0" fontId="0" fillId="16" borderId="0" xfId="0" applyFill="1" applyBorder="1"/>
    <xf numFmtId="172" fontId="0" fillId="0" borderId="48" xfId="0" applyNumberFormat="1" applyFont="1" applyFill="1" applyBorder="1" applyProtection="1">
      <protection hidden="1"/>
    </xf>
    <xf numFmtId="172" fontId="0" fillId="16" borderId="49" xfId="0" applyNumberFormat="1" applyFont="1" applyFill="1" applyBorder="1" applyProtection="1">
      <protection hidden="1"/>
    </xf>
    <xf numFmtId="169" fontId="0" fillId="16" borderId="47" xfId="0" applyNumberFormat="1" applyFont="1" applyFill="1" applyBorder="1" applyProtection="1">
      <protection hidden="1"/>
    </xf>
    <xf numFmtId="172" fontId="0" fillId="0" borderId="54" xfId="0" applyNumberFormat="1" applyFont="1" applyFill="1" applyBorder="1" applyProtection="1">
      <protection hidden="1"/>
    </xf>
    <xf numFmtId="172" fontId="0" fillId="16" borderId="6" xfId="0" applyNumberFormat="1" applyFont="1" applyFill="1" applyBorder="1" applyProtection="1">
      <protection hidden="1"/>
    </xf>
    <xf numFmtId="169" fontId="0" fillId="16" borderId="53" xfId="0" applyNumberFormat="1" applyFont="1" applyFill="1" applyBorder="1" applyProtection="1">
      <protection hidden="1"/>
    </xf>
    <xf numFmtId="172" fontId="0" fillId="0" borderId="58" xfId="0" applyNumberFormat="1" applyFont="1" applyFill="1" applyBorder="1" applyProtection="1">
      <protection hidden="1"/>
    </xf>
    <xf numFmtId="172" fontId="0" fillId="16" borderId="65" xfId="0" applyNumberFormat="1" applyFont="1" applyFill="1" applyBorder="1" applyProtection="1">
      <protection hidden="1"/>
    </xf>
    <xf numFmtId="169" fontId="0" fillId="16" borderId="57" xfId="0" applyNumberFormat="1" applyFont="1" applyFill="1" applyBorder="1" applyProtection="1">
      <protection hidden="1"/>
    </xf>
    <xf numFmtId="172" fontId="0" fillId="0" borderId="52" xfId="0" quotePrefix="1" applyNumberFormat="1" applyFont="1" applyFill="1" applyBorder="1" applyAlignment="1" applyProtection="1">
      <alignment horizontal="right"/>
      <protection hidden="1"/>
    </xf>
    <xf numFmtId="172" fontId="0" fillId="16" borderId="13" xfId="0" applyNumberFormat="1" applyFont="1" applyFill="1" applyBorder="1" applyProtection="1">
      <protection hidden="1"/>
    </xf>
    <xf numFmtId="169" fontId="0" fillId="16" borderId="64" xfId="0" applyNumberFormat="1" applyFont="1" applyFill="1" applyBorder="1" applyProtection="1">
      <protection hidden="1"/>
    </xf>
    <xf numFmtId="172" fontId="0" fillId="0" borderId="37" xfId="0" applyNumberFormat="1" applyFont="1" applyFill="1" applyBorder="1" applyProtection="1">
      <protection hidden="1"/>
    </xf>
    <xf numFmtId="172" fontId="0" fillId="16" borderId="39" xfId="0" applyNumberFormat="1" applyFont="1" applyFill="1" applyBorder="1" applyProtection="1">
      <protection hidden="1"/>
    </xf>
    <xf numFmtId="169" fontId="0" fillId="16" borderId="40" xfId="0" applyNumberFormat="1" applyFont="1" applyFill="1" applyBorder="1" applyProtection="1">
      <protection hidden="1"/>
    </xf>
    <xf numFmtId="174" fontId="0" fillId="15" borderId="22" xfId="0" applyNumberFormat="1" applyFill="1" applyBorder="1"/>
    <xf numFmtId="0" fontId="0" fillId="2" borderId="0" xfId="0" applyFill="1"/>
    <xf numFmtId="0" fontId="14" fillId="0" borderId="0" xfId="0" applyFont="1"/>
    <xf numFmtId="0" fontId="7" fillId="18" borderId="66" xfId="0" applyFont="1" applyFill="1" applyBorder="1"/>
    <xf numFmtId="0" fontId="7" fillId="6" borderId="66" xfId="0" applyFont="1" applyFill="1" applyBorder="1"/>
    <xf numFmtId="0" fontId="7" fillId="0" borderId="0" xfId="0" applyFont="1" applyBorder="1" applyAlignment="1">
      <alignment horizontal="left" vertical="top"/>
    </xf>
    <xf numFmtId="0" fontId="0" fillId="18" borderId="3" xfId="0" applyFill="1" applyBorder="1" applyAlignment="1">
      <alignment horizontal="left" vertical="top" wrapText="1"/>
    </xf>
    <xf numFmtId="0" fontId="0" fillId="0" borderId="67" xfId="0" applyBorder="1"/>
    <xf numFmtId="0" fontId="0" fillId="6" borderId="68" xfId="0" applyFill="1" applyBorder="1" applyAlignment="1">
      <alignment horizontal="left" vertical="top" wrapText="1"/>
    </xf>
    <xf numFmtId="0" fontId="0" fillId="18" borderId="68" xfId="0" applyFill="1" applyBorder="1" applyAlignment="1">
      <alignment horizontal="left" vertical="top" wrapText="1"/>
    </xf>
    <xf numFmtId="0" fontId="0" fillId="6" borderId="2" xfId="0" applyFill="1" applyBorder="1" applyAlignment="1">
      <alignment horizontal="left" vertical="top" wrapText="1"/>
    </xf>
    <xf numFmtId="0" fontId="0" fillId="18" borderId="2" xfId="0" applyFill="1" applyBorder="1" applyAlignment="1">
      <alignment horizontal="left" vertical="top" wrapText="1"/>
    </xf>
    <xf numFmtId="0" fontId="0" fillId="6" borderId="69" xfId="0" applyFill="1" applyBorder="1" applyAlignment="1">
      <alignment horizontal="left" vertical="top" wrapText="1"/>
    </xf>
    <xf numFmtId="0" fontId="0" fillId="18" borderId="66" xfId="0" applyFill="1" applyBorder="1" applyAlignment="1">
      <alignment horizontal="left" vertical="top" wrapText="1"/>
    </xf>
    <xf numFmtId="0" fontId="0" fillId="6" borderId="66" xfId="0" applyFill="1" applyBorder="1" applyAlignment="1">
      <alignment horizontal="left" vertical="top" wrapText="1"/>
    </xf>
    <xf numFmtId="0" fontId="7" fillId="9" borderId="37" xfId="0" applyFont="1" applyFill="1" applyBorder="1"/>
    <xf numFmtId="0" fontId="7" fillId="9" borderId="39" xfId="0" applyFont="1" applyFill="1" applyBorder="1"/>
    <xf numFmtId="0" fontId="7" fillId="9" borderId="18" xfId="0" applyFont="1" applyFill="1" applyBorder="1"/>
    <xf numFmtId="0" fontId="7" fillId="9" borderId="39" xfId="0" applyFont="1" applyFill="1" applyBorder="1" applyAlignment="1">
      <alignment horizontal="left"/>
    </xf>
    <xf numFmtId="0" fontId="7" fillId="9" borderId="24" xfId="0" applyFont="1" applyFill="1" applyBorder="1"/>
    <xf numFmtId="0" fontId="0" fillId="0" borderId="37" xfId="0" applyBorder="1" applyAlignment="1">
      <alignment horizontal="left" vertical="top" indent="1"/>
    </xf>
    <xf numFmtId="0" fontId="0" fillId="0" borderId="39" xfId="0" applyBorder="1" applyAlignment="1">
      <alignment horizontal="left" vertical="top" wrapText="1" indent="1"/>
    </xf>
    <xf numFmtId="0" fontId="0" fillId="0" borderId="70" xfId="0" applyBorder="1" applyAlignment="1">
      <alignment horizontal="left" vertical="top" wrapText="1" indent="1"/>
    </xf>
    <xf numFmtId="0" fontId="0" fillId="0" borderId="39" xfId="0" applyBorder="1" applyAlignment="1">
      <alignment horizontal="left" vertical="top" indent="1"/>
    </xf>
    <xf numFmtId="3" fontId="0" fillId="0" borderId="24" xfId="0" applyNumberFormat="1" applyBorder="1" applyAlignment="1">
      <alignment horizontal="center" vertical="center"/>
    </xf>
    <xf numFmtId="0" fontId="0" fillId="0" borderId="46" xfId="0" applyBorder="1" applyAlignment="1">
      <alignment horizontal="left" vertical="top" indent="1"/>
    </xf>
    <xf numFmtId="0" fontId="0" fillId="0" borderId="71" xfId="0" applyBorder="1" applyAlignment="1">
      <alignment horizontal="left" vertical="top" indent="1"/>
    </xf>
    <xf numFmtId="0" fontId="0" fillId="0" borderId="72" xfId="0" applyBorder="1" applyAlignment="1">
      <alignment horizontal="left" vertical="top" indent="1"/>
    </xf>
    <xf numFmtId="0" fontId="0" fillId="0" borderId="49" xfId="0" applyBorder="1" applyAlignment="1">
      <alignment horizontal="center" vertical="center" wrapText="1"/>
    </xf>
    <xf numFmtId="9" fontId="0" fillId="0" borderId="73" xfId="0" applyNumberFormat="1" applyBorder="1" applyAlignment="1">
      <alignment horizontal="center" vertical="center"/>
    </xf>
    <xf numFmtId="0" fontId="0" fillId="0" borderId="56" xfId="0" applyBorder="1" applyAlignment="1">
      <alignment horizontal="left" vertical="top" indent="1"/>
    </xf>
    <xf numFmtId="0" fontId="0" fillId="0" borderId="74" xfId="0" applyBorder="1" applyAlignment="1">
      <alignment horizontal="left" vertical="top" indent="1"/>
    </xf>
    <xf numFmtId="0" fontId="0" fillId="0" borderId="75" xfId="0" applyBorder="1" applyAlignment="1">
      <alignment horizontal="left" vertical="top" indent="1"/>
    </xf>
    <xf numFmtId="0" fontId="0" fillId="0" borderId="65" xfId="0" applyBorder="1" applyAlignment="1">
      <alignment horizontal="center" vertical="center" wrapText="1"/>
    </xf>
    <xf numFmtId="9" fontId="0" fillId="0" borderId="76" xfId="0" applyNumberFormat="1" applyBorder="1" applyAlignment="1">
      <alignment horizontal="center" vertical="center"/>
    </xf>
    <xf numFmtId="0" fontId="0" fillId="0" borderId="72" xfId="0" applyBorder="1" applyAlignment="1">
      <alignment horizontal="left" vertical="top" wrapText="1" indent="1"/>
    </xf>
    <xf numFmtId="9" fontId="0" fillId="0" borderId="73" xfId="0" applyNumberFormat="1" applyBorder="1" applyAlignment="1">
      <alignment horizontal="center" vertical="center" wrapText="1"/>
    </xf>
    <xf numFmtId="0" fontId="0" fillId="0" borderId="75" xfId="0" applyBorder="1" applyAlignment="1">
      <alignment horizontal="left" vertical="top" wrapText="1" indent="1"/>
    </xf>
    <xf numFmtId="9" fontId="0" fillId="0" borderId="76" xfId="0" applyNumberFormat="1" applyBorder="1" applyAlignment="1">
      <alignment horizontal="center" vertical="center" wrapText="1"/>
    </xf>
    <xf numFmtId="0" fontId="0" fillId="0" borderId="65" xfId="0" applyFill="1" applyBorder="1" applyAlignment="1">
      <alignment horizontal="center" vertical="center" wrapText="1"/>
    </xf>
    <xf numFmtId="0" fontId="2" fillId="15" borderId="18" xfId="0" applyFont="1" applyFill="1" applyBorder="1" applyAlignment="1">
      <alignment horizontal="center"/>
    </xf>
    <xf numFmtId="0" fontId="2" fillId="15" borderId="24" xfId="0" applyFont="1" applyFill="1" applyBorder="1" applyAlignment="1">
      <alignment horizontal="center"/>
    </xf>
    <xf numFmtId="0" fontId="0" fillId="0" borderId="48" xfId="0" applyBorder="1"/>
    <xf numFmtId="0" fontId="0" fillId="0" borderId="77" xfId="0" applyBorder="1"/>
    <xf numFmtId="4" fontId="0" fillId="0" borderId="3" xfId="0" applyNumberFormat="1" applyBorder="1" applyAlignment="1">
      <alignment horizontal="right"/>
    </xf>
    <xf numFmtId="0" fontId="0" fillId="0" borderId="54" xfId="0" applyBorder="1"/>
    <xf numFmtId="4" fontId="0" fillId="0" borderId="1" xfId="0" applyNumberFormat="1" applyBorder="1" applyAlignment="1">
      <alignment horizontal="right"/>
    </xf>
    <xf numFmtId="0" fontId="0" fillId="0" borderId="58" xfId="0" applyBorder="1"/>
    <xf numFmtId="0" fontId="0" fillId="0" borderId="0" xfId="0" applyFill="1" applyBorder="1"/>
    <xf numFmtId="0" fontId="2" fillId="15" borderId="17" xfId="0" applyFont="1" applyFill="1" applyBorder="1"/>
    <xf numFmtId="0" fontId="2" fillId="15" borderId="24" xfId="0" applyFont="1" applyFill="1" applyBorder="1"/>
    <xf numFmtId="0" fontId="2" fillId="15" borderId="32" xfId="0" applyFont="1" applyFill="1" applyBorder="1" applyAlignment="1">
      <alignment horizontal="center"/>
    </xf>
    <xf numFmtId="0" fontId="2" fillId="15" borderId="28" xfId="0" applyFont="1" applyFill="1" applyBorder="1" applyAlignment="1">
      <alignment horizontal="center"/>
    </xf>
    <xf numFmtId="0" fontId="2" fillId="15" borderId="30" xfId="0" applyFont="1" applyFill="1" applyBorder="1" applyAlignment="1">
      <alignment horizontal="center"/>
    </xf>
    <xf numFmtId="0" fontId="2" fillId="15" borderId="51" xfId="0" applyFont="1" applyFill="1" applyBorder="1" applyAlignment="1">
      <alignment horizontal="center"/>
    </xf>
    <xf numFmtId="0" fontId="3" fillId="15" borderId="51" xfId="0" applyFont="1" applyFill="1" applyBorder="1"/>
    <xf numFmtId="0" fontId="3" fillId="15" borderId="63" xfId="0" applyFont="1" applyFill="1" applyBorder="1"/>
    <xf numFmtId="0" fontId="2" fillId="15" borderId="18" xfId="0" applyFont="1" applyFill="1" applyBorder="1" applyAlignment="1">
      <alignment horizontal="left"/>
    </xf>
    <xf numFmtId="0" fontId="0" fillId="0" borderId="79" xfId="0" applyBorder="1"/>
    <xf numFmtId="4" fontId="23" fillId="0" borderId="61" xfId="0" applyNumberFormat="1" applyFont="1" applyBorder="1" applyAlignment="1">
      <alignment horizontal="center"/>
    </xf>
    <xf numFmtId="4" fontId="23" fillId="0" borderId="47" xfId="0" applyNumberFormat="1" applyFont="1" applyBorder="1" applyAlignment="1">
      <alignment horizontal="center"/>
    </xf>
    <xf numFmtId="0" fontId="0" fillId="0" borderId="12" xfId="0" applyBorder="1"/>
    <xf numFmtId="4" fontId="23" fillId="0" borderId="3" xfId="0" applyNumberFormat="1" applyFont="1" applyBorder="1" applyAlignment="1">
      <alignment horizontal="center"/>
    </xf>
    <xf numFmtId="4" fontId="23" fillId="0" borderId="78" xfId="0" applyNumberFormat="1" applyFont="1" applyBorder="1" applyAlignment="1">
      <alignment horizontal="center"/>
    </xf>
    <xf numFmtId="4" fontId="23" fillId="0" borderId="1" xfId="0" applyNumberFormat="1" applyFont="1" applyBorder="1" applyAlignment="1">
      <alignment horizontal="center"/>
    </xf>
    <xf numFmtId="4" fontId="23" fillId="0" borderId="53" xfId="0" applyNumberFormat="1" applyFont="1" applyBorder="1" applyAlignment="1">
      <alignment horizontal="center"/>
    </xf>
    <xf numFmtId="0" fontId="0" fillId="0" borderId="80" xfId="0" applyBorder="1"/>
    <xf numFmtId="4" fontId="23" fillId="0" borderId="4" xfId="0" applyNumberFormat="1" applyFont="1" applyBorder="1" applyAlignment="1">
      <alignment horizontal="center"/>
    </xf>
    <xf numFmtId="4" fontId="23" fillId="0" borderId="81" xfId="0" applyNumberFormat="1" applyFont="1" applyBorder="1" applyAlignment="1">
      <alignment horizontal="center"/>
    </xf>
    <xf numFmtId="4" fontId="0" fillId="0" borderId="4" xfId="0" applyNumberFormat="1" applyBorder="1" applyAlignment="1">
      <alignment horizontal="center"/>
    </xf>
    <xf numFmtId="0" fontId="0" fillId="0" borderId="9" xfId="0" applyBorder="1"/>
    <xf numFmtId="0" fontId="0" fillId="0" borderId="82" xfId="0" applyBorder="1"/>
    <xf numFmtId="4" fontId="0" fillId="0" borderId="59" xfId="0" applyNumberFormat="1" applyBorder="1" applyAlignment="1">
      <alignment horizontal="center"/>
    </xf>
    <xf numFmtId="4" fontId="23" fillId="0" borderId="57" xfId="0" applyNumberFormat="1" applyFont="1" applyBorder="1" applyAlignment="1">
      <alignment horizontal="center"/>
    </xf>
    <xf numFmtId="0" fontId="24" fillId="9" borderId="4" xfId="0" applyFont="1" applyFill="1" applyBorder="1" applyAlignment="1">
      <alignment horizontal="left" vertical="top"/>
    </xf>
    <xf numFmtId="0" fontId="24" fillId="0" borderId="4" xfId="0" applyFont="1" applyFill="1" applyBorder="1" applyAlignment="1">
      <alignment horizontal="center" vertical="top"/>
    </xf>
    <xf numFmtId="0" fontId="24" fillId="0" borderId="4" xfId="0" applyFont="1" applyBorder="1" applyAlignment="1">
      <alignment horizontal="center"/>
    </xf>
    <xf numFmtId="0" fontId="24" fillId="9" borderId="5" xfId="0" applyFont="1" applyFill="1" applyBorder="1" applyAlignment="1">
      <alignment horizontal="left" vertical="top"/>
    </xf>
    <xf numFmtId="9" fontId="24" fillId="0" borderId="5" xfId="0" applyNumberFormat="1" applyFont="1" applyFill="1" applyBorder="1" applyAlignment="1">
      <alignment horizontal="center" vertical="top"/>
    </xf>
    <xf numFmtId="9" fontId="24" fillId="0" borderId="5" xfId="0" applyNumberFormat="1" applyFont="1" applyBorder="1" applyAlignment="1">
      <alignment horizontal="center"/>
    </xf>
    <xf numFmtId="0" fontId="25" fillId="9" borderId="3"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3" xfId="0" applyFont="1" applyBorder="1" applyAlignment="1">
      <alignment horizontal="left" vertical="top" wrapText="1"/>
    </xf>
    <xf numFmtId="167" fontId="24" fillId="0" borderId="5" xfId="1" applyNumberFormat="1" applyFont="1" applyFill="1" applyBorder="1" applyAlignment="1">
      <alignment horizontal="center" vertical="top"/>
    </xf>
    <xf numFmtId="167" fontId="24" fillId="0" borderId="5" xfId="1" applyNumberFormat="1" applyFont="1" applyBorder="1" applyAlignment="1">
      <alignment horizontal="center"/>
    </xf>
    <xf numFmtId="0" fontId="26" fillId="0" borderId="0" xfId="0" applyFont="1" applyFill="1" applyBorder="1"/>
    <xf numFmtId="0" fontId="0" fillId="0" borderId="33" xfId="0" applyFill="1" applyBorder="1"/>
    <xf numFmtId="0" fontId="7" fillId="0" borderId="0" xfId="0" applyFont="1" applyFill="1" applyBorder="1" applyAlignment="1">
      <alignment horizontal="left"/>
    </xf>
    <xf numFmtId="172" fontId="0" fillId="0" borderId="61" xfId="0" applyNumberFormat="1" applyFont="1" applyFill="1" applyBorder="1" applyProtection="1">
      <protection hidden="1"/>
    </xf>
    <xf numFmtId="0" fontId="7" fillId="0" borderId="13" xfId="0" applyFont="1" applyFill="1" applyBorder="1" applyAlignment="1">
      <alignment horizontal="left"/>
    </xf>
    <xf numFmtId="172" fontId="0" fillId="0" borderId="1" xfId="0" applyNumberFormat="1" applyFont="1" applyFill="1" applyBorder="1" applyProtection="1">
      <protection hidden="1"/>
    </xf>
    <xf numFmtId="0" fontId="8" fillId="0" borderId="0" xfId="0" applyFont="1" applyFill="1" applyBorder="1"/>
    <xf numFmtId="0" fontId="8" fillId="0" borderId="13" xfId="0" applyFont="1" applyFill="1" applyBorder="1"/>
    <xf numFmtId="172" fontId="0" fillId="0" borderId="59" xfId="0" applyNumberFormat="1" applyFont="1" applyFill="1" applyBorder="1" applyProtection="1">
      <protection hidden="1"/>
    </xf>
    <xf numFmtId="172" fontId="0" fillId="0" borderId="5" xfId="0" applyNumberFormat="1" applyFont="1" applyFill="1" applyBorder="1" applyAlignment="1" applyProtection="1">
      <alignment horizontal="right"/>
      <protection hidden="1"/>
    </xf>
    <xf numFmtId="172" fontId="0" fillId="0" borderId="38" xfId="0" applyNumberFormat="1" applyFont="1" applyFill="1" applyBorder="1" applyProtection="1">
      <protection hidden="1"/>
    </xf>
    <xf numFmtId="167" fontId="0" fillId="0" borderId="61" xfId="1" applyNumberFormat="1" applyFont="1" applyFill="1" applyBorder="1" applyAlignment="1" applyProtection="1">
      <alignment horizontal="center"/>
      <protection hidden="1"/>
    </xf>
    <xf numFmtId="167" fontId="0" fillId="0" borderId="49" xfId="1" applyNumberFormat="1" applyFont="1" applyFill="1" applyBorder="1" applyAlignment="1" applyProtection="1">
      <alignment horizontal="center"/>
      <protection hidden="1"/>
    </xf>
    <xf numFmtId="167" fontId="0" fillId="0" borderId="47" xfId="1" applyNumberFormat="1" applyFont="1" applyFill="1" applyBorder="1" applyAlignment="1" applyProtection="1">
      <alignment horizontal="center"/>
      <protection hidden="1"/>
    </xf>
    <xf numFmtId="167" fontId="0" fillId="0" borderId="1" xfId="1" applyNumberFormat="1" applyFont="1" applyFill="1" applyBorder="1" applyAlignment="1" applyProtection="1">
      <alignment horizontal="center"/>
      <protection hidden="1"/>
    </xf>
    <xf numFmtId="167" fontId="0" fillId="0" borderId="6" xfId="1" applyNumberFormat="1" applyFont="1" applyFill="1" applyBorder="1" applyAlignment="1" applyProtection="1">
      <alignment horizontal="center"/>
      <protection hidden="1"/>
    </xf>
    <xf numFmtId="167" fontId="0" fillId="0" borderId="53" xfId="1" applyNumberFormat="1" applyFont="1" applyFill="1" applyBorder="1" applyAlignment="1" applyProtection="1">
      <alignment horizontal="center"/>
      <protection hidden="1"/>
    </xf>
    <xf numFmtId="167" fontId="0" fillId="0" borderId="59" xfId="1" applyNumberFormat="1" applyFont="1" applyFill="1" applyBorder="1" applyAlignment="1" applyProtection="1">
      <alignment horizontal="center"/>
      <protection hidden="1"/>
    </xf>
    <xf numFmtId="167" fontId="0" fillId="0" borderId="65" xfId="1" applyNumberFormat="1" applyFont="1" applyFill="1" applyBorder="1" applyAlignment="1" applyProtection="1">
      <alignment horizontal="center"/>
      <protection hidden="1"/>
    </xf>
    <xf numFmtId="167" fontId="0" fillId="0" borderId="57" xfId="1" applyNumberFormat="1" applyFont="1" applyFill="1" applyBorder="1" applyAlignment="1" applyProtection="1">
      <alignment horizontal="center"/>
      <protection hidden="1"/>
    </xf>
    <xf numFmtId="167" fontId="0" fillId="0" borderId="38" xfId="1" applyNumberFormat="1" applyFont="1" applyFill="1" applyBorder="1" applyAlignment="1" applyProtection="1">
      <alignment horizontal="center"/>
      <protection hidden="1"/>
    </xf>
    <xf numFmtId="167" fontId="0" fillId="0" borderId="39" xfId="1" applyNumberFormat="1" applyFont="1" applyFill="1" applyBorder="1" applyAlignment="1" applyProtection="1">
      <alignment horizontal="center"/>
      <protection hidden="1"/>
    </xf>
    <xf numFmtId="167" fontId="0" fillId="0" borderId="40" xfId="1" applyNumberFormat="1" applyFont="1" applyFill="1" applyBorder="1" applyAlignment="1" applyProtection="1">
      <alignment horizontal="center"/>
      <protection hidden="1"/>
    </xf>
    <xf numFmtId="0" fontId="0" fillId="9" borderId="0" xfId="0" applyFill="1" applyBorder="1"/>
    <xf numFmtId="4" fontId="0" fillId="0" borderId="1" xfId="0" quotePrefix="1" applyNumberFormat="1" applyBorder="1" applyAlignment="1">
      <alignment horizontal="right"/>
    </xf>
    <xf numFmtId="0" fontId="0" fillId="0" borderId="3" xfId="0" applyBorder="1"/>
    <xf numFmtId="0" fontId="0" fillId="15" borderId="6" xfId="0" applyFill="1" applyBorder="1"/>
    <xf numFmtId="0" fontId="2" fillId="15" borderId="83" xfId="0" applyFont="1" applyFill="1" applyBorder="1" applyAlignment="1">
      <alignment horizontal="center"/>
    </xf>
    <xf numFmtId="0" fontId="2" fillId="15" borderId="7" xfId="0" applyFont="1" applyFill="1" applyBorder="1" applyAlignment="1">
      <alignment horizontal="center"/>
    </xf>
    <xf numFmtId="3" fontId="0" fillId="0" borderId="62" xfId="0" applyNumberFormat="1" applyFont="1" applyFill="1" applyBorder="1"/>
    <xf numFmtId="3" fontId="0" fillId="0" borderId="55" xfId="0" applyNumberFormat="1" applyFont="1" applyFill="1" applyBorder="1"/>
    <xf numFmtId="3" fontId="0" fillId="0" borderId="60" xfId="0" applyNumberFormat="1" applyFont="1" applyFill="1" applyBorder="1"/>
    <xf numFmtId="3" fontId="0" fillId="0" borderId="51" xfId="0" applyNumberFormat="1" applyFont="1" applyFill="1" applyBorder="1"/>
    <xf numFmtId="3" fontId="0" fillId="0" borderId="32" xfId="0" applyNumberFormat="1" applyFont="1" applyFill="1" applyBorder="1"/>
    <xf numFmtId="3" fontId="0" fillId="0" borderId="48" xfId="0" applyNumberFormat="1" applyFont="1" applyFill="1" applyBorder="1"/>
    <xf numFmtId="3" fontId="0" fillId="0" borderId="54" xfId="0" applyNumberFormat="1" applyFont="1" applyFill="1" applyBorder="1"/>
    <xf numFmtId="3" fontId="0" fillId="0" borderId="58" xfId="0" applyNumberFormat="1" applyFont="1" applyFill="1" applyBorder="1"/>
    <xf numFmtId="3" fontId="0" fillId="0" borderId="52" xfId="0" applyNumberFormat="1" applyFont="1" applyFill="1" applyBorder="1"/>
    <xf numFmtId="3" fontId="0" fillId="0" borderId="37" xfId="0" applyNumberFormat="1" applyFont="1" applyFill="1" applyBorder="1"/>
    <xf numFmtId="173" fontId="0" fillId="0" borderId="37" xfId="0" applyNumberFormat="1" applyFont="1" applyFill="1" applyBorder="1"/>
    <xf numFmtId="171" fontId="0" fillId="0" borderId="62" xfId="0" applyNumberFormat="1" applyFill="1" applyBorder="1" applyAlignment="1">
      <alignment horizontal="right"/>
    </xf>
    <xf numFmtId="171" fontId="0" fillId="0" borderId="55" xfId="0" applyNumberFormat="1" applyFill="1" applyBorder="1" applyAlignment="1">
      <alignment horizontal="right"/>
    </xf>
    <xf numFmtId="171" fontId="0" fillId="0" borderId="60" xfId="0" applyNumberFormat="1" applyFill="1" applyBorder="1" applyAlignment="1">
      <alignment horizontal="right"/>
    </xf>
    <xf numFmtId="0" fontId="14" fillId="0" borderId="0" xfId="0" applyFont="1" applyFill="1" applyBorder="1" applyAlignment="1">
      <alignment horizontal="right"/>
    </xf>
    <xf numFmtId="167" fontId="0" fillId="0" borderId="73" xfId="1" applyNumberFormat="1" applyFont="1" applyBorder="1" applyAlignment="1">
      <alignment horizontal="center" vertical="center" wrapText="1"/>
    </xf>
    <xf numFmtId="167" fontId="0" fillId="0" borderId="76" xfId="1" applyNumberFormat="1" applyFont="1" applyBorder="1" applyAlignment="1">
      <alignment horizontal="center" vertical="center"/>
    </xf>
    <xf numFmtId="175" fontId="0" fillId="4" borderId="1" xfId="1" applyNumberFormat="1" applyFont="1" applyFill="1" applyBorder="1" applyAlignment="1">
      <alignment horizontal="right"/>
    </xf>
    <xf numFmtId="0" fontId="0" fillId="0" borderId="71" xfId="0" applyBorder="1" applyAlignment="1">
      <alignment horizontal="left" vertical="top" wrapText="1" indent="1"/>
    </xf>
    <xf numFmtId="0" fontId="0" fillId="0" borderId="74" xfId="0" applyBorder="1" applyAlignment="1">
      <alignment horizontal="left" vertical="top" wrapText="1" indent="1"/>
    </xf>
    <xf numFmtId="169" fontId="28" fillId="0" borderId="1" xfId="0" applyNumberFormat="1" applyFont="1" applyFill="1" applyBorder="1" applyAlignment="1">
      <alignment horizontal="right"/>
    </xf>
    <xf numFmtId="0" fontId="28" fillId="0" borderId="0" xfId="0" applyFont="1" applyAlignment="1">
      <alignment horizontal="left" indent="1"/>
    </xf>
  </cellXfs>
  <cellStyles count="5">
    <cellStyle name="Comma 2" xfId="3"/>
    <cellStyle name="Normal" xfId="0" builtinId="0"/>
    <cellStyle name="Normal 2" xfId="4"/>
    <cellStyle name="Percentagem" xfId="1" builtinId="5"/>
    <cellStyle name="Vírgula 2" xfId="2"/>
  </cellStyles>
  <dxfs count="68">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numFmt numFmtId="13" formatCode="0%"/>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57149</xdr:rowOff>
    </xdr:from>
    <xdr:to>
      <xdr:col>6</xdr:col>
      <xdr:colOff>380121</xdr:colOff>
      <xdr:row>6</xdr:row>
      <xdr:rowOff>104556</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645" y="430529"/>
          <a:ext cx="2938536" cy="786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1690682</xdr:colOff>
      <xdr:row>3</xdr:row>
      <xdr:rowOff>118110</xdr:rowOff>
    </xdr:to>
    <xdr:pic>
      <xdr:nvPicPr>
        <xdr:cNvPr id="6" name="Imagem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0" y="180975"/>
          <a:ext cx="1690682"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M/Consultas%20P&#250;blicas/2023%2005%20CR%20Tarifas%20-%20Consulta%20n.2%20do%20Art26/Estudos/RPM/4.Analise%20apos%20reuni&#227;o%20PV%20(1-Ago)/SimplifiedTariffModel_ERSE_v1.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UM/Tarifas%20G&#225;s%202023-2024/Doc_Mat/cen22/M_RNTIA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UM/Tarifas%20G&#225;s%202024-2025/Doc_Mat/cen25/M_RNTI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UM/Tarifas%20G&#225;s%202023-2024/Doc_Mat/cen22/Balanco_SNGN_(ano%20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UM/Tarifas%20G&#225;s%202024-2025/Doc_Mat/cen25/Balanco_SNGN_(ano%20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UM/Tarifas%20G&#225;s%202024-2025/Estudos/Multiplicadores%20RNTG/Multiplicadores_AG2024-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UM/Consultas%20P&#250;blicas/2023%2005%20CR%20Tarifas%20-%20Consulta%20n.2%20do%20Art26/Estudos/Utiliza&#231;&#227;o%20comercial/5.Utiliza&#231;&#227;o%20comercial%20(20Mar2024)/Commercial_Utilization_20Mar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UM/Consultas%20P&#250;blicas/2023%2005%20CR%20Tarifas%20-%20Consulta%20n.2%20do%20Art26/Estudos/Estrutura%20GRMS/2.%20GRMS%20(24Jan2024)/GRMS_structure_24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og"/>
      <sheetName val="RPM"/>
      <sheetName val="Input"/>
      <sheetName val="Input capacity"/>
      <sheetName val="Distance Matrix_Entry"/>
      <sheetName val="Distance Matrix_Exit"/>
      <sheetName val="Entry Tariff_1"/>
      <sheetName val="Entry Tariff_2"/>
      <sheetName val="Exit Tariff_1"/>
      <sheetName val="Exit Tariff_2"/>
      <sheetName val="CAA"/>
      <sheetName val="1.Price evolution"/>
      <sheetName val="2.Key dimensions"/>
      <sheetName val="3.Tariff"/>
      <sheetName val="Z.Actual Tariffs"/>
      <sheetName val="Annex &gt;"/>
      <sheetName val="A0.Support"/>
      <sheetName val="A1.CWD Entry Av. Distance"/>
      <sheetName val="A1.CWD Exit Av. Dist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4">
          <cell r="B24" t="str">
            <v>Yes</v>
          </cell>
        </row>
        <row r="25">
          <cell r="B25" t="str">
            <v>No</v>
          </cell>
        </row>
      </sheetData>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AUX"/>
      <sheetName val="Qt"/>
      <sheetName val="Cmgne"/>
      <sheetName val="Rec_Cmgne "/>
      <sheetName val="proveitos"/>
      <sheetName val="T_act"/>
      <sheetName val="Rec_act"/>
      <sheetName val="T_bundle_Reload"/>
      <sheetName val="CUtil"/>
    </sheetNames>
    <sheetDataSet>
      <sheetData sheetId="0"/>
      <sheetData sheetId="1">
        <row r="32">
          <cell r="C32">
            <v>150</v>
          </cell>
        </row>
      </sheetData>
      <sheetData sheetId="2">
        <row r="56">
          <cell r="C56">
            <v>3052986</v>
          </cell>
          <cell r="D56">
            <v>1427387.9999999998</v>
          </cell>
          <cell r="E56">
            <v>2830358</v>
          </cell>
          <cell r="F56">
            <v>10826796.701369863</v>
          </cell>
          <cell r="G56">
            <v>46057.21461187215</v>
          </cell>
        </row>
        <row r="57">
          <cell r="C57">
            <v>200000000</v>
          </cell>
          <cell r="D57">
            <v>0</v>
          </cell>
          <cell r="E57">
            <v>0</v>
          </cell>
          <cell r="F57">
            <v>0</v>
          </cell>
          <cell r="G57">
            <v>0</v>
          </cell>
        </row>
        <row r="58">
          <cell r="F58">
            <v>4185610.9808219173</v>
          </cell>
          <cell r="G58">
            <v>181994.88378995436</v>
          </cell>
        </row>
        <row r="64">
          <cell r="C64">
            <v>1994814</v>
          </cell>
          <cell r="D64">
            <v>0</v>
          </cell>
          <cell r="E64">
            <v>3844403.9999999995</v>
          </cell>
          <cell r="F64">
            <v>7164681.5342465742</v>
          </cell>
          <cell r="G64">
            <v>31153.070547945204</v>
          </cell>
        </row>
        <row r="65">
          <cell r="C65">
            <v>0</v>
          </cell>
          <cell r="D65">
            <v>0</v>
          </cell>
          <cell r="E65">
            <v>0</v>
          </cell>
          <cell r="F65">
            <v>0</v>
          </cell>
          <cell r="G65">
            <v>0</v>
          </cell>
        </row>
        <row r="66">
          <cell r="F66">
            <v>8951694.2465753425</v>
          </cell>
          <cell r="G66">
            <v>111428.24783105023</v>
          </cell>
        </row>
        <row r="67">
          <cell r="C67">
            <v>1994814</v>
          </cell>
          <cell r="D67">
            <v>0</v>
          </cell>
          <cell r="E67">
            <v>3844403.9999999995</v>
          </cell>
          <cell r="F67">
            <v>16116375.780821916</v>
          </cell>
          <cell r="G67">
            <v>142581.31837899543</v>
          </cell>
        </row>
        <row r="84">
          <cell r="C84">
            <v>118808760.43705246</v>
          </cell>
        </row>
        <row r="85">
          <cell r="C85">
            <v>118808760.43705246</v>
          </cell>
        </row>
        <row r="92">
          <cell r="C92">
            <v>0</v>
          </cell>
        </row>
        <row r="93">
          <cell r="C93">
            <v>132905216.57454209</v>
          </cell>
          <cell r="D93">
            <v>5625065.9890026757</v>
          </cell>
        </row>
        <row r="94">
          <cell r="D94">
            <v>0</v>
          </cell>
          <cell r="E94">
            <v>0</v>
          </cell>
        </row>
        <row r="95">
          <cell r="C95">
            <v>50813146.244754083</v>
          </cell>
        </row>
        <row r="96">
          <cell r="C96">
            <v>0</v>
          </cell>
          <cell r="D96">
            <v>0</v>
          </cell>
        </row>
        <row r="97">
          <cell r="D97">
            <v>363143.62704232294</v>
          </cell>
          <cell r="E97">
            <v>2323118.2104775812</v>
          </cell>
        </row>
        <row r="98">
          <cell r="C98">
            <v>183718362.81929618</v>
          </cell>
          <cell r="D98">
            <v>5988209.6160449991</v>
          </cell>
          <cell r="E98">
            <v>2323118.2104775812</v>
          </cell>
        </row>
        <row r="127">
          <cell r="C127">
            <v>874179179</v>
          </cell>
        </row>
      </sheetData>
      <sheetData sheetId="3"/>
      <sheetData sheetId="4"/>
      <sheetData sheetId="5">
        <row r="19">
          <cell r="C19">
            <v>70874364.315885276</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AUX"/>
      <sheetName val="Qt"/>
      <sheetName val="Cmgne"/>
      <sheetName val="Rec_Cmgne "/>
      <sheetName val="proveitos"/>
      <sheetName val="T_act"/>
      <sheetName val="Rec_act"/>
      <sheetName val="T_bundle_Reload"/>
      <sheetName val="CUtil"/>
    </sheetNames>
    <sheetDataSet>
      <sheetData sheetId="0"/>
      <sheetData sheetId="1">
        <row r="32">
          <cell r="C32">
            <v>150</v>
          </cell>
        </row>
      </sheetData>
      <sheetData sheetId="2">
        <row r="56">
          <cell r="C56">
            <v>4884702</v>
          </cell>
          <cell r="D56">
            <v>3513912</v>
          </cell>
          <cell r="E56">
            <v>9185306</v>
          </cell>
          <cell r="F56">
            <v>5947824.7013698621</v>
          </cell>
          <cell r="G56">
            <v>27786.017922374431</v>
          </cell>
        </row>
        <row r="57">
          <cell r="C57">
            <v>200000000</v>
          </cell>
          <cell r="D57">
            <v>0</v>
          </cell>
          <cell r="E57">
            <v>0</v>
          </cell>
          <cell r="F57">
            <v>0</v>
          </cell>
          <cell r="G57">
            <v>0</v>
          </cell>
        </row>
        <row r="58">
          <cell r="F58">
            <v>4369884.2958904114</v>
          </cell>
          <cell r="G58">
            <v>116132.55388127854</v>
          </cell>
        </row>
        <row r="64">
          <cell r="C64">
            <v>0</v>
          </cell>
          <cell r="D64">
            <v>0</v>
          </cell>
          <cell r="E64">
            <v>2561584.0000000005</v>
          </cell>
          <cell r="F64">
            <v>25198760.186301369</v>
          </cell>
          <cell r="G64">
            <v>16469.952168949771</v>
          </cell>
        </row>
        <row r="65">
          <cell r="C65">
            <v>0</v>
          </cell>
          <cell r="D65">
            <v>0</v>
          </cell>
          <cell r="E65">
            <v>0</v>
          </cell>
          <cell r="F65">
            <v>0</v>
          </cell>
          <cell r="G65">
            <v>0</v>
          </cell>
        </row>
        <row r="66">
          <cell r="F66">
            <v>6555128.6712328773</v>
          </cell>
          <cell r="G66">
            <v>21471.333333333332</v>
          </cell>
        </row>
        <row r="67">
          <cell r="C67">
            <v>0</v>
          </cell>
          <cell r="D67">
            <v>0</v>
          </cell>
          <cell r="E67">
            <v>2561584.0000000005</v>
          </cell>
          <cell r="F67">
            <v>31753888.857534245</v>
          </cell>
          <cell r="G67">
            <v>37941.285502283106</v>
          </cell>
        </row>
        <row r="84">
          <cell r="C84">
            <v>106402558.81242357</v>
          </cell>
        </row>
        <row r="85">
          <cell r="C85">
            <v>106402558.81242357</v>
          </cell>
        </row>
        <row r="92">
          <cell r="C92">
            <v>0</v>
          </cell>
        </row>
        <row r="93">
          <cell r="C93">
            <v>146529209.96653783</v>
          </cell>
          <cell r="D93">
            <v>0</v>
          </cell>
        </row>
        <row r="94">
          <cell r="D94">
            <v>0</v>
          </cell>
          <cell r="E94">
            <v>0</v>
          </cell>
        </row>
        <row r="95">
          <cell r="C95">
            <v>53397422.645064704</v>
          </cell>
        </row>
        <row r="96">
          <cell r="C96">
            <v>0</v>
          </cell>
          <cell r="D96">
            <v>0</v>
          </cell>
        </row>
        <row r="97">
          <cell r="D97">
            <v>684046</v>
          </cell>
          <cell r="E97">
            <v>684046</v>
          </cell>
        </row>
        <row r="98">
          <cell r="C98">
            <v>199926632.61160254</v>
          </cell>
          <cell r="D98">
            <v>684046</v>
          </cell>
          <cell r="E98">
            <v>684046</v>
          </cell>
        </row>
        <row r="127">
          <cell r="C127">
            <v>907825204</v>
          </cell>
        </row>
      </sheetData>
      <sheetData sheetId="3"/>
      <sheetData sheetId="4"/>
      <sheetData sheetId="5">
        <row r="19">
          <cell r="C19">
            <v>74971438.059899092</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actPerdas"/>
      <sheetName val="S_BalFisico"/>
      <sheetName val="S_CURR(t)"/>
      <sheetName val="S_ORD(t)"/>
      <sheetName val="S_NClientes"/>
      <sheetName val="S_BalCom"/>
      <sheetName val="S_BalComk"/>
      <sheetName val="S_BalFisico_sum"/>
      <sheetName val="S_Comercializadores(t)"/>
      <sheetName val="S_Comercializadores_NC(t)"/>
      <sheetName val="%ML"/>
      <sheetName val="INPUT_CenarioBal(t)_NAO ALTERAR"/>
      <sheetName val="BalFisico(t)"/>
      <sheetName val="%ML(t)"/>
      <sheetName val="ORD(t)"/>
      <sheetName val="CURR(t)"/>
      <sheetName val="ML(t)"/>
      <sheetName val="Comercializadores(t)"/>
      <sheetName val="Comercializadores_NC(t)"/>
    </sheetNames>
    <sheetDataSet>
      <sheetData sheetId="0"/>
      <sheetData sheetId="1"/>
      <sheetData sheetId="2">
        <row r="9">
          <cell r="F9">
            <v>2859.1253037153565</v>
          </cell>
        </row>
        <row r="13">
          <cell r="F13">
            <v>54632.601441167841</v>
          </cell>
        </row>
        <row r="16">
          <cell r="F16">
            <v>3338.7309540000001</v>
          </cell>
        </row>
        <row r="18">
          <cell r="F18">
            <v>60830.457698883198</v>
          </cell>
        </row>
        <row r="21">
          <cell r="F21">
            <v>1869.8029859999997</v>
          </cell>
        </row>
        <row r="22">
          <cell r="F22">
            <v>3338.7309540000001</v>
          </cell>
        </row>
        <row r="23">
          <cell r="F23">
            <v>20820.539331280597</v>
          </cell>
        </row>
        <row r="24">
          <cell r="F24">
            <v>10885.242671</v>
          </cell>
        </row>
        <row r="25">
          <cell r="F25">
            <v>23859.112212602598</v>
          </cell>
        </row>
        <row r="26">
          <cell r="F26">
            <v>60773.428154883193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actPerdas"/>
      <sheetName val="S_BalFisico"/>
      <sheetName val="S_CURR(t)"/>
      <sheetName val="S_ORD(t)"/>
      <sheetName val="S_NClientes"/>
      <sheetName val="S_BalCom"/>
      <sheetName val="S_BalComk"/>
      <sheetName val="S_BalFisico_sum"/>
      <sheetName val="S_Comercializadores(t)"/>
      <sheetName val="S_Comercializadores_NC(t)"/>
      <sheetName val="%ML"/>
      <sheetName val="INPUT_CenarioBal(t)_NAO ALTERAR"/>
      <sheetName val="BalFisico(t)"/>
      <sheetName val="%ML(t)"/>
      <sheetName val="ORD(t)"/>
      <sheetName val="CURR(t)"/>
      <sheetName val="ML(t)"/>
      <sheetName val="Comercializadores(t)"/>
      <sheetName val="Comercializadores_NC(t)"/>
    </sheetNames>
    <sheetDataSet>
      <sheetData sheetId="0"/>
      <sheetData sheetId="1"/>
      <sheetData sheetId="2">
        <row r="9">
          <cell r="F9">
            <v>1473.6829833187269</v>
          </cell>
        </row>
        <row r="13">
          <cell r="F13">
            <v>52862.56874317507</v>
          </cell>
        </row>
        <row r="16">
          <cell r="F16">
            <v>2215.6434720000002</v>
          </cell>
        </row>
        <row r="18">
          <cell r="F18">
            <v>56551.895198493803</v>
          </cell>
        </row>
        <row r="21">
          <cell r="F21">
            <v>3369.3002759999999</v>
          </cell>
        </row>
        <row r="22">
          <cell r="F22">
            <v>2215.6434720000002</v>
          </cell>
        </row>
        <row r="23">
          <cell r="F23">
            <v>19541.882992122119</v>
          </cell>
        </row>
        <row r="24">
          <cell r="F24">
            <v>10216.615185000001</v>
          </cell>
        </row>
        <row r="25">
          <cell r="F25">
            <v>21156.643417371688</v>
          </cell>
        </row>
        <row r="26">
          <cell r="F26">
            <v>56500.08534249381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s>
    <sheetDataSet>
      <sheetData sheetId="0">
        <row r="7">
          <cell r="C7">
            <v>1.18</v>
          </cell>
        </row>
        <row r="8">
          <cell r="C8">
            <v>1.35</v>
          </cell>
        </row>
        <row r="9">
          <cell r="C9">
            <v>1.94</v>
          </cell>
        </row>
        <row r="10">
          <cell r="C10">
            <v>2.13</v>
          </cell>
        </row>
        <row r="14">
          <cell r="C14">
            <v>1.18</v>
          </cell>
        </row>
        <row r="15">
          <cell r="C15">
            <v>1.35</v>
          </cell>
        </row>
        <row r="16">
          <cell r="C16">
            <v>1.94</v>
          </cell>
        </row>
        <row r="17">
          <cell r="C17">
            <v>2.13</v>
          </cell>
        </row>
        <row r="21">
          <cell r="C21">
            <v>1</v>
          </cell>
        </row>
        <row r="22">
          <cell r="C22">
            <v>1.1000000000000001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1.Entry"/>
      <sheetName val="2.Exit"/>
      <sheetName val="3.Domestic exits"/>
      <sheetName val="Annex&gt;"/>
      <sheetName val="A1.Entry-Firm"/>
      <sheetName val="A1.Entry-Interr"/>
      <sheetName val="A1.Exit-Firm"/>
      <sheetName val="A1.Exit-Interr"/>
      <sheetName val="A2.GRMS without utilization"/>
    </sheetNames>
    <sheetDataSet>
      <sheetData sheetId="0">
        <row r="6">
          <cell r="C6">
            <v>144</v>
          </cell>
          <cell r="D6">
            <v>200</v>
          </cell>
          <cell r="E6">
            <v>85.68</v>
          </cell>
          <cell r="F6">
            <v>80</v>
          </cell>
          <cell r="H6">
            <v>24</v>
          </cell>
          <cell r="I6">
            <v>653.89922000000001</v>
          </cell>
        </row>
        <row r="28">
          <cell r="C28">
            <v>0.30096563478759114</v>
          </cell>
          <cell r="D28">
            <v>0.98663788917465756</v>
          </cell>
          <cell r="E28">
            <v>0.13127867462419943</v>
          </cell>
          <cell r="F28">
            <v>0.14452116455577699</v>
          </cell>
          <cell r="G28">
            <v>0</v>
          </cell>
          <cell r="H28">
            <v>0.52817585734383188</v>
          </cell>
          <cell r="I28">
            <v>0.46838876692920056</v>
          </cell>
        </row>
      </sheetData>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GRMS"/>
      <sheetName val="DadosREN_corrigido"/>
      <sheetName val="DadosREN_original"/>
    </sheetNames>
    <sheetDataSet>
      <sheetData sheetId="0"/>
      <sheetData sheetId="1">
        <row r="5">
          <cell r="D5">
            <v>2.4601808979450922E-3</v>
          </cell>
        </row>
        <row r="6">
          <cell r="D6">
            <v>8.6031500348787079E-3</v>
          </cell>
        </row>
        <row r="7">
          <cell r="D7">
            <v>2.9631921650186532E-3</v>
          </cell>
        </row>
        <row r="8">
          <cell r="D8">
            <v>4.9034880706046247E-3</v>
          </cell>
        </row>
        <row r="9">
          <cell r="D9">
            <v>1.2719654363333628E-3</v>
          </cell>
        </row>
        <row r="10">
          <cell r="D10">
            <v>2.7846987747568936E-3</v>
          </cell>
        </row>
        <row r="11">
          <cell r="D11">
            <v>6.4016614411236414E-3</v>
          </cell>
        </row>
        <row r="12">
          <cell r="D12">
            <v>7.5760263221205876E-3</v>
          </cell>
        </row>
        <row r="13">
          <cell r="D13">
            <v>5.4039216222358461E-3</v>
          </cell>
        </row>
        <row r="14">
          <cell r="D14">
            <v>3.9969718483747488E-2</v>
          </cell>
        </row>
        <row r="15">
          <cell r="D15">
            <v>0</v>
          </cell>
        </row>
        <row r="16">
          <cell r="D16">
            <v>2.126627612964799E-3</v>
          </cell>
        </row>
        <row r="17">
          <cell r="D17">
            <v>8.712480226563948E-3</v>
          </cell>
        </row>
        <row r="18">
          <cell r="D18">
            <v>5.3454291345044385E-3</v>
          </cell>
        </row>
        <row r="19">
          <cell r="D19">
            <v>0.1231492953012138</v>
          </cell>
        </row>
        <row r="20">
          <cell r="D20">
            <v>2.0858234085987305E-3</v>
          </cell>
        </row>
        <row r="21">
          <cell r="D21">
            <v>1.5020389125963501E-3</v>
          </cell>
        </row>
        <row r="22">
          <cell r="D22">
            <v>1.4686585287042211E-4</v>
          </cell>
        </row>
        <row r="23">
          <cell r="D23">
            <v>0</v>
          </cell>
        </row>
        <row r="24">
          <cell r="D24">
            <v>4.8379687305773978E-3</v>
          </cell>
        </row>
        <row r="25">
          <cell r="D25">
            <v>2.7449813352213156E-3</v>
          </cell>
        </row>
        <row r="26">
          <cell r="D26">
            <v>4.981334045877122E-3</v>
          </cell>
        </row>
        <row r="27">
          <cell r="D27">
            <v>5.0668079966865922E-3</v>
          </cell>
        </row>
        <row r="28">
          <cell r="D28">
            <v>1.3005031177782757E-2</v>
          </cell>
        </row>
        <row r="29">
          <cell r="D29">
            <v>0</v>
          </cell>
        </row>
        <row r="30">
          <cell r="D30">
            <v>2.8918314124732308E-2</v>
          </cell>
        </row>
        <row r="31">
          <cell r="D31">
            <v>0</v>
          </cell>
        </row>
        <row r="32">
          <cell r="D32">
            <v>0.10621961193774626</v>
          </cell>
        </row>
        <row r="33">
          <cell r="D33">
            <v>3.809005560079624E-3</v>
          </cell>
        </row>
        <row r="34">
          <cell r="D34">
            <v>0</v>
          </cell>
        </row>
        <row r="35">
          <cell r="D35">
            <v>1.4085049611417698E-4</v>
          </cell>
        </row>
        <row r="36">
          <cell r="D36">
            <v>4.9703065792147906E-3</v>
          </cell>
        </row>
        <row r="37">
          <cell r="D37">
            <v>1.4164886614097861E-3</v>
          </cell>
        </row>
        <row r="38">
          <cell r="D38">
            <v>0</v>
          </cell>
        </row>
        <row r="39">
          <cell r="D39">
            <v>3.3723735589048539E-3</v>
          </cell>
        </row>
        <row r="40">
          <cell r="D40">
            <v>0</v>
          </cell>
        </row>
        <row r="41">
          <cell r="D41">
            <v>1.5161874771162671E-3</v>
          </cell>
        </row>
        <row r="42">
          <cell r="D42">
            <v>4.3120673503758552E-3</v>
          </cell>
        </row>
        <row r="43">
          <cell r="D43">
            <v>8.9787396722065087E-3</v>
          </cell>
        </row>
        <row r="44">
          <cell r="D44">
            <v>2.3080977490193733E-3</v>
          </cell>
        </row>
        <row r="45">
          <cell r="D45">
            <v>8.5653617575801762E-3</v>
          </cell>
        </row>
        <row r="46">
          <cell r="D46">
            <v>6.3974267701949646E-3</v>
          </cell>
        </row>
        <row r="47">
          <cell r="D47">
            <v>2.034467068297898E-4</v>
          </cell>
        </row>
        <row r="48">
          <cell r="D48">
            <v>8.5999907868325749E-3</v>
          </cell>
        </row>
        <row r="49">
          <cell r="D49">
            <v>6.6833088168707939E-3</v>
          </cell>
        </row>
        <row r="50">
          <cell r="D50">
            <v>1.1047141848759726E-2</v>
          </cell>
        </row>
        <row r="51">
          <cell r="D51">
            <v>2.4945593732564951E-3</v>
          </cell>
        </row>
        <row r="52">
          <cell r="D52">
            <v>5.3815449900239789E-3</v>
          </cell>
        </row>
        <row r="53">
          <cell r="D53">
            <v>4.7131351271357466E-3</v>
          </cell>
        </row>
        <row r="54">
          <cell r="D54">
            <v>0.12539399156121336</v>
          </cell>
        </row>
        <row r="55">
          <cell r="D55">
            <v>1.5411293486277332E-2</v>
          </cell>
        </row>
        <row r="56">
          <cell r="D56">
            <v>1.3129754455003476E-2</v>
          </cell>
        </row>
        <row r="57">
          <cell r="D57">
            <v>3.6943769258569618E-2</v>
          </cell>
        </row>
        <row r="58">
          <cell r="D58">
            <v>2.5691099971075045E-2</v>
          </cell>
        </row>
        <row r="59">
          <cell r="D59">
            <v>2.3622578188525301E-2</v>
          </cell>
        </row>
        <row r="60">
          <cell r="D60">
            <v>2.9635674803870581E-3</v>
          </cell>
        </row>
        <row r="61">
          <cell r="D61">
            <v>1.2669250746660284E-2</v>
          </cell>
        </row>
        <row r="62">
          <cell r="D62">
            <v>1.7011907330647301E-2</v>
          </cell>
        </row>
        <row r="63">
          <cell r="D63">
            <v>1.7971728955378273E-4</v>
          </cell>
        </row>
        <row r="64">
          <cell r="D64">
            <v>6.0914199835176964E-4</v>
          </cell>
        </row>
        <row r="65">
          <cell r="D65">
            <v>5.4776453149729535E-4</v>
          </cell>
        </row>
        <row r="66">
          <cell r="D66">
            <v>1.9153456822764719E-4</v>
          </cell>
        </row>
        <row r="67">
          <cell r="D67">
            <v>6.769101373308938E-4</v>
          </cell>
        </row>
        <row r="68">
          <cell r="D68">
            <v>9.7953249705184889E-2</v>
          </cell>
        </row>
        <row r="69">
          <cell r="D69">
            <v>1.5506288486844631E-3</v>
          </cell>
        </row>
        <row r="70">
          <cell r="D70">
            <v>8.3783876835131187E-3</v>
          </cell>
        </row>
        <row r="71">
          <cell r="D71">
            <v>1.6676705338870086E-3</v>
          </cell>
        </row>
        <row r="72">
          <cell r="D72">
            <v>4.777586261883667E-3</v>
          </cell>
        </row>
        <row r="73">
          <cell r="D73">
            <v>1.4546543162490752E-3</v>
          </cell>
        </row>
        <row r="74">
          <cell r="D74">
            <v>5.5238761258882361E-3</v>
          </cell>
        </row>
        <row r="75">
          <cell r="D75">
            <v>8.5621602350007908E-4</v>
          </cell>
        </row>
        <row r="76">
          <cell r="D76">
            <v>2.383407252296608E-4</v>
          </cell>
        </row>
        <row r="77">
          <cell r="D77">
            <v>1.3234970612842744E-3</v>
          </cell>
        </row>
        <row r="78">
          <cell r="D78">
            <v>1.3484885280408512E-3</v>
          </cell>
        </row>
        <row r="79">
          <cell r="D79">
            <v>9.3088212900290564E-4</v>
          </cell>
        </row>
        <row r="80">
          <cell r="D80">
            <v>5.5042060948908261E-4</v>
          </cell>
        </row>
        <row r="81">
          <cell r="D81">
            <v>6.6931412546540571E-4</v>
          </cell>
        </row>
        <row r="82">
          <cell r="D82">
            <v>2.2072884535003323E-3</v>
          </cell>
        </row>
        <row r="83">
          <cell r="D83">
            <v>2.7643853459850759E-3</v>
          </cell>
        </row>
        <row r="84">
          <cell r="D84">
            <v>1.9925277411596404E-2</v>
          </cell>
        </row>
        <row r="85">
          <cell r="D85">
            <v>4.2923293707993859E-2</v>
          </cell>
        </row>
        <row r="86">
          <cell r="D86">
            <v>1.8099892967171429E-2</v>
          </cell>
        </row>
        <row r="87">
          <cell r="D87">
            <v>4.4695523597825426E-4</v>
          </cell>
        </row>
        <row r="88">
          <cell r="D88">
            <v>3.5145689007196085E-2</v>
          </cell>
        </row>
        <row r="89">
          <cell r="D89">
            <v>1.3107786132917677E-4</v>
          </cell>
        </row>
      </sheetData>
      <sheetData sheetId="2"/>
      <sheetData sheetId="3"/>
    </sheetDataSet>
  </externalBook>
</externalLink>
</file>

<file path=xl/tables/table1.xml><?xml version="1.0" encoding="utf-8"?>
<table xmlns="http://schemas.openxmlformats.org/spreadsheetml/2006/main" id="1" name="Tabela1" displayName="Tabela1" ref="A1:E155" totalsRowShown="0" headerRowDxfId="28" dataDxfId="26" headerRowBorderDxfId="27" tableBorderDxfId="25" totalsRowBorderDxfId="24">
  <autoFilter ref="A1:E155"/>
  <tableColumns count="5">
    <tableColumn id="1" name="Point ID" dataDxfId="23"/>
    <tableColumn id="2" name="Point designation" dataDxfId="22"/>
    <tableColumn id="3" name="Designation by TSO" dataDxfId="21"/>
    <tableColumn id="4" name="Entry point?" dataDxfId="20"/>
    <tableColumn id="5" name="Exit point?" dataDxfId="19"/>
  </tableColumns>
  <tableStyleInfo name="TableStyleMedium2" showFirstColumn="0" showLastColumn="0" showRowStripes="1" showColumnStripes="0"/>
</table>
</file>

<file path=xl/tables/table2.xml><?xml version="1.0" encoding="utf-8"?>
<table xmlns="http://schemas.openxmlformats.org/spreadsheetml/2006/main" id="2" name="Tabela2" displayName="Tabela2" ref="A1:I155" totalsRowShown="0" headerRowDxfId="18" dataDxfId="16" headerRowBorderDxfId="17" tableBorderDxfId="15" totalsRowBorderDxfId="14">
  <autoFilter ref="A1:I155"/>
  <tableColumns count="9">
    <tableColumn id="1" name="Point ID start" dataDxfId="13"/>
    <tableColumn id="2" name="Point ID end" dataDxfId="12"/>
    <tableColumn id="3" name="Distance [km]" dataDxfId="11"/>
    <tableColumn id="4" name="E/X system" dataDxfId="10"/>
    <tableColumn id="5" name="Trunk?" dataDxfId="9"/>
    <tableColumn id="6" name="Bi-directional?" dataDxfId="8"/>
    <tableColumn id="7" name="Instrumental?" dataDxfId="7"/>
    <tableColumn id="8" name="Lote" dataDxfId="6"/>
    <tableColumn id="9" name="Comments" dataDxfId="5"/>
  </tableColumns>
  <tableStyleInfo name="TableStyleMedium2" showFirstColumn="0" showLastColumn="0" showRowStripes="1" showColumnStripes="0"/>
</table>
</file>

<file path=xl/tables/table3.xml><?xml version="1.0" encoding="utf-8"?>
<table xmlns="http://schemas.openxmlformats.org/spreadsheetml/2006/main" id="3" name="Tabela3" displayName="Tabela3" ref="A1:C5" totalsRowShown="0" headerRowDxfId="4" dataDxfId="3">
  <autoFilter ref="A1:C5"/>
  <tableColumns count="3">
    <tableColumn id="1" name="Parameter" dataDxfId="2"/>
    <tableColumn id="2" name="Assumption for RPM" dataDxfId="1"/>
    <tableColumn id="3" name="Note"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RSE">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37"/>
  <sheetViews>
    <sheetView showGridLines="0" showRowColHeaders="0" tabSelected="1" zoomScale="90" zoomScaleNormal="90" workbookViewId="0">
      <selection activeCell="R9" sqref="R9"/>
    </sheetView>
  </sheetViews>
  <sheetFormatPr defaultColWidth="0" defaultRowHeight="14.4" customHeight="1" zeroHeight="1" x14ac:dyDescent="0.3"/>
  <cols>
    <col min="1" max="2" width="3.6640625" style="121" customWidth="1"/>
    <col min="3" max="3" width="9.44140625" style="121" customWidth="1"/>
    <col min="4" max="4" width="10.88671875" style="121" bestFit="1" customWidth="1"/>
    <col min="5" max="10" width="9.109375" style="121" customWidth="1"/>
    <col min="11" max="11" width="17.88671875" style="121" customWidth="1"/>
    <col min="12" max="17" width="9.109375" style="121" customWidth="1"/>
    <col min="18" max="18" width="13.33203125" style="121" customWidth="1"/>
    <col min="19" max="19" width="9.109375" style="121" customWidth="1"/>
    <col min="20" max="20" width="3.6640625" style="121" customWidth="1"/>
    <col min="21" max="21" width="9.109375" style="121" customWidth="1"/>
    <col min="22" max="16384" width="9.109375" style="121" hidden="1"/>
  </cols>
  <sheetData>
    <row r="1" spans="1:21" s="122" customFormat="1" x14ac:dyDescent="0.3">
      <c r="A1" s="121"/>
      <c r="B1" s="121"/>
      <c r="C1" s="121"/>
      <c r="D1" s="121"/>
      <c r="E1" s="121"/>
      <c r="F1" s="121"/>
      <c r="G1" s="121"/>
      <c r="H1" s="121"/>
      <c r="I1" s="121"/>
      <c r="J1" s="121"/>
      <c r="K1" s="121"/>
      <c r="L1" s="121"/>
      <c r="M1" s="121"/>
      <c r="N1" s="121"/>
      <c r="O1" s="121"/>
      <c r="P1" s="121"/>
      <c r="Q1" s="121"/>
      <c r="R1" s="121"/>
      <c r="S1" s="121"/>
      <c r="T1" s="121"/>
      <c r="U1" s="121"/>
    </row>
    <row r="2" spans="1:21" s="122" customFormat="1" ht="15" thickBot="1" x14ac:dyDescent="0.35">
      <c r="A2" s="121"/>
      <c r="B2" s="123"/>
      <c r="T2" s="123"/>
      <c r="U2" s="121"/>
    </row>
    <row r="3" spans="1:21" s="122" customFormat="1" ht="15" thickBot="1" x14ac:dyDescent="0.35">
      <c r="A3" s="121"/>
      <c r="B3" s="123"/>
      <c r="Q3" s="124" t="s">
        <v>666</v>
      </c>
      <c r="R3" s="125" t="s">
        <v>667</v>
      </c>
      <c r="T3" s="123"/>
      <c r="U3" s="121"/>
    </row>
    <row r="4" spans="1:21" s="122" customFormat="1" x14ac:dyDescent="0.3">
      <c r="A4" s="121"/>
      <c r="B4" s="123"/>
      <c r="T4" s="123"/>
      <c r="U4" s="121"/>
    </row>
    <row r="5" spans="1:21" s="122" customFormat="1" x14ac:dyDescent="0.3">
      <c r="A5" s="121"/>
      <c r="B5" s="123"/>
      <c r="Q5" s="126" t="str">
        <f>+Labels!B19</f>
        <v>Última atualização:</v>
      </c>
      <c r="R5" s="127">
        <v>45534</v>
      </c>
      <c r="T5" s="123"/>
      <c r="U5" s="121"/>
    </row>
    <row r="6" spans="1:21" s="122" customFormat="1" x14ac:dyDescent="0.3">
      <c r="A6" s="121"/>
      <c r="B6" s="123"/>
      <c r="T6" s="123"/>
      <c r="U6" s="121"/>
    </row>
    <row r="7" spans="1:21" s="122" customFormat="1" x14ac:dyDescent="0.3">
      <c r="A7" s="121"/>
      <c r="B7" s="123"/>
      <c r="T7" s="123"/>
      <c r="U7" s="121"/>
    </row>
    <row r="8" spans="1:21" s="122" customFormat="1" x14ac:dyDescent="0.3">
      <c r="A8" s="121"/>
      <c r="B8" s="123"/>
      <c r="T8" s="123"/>
      <c r="U8" s="121"/>
    </row>
    <row r="9" spans="1:21" s="122" customFormat="1" ht="23.4" x14ac:dyDescent="0.45">
      <c r="A9" s="121"/>
      <c r="B9" s="123"/>
      <c r="C9" s="128" t="str">
        <f>+Labels!B3</f>
        <v>Tarifas de transporte para o gás natural</v>
      </c>
      <c r="T9" s="123"/>
      <c r="U9" s="121"/>
    </row>
    <row r="10" spans="1:21" s="122" customFormat="1" ht="23.4" x14ac:dyDescent="0.45">
      <c r="A10" s="121"/>
      <c r="B10" s="123"/>
      <c r="C10" s="129" t="str">
        <f>+Labels!B4</f>
        <v>Modelo tarifário simplificado</v>
      </c>
      <c r="T10" s="123"/>
      <c r="U10" s="121"/>
    </row>
    <row r="11" spans="1:21" s="122" customFormat="1" x14ac:dyDescent="0.3">
      <c r="A11" s="121"/>
      <c r="B11" s="123"/>
      <c r="T11" s="123"/>
      <c r="U11" s="121"/>
    </row>
    <row r="12" spans="1:21" s="122" customFormat="1" x14ac:dyDescent="0.3">
      <c r="A12" s="121"/>
      <c r="B12" s="123"/>
      <c r="C12" s="122" t="str">
        <f>+Labels!B5</f>
        <v>Este modelo tarifário simplificado apresenta as tarifas de transporte de gás natural desde o ano gás de 2024-2025 até ao ano gás 2026-2027.</v>
      </c>
      <c r="T12" s="123"/>
      <c r="U12" s="121"/>
    </row>
    <row r="13" spans="1:21" s="122" customFormat="1" x14ac:dyDescent="0.3">
      <c r="A13" s="121"/>
      <c r="B13" s="123"/>
      <c r="C13" s="122" t="str">
        <f>+Labels!B6</f>
        <v>Todos os dados calculados são apenas para fins informativos.</v>
      </c>
      <c r="T13" s="123"/>
      <c r="U13" s="121"/>
    </row>
    <row r="14" spans="1:21" s="122" customFormat="1" x14ac:dyDescent="0.3">
      <c r="A14" s="121"/>
      <c r="B14" s="123"/>
      <c r="C14" s="122" t="str">
        <f>+Labels!B7</f>
        <v>Os preços calculados não incluem o imposto sobre o valor acrescentado (IVA).</v>
      </c>
      <c r="T14" s="123"/>
      <c r="U14" s="121"/>
    </row>
    <row r="15" spans="1:21" s="122" customFormat="1" x14ac:dyDescent="0.3">
      <c r="A15" s="121"/>
      <c r="B15" s="123"/>
      <c r="T15" s="123"/>
      <c r="U15" s="121"/>
    </row>
    <row r="16" spans="1:21" s="122" customFormat="1" x14ac:dyDescent="0.3">
      <c r="A16" s="121"/>
      <c r="B16" s="123"/>
      <c r="T16" s="123"/>
      <c r="U16" s="121"/>
    </row>
    <row r="17" spans="1:21" s="122" customFormat="1" ht="18.600000000000001" thickBot="1" x14ac:dyDescent="0.4">
      <c r="A17" s="121"/>
      <c r="B17" s="123"/>
      <c r="C17" s="130" t="str">
        <f>+Labels!B8</f>
        <v>Descrição do modelo tarifário simplificado</v>
      </c>
      <c r="D17" s="131"/>
      <c r="E17" s="131"/>
      <c r="F17" s="131"/>
      <c r="G17" s="131"/>
      <c r="H17" s="131"/>
      <c r="I17" s="131"/>
      <c r="J17" s="131"/>
      <c r="K17" s="131"/>
      <c r="L17" s="131"/>
      <c r="M17" s="131"/>
      <c r="N17" s="131"/>
      <c r="O17" s="131"/>
      <c r="P17" s="131"/>
      <c r="Q17" s="131"/>
      <c r="R17" s="131"/>
      <c r="S17" s="131"/>
      <c r="T17" s="123"/>
      <c r="U17" s="121"/>
    </row>
    <row r="18" spans="1:21" s="122" customFormat="1" ht="15" thickTop="1" x14ac:dyDescent="0.3">
      <c r="A18" s="121"/>
      <c r="B18" s="123"/>
      <c r="C18" s="122" t="str">
        <f>+Labels!B9</f>
        <v>Este modelo inclui duas folhas de cálculo adicionais, com as seguintes finalidades:</v>
      </c>
      <c r="T18" s="123"/>
      <c r="U18" s="121"/>
    </row>
    <row r="19" spans="1:21" s="122" customFormat="1" x14ac:dyDescent="0.3">
      <c r="A19" s="121"/>
      <c r="B19" s="123"/>
      <c r="T19" s="123"/>
      <c r="U19" s="121"/>
    </row>
    <row r="20" spans="1:21" s="122" customFormat="1" x14ac:dyDescent="0.3">
      <c r="A20" s="121"/>
      <c r="B20" s="123"/>
      <c r="C20" s="132" t="str">
        <f>+Labels!B10</f>
        <v xml:space="preserve">Input - </v>
      </c>
      <c r="D20" s="122" t="str">
        <f>+Labels!B12</f>
        <v>Esta folha inclui os proveitos permitidos do operador da rede de transporte e os valores para a capacidade prevista.</v>
      </c>
      <c r="T20" s="123"/>
      <c r="U20" s="121"/>
    </row>
    <row r="21" spans="1:21" s="122" customFormat="1" x14ac:dyDescent="0.3">
      <c r="A21" s="121"/>
      <c r="B21" s="123"/>
      <c r="C21" s="132" t="str">
        <f>+Labels!B11</f>
        <v xml:space="preserve">Output - </v>
      </c>
      <c r="D21" s="122" t="str">
        <f>+Labels!B13</f>
        <v>Esta folha calcula as tarifas de transporte aplicáveis para o uso da rede de transporte com base nos valores da folha 'Input'.</v>
      </c>
      <c r="T21" s="123"/>
      <c r="U21" s="121"/>
    </row>
    <row r="22" spans="1:21" s="122" customFormat="1" x14ac:dyDescent="0.3">
      <c r="A22" s="121"/>
      <c r="B22" s="123"/>
      <c r="T22" s="123"/>
      <c r="U22" s="121"/>
    </row>
    <row r="23" spans="1:21" s="122" customFormat="1" x14ac:dyDescent="0.3">
      <c r="A23" s="121"/>
      <c r="B23" s="123"/>
      <c r="C23" s="122" t="str">
        <f>+Labels!B14</f>
        <v>Os valores que podem ser alterados pelo utilizador são as células amarelas incluídas na folha 'Input'.</v>
      </c>
      <c r="T23" s="123"/>
      <c r="U23" s="121"/>
    </row>
    <row r="24" spans="1:21" s="122" customFormat="1" x14ac:dyDescent="0.3">
      <c r="A24" s="121"/>
      <c r="B24" s="123"/>
      <c r="T24" s="123"/>
      <c r="U24" s="121"/>
    </row>
    <row r="25" spans="1:21" s="122" customFormat="1" x14ac:dyDescent="0.3">
      <c r="A25" s="121"/>
      <c r="B25" s="123"/>
      <c r="T25" s="123"/>
      <c r="U25" s="121"/>
    </row>
    <row r="26" spans="1:21" s="122" customFormat="1" ht="18.600000000000001" thickBot="1" x14ac:dyDescent="0.4">
      <c r="A26" s="121"/>
      <c r="B26" s="123"/>
      <c r="C26" s="130" t="str">
        <f>+Labels!B15</f>
        <v>Legenda de cores</v>
      </c>
      <c r="D26" s="131"/>
      <c r="E26" s="131"/>
      <c r="F26" s="131"/>
      <c r="G26" s="131"/>
      <c r="H26" s="131"/>
      <c r="I26" s="131"/>
      <c r="J26" s="131"/>
      <c r="K26" s="131"/>
      <c r="L26" s="131"/>
      <c r="M26" s="131"/>
      <c r="N26" s="131"/>
      <c r="O26" s="131"/>
      <c r="P26" s="131"/>
      <c r="Q26" s="131"/>
      <c r="R26" s="131"/>
      <c r="S26" s="131"/>
      <c r="T26" s="123"/>
      <c r="U26" s="121"/>
    </row>
    <row r="27" spans="1:21" s="122" customFormat="1" ht="15" thickTop="1" x14ac:dyDescent="0.3">
      <c r="A27" s="121"/>
      <c r="B27" s="123"/>
      <c r="T27" s="123"/>
      <c r="U27" s="121"/>
    </row>
    <row r="28" spans="1:21" s="122" customFormat="1" x14ac:dyDescent="0.3">
      <c r="A28" s="121"/>
      <c r="B28" s="123"/>
      <c r="C28" s="133"/>
      <c r="D28" s="134" t="str">
        <f>+Labels!B16</f>
        <v>Células amarelas na folha 'Input' é informação utilizada na aprovação das tarifas para o ano gás 2024-2025.</v>
      </c>
      <c r="T28" s="123"/>
      <c r="U28" s="121"/>
    </row>
    <row r="29" spans="1:21" s="122" customFormat="1" x14ac:dyDescent="0.3">
      <c r="A29" s="121"/>
      <c r="B29" s="123"/>
      <c r="D29" s="134" t="str">
        <f>+Labels!B17</f>
        <v>Esta informação pode ser alterada pelo utilizador para simular qual teria sido o efeito nas tarifas de transporte se a procura ou os proveitos tivessem sido diferentes.</v>
      </c>
      <c r="T29" s="123"/>
      <c r="U29" s="121"/>
    </row>
    <row r="30" spans="1:21" s="122" customFormat="1" x14ac:dyDescent="0.3">
      <c r="A30" s="121"/>
      <c r="B30" s="123"/>
      <c r="C30" s="135"/>
      <c r="D30" s="134" t="str">
        <f>+Labels!B18</f>
        <v>Células verdes na folha 'Output' são valores estimados com base nos valores introduzidos nas células amarelas na folha 'Input'.</v>
      </c>
      <c r="T30" s="123"/>
      <c r="U30" s="121"/>
    </row>
    <row r="31" spans="1:21" s="122" customFormat="1" x14ac:dyDescent="0.3">
      <c r="A31" s="121"/>
      <c r="B31" s="123"/>
      <c r="T31" s="123"/>
      <c r="U31" s="121"/>
    </row>
    <row r="32" spans="1:21" s="122" customFormat="1" x14ac:dyDescent="0.3">
      <c r="A32" s="121"/>
      <c r="B32" s="123"/>
      <c r="T32" s="123"/>
      <c r="U32" s="121"/>
    </row>
    <row r="33" spans="1:21" s="122" customFormat="1" x14ac:dyDescent="0.3">
      <c r="A33" s="121"/>
      <c r="B33" s="123"/>
      <c r="T33" s="123"/>
      <c r="U33" s="121"/>
    </row>
    <row r="34" spans="1:21" s="122" customFormat="1" x14ac:dyDescent="0.3">
      <c r="A34" s="121"/>
      <c r="B34" s="123"/>
      <c r="T34" s="123"/>
      <c r="U34" s="121"/>
    </row>
    <row r="35" spans="1:21" s="122" customFormat="1" x14ac:dyDescent="0.3">
      <c r="A35" s="121"/>
      <c r="B35" s="121"/>
      <c r="C35" s="121"/>
      <c r="D35" s="121"/>
      <c r="E35" s="121"/>
      <c r="F35" s="121"/>
      <c r="G35" s="121"/>
      <c r="H35" s="121"/>
      <c r="I35" s="121"/>
      <c r="J35" s="121"/>
      <c r="K35" s="121"/>
      <c r="L35" s="121"/>
      <c r="M35" s="121"/>
      <c r="N35" s="121"/>
      <c r="O35" s="121"/>
      <c r="P35" s="121"/>
      <c r="Q35" s="121"/>
      <c r="R35" s="121"/>
      <c r="S35" s="121"/>
      <c r="T35" s="121"/>
      <c r="U35" s="121"/>
    </row>
    <row r="36" spans="1:21" x14ac:dyDescent="0.3"/>
    <row r="37" spans="1:21" x14ac:dyDescent="0.3"/>
  </sheetData>
  <sheetProtection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Labels!$D$2:$E$2</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3"/>
  <sheetViews>
    <sheetView showGridLines="0" zoomScale="80" zoomScaleNormal="80" workbookViewId="0">
      <selection activeCell="I22" sqref="I22"/>
    </sheetView>
  </sheetViews>
  <sheetFormatPr defaultColWidth="0" defaultRowHeight="0" customHeight="1" zeroHeight="1" x14ac:dyDescent="0.3"/>
  <cols>
    <col min="1" max="1" width="3.6640625" style="1" customWidth="1"/>
    <col min="2" max="2" width="2.88671875" style="1" customWidth="1"/>
    <col min="3" max="3" width="11" style="1" customWidth="1"/>
    <col min="4" max="4" width="39.88671875" style="1" customWidth="1"/>
    <col min="5" max="5" width="66" style="1" customWidth="1"/>
    <col min="6" max="6" width="3.6640625" style="1" customWidth="1"/>
    <col min="7" max="9" width="13.88671875" style="1" customWidth="1"/>
    <col min="10" max="10" width="3.6640625" style="1" customWidth="1"/>
    <col min="11" max="11" width="10.44140625" style="1" customWidth="1"/>
    <col min="12" max="13" width="3.6640625" style="1" customWidth="1"/>
    <col min="14" max="14" width="1.6640625" style="136" customWidth="1"/>
    <col min="15" max="15" width="5.6640625" style="136" customWidth="1"/>
    <col min="16" max="16" width="49.6640625" style="136" customWidth="1"/>
    <col min="17" max="17" width="1.6640625" style="136" customWidth="1"/>
    <col min="18" max="18" width="3.6640625" style="136" customWidth="1"/>
    <col min="19" max="20" width="9.109375" style="1" hidden="1" customWidth="1"/>
    <col min="21" max="21" width="3.6640625" style="1" hidden="1" customWidth="1"/>
    <col min="22" max="22" width="9.109375" style="1" hidden="1" customWidth="1"/>
    <col min="23" max="23" width="3.6640625" style="1" hidden="1" customWidth="1"/>
    <col min="24" max="16384" width="9.109375" style="1" hidden="1"/>
  </cols>
  <sheetData>
    <row r="1" spans="1:17" ht="15" customHeight="1" thickBot="1" x14ac:dyDescent="0.35">
      <c r="A1" s="136"/>
      <c r="B1" s="136"/>
      <c r="C1" s="136"/>
      <c r="D1" s="136"/>
      <c r="E1" s="136"/>
      <c r="F1" s="136"/>
      <c r="G1" s="136"/>
      <c r="H1" s="136"/>
      <c r="I1" s="136"/>
      <c r="J1" s="136"/>
      <c r="K1" s="136"/>
      <c r="L1" s="136"/>
      <c r="M1" s="136"/>
    </row>
    <row r="2" spans="1:17" ht="18.600000000000001" thickBot="1" x14ac:dyDescent="0.4">
      <c r="A2" s="136"/>
      <c r="B2" s="137" t="str">
        <f>+Labels!B20</f>
        <v>Proveitos permitidos</v>
      </c>
      <c r="C2" s="138"/>
      <c r="D2" s="138"/>
      <c r="E2" s="138"/>
      <c r="F2" s="138"/>
      <c r="G2" s="138"/>
      <c r="H2" s="138"/>
      <c r="I2" s="138"/>
      <c r="J2" s="138"/>
      <c r="K2" s="138"/>
      <c r="L2" s="139"/>
      <c r="M2" s="136"/>
    </row>
    <row r="3" spans="1:17" ht="16.2" thickBot="1" x14ac:dyDescent="0.35">
      <c r="A3" s="136"/>
      <c r="B3" s="140"/>
      <c r="C3" s="141"/>
      <c r="D3" s="141"/>
      <c r="E3" s="141"/>
      <c r="F3" s="141"/>
      <c r="G3" s="142" t="s">
        <v>669</v>
      </c>
      <c r="H3" s="142" t="s">
        <v>670</v>
      </c>
      <c r="I3" s="142" t="s">
        <v>671</v>
      </c>
      <c r="J3" s="143"/>
      <c r="K3" s="143"/>
      <c r="L3" s="144"/>
      <c r="M3" s="136"/>
      <c r="N3" s="145"/>
      <c r="O3" s="146"/>
      <c r="P3" s="147"/>
      <c r="Q3" s="148"/>
    </row>
    <row r="4" spans="1:17" ht="15" thickBot="1" x14ac:dyDescent="0.35">
      <c r="A4" s="136"/>
      <c r="B4" s="140"/>
      <c r="C4" s="141"/>
      <c r="D4" s="149" t="str">
        <f>+Labels!B21</f>
        <v>Proveitos permitidos do operador da rede de transporte</v>
      </c>
      <c r="E4" s="150"/>
      <c r="F4" s="151"/>
      <c r="G4" s="343">
        <f>Input_!E7</f>
        <v>74971438.059899092</v>
      </c>
      <c r="H4" s="152">
        <v>74971438.059899092</v>
      </c>
      <c r="I4" s="153">
        <v>74971438.059899092</v>
      </c>
      <c r="J4" s="154"/>
      <c r="K4" s="154"/>
      <c r="L4" s="144"/>
      <c r="M4" s="136"/>
      <c r="N4" s="155"/>
      <c r="O4" s="156"/>
      <c r="P4" s="157" t="str">
        <f>+Labels!B49</f>
        <v>Células amarelas podem ser alteradas pelo utilizador</v>
      </c>
      <c r="Q4" s="158"/>
    </row>
    <row r="5" spans="1:17" ht="15" thickBot="1" x14ac:dyDescent="0.35">
      <c r="A5" s="136"/>
      <c r="B5" s="159"/>
      <c r="C5" s="160"/>
      <c r="D5" s="160"/>
      <c r="E5" s="160"/>
      <c r="F5" s="160"/>
      <c r="G5" s="161"/>
      <c r="H5" s="160"/>
      <c r="I5" s="160"/>
      <c r="J5" s="160"/>
      <c r="K5" s="160"/>
      <c r="L5" s="162"/>
      <c r="M5" s="136"/>
      <c r="N5" s="163"/>
      <c r="O5" s="164"/>
      <c r="P5" s="164"/>
      <c r="Q5" s="165"/>
    </row>
    <row r="6" spans="1:17" ht="15" customHeight="1" thickBot="1" x14ac:dyDescent="0.35">
      <c r="A6" s="136"/>
      <c r="B6" s="136"/>
      <c r="C6" s="136"/>
      <c r="D6" s="136"/>
      <c r="E6" s="136"/>
      <c r="F6" s="136"/>
      <c r="G6" s="136"/>
      <c r="H6" s="136"/>
      <c r="I6" s="136"/>
      <c r="J6" s="136"/>
      <c r="K6" s="136"/>
      <c r="L6" s="136"/>
      <c r="M6" s="136"/>
    </row>
    <row r="7" spans="1:17" ht="18" x14ac:dyDescent="0.35">
      <c r="A7" s="136"/>
      <c r="B7" s="137" t="str">
        <f>+Labels!B22</f>
        <v>Capacidade prevista</v>
      </c>
      <c r="C7" s="138"/>
      <c r="D7" s="138"/>
      <c r="E7" s="138"/>
      <c r="F7" s="138"/>
      <c r="G7" s="138"/>
      <c r="H7" s="138"/>
      <c r="I7" s="138"/>
      <c r="J7" s="138"/>
      <c r="K7" s="138"/>
      <c r="L7" s="139"/>
      <c r="M7" s="136"/>
    </row>
    <row r="8" spans="1:17" ht="15" thickBot="1" x14ac:dyDescent="0.35">
      <c r="A8" s="136"/>
      <c r="B8" s="140"/>
      <c r="C8" s="141"/>
      <c r="D8" s="141"/>
      <c r="E8" s="141"/>
      <c r="F8" s="141"/>
      <c r="G8" s="141"/>
      <c r="H8" s="141"/>
      <c r="I8" s="141"/>
      <c r="J8" s="141"/>
      <c r="K8" s="141"/>
      <c r="L8" s="144"/>
      <c r="M8" s="136"/>
    </row>
    <row r="9" spans="1:17" ht="15" thickBot="1" x14ac:dyDescent="0.35">
      <c r="A9" s="136"/>
      <c r="B9" s="140"/>
      <c r="C9" s="141"/>
      <c r="D9" s="166" t="str">
        <f>+Labels!B23</f>
        <v>Ponto</v>
      </c>
      <c r="E9" s="167" t="str">
        <f>+Labels!B24</f>
        <v>Produtos</v>
      </c>
      <c r="F9" s="141"/>
      <c r="G9" s="142" t="str">
        <f>+G3</f>
        <v>2024-2025</v>
      </c>
      <c r="H9" s="142" t="str">
        <f t="shared" ref="H9:I9" si="0">+H3</f>
        <v>2025-2026</v>
      </c>
      <c r="I9" s="142" t="str">
        <f t="shared" si="0"/>
        <v>2026-2027</v>
      </c>
      <c r="J9" s="141"/>
      <c r="K9" s="168" t="str">
        <f>+Labels!B46</f>
        <v>Unidade</v>
      </c>
      <c r="L9" s="144"/>
      <c r="M9" s="136"/>
    </row>
    <row r="10" spans="1:17" ht="14.4" x14ac:dyDescent="0.3">
      <c r="A10" s="136"/>
      <c r="B10" s="140"/>
      <c r="C10" s="169" t="str">
        <f>+Labels!B25</f>
        <v>Entrada</v>
      </c>
      <c r="D10" s="170" t="str">
        <f>+Labels!B27</f>
        <v>VIP Ibérico</v>
      </c>
      <c r="E10" s="171" t="str">
        <f>+Labels!B33</f>
        <v>Anual</v>
      </c>
      <c r="F10" s="151"/>
      <c r="G10" s="338">
        <f>Input_!E20</f>
        <v>4884702</v>
      </c>
      <c r="H10" s="172">
        <v>4884702</v>
      </c>
      <c r="I10" s="173">
        <v>4884702</v>
      </c>
      <c r="J10" s="174"/>
      <c r="K10" s="175" t="str">
        <f>+Labels!B47</f>
        <v>kWh/dia</v>
      </c>
      <c r="L10" s="144"/>
      <c r="M10" s="136"/>
    </row>
    <row r="11" spans="1:17" ht="14.4" x14ac:dyDescent="0.3">
      <c r="A11" s="136"/>
      <c r="B11" s="140"/>
      <c r="C11" s="176"/>
      <c r="D11" s="177"/>
      <c r="E11" s="178" t="str">
        <f>+Labels!B34</f>
        <v>Trimestral</v>
      </c>
      <c r="F11" s="141"/>
      <c r="G11" s="339">
        <f>Input_!E21</f>
        <v>3513912</v>
      </c>
      <c r="H11" s="179">
        <v>3513912</v>
      </c>
      <c r="I11" s="180">
        <v>3513912</v>
      </c>
      <c r="J11" s="141"/>
      <c r="K11" s="181" t="str">
        <f>+$K$10</f>
        <v>kWh/dia</v>
      </c>
      <c r="L11" s="144"/>
      <c r="M11" s="136"/>
    </row>
    <row r="12" spans="1:17" ht="14.4" x14ac:dyDescent="0.3">
      <c r="A12" s="136"/>
      <c r="B12" s="140"/>
      <c r="C12" s="176"/>
      <c r="D12" s="177"/>
      <c r="E12" s="178" t="str">
        <f>+Labels!B35</f>
        <v>Mensal</v>
      </c>
      <c r="F12" s="182"/>
      <c r="G12" s="339">
        <f>Input_!E22</f>
        <v>9185306</v>
      </c>
      <c r="H12" s="179">
        <v>9185306</v>
      </c>
      <c r="I12" s="180">
        <v>9185306</v>
      </c>
      <c r="J12" s="183"/>
      <c r="K12" s="181" t="str">
        <f t="shared" ref="K12:K41" si="1">+$K$10</f>
        <v>kWh/dia</v>
      </c>
      <c r="L12" s="144"/>
      <c r="M12" s="136"/>
    </row>
    <row r="13" spans="1:17" ht="14.4" x14ac:dyDescent="0.3">
      <c r="A13" s="136"/>
      <c r="B13" s="140"/>
      <c r="C13" s="176"/>
      <c r="D13" s="177"/>
      <c r="E13" s="178" t="str">
        <f>+Labels!B36</f>
        <v>Diário</v>
      </c>
      <c r="F13" s="182"/>
      <c r="G13" s="339">
        <f>Input_!E23</f>
        <v>5947824.7013698621</v>
      </c>
      <c r="H13" s="179">
        <v>5947824.7013698621</v>
      </c>
      <c r="I13" s="180">
        <v>5947824.7013698621</v>
      </c>
      <c r="J13" s="182"/>
      <c r="K13" s="181" t="str">
        <f t="shared" si="1"/>
        <v>kWh/dia</v>
      </c>
      <c r="L13" s="144"/>
      <c r="M13" s="136"/>
    </row>
    <row r="14" spans="1:17" ht="15" thickBot="1" x14ac:dyDescent="0.35">
      <c r="A14" s="136"/>
      <c r="B14" s="140"/>
      <c r="C14" s="176"/>
      <c r="D14" s="184"/>
      <c r="E14" s="185" t="str">
        <f>+Labels!B37</f>
        <v>Intradiário</v>
      </c>
      <c r="F14" s="151"/>
      <c r="G14" s="340">
        <f>Input_!E24</f>
        <v>666864.43013698631</v>
      </c>
      <c r="H14" s="186">
        <v>666864.43013698631</v>
      </c>
      <c r="I14" s="187">
        <v>666864.43013698631</v>
      </c>
      <c r="J14" s="174"/>
      <c r="K14" s="188" t="str">
        <f t="shared" si="1"/>
        <v>kWh/dia</v>
      </c>
      <c r="L14" s="144"/>
      <c r="M14" s="136"/>
    </row>
    <row r="15" spans="1:17" ht="14.4" x14ac:dyDescent="0.3">
      <c r="A15" s="136"/>
      <c r="B15" s="140"/>
      <c r="C15" s="176"/>
      <c r="D15" s="170" t="str">
        <f>+Labels!B28</f>
        <v>Terminal de GNL</v>
      </c>
      <c r="E15" s="171" t="str">
        <f>+E10</f>
        <v>Anual</v>
      </c>
      <c r="F15" s="141"/>
      <c r="G15" s="338">
        <f>Input_!E25</f>
        <v>200000000</v>
      </c>
      <c r="H15" s="189">
        <v>200000000</v>
      </c>
      <c r="I15" s="173">
        <v>200000000</v>
      </c>
      <c r="J15" s="141"/>
      <c r="K15" s="190" t="str">
        <f t="shared" si="1"/>
        <v>kWh/dia</v>
      </c>
      <c r="L15" s="144"/>
      <c r="M15" s="136"/>
    </row>
    <row r="16" spans="1:17" ht="14.4" x14ac:dyDescent="0.3">
      <c r="A16" s="136"/>
      <c r="B16" s="140"/>
      <c r="C16" s="176"/>
      <c r="D16" s="177"/>
      <c r="E16" s="178" t="str">
        <f t="shared" ref="E16:E19" si="2">+E11</f>
        <v>Trimestral</v>
      </c>
      <c r="F16" s="182"/>
      <c r="G16" s="339">
        <f>Input_!E26</f>
        <v>0</v>
      </c>
      <c r="H16" s="179">
        <v>0</v>
      </c>
      <c r="I16" s="180">
        <v>0</v>
      </c>
      <c r="J16" s="183"/>
      <c r="K16" s="181" t="str">
        <f t="shared" si="1"/>
        <v>kWh/dia</v>
      </c>
      <c r="L16" s="144"/>
      <c r="M16" s="136"/>
    </row>
    <row r="17" spans="1:13" ht="14.4" x14ac:dyDescent="0.3">
      <c r="A17" s="136"/>
      <c r="B17" s="140"/>
      <c r="C17" s="176"/>
      <c r="D17" s="177"/>
      <c r="E17" s="178" t="str">
        <f t="shared" si="2"/>
        <v>Mensal</v>
      </c>
      <c r="F17" s="182"/>
      <c r="G17" s="339">
        <f>Input_!E27</f>
        <v>0</v>
      </c>
      <c r="H17" s="179">
        <v>0</v>
      </c>
      <c r="I17" s="180">
        <v>0</v>
      </c>
      <c r="J17" s="182"/>
      <c r="K17" s="181" t="str">
        <f t="shared" si="1"/>
        <v>kWh/dia</v>
      </c>
      <c r="L17" s="144"/>
      <c r="M17" s="136"/>
    </row>
    <row r="18" spans="1:13" ht="14.4" x14ac:dyDescent="0.3">
      <c r="A18" s="136"/>
      <c r="B18" s="140"/>
      <c r="C18" s="176"/>
      <c r="D18" s="177"/>
      <c r="E18" s="178" t="str">
        <f t="shared" si="2"/>
        <v>Diário</v>
      </c>
      <c r="F18" s="151"/>
      <c r="G18" s="339">
        <f>Input_!E28</f>
        <v>0</v>
      </c>
      <c r="H18" s="179">
        <v>0</v>
      </c>
      <c r="I18" s="180">
        <v>0</v>
      </c>
      <c r="J18" s="174"/>
      <c r="K18" s="181" t="str">
        <f t="shared" si="1"/>
        <v>kWh/dia</v>
      </c>
      <c r="L18" s="144"/>
      <c r="M18" s="136"/>
    </row>
    <row r="19" spans="1:13" ht="15" thickBot="1" x14ac:dyDescent="0.35">
      <c r="A19" s="136"/>
      <c r="B19" s="140"/>
      <c r="C19" s="176"/>
      <c r="D19" s="184"/>
      <c r="E19" s="185" t="str">
        <f t="shared" si="2"/>
        <v>Intradiário</v>
      </c>
      <c r="F19" s="141"/>
      <c r="G19" s="340">
        <f>Input_!E29</f>
        <v>0</v>
      </c>
      <c r="H19" s="186">
        <v>0</v>
      </c>
      <c r="I19" s="187">
        <v>0</v>
      </c>
      <c r="J19" s="141"/>
      <c r="K19" s="188" t="str">
        <f t="shared" si="1"/>
        <v>kWh/dia</v>
      </c>
      <c r="L19" s="144"/>
      <c r="M19" s="136"/>
    </row>
    <row r="20" spans="1:13" ht="14.4" x14ac:dyDescent="0.3">
      <c r="A20" s="136"/>
      <c r="B20" s="140"/>
      <c r="C20" s="176"/>
      <c r="D20" s="170" t="str">
        <f>+Labels!B29</f>
        <v>Armazenamento Subterrâneo</v>
      </c>
      <c r="E20" s="171" t="str">
        <f>+E13</f>
        <v>Diário</v>
      </c>
      <c r="F20" s="182"/>
      <c r="G20" s="338">
        <f>Input_!E30</f>
        <v>4369884.2958904114</v>
      </c>
      <c r="H20" s="189">
        <v>4369884.2958904114</v>
      </c>
      <c r="I20" s="173">
        <v>4369884.2958904114</v>
      </c>
      <c r="J20" s="183"/>
      <c r="K20" s="190" t="str">
        <f t="shared" si="1"/>
        <v>kWh/dia</v>
      </c>
      <c r="L20" s="144"/>
      <c r="M20" s="136"/>
    </row>
    <row r="21" spans="1:13" ht="15" thickBot="1" x14ac:dyDescent="0.35">
      <c r="A21" s="136"/>
      <c r="B21" s="140"/>
      <c r="C21" s="191"/>
      <c r="D21" s="184"/>
      <c r="E21" s="185" t="str">
        <f>+E14</f>
        <v>Intradiário</v>
      </c>
      <c r="F21" s="182"/>
      <c r="G21" s="340">
        <f>Input_!E31</f>
        <v>2787181.2931506848</v>
      </c>
      <c r="H21" s="186">
        <v>2787181.2931506848</v>
      </c>
      <c r="I21" s="187">
        <v>2787181.2931506848</v>
      </c>
      <c r="J21" s="182"/>
      <c r="K21" s="188" t="str">
        <f t="shared" si="1"/>
        <v>kWh/dia</v>
      </c>
      <c r="L21" s="144"/>
      <c r="M21" s="136"/>
    </row>
    <row r="22" spans="1:13" ht="15" thickBot="1" x14ac:dyDescent="0.35">
      <c r="A22" s="136"/>
      <c r="B22" s="140"/>
      <c r="C22" s="192"/>
      <c r="D22" s="177" t="str">
        <f>+Labels!B30</f>
        <v>Produtores de gás</v>
      </c>
      <c r="E22" s="193" t="str">
        <f>+Labels!B38</f>
        <v>Capacidade utilizada na injeção</v>
      </c>
      <c r="F22" s="182"/>
      <c r="G22" s="341">
        <f>Input_!E32</f>
        <v>1E-3</v>
      </c>
      <c r="H22" s="194">
        <v>1E-3</v>
      </c>
      <c r="I22" s="195">
        <v>1E-3</v>
      </c>
      <c r="J22" s="182"/>
      <c r="K22" s="196" t="str">
        <f t="shared" si="1"/>
        <v>kWh/dia</v>
      </c>
      <c r="L22" s="144"/>
      <c r="M22" s="136"/>
    </row>
    <row r="23" spans="1:13" ht="14.4" x14ac:dyDescent="0.3">
      <c r="A23" s="136"/>
      <c r="B23" s="140"/>
      <c r="C23" s="169" t="str">
        <f>+Labels!B26</f>
        <v>Saída</v>
      </c>
      <c r="D23" s="170" t="str">
        <f>+D10</f>
        <v>VIP Ibérico</v>
      </c>
      <c r="E23" s="171" t="str">
        <f>+E10</f>
        <v>Anual</v>
      </c>
      <c r="F23" s="151"/>
      <c r="G23" s="338">
        <f>Input_!E65</f>
        <v>0</v>
      </c>
      <c r="H23" s="189">
        <v>0</v>
      </c>
      <c r="I23" s="173">
        <v>0</v>
      </c>
      <c r="J23" s="174"/>
      <c r="K23" s="190" t="str">
        <f t="shared" si="1"/>
        <v>kWh/dia</v>
      </c>
      <c r="L23" s="144"/>
      <c r="M23" s="136"/>
    </row>
    <row r="24" spans="1:13" ht="14.4" x14ac:dyDescent="0.3">
      <c r="A24" s="136"/>
      <c r="B24" s="140"/>
      <c r="C24" s="191"/>
      <c r="D24" s="177"/>
      <c r="E24" s="178" t="str">
        <f t="shared" ref="E24:E34" si="3">+E11</f>
        <v>Trimestral</v>
      </c>
      <c r="F24" s="141"/>
      <c r="G24" s="339">
        <f>Input_!E66</f>
        <v>0</v>
      </c>
      <c r="H24" s="179">
        <v>0</v>
      </c>
      <c r="I24" s="180">
        <v>0</v>
      </c>
      <c r="J24" s="141"/>
      <c r="K24" s="181" t="str">
        <f t="shared" si="1"/>
        <v>kWh/dia</v>
      </c>
      <c r="L24" s="144"/>
      <c r="M24" s="136"/>
    </row>
    <row r="25" spans="1:13" ht="14.4" x14ac:dyDescent="0.3">
      <c r="A25" s="136"/>
      <c r="B25" s="140"/>
      <c r="C25" s="191"/>
      <c r="D25" s="177"/>
      <c r="E25" s="178" t="str">
        <f t="shared" si="3"/>
        <v>Mensal</v>
      </c>
      <c r="F25" s="182"/>
      <c r="G25" s="339">
        <f>Input_!E67</f>
        <v>2561584.0000000005</v>
      </c>
      <c r="H25" s="179">
        <v>2561584.0000000005</v>
      </c>
      <c r="I25" s="180">
        <v>2561584.0000000005</v>
      </c>
      <c r="J25" s="183"/>
      <c r="K25" s="181" t="str">
        <f t="shared" si="1"/>
        <v>kWh/dia</v>
      </c>
      <c r="L25" s="144"/>
      <c r="M25" s="136"/>
    </row>
    <row r="26" spans="1:13" ht="14.4" x14ac:dyDescent="0.3">
      <c r="A26" s="136"/>
      <c r="B26" s="140"/>
      <c r="C26" s="191"/>
      <c r="D26" s="177"/>
      <c r="E26" s="178" t="str">
        <f t="shared" si="3"/>
        <v>Diário</v>
      </c>
      <c r="F26" s="182"/>
      <c r="G26" s="339">
        <f>Input_!E68</f>
        <v>25198760.186301369</v>
      </c>
      <c r="H26" s="179">
        <v>25198760.186301369</v>
      </c>
      <c r="I26" s="180">
        <v>25198760.186301369</v>
      </c>
      <c r="J26" s="182"/>
      <c r="K26" s="181" t="str">
        <f t="shared" si="1"/>
        <v>kWh/dia</v>
      </c>
      <c r="L26" s="144"/>
      <c r="M26" s="136"/>
    </row>
    <row r="27" spans="1:13" ht="15" thickBot="1" x14ac:dyDescent="0.35">
      <c r="A27" s="136"/>
      <c r="B27" s="140"/>
      <c r="C27" s="191"/>
      <c r="D27" s="184"/>
      <c r="E27" s="185" t="str">
        <f t="shared" si="3"/>
        <v>Intradiário</v>
      </c>
      <c r="F27" s="151"/>
      <c r="G27" s="340">
        <f>Input_!E69</f>
        <v>395278.85205479449</v>
      </c>
      <c r="H27" s="186">
        <v>395278.85205479449</v>
      </c>
      <c r="I27" s="187">
        <v>395278.85205479449</v>
      </c>
      <c r="J27" s="174"/>
      <c r="K27" s="188" t="str">
        <f t="shared" si="1"/>
        <v>kWh/dia</v>
      </c>
      <c r="L27" s="144"/>
      <c r="M27" s="136"/>
    </row>
    <row r="28" spans="1:13" ht="14.4" x14ac:dyDescent="0.3">
      <c r="A28" s="136"/>
      <c r="B28" s="140"/>
      <c r="C28" s="191"/>
      <c r="D28" s="170" t="str">
        <f>+D15</f>
        <v>Terminal de GNL</v>
      </c>
      <c r="E28" s="171" t="str">
        <f t="shared" si="3"/>
        <v>Anual</v>
      </c>
      <c r="F28" s="141"/>
      <c r="G28" s="338">
        <f>Input_!E70</f>
        <v>0</v>
      </c>
      <c r="H28" s="189">
        <v>0</v>
      </c>
      <c r="I28" s="173">
        <v>0</v>
      </c>
      <c r="J28" s="141"/>
      <c r="K28" s="190" t="str">
        <f t="shared" si="1"/>
        <v>kWh/dia</v>
      </c>
      <c r="L28" s="144"/>
      <c r="M28" s="136"/>
    </row>
    <row r="29" spans="1:13" ht="14.4" x14ac:dyDescent="0.3">
      <c r="A29" s="136"/>
      <c r="B29" s="140"/>
      <c r="C29" s="191"/>
      <c r="D29" s="177"/>
      <c r="E29" s="178" t="str">
        <f t="shared" si="3"/>
        <v>Trimestral</v>
      </c>
      <c r="F29" s="182"/>
      <c r="G29" s="339">
        <f>Input_!E71</f>
        <v>0</v>
      </c>
      <c r="H29" s="179">
        <v>0</v>
      </c>
      <c r="I29" s="180">
        <v>0</v>
      </c>
      <c r="J29" s="183"/>
      <c r="K29" s="181" t="str">
        <f t="shared" si="1"/>
        <v>kWh/dia</v>
      </c>
      <c r="L29" s="144"/>
      <c r="M29" s="136"/>
    </row>
    <row r="30" spans="1:13" ht="14.4" x14ac:dyDescent="0.3">
      <c r="A30" s="136"/>
      <c r="B30" s="140"/>
      <c r="C30" s="191"/>
      <c r="D30" s="177"/>
      <c r="E30" s="178" t="str">
        <f t="shared" si="3"/>
        <v>Mensal</v>
      </c>
      <c r="F30" s="182"/>
      <c r="G30" s="339">
        <f>Input_!E72</f>
        <v>0</v>
      </c>
      <c r="H30" s="179">
        <v>0</v>
      </c>
      <c r="I30" s="180">
        <v>0</v>
      </c>
      <c r="J30" s="182"/>
      <c r="K30" s="181" t="str">
        <f t="shared" si="1"/>
        <v>kWh/dia</v>
      </c>
      <c r="L30" s="144"/>
      <c r="M30" s="136"/>
    </row>
    <row r="31" spans="1:13" ht="14.4" x14ac:dyDescent="0.3">
      <c r="A31" s="136"/>
      <c r="B31" s="140"/>
      <c r="C31" s="191"/>
      <c r="D31" s="177"/>
      <c r="E31" s="178" t="str">
        <f t="shared" si="3"/>
        <v>Diário</v>
      </c>
      <c r="F31" s="151"/>
      <c r="G31" s="339">
        <f>Input_!E73</f>
        <v>0</v>
      </c>
      <c r="H31" s="179">
        <v>0</v>
      </c>
      <c r="I31" s="180">
        <v>0</v>
      </c>
      <c r="J31" s="174"/>
      <c r="K31" s="181" t="str">
        <f t="shared" si="1"/>
        <v>kWh/dia</v>
      </c>
      <c r="L31" s="144"/>
      <c r="M31" s="136"/>
    </row>
    <row r="32" spans="1:13" ht="15" thickBot="1" x14ac:dyDescent="0.35">
      <c r="A32" s="136"/>
      <c r="B32" s="140"/>
      <c r="C32" s="191"/>
      <c r="D32" s="184"/>
      <c r="E32" s="185" t="str">
        <f t="shared" si="3"/>
        <v>Intradiário</v>
      </c>
      <c r="F32" s="141"/>
      <c r="G32" s="340">
        <f>Input_!E74</f>
        <v>0</v>
      </c>
      <c r="H32" s="186">
        <v>0</v>
      </c>
      <c r="I32" s="187">
        <v>0</v>
      </c>
      <c r="J32" s="141"/>
      <c r="K32" s="188" t="str">
        <f t="shared" si="1"/>
        <v>kWh/dia</v>
      </c>
      <c r="L32" s="144"/>
      <c r="M32" s="136"/>
    </row>
    <row r="33" spans="1:13" ht="14.4" x14ac:dyDescent="0.3">
      <c r="A33" s="136"/>
      <c r="B33" s="140"/>
      <c r="C33" s="191"/>
      <c r="D33" s="170" t="str">
        <f>+D20</f>
        <v>Armazenamento Subterrâneo</v>
      </c>
      <c r="E33" s="171" t="str">
        <f t="shared" si="3"/>
        <v>Diário</v>
      </c>
      <c r="F33" s="182"/>
      <c r="G33" s="338">
        <f>Input_!E75</f>
        <v>6555128.6712328773</v>
      </c>
      <c r="H33" s="189">
        <v>6555128.6712328773</v>
      </c>
      <c r="I33" s="173">
        <v>6555128.6712328773</v>
      </c>
      <c r="J33" s="183"/>
      <c r="K33" s="190" t="str">
        <f t="shared" si="1"/>
        <v>kWh/dia</v>
      </c>
      <c r="L33" s="144"/>
      <c r="M33" s="136"/>
    </row>
    <row r="34" spans="1:13" ht="15" thickBot="1" x14ac:dyDescent="0.35">
      <c r="A34" s="136"/>
      <c r="B34" s="140"/>
      <c r="C34" s="191"/>
      <c r="D34" s="184"/>
      <c r="E34" s="185" t="str">
        <f t="shared" si="3"/>
        <v>Intradiário</v>
      </c>
      <c r="F34" s="182"/>
      <c r="G34" s="340">
        <f>Input_!E76</f>
        <v>515312</v>
      </c>
      <c r="H34" s="186">
        <v>515312</v>
      </c>
      <c r="I34" s="187">
        <v>515312</v>
      </c>
      <c r="J34" s="182"/>
      <c r="K34" s="188" t="str">
        <f t="shared" si="1"/>
        <v>kWh/dia</v>
      </c>
      <c r="L34" s="144"/>
      <c r="M34" s="136"/>
    </row>
    <row r="35" spans="1:13" ht="15" thickBot="1" x14ac:dyDescent="0.35">
      <c r="A35" s="136"/>
      <c r="B35" s="140"/>
      <c r="C35" s="191"/>
      <c r="D35" s="197" t="str">
        <f>+Labels!B31</f>
        <v>Redes de distribuição e clientes em AP</v>
      </c>
      <c r="E35" s="198" t="str">
        <f>+Labels!B39</f>
        <v>Longas utilizações</v>
      </c>
      <c r="F35" s="151"/>
      <c r="G35" s="342">
        <f>Input_!E77</f>
        <v>165852149.48415494</v>
      </c>
      <c r="H35" s="199">
        <v>165852149.48415494</v>
      </c>
      <c r="I35" s="200">
        <v>165852149.48415494</v>
      </c>
      <c r="J35" s="174"/>
      <c r="K35" s="201" t="str">
        <f t="shared" si="1"/>
        <v>kWh/dia</v>
      </c>
      <c r="L35" s="144"/>
      <c r="M35" s="136"/>
    </row>
    <row r="36" spans="1:13" ht="14.4" x14ac:dyDescent="0.3">
      <c r="A36" s="136"/>
      <c r="B36" s="140"/>
      <c r="C36" s="191"/>
      <c r="D36" s="170" t="str">
        <f>+Labels!B32</f>
        <v>Clientes em AP</v>
      </c>
      <c r="E36" s="171" t="str">
        <f>+Labels!B40</f>
        <v>Tarifa flexível anual - capacidade base anual</v>
      </c>
      <c r="F36" s="141"/>
      <c r="G36" s="338">
        <f>Input_!E78</f>
        <v>146529209.96653783</v>
      </c>
      <c r="H36" s="189">
        <v>146529209.96653783</v>
      </c>
      <c r="I36" s="173">
        <v>146529209.96653783</v>
      </c>
      <c r="J36" s="141"/>
      <c r="K36" s="202" t="str">
        <f t="shared" si="1"/>
        <v>kWh/dia</v>
      </c>
      <c r="L36" s="144"/>
      <c r="M36" s="136"/>
    </row>
    <row r="37" spans="1:13" ht="14.4" x14ac:dyDescent="0.3">
      <c r="A37" s="136"/>
      <c r="B37" s="140"/>
      <c r="C37" s="191"/>
      <c r="D37" s="177"/>
      <c r="E37" s="178" t="str">
        <f>+Labels!B41</f>
        <v>Tarifa flexível anual - capacidade mensal adicional (abril a setembro)</v>
      </c>
      <c r="F37" s="182"/>
      <c r="G37" s="339">
        <f>Input_!E79</f>
        <v>0</v>
      </c>
      <c r="H37" s="179">
        <v>0</v>
      </c>
      <c r="I37" s="180">
        <v>0</v>
      </c>
      <c r="J37" s="183"/>
      <c r="K37" s="181" t="str">
        <f t="shared" si="1"/>
        <v>kWh/dia</v>
      </c>
      <c r="L37" s="144"/>
      <c r="M37" s="136"/>
    </row>
    <row r="38" spans="1:13" ht="14.4" x14ac:dyDescent="0.3">
      <c r="A38" s="136"/>
      <c r="B38" s="140"/>
      <c r="C38" s="191"/>
      <c r="D38" s="177"/>
      <c r="E38" s="178" t="str">
        <f>+Labels!B42</f>
        <v>Tarifa flexível mensal - capacidade mensal (outubro a março)</v>
      </c>
      <c r="F38" s="182"/>
      <c r="G38" s="339">
        <f>Input_!E80</f>
        <v>342023</v>
      </c>
      <c r="H38" s="179">
        <v>342023</v>
      </c>
      <c r="I38" s="180">
        <v>342023</v>
      </c>
      <c r="J38" s="182"/>
      <c r="K38" s="181" t="str">
        <f t="shared" si="1"/>
        <v>kWh/dia</v>
      </c>
      <c r="L38" s="144"/>
      <c r="M38" s="136"/>
    </row>
    <row r="39" spans="1:13" ht="14.4" x14ac:dyDescent="0.3">
      <c r="A39" s="136"/>
      <c r="B39" s="140"/>
      <c r="C39" s="191"/>
      <c r="D39" s="177"/>
      <c r="E39" s="178" t="str">
        <f>+Labels!B43</f>
        <v>Tarifa flexível mensal - capacidade mensal (abril a setembro)</v>
      </c>
      <c r="F39" s="151"/>
      <c r="G39" s="339">
        <f>Input_!E81</f>
        <v>342023</v>
      </c>
      <c r="H39" s="179">
        <v>342023</v>
      </c>
      <c r="I39" s="180">
        <v>342023</v>
      </c>
      <c r="J39" s="174"/>
      <c r="K39" s="181" t="str">
        <f t="shared" si="1"/>
        <v>kWh/dia</v>
      </c>
      <c r="L39" s="144"/>
      <c r="M39" s="136"/>
    </row>
    <row r="40" spans="1:13" ht="14.4" x14ac:dyDescent="0.3">
      <c r="A40" s="136"/>
      <c r="B40" s="140"/>
      <c r="C40" s="191"/>
      <c r="D40" s="177"/>
      <c r="E40" s="178" t="str">
        <f>+Labels!B44</f>
        <v>Tarifa flexível diária - capacidade diária (outubro a março)</v>
      </c>
      <c r="F40" s="141"/>
      <c r="G40" s="339">
        <f>Input_!E82</f>
        <v>0</v>
      </c>
      <c r="H40" s="179">
        <v>0</v>
      </c>
      <c r="I40" s="180">
        <v>0</v>
      </c>
      <c r="J40" s="141"/>
      <c r="K40" s="181" t="str">
        <f t="shared" si="1"/>
        <v>kWh/dia</v>
      </c>
      <c r="L40" s="144"/>
      <c r="M40" s="136"/>
    </row>
    <row r="41" spans="1:13" ht="15" thickBot="1" x14ac:dyDescent="0.35">
      <c r="A41" s="136"/>
      <c r="B41" s="140"/>
      <c r="C41" s="192"/>
      <c r="D41" s="184"/>
      <c r="E41" s="185" t="str">
        <f>+Labels!B45</f>
        <v>Tarifa flexível diária - capacidade diária (abril a setembro)</v>
      </c>
      <c r="F41" s="182"/>
      <c r="G41" s="340">
        <f>Input_!E83</f>
        <v>0</v>
      </c>
      <c r="H41" s="186">
        <v>0</v>
      </c>
      <c r="I41" s="187">
        <v>0</v>
      </c>
      <c r="J41" s="183"/>
      <c r="K41" s="188" t="str">
        <f t="shared" si="1"/>
        <v>kWh/dia</v>
      </c>
      <c r="L41" s="144"/>
      <c r="M41" s="136"/>
    </row>
    <row r="42" spans="1:13" ht="15" thickBot="1" x14ac:dyDescent="0.35">
      <c r="A42" s="136"/>
      <c r="B42" s="159"/>
      <c r="C42" s="160"/>
      <c r="D42" s="160"/>
      <c r="E42" s="160"/>
      <c r="F42" s="160"/>
      <c r="G42" s="160"/>
      <c r="H42" s="160"/>
      <c r="I42" s="160"/>
      <c r="J42" s="160"/>
      <c r="K42" s="160"/>
      <c r="L42" s="162"/>
      <c r="M42" s="136"/>
    </row>
    <row r="43" spans="1:13" ht="14.4" x14ac:dyDescent="0.3">
      <c r="A43" s="136"/>
      <c r="B43" s="136"/>
      <c r="C43" s="136"/>
      <c r="D43" s="136"/>
      <c r="E43" s="136"/>
      <c r="F43" s="136"/>
      <c r="G43" s="136"/>
      <c r="H43" s="136"/>
      <c r="I43" s="136"/>
      <c r="J43" s="136"/>
      <c r="K43" s="136"/>
      <c r="L43" s="136"/>
      <c r="M43" s="136"/>
    </row>
  </sheetData>
  <sheetProtection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38"/>
  <sheetViews>
    <sheetView showGridLines="0" zoomScale="90" zoomScaleNormal="90" workbookViewId="0">
      <selection activeCell="R5" sqref="R5"/>
    </sheetView>
  </sheetViews>
  <sheetFormatPr defaultColWidth="0" defaultRowHeight="0" customHeight="1" zeroHeight="1" x14ac:dyDescent="0.3"/>
  <cols>
    <col min="1" max="2" width="3.6640625" style="136" customWidth="1"/>
    <col min="3" max="3" width="11" style="136" customWidth="1"/>
    <col min="4" max="4" width="37.5546875" style="136" bestFit="1" customWidth="1"/>
    <col min="5" max="5" width="66.44140625" style="136" bestFit="1" customWidth="1"/>
    <col min="6" max="6" width="3.6640625" style="136" customWidth="1"/>
    <col min="7" max="9" width="13.88671875" style="136" customWidth="1"/>
    <col min="10" max="10" width="3.6640625" style="136" customWidth="1"/>
    <col min="11" max="11" width="18.6640625" style="136" customWidth="1"/>
    <col min="12" max="13" width="3.6640625" style="136" customWidth="1"/>
    <col min="14" max="14" width="1.6640625" style="220" customWidth="1"/>
    <col min="15" max="15" width="5.6640625" style="220" customWidth="1"/>
    <col min="16" max="16" width="31.6640625" style="220" customWidth="1"/>
    <col min="17" max="17" width="1.6640625" style="220" customWidth="1"/>
    <col min="18" max="18" width="3.6640625" style="220" customWidth="1"/>
    <col min="19" max="20" width="0" style="220" hidden="1" customWidth="1"/>
    <col min="21" max="16384" width="9.109375" style="220" hidden="1"/>
  </cols>
  <sheetData>
    <row r="1" spans="1:18" s="1" customFormat="1" ht="24.9" customHeight="1" thickBot="1" x14ac:dyDescent="0.35">
      <c r="A1" s="136"/>
      <c r="B1" s="136"/>
      <c r="C1" s="136"/>
      <c r="D1" s="136"/>
      <c r="E1" s="136"/>
      <c r="F1" s="136"/>
      <c r="G1" s="136"/>
      <c r="H1" s="136"/>
      <c r="I1" s="136"/>
      <c r="J1" s="136"/>
      <c r="K1" s="136"/>
      <c r="L1" s="136"/>
      <c r="M1" s="136"/>
      <c r="N1" s="136"/>
      <c r="O1" s="136"/>
      <c r="P1" s="136"/>
      <c r="Q1" s="136"/>
      <c r="R1" s="136"/>
    </row>
    <row r="2" spans="1:18" s="86" customFormat="1" ht="18" x14ac:dyDescent="0.35">
      <c r="A2" s="136"/>
      <c r="B2" s="137" t="str">
        <f>+Labels!B50</f>
        <v>Tarifas de uso da rede de transporte</v>
      </c>
      <c r="C2" s="138"/>
      <c r="D2" s="138"/>
      <c r="E2" s="138"/>
      <c r="F2" s="138"/>
      <c r="G2" s="138"/>
      <c r="H2" s="138"/>
      <c r="I2" s="138"/>
      <c r="J2" s="138"/>
      <c r="K2" s="138"/>
      <c r="L2" s="139"/>
      <c r="M2" s="136"/>
      <c r="N2" s="145"/>
      <c r="O2" s="146"/>
      <c r="P2" s="147"/>
      <c r="Q2" s="148"/>
      <c r="R2" s="136"/>
    </row>
    <row r="3" spans="1:18" s="86" customFormat="1" ht="15" thickBot="1" x14ac:dyDescent="0.35">
      <c r="A3" s="136"/>
      <c r="B3" s="140"/>
      <c r="C3" s="141"/>
      <c r="D3" s="141"/>
      <c r="E3" s="141"/>
      <c r="F3" s="141"/>
      <c r="G3" s="141"/>
      <c r="H3" s="141"/>
      <c r="I3" s="141"/>
      <c r="J3" s="141"/>
      <c r="K3" s="141"/>
      <c r="L3" s="144"/>
      <c r="M3" s="136"/>
      <c r="N3" s="155"/>
      <c r="O3" s="203"/>
      <c r="P3" s="157" t="str">
        <f>+Labels!B53</f>
        <v>Células verdes são estimativas</v>
      </c>
      <c r="Q3" s="158"/>
      <c r="R3" s="136"/>
    </row>
    <row r="4" spans="1:18" s="86" customFormat="1" ht="15" thickBot="1" x14ac:dyDescent="0.35">
      <c r="A4" s="136"/>
      <c r="B4" s="140"/>
      <c r="C4" s="141"/>
      <c r="D4" s="166" t="str">
        <f>+Input!D9</f>
        <v>Ponto</v>
      </c>
      <c r="E4" s="167" t="str">
        <f>+Input!E9</f>
        <v>Produtos</v>
      </c>
      <c r="F4" s="141"/>
      <c r="G4" s="142" t="s">
        <v>669</v>
      </c>
      <c r="H4" s="142" t="str">
        <f>+Input!H9</f>
        <v>2025-2026</v>
      </c>
      <c r="I4" s="142" t="str">
        <f>+Input!I9</f>
        <v>2026-2027</v>
      </c>
      <c r="J4" s="144"/>
      <c r="K4" s="142" t="str">
        <f>+Input!K9</f>
        <v>Unidade</v>
      </c>
      <c r="L4" s="144"/>
      <c r="M4" s="136"/>
      <c r="N4" s="163"/>
      <c r="O4" s="164"/>
      <c r="P4" s="164"/>
      <c r="Q4" s="165"/>
      <c r="R4" s="136"/>
    </row>
    <row r="5" spans="1:18" s="86" customFormat="1" ht="14.4" x14ac:dyDescent="0.3">
      <c r="A5" s="136"/>
      <c r="B5" s="140"/>
      <c r="C5" s="169" t="str">
        <f>+Input!C10</f>
        <v>Entrada</v>
      </c>
      <c r="D5" s="170" t="str">
        <f>+Input!D10</f>
        <v>VIP Ibérico</v>
      </c>
      <c r="E5" s="171" t="str">
        <f>+Input!E10</f>
        <v>Anual</v>
      </c>
      <c r="F5" s="151"/>
      <c r="G5" s="204">
        <f>'Art30(2)(a)'!H5</f>
        <v>3.5228583569365819E-2</v>
      </c>
      <c r="H5" s="205">
        <f>'Art30(2)(a)'!I5</f>
        <v>3.5228583569365819E-2</v>
      </c>
      <c r="I5" s="206">
        <f>'Art30(2)(a)'!J5</f>
        <v>3.5228583569365819E-2</v>
      </c>
      <c r="J5" s="174"/>
      <c r="K5" s="190" t="str">
        <f>+Labels!B51</f>
        <v>€/(kWh/dia)/ano</v>
      </c>
      <c r="L5" s="144"/>
      <c r="M5" s="136"/>
      <c r="N5" s="136"/>
      <c r="O5" s="136"/>
      <c r="P5" s="136"/>
      <c r="Q5" s="136"/>
      <c r="R5" s="136"/>
    </row>
    <row r="6" spans="1:18" s="86" customFormat="1" ht="14.4" x14ac:dyDescent="0.3">
      <c r="A6" s="136"/>
      <c r="B6" s="140"/>
      <c r="C6" s="176"/>
      <c r="D6" s="177"/>
      <c r="E6" s="178" t="str">
        <f>+Input!E11</f>
        <v>Trimestral</v>
      </c>
      <c r="F6" s="141"/>
      <c r="G6" s="207">
        <f>'Art30(2)(a)'!H6</f>
        <v>4.156972861185166E-2</v>
      </c>
      <c r="H6" s="208">
        <f>'Art30(2)(a)'!I6</f>
        <v>4.156972861185166E-2</v>
      </c>
      <c r="I6" s="209">
        <f>'Art30(2)(a)'!J6</f>
        <v>4.156972861185166E-2</v>
      </c>
      <c r="J6" s="141"/>
      <c r="K6" s="181" t="str">
        <f>+$K$5</f>
        <v>€/(kWh/dia)/ano</v>
      </c>
      <c r="L6" s="144"/>
      <c r="M6" s="136"/>
      <c r="N6" s="136"/>
      <c r="O6" s="136"/>
      <c r="P6" s="136"/>
      <c r="Q6" s="136"/>
      <c r="R6" s="136"/>
    </row>
    <row r="7" spans="1:18" s="86" customFormat="1" ht="14.4" x14ac:dyDescent="0.3">
      <c r="A7" s="136"/>
      <c r="B7" s="140"/>
      <c r="C7" s="176"/>
      <c r="D7" s="177"/>
      <c r="E7" s="178" t="str">
        <f>+Input!E12</f>
        <v>Mensal</v>
      </c>
      <c r="F7" s="182"/>
      <c r="G7" s="207">
        <f>'Art30(2)(a)'!H7</f>
        <v>4.755858781864386E-2</v>
      </c>
      <c r="H7" s="208">
        <f>'Art30(2)(a)'!I7</f>
        <v>4.755858781864386E-2</v>
      </c>
      <c r="I7" s="209">
        <f>'Art30(2)(a)'!J7</f>
        <v>4.755858781864386E-2</v>
      </c>
      <c r="J7" s="183"/>
      <c r="K7" s="181" t="str">
        <f t="shared" ref="K7:K36" si="0">+$K$5</f>
        <v>€/(kWh/dia)/ano</v>
      </c>
      <c r="L7" s="144"/>
      <c r="M7" s="136"/>
      <c r="N7" s="136"/>
      <c r="O7" s="136"/>
      <c r="P7" s="136"/>
      <c r="Q7" s="136"/>
      <c r="R7" s="136"/>
    </row>
    <row r="8" spans="1:18" s="86" customFormat="1" ht="14.4" x14ac:dyDescent="0.3">
      <c r="A8" s="136"/>
      <c r="B8" s="140"/>
      <c r="C8" s="176"/>
      <c r="D8" s="177"/>
      <c r="E8" s="178" t="str">
        <f>+Input!E13</f>
        <v>Diário</v>
      </c>
      <c r="F8" s="182"/>
      <c r="G8" s="207">
        <f>'Art30(2)(a)'!H8</f>
        <v>6.8343452124569687E-2</v>
      </c>
      <c r="H8" s="208">
        <f>'Art30(2)(a)'!I8</f>
        <v>6.8343452124569687E-2</v>
      </c>
      <c r="I8" s="209">
        <f>'Art30(2)(a)'!J8</f>
        <v>6.8343452124569687E-2</v>
      </c>
      <c r="J8" s="182"/>
      <c r="K8" s="181" t="str">
        <f t="shared" si="0"/>
        <v>€/(kWh/dia)/ano</v>
      </c>
      <c r="L8" s="144"/>
      <c r="M8" s="136"/>
      <c r="N8" s="136"/>
      <c r="O8" s="136"/>
      <c r="P8" s="136"/>
      <c r="Q8" s="136"/>
      <c r="R8" s="136"/>
    </row>
    <row r="9" spans="1:18" s="86" customFormat="1" ht="15" thickBot="1" x14ac:dyDescent="0.35">
      <c r="A9" s="136"/>
      <c r="B9" s="140"/>
      <c r="C9" s="176"/>
      <c r="D9" s="184"/>
      <c r="E9" s="185" t="str">
        <f>+Input!E14</f>
        <v>Intradiário</v>
      </c>
      <c r="F9" s="151"/>
      <c r="G9" s="210">
        <f>'Art30(2)(a)'!H9</f>
        <v>7.5036883002749188E-2</v>
      </c>
      <c r="H9" s="211">
        <f>'Art30(2)(a)'!I9</f>
        <v>7.5036883002749188E-2</v>
      </c>
      <c r="I9" s="212">
        <f>'Art30(2)(a)'!J9</f>
        <v>7.5036883002749188E-2</v>
      </c>
      <c r="J9" s="174"/>
      <c r="K9" s="188" t="str">
        <f t="shared" si="0"/>
        <v>€/(kWh/dia)/ano</v>
      </c>
      <c r="L9" s="144"/>
      <c r="M9" s="136"/>
      <c r="N9" s="136"/>
      <c r="O9" s="136"/>
      <c r="P9" s="136"/>
      <c r="Q9" s="136"/>
      <c r="R9" s="136"/>
    </row>
    <row r="10" spans="1:18" s="86" customFormat="1" ht="14.4" x14ac:dyDescent="0.3">
      <c r="A10" s="136"/>
      <c r="B10" s="140"/>
      <c r="C10" s="176"/>
      <c r="D10" s="170" t="str">
        <f>+Input!D15</f>
        <v>Terminal de GNL</v>
      </c>
      <c r="E10" s="171" t="str">
        <f>+Input!E15</f>
        <v>Anual</v>
      </c>
      <c r="F10" s="141"/>
      <c r="G10" s="204">
        <f>'Art30(2)(a)'!H10</f>
        <v>9.8902373364759225E-2</v>
      </c>
      <c r="H10" s="205">
        <f>'Art30(2)(a)'!I10</f>
        <v>9.8902373364759225E-2</v>
      </c>
      <c r="I10" s="206">
        <f>'Art30(2)(a)'!J10</f>
        <v>9.8902373364759225E-2</v>
      </c>
      <c r="J10" s="141"/>
      <c r="K10" s="190" t="str">
        <f t="shared" si="0"/>
        <v>€/(kWh/dia)/ano</v>
      </c>
      <c r="L10" s="144"/>
      <c r="M10" s="136"/>
      <c r="N10" s="136"/>
      <c r="O10" s="136"/>
      <c r="P10" s="136"/>
      <c r="Q10" s="136"/>
      <c r="R10" s="136"/>
    </row>
    <row r="11" spans="1:18" s="86" customFormat="1" ht="14.4" x14ac:dyDescent="0.3">
      <c r="A11" s="136"/>
      <c r="B11" s="140"/>
      <c r="C11" s="176"/>
      <c r="D11" s="177"/>
      <c r="E11" s="178" t="str">
        <f>+Input!E16</f>
        <v>Trimestral</v>
      </c>
      <c r="F11" s="182"/>
      <c r="G11" s="207">
        <f>'Art30(2)(a)'!H11</f>
        <v>0.11670480057041588</v>
      </c>
      <c r="H11" s="208">
        <f>'Art30(2)(a)'!I11</f>
        <v>0.11670480057041588</v>
      </c>
      <c r="I11" s="209">
        <f>'Art30(2)(a)'!J11</f>
        <v>0.11670480057041588</v>
      </c>
      <c r="J11" s="183"/>
      <c r="K11" s="181" t="str">
        <f t="shared" si="0"/>
        <v>€/(kWh/dia)/ano</v>
      </c>
      <c r="L11" s="144"/>
      <c r="M11" s="136"/>
      <c r="N11" s="136"/>
      <c r="O11" s="136"/>
      <c r="P11" s="136"/>
      <c r="Q11" s="136"/>
      <c r="R11" s="136"/>
    </row>
    <row r="12" spans="1:18" s="86" customFormat="1" ht="14.4" x14ac:dyDescent="0.3">
      <c r="A12" s="136"/>
      <c r="B12" s="140"/>
      <c r="C12" s="176"/>
      <c r="D12" s="177"/>
      <c r="E12" s="178" t="str">
        <f>+Input!E17</f>
        <v>Mensal</v>
      </c>
      <c r="F12" s="182"/>
      <c r="G12" s="207">
        <f>'Art30(2)(a)'!H12</f>
        <v>0.13351820404242495</v>
      </c>
      <c r="H12" s="208">
        <f>'Art30(2)(a)'!I12</f>
        <v>0.13351820404242495</v>
      </c>
      <c r="I12" s="209">
        <f>'Art30(2)(a)'!J12</f>
        <v>0.13351820404242495</v>
      </c>
      <c r="J12" s="182"/>
      <c r="K12" s="181" t="str">
        <f t="shared" si="0"/>
        <v>€/(kWh/dia)/ano</v>
      </c>
      <c r="L12" s="144"/>
      <c r="M12" s="136"/>
      <c r="N12" s="136"/>
      <c r="O12" s="136"/>
      <c r="P12" s="136"/>
      <c r="Q12" s="136"/>
      <c r="R12" s="136"/>
    </row>
    <row r="13" spans="1:18" s="86" customFormat="1" ht="14.4" x14ac:dyDescent="0.3">
      <c r="A13" s="136"/>
      <c r="B13" s="140"/>
      <c r="C13" s="176"/>
      <c r="D13" s="177"/>
      <c r="E13" s="178" t="str">
        <f>+Input!E18</f>
        <v>Diário</v>
      </c>
      <c r="F13" s="151"/>
      <c r="G13" s="207">
        <f>'Art30(2)(a)'!H13</f>
        <v>0.19187060432763287</v>
      </c>
      <c r="H13" s="208">
        <f>'Art30(2)(a)'!I13</f>
        <v>0.19187060432763287</v>
      </c>
      <c r="I13" s="209">
        <f>'Art30(2)(a)'!J13</f>
        <v>0.19187060432763287</v>
      </c>
      <c r="J13" s="174"/>
      <c r="K13" s="181" t="str">
        <f t="shared" si="0"/>
        <v>€/(kWh/dia)/ano</v>
      </c>
      <c r="L13" s="144"/>
      <c r="M13" s="136"/>
      <c r="N13" s="136"/>
      <c r="O13" s="136"/>
      <c r="P13" s="136"/>
      <c r="Q13" s="136"/>
      <c r="R13" s="136"/>
    </row>
    <row r="14" spans="1:18" s="86" customFormat="1" ht="15" thickBot="1" x14ac:dyDescent="0.35">
      <c r="A14" s="136"/>
      <c r="B14" s="140"/>
      <c r="C14" s="176"/>
      <c r="D14" s="184"/>
      <c r="E14" s="185" t="str">
        <f>+Input!E19</f>
        <v>Intradiário</v>
      </c>
      <c r="F14" s="141"/>
      <c r="G14" s="210">
        <f>'Art30(2)(a)'!H14</f>
        <v>0.2106620552669371</v>
      </c>
      <c r="H14" s="211">
        <f>'Art30(2)(a)'!I14</f>
        <v>0.2106620552669371</v>
      </c>
      <c r="I14" s="212">
        <f>'Art30(2)(a)'!J14</f>
        <v>0.2106620552669371</v>
      </c>
      <c r="J14" s="141"/>
      <c r="K14" s="188" t="str">
        <f t="shared" si="0"/>
        <v>€/(kWh/dia)/ano</v>
      </c>
      <c r="L14" s="144"/>
      <c r="M14" s="136"/>
      <c r="N14" s="136"/>
      <c r="O14" s="136"/>
      <c r="P14" s="136"/>
      <c r="Q14" s="136"/>
      <c r="R14" s="136"/>
    </row>
    <row r="15" spans="1:18" s="86" customFormat="1" ht="14.4" x14ac:dyDescent="0.3">
      <c r="A15" s="136"/>
      <c r="B15" s="140"/>
      <c r="C15" s="176"/>
      <c r="D15" s="170" t="str">
        <f>+Input!D20</f>
        <v>Armazenamento Subterrâneo</v>
      </c>
      <c r="E15" s="171" t="str">
        <f>+Input!E20</f>
        <v>Diário</v>
      </c>
      <c r="F15" s="182"/>
      <c r="G15" s="204">
        <f>'Art30(2)(a)'!H15</f>
        <v>0</v>
      </c>
      <c r="H15" s="205">
        <f>'Art30(2)(a)'!I15</f>
        <v>0</v>
      </c>
      <c r="I15" s="206">
        <f>'Art30(2)(a)'!J15</f>
        <v>0</v>
      </c>
      <c r="J15" s="183"/>
      <c r="K15" s="190" t="str">
        <f t="shared" si="0"/>
        <v>€/(kWh/dia)/ano</v>
      </c>
      <c r="L15" s="144"/>
      <c r="M15" s="136"/>
      <c r="N15" s="136"/>
      <c r="O15" s="136"/>
      <c r="P15" s="136"/>
      <c r="Q15" s="136"/>
      <c r="R15" s="136"/>
    </row>
    <row r="16" spans="1:18" s="86" customFormat="1" ht="15" thickBot="1" x14ac:dyDescent="0.35">
      <c r="A16" s="136"/>
      <c r="B16" s="140"/>
      <c r="C16" s="191"/>
      <c r="D16" s="184"/>
      <c r="E16" s="185" t="str">
        <f>+Input!E21</f>
        <v>Intradiário</v>
      </c>
      <c r="F16" s="182"/>
      <c r="G16" s="210">
        <f>'Art30(2)(a)'!H16</f>
        <v>0</v>
      </c>
      <c r="H16" s="211">
        <f>'Art30(2)(a)'!I16</f>
        <v>0</v>
      </c>
      <c r="I16" s="212">
        <f>'Art30(2)(a)'!J16</f>
        <v>0</v>
      </c>
      <c r="J16" s="182"/>
      <c r="K16" s="188" t="str">
        <f t="shared" si="0"/>
        <v>€/(kWh/dia)/ano</v>
      </c>
      <c r="L16" s="144"/>
      <c r="M16" s="136"/>
      <c r="N16" s="136"/>
      <c r="O16" s="136"/>
      <c r="P16" s="136"/>
      <c r="Q16" s="136"/>
      <c r="R16" s="136"/>
    </row>
    <row r="17" spans="1:18" s="86" customFormat="1" ht="15" thickBot="1" x14ac:dyDescent="0.35">
      <c r="A17" s="136"/>
      <c r="B17" s="140"/>
      <c r="C17" s="192"/>
      <c r="D17" s="177" t="str">
        <f>+Input!D22</f>
        <v>Produtores de gás</v>
      </c>
      <c r="E17" s="193" t="str">
        <f>+Input!E22</f>
        <v>Capacidade utilizada na injeção</v>
      </c>
      <c r="F17" s="182"/>
      <c r="G17" s="213">
        <f>'Art30(2)(a)'!H17</f>
        <v>7.1206007464080477E-3</v>
      </c>
      <c r="H17" s="214">
        <f>'Art30(2)(a)'!I17</f>
        <v>7.1206007464080477E-3</v>
      </c>
      <c r="I17" s="215">
        <f>'Art30(2)(a)'!J17</f>
        <v>7.1206007464080477E-3</v>
      </c>
      <c r="J17" s="182"/>
      <c r="K17" s="196" t="str">
        <f t="shared" si="0"/>
        <v>€/(kWh/dia)/ano</v>
      </c>
      <c r="L17" s="144"/>
      <c r="M17" s="136"/>
      <c r="N17" s="136"/>
      <c r="O17" s="136"/>
      <c r="P17" s="136"/>
      <c r="Q17" s="136"/>
      <c r="R17" s="136"/>
    </row>
    <row r="18" spans="1:18" s="86" customFormat="1" ht="14.4" x14ac:dyDescent="0.3">
      <c r="A18" s="136"/>
      <c r="B18" s="140"/>
      <c r="C18" s="169" t="str">
        <f>+Input!C23</f>
        <v>Saída</v>
      </c>
      <c r="D18" s="170" t="str">
        <f>+Input!D23</f>
        <v>VIP Ibérico</v>
      </c>
      <c r="E18" s="171" t="str">
        <f>+Input!E23</f>
        <v>Anual</v>
      </c>
      <c r="F18" s="151"/>
      <c r="G18" s="204">
        <f>'Art30(2)(a)'!H18</f>
        <v>3.4453513090425783E-2</v>
      </c>
      <c r="H18" s="205">
        <f>'Art30(2)(a)'!I18</f>
        <v>3.4453513090425783E-2</v>
      </c>
      <c r="I18" s="206">
        <f>'Art30(2)(a)'!J18</f>
        <v>3.4453513090425783E-2</v>
      </c>
      <c r="J18" s="174"/>
      <c r="K18" s="190" t="str">
        <f t="shared" si="0"/>
        <v>€/(kWh/dia)/ano</v>
      </c>
      <c r="L18" s="144"/>
      <c r="M18" s="136"/>
      <c r="N18" s="136"/>
      <c r="O18" s="136"/>
      <c r="P18" s="136"/>
      <c r="Q18" s="136"/>
      <c r="R18" s="136"/>
    </row>
    <row r="19" spans="1:18" s="86" customFormat="1" ht="14.4" x14ac:dyDescent="0.3">
      <c r="A19" s="136"/>
      <c r="B19" s="140"/>
      <c r="C19" s="191"/>
      <c r="D19" s="177"/>
      <c r="E19" s="178" t="str">
        <f>+Input!E24</f>
        <v>Trimestral</v>
      </c>
      <c r="F19" s="141"/>
      <c r="G19" s="207">
        <f>'Art30(2)(a)'!H19</f>
        <v>4.0655145446702429E-2</v>
      </c>
      <c r="H19" s="208">
        <f>'Art30(2)(a)'!I19</f>
        <v>4.0655145446702429E-2</v>
      </c>
      <c r="I19" s="209">
        <f>'Art30(2)(a)'!J19</f>
        <v>4.0655145446702429E-2</v>
      </c>
      <c r="J19" s="141"/>
      <c r="K19" s="181" t="str">
        <f t="shared" si="0"/>
        <v>€/(kWh/dia)/ano</v>
      </c>
      <c r="L19" s="144"/>
      <c r="M19" s="136"/>
      <c r="N19" s="136"/>
      <c r="O19" s="136"/>
      <c r="P19" s="136"/>
      <c r="Q19" s="136"/>
      <c r="R19" s="136"/>
    </row>
    <row r="20" spans="1:18" s="86" customFormat="1" ht="14.4" x14ac:dyDescent="0.3">
      <c r="A20" s="136"/>
      <c r="B20" s="140"/>
      <c r="C20" s="191"/>
      <c r="D20" s="177"/>
      <c r="E20" s="178" t="str">
        <f>+Input!E25</f>
        <v>Mensal</v>
      </c>
      <c r="F20" s="182"/>
      <c r="G20" s="207">
        <f>'Art30(2)(a)'!H20</f>
        <v>4.6512242672074815E-2</v>
      </c>
      <c r="H20" s="208">
        <f>'Art30(2)(a)'!I20</f>
        <v>4.6512242672074815E-2</v>
      </c>
      <c r="I20" s="209">
        <f>'Art30(2)(a)'!J20</f>
        <v>4.6512242672074815E-2</v>
      </c>
      <c r="J20" s="183"/>
      <c r="K20" s="181" t="str">
        <f t="shared" si="0"/>
        <v>€/(kWh/dia)/ano</v>
      </c>
      <c r="L20" s="144"/>
      <c r="M20" s="136"/>
      <c r="N20" s="136"/>
      <c r="O20" s="136"/>
      <c r="P20" s="136"/>
      <c r="Q20" s="136"/>
      <c r="R20" s="136"/>
    </row>
    <row r="21" spans="1:18" s="86" customFormat="1" ht="14.4" x14ac:dyDescent="0.3">
      <c r="A21" s="136"/>
      <c r="B21" s="140"/>
      <c r="C21" s="191"/>
      <c r="D21" s="177"/>
      <c r="E21" s="178" t="str">
        <f>+Input!E26</f>
        <v>Diário</v>
      </c>
      <c r="F21" s="182"/>
      <c r="G21" s="207">
        <f>'Art30(2)(a)'!H21</f>
        <v>6.6839815395426022E-2</v>
      </c>
      <c r="H21" s="208">
        <f>'Art30(2)(a)'!I21</f>
        <v>6.6839815395426022E-2</v>
      </c>
      <c r="I21" s="209">
        <f>'Art30(2)(a)'!J21</f>
        <v>6.6839815395426022E-2</v>
      </c>
      <c r="J21" s="182"/>
      <c r="K21" s="181" t="str">
        <f t="shared" si="0"/>
        <v>€/(kWh/dia)/ano</v>
      </c>
      <c r="L21" s="144"/>
      <c r="M21" s="136"/>
      <c r="N21" s="136"/>
      <c r="O21" s="136"/>
      <c r="P21" s="136"/>
      <c r="Q21" s="136"/>
      <c r="R21" s="136"/>
    </row>
    <row r="22" spans="1:18" s="86" customFormat="1" ht="15" thickBot="1" x14ac:dyDescent="0.35">
      <c r="A22" s="136"/>
      <c r="B22" s="140"/>
      <c r="C22" s="191"/>
      <c r="D22" s="184"/>
      <c r="E22" s="185" t="str">
        <f>+Input!E27</f>
        <v>Intradiário</v>
      </c>
      <c r="F22" s="151"/>
      <c r="G22" s="210">
        <f>'Art30(2)(a)'!H22</f>
        <v>7.338598288260692E-2</v>
      </c>
      <c r="H22" s="211">
        <f>'Art30(2)(a)'!I22</f>
        <v>7.338598288260692E-2</v>
      </c>
      <c r="I22" s="212">
        <f>'Art30(2)(a)'!J22</f>
        <v>7.338598288260692E-2</v>
      </c>
      <c r="J22" s="174"/>
      <c r="K22" s="188" t="str">
        <f t="shared" si="0"/>
        <v>€/(kWh/dia)/ano</v>
      </c>
      <c r="L22" s="144"/>
      <c r="M22" s="136"/>
      <c r="N22" s="136"/>
      <c r="O22" s="136"/>
      <c r="P22" s="136"/>
      <c r="Q22" s="136"/>
      <c r="R22" s="136"/>
    </row>
    <row r="23" spans="1:18" s="86" customFormat="1" ht="14.4" x14ac:dyDescent="0.3">
      <c r="A23" s="136"/>
      <c r="B23" s="140"/>
      <c r="C23" s="191"/>
      <c r="D23" s="170" t="str">
        <f>+Input!D28</f>
        <v>Terminal de GNL</v>
      </c>
      <c r="E23" s="171" t="str">
        <f>+Input!E28</f>
        <v>Anual</v>
      </c>
      <c r="F23" s="141"/>
      <c r="G23" s="204">
        <f>'Art30(2)(a)'!H23</f>
        <v>0</v>
      </c>
      <c r="H23" s="205">
        <f>'Art30(2)(a)'!I23</f>
        <v>0</v>
      </c>
      <c r="I23" s="206">
        <f>'Art30(2)(a)'!J23</f>
        <v>0</v>
      </c>
      <c r="J23" s="141"/>
      <c r="K23" s="190" t="str">
        <f t="shared" si="0"/>
        <v>€/(kWh/dia)/ano</v>
      </c>
      <c r="L23" s="144"/>
      <c r="M23" s="136"/>
      <c r="N23" s="136"/>
      <c r="O23" s="136"/>
      <c r="P23" s="136"/>
      <c r="Q23" s="136"/>
      <c r="R23" s="136"/>
    </row>
    <row r="24" spans="1:18" s="86" customFormat="1" ht="14.4" x14ac:dyDescent="0.3">
      <c r="A24" s="136"/>
      <c r="B24" s="140"/>
      <c r="C24" s="191"/>
      <c r="D24" s="177"/>
      <c r="E24" s="178" t="str">
        <f>+Input!E29</f>
        <v>Trimestral</v>
      </c>
      <c r="F24" s="182"/>
      <c r="G24" s="207">
        <f>'Art30(2)(a)'!H24</f>
        <v>0</v>
      </c>
      <c r="H24" s="208">
        <f>'Art30(2)(a)'!I24</f>
        <v>0</v>
      </c>
      <c r="I24" s="209">
        <f>'Art30(2)(a)'!J24</f>
        <v>0</v>
      </c>
      <c r="J24" s="183"/>
      <c r="K24" s="181" t="str">
        <f t="shared" si="0"/>
        <v>€/(kWh/dia)/ano</v>
      </c>
      <c r="L24" s="144"/>
      <c r="M24" s="136"/>
      <c r="N24" s="136"/>
      <c r="O24" s="136"/>
      <c r="P24" s="136"/>
      <c r="Q24" s="136"/>
      <c r="R24" s="136"/>
    </row>
    <row r="25" spans="1:18" s="86" customFormat="1" ht="14.4" x14ac:dyDescent="0.3">
      <c r="A25" s="136"/>
      <c r="B25" s="140"/>
      <c r="C25" s="191"/>
      <c r="D25" s="177"/>
      <c r="E25" s="178" t="str">
        <f>+Input!E30</f>
        <v>Mensal</v>
      </c>
      <c r="F25" s="182"/>
      <c r="G25" s="207">
        <f>'Art30(2)(a)'!H25</f>
        <v>0</v>
      </c>
      <c r="H25" s="208">
        <f>'Art30(2)(a)'!I25</f>
        <v>0</v>
      </c>
      <c r="I25" s="209">
        <f>'Art30(2)(a)'!J25</f>
        <v>0</v>
      </c>
      <c r="J25" s="182"/>
      <c r="K25" s="181" t="str">
        <f t="shared" si="0"/>
        <v>€/(kWh/dia)/ano</v>
      </c>
      <c r="L25" s="144"/>
      <c r="M25" s="136"/>
      <c r="N25" s="136"/>
      <c r="O25" s="136"/>
      <c r="P25" s="136"/>
      <c r="Q25" s="136"/>
      <c r="R25" s="136"/>
    </row>
    <row r="26" spans="1:18" s="86" customFormat="1" ht="14.4" x14ac:dyDescent="0.3">
      <c r="A26" s="136"/>
      <c r="B26" s="140"/>
      <c r="C26" s="191"/>
      <c r="D26" s="177"/>
      <c r="E26" s="178" t="str">
        <f>+Input!E31</f>
        <v>Diário</v>
      </c>
      <c r="F26" s="151"/>
      <c r="G26" s="207">
        <f>'Art30(2)(a)'!H26</f>
        <v>0</v>
      </c>
      <c r="H26" s="208">
        <f>'Art30(2)(a)'!I26</f>
        <v>0</v>
      </c>
      <c r="I26" s="209">
        <f>'Art30(2)(a)'!J26</f>
        <v>0</v>
      </c>
      <c r="J26" s="174"/>
      <c r="K26" s="181" t="str">
        <f t="shared" si="0"/>
        <v>€/(kWh/dia)/ano</v>
      </c>
      <c r="L26" s="144"/>
      <c r="M26" s="136"/>
      <c r="N26" s="136"/>
      <c r="O26" s="136"/>
      <c r="P26" s="136"/>
      <c r="Q26" s="136"/>
      <c r="R26" s="136"/>
    </row>
    <row r="27" spans="1:18" s="86" customFormat="1" ht="15" thickBot="1" x14ac:dyDescent="0.35">
      <c r="A27" s="136"/>
      <c r="B27" s="140"/>
      <c r="C27" s="191"/>
      <c r="D27" s="184"/>
      <c r="E27" s="185" t="str">
        <f>+Input!E32</f>
        <v>Intradiário</v>
      </c>
      <c r="F27" s="141"/>
      <c r="G27" s="210">
        <f>'Art30(2)(a)'!H27</f>
        <v>0</v>
      </c>
      <c r="H27" s="211">
        <f>'Art30(2)(a)'!I27</f>
        <v>0</v>
      </c>
      <c r="I27" s="212">
        <f>'Art30(2)(a)'!J27</f>
        <v>0</v>
      </c>
      <c r="J27" s="141"/>
      <c r="K27" s="188" t="str">
        <f t="shared" si="0"/>
        <v>€/(kWh/dia)/ano</v>
      </c>
      <c r="L27" s="144"/>
      <c r="M27" s="136"/>
      <c r="N27" s="136"/>
      <c r="O27" s="136"/>
      <c r="P27" s="136"/>
      <c r="Q27" s="136"/>
      <c r="R27" s="136"/>
    </row>
    <row r="28" spans="1:18" s="86" customFormat="1" ht="14.4" x14ac:dyDescent="0.3">
      <c r="A28" s="136"/>
      <c r="B28" s="140"/>
      <c r="C28" s="191"/>
      <c r="D28" s="170" t="str">
        <f>+Input!D33</f>
        <v>Armazenamento Subterrâneo</v>
      </c>
      <c r="E28" s="171" t="str">
        <f>+Input!E33</f>
        <v>Diário</v>
      </c>
      <c r="F28" s="182"/>
      <c r="G28" s="204">
        <f>'Art30(2)(a)'!H28</f>
        <v>0</v>
      </c>
      <c r="H28" s="205">
        <f>'Art30(2)(a)'!I28</f>
        <v>0</v>
      </c>
      <c r="I28" s="206">
        <f>'Art30(2)(a)'!J28</f>
        <v>0</v>
      </c>
      <c r="J28" s="183"/>
      <c r="K28" s="190" t="str">
        <f t="shared" si="0"/>
        <v>€/(kWh/dia)/ano</v>
      </c>
      <c r="L28" s="144"/>
      <c r="M28" s="136"/>
      <c r="N28" s="136"/>
      <c r="O28" s="136"/>
      <c r="P28" s="136"/>
      <c r="Q28" s="136"/>
      <c r="R28" s="136"/>
    </row>
    <row r="29" spans="1:18" s="86" customFormat="1" ht="15" thickBot="1" x14ac:dyDescent="0.35">
      <c r="A29" s="136"/>
      <c r="B29" s="140"/>
      <c r="C29" s="191"/>
      <c r="D29" s="184"/>
      <c r="E29" s="185" t="str">
        <f>+Input!E34</f>
        <v>Intradiário</v>
      </c>
      <c r="F29" s="182"/>
      <c r="G29" s="210">
        <f>'Art30(2)(a)'!H29</f>
        <v>0</v>
      </c>
      <c r="H29" s="211">
        <f>'Art30(2)(a)'!I29</f>
        <v>0</v>
      </c>
      <c r="I29" s="212">
        <f>'Art30(2)(a)'!J29</f>
        <v>0</v>
      </c>
      <c r="J29" s="182"/>
      <c r="K29" s="188" t="str">
        <f t="shared" si="0"/>
        <v>€/(kWh/dia)/ano</v>
      </c>
      <c r="L29" s="144"/>
      <c r="M29" s="136"/>
      <c r="N29" s="136"/>
      <c r="O29" s="136"/>
      <c r="P29" s="136"/>
      <c r="Q29" s="136"/>
      <c r="R29" s="136"/>
    </row>
    <row r="30" spans="1:18" s="86" customFormat="1" ht="15" thickBot="1" x14ac:dyDescent="0.35">
      <c r="A30" s="136"/>
      <c r="B30" s="140"/>
      <c r="C30" s="191"/>
      <c r="D30" s="197" t="str">
        <f>+Input!D35</f>
        <v>Redes de distribuição e clientes em AP</v>
      </c>
      <c r="E30" s="198" t="str">
        <f>+Input!E35</f>
        <v>Longas utilizações</v>
      </c>
      <c r="F30" s="151"/>
      <c r="G30" s="216">
        <f>'Art30(2)(a)'!H30</f>
        <v>0.166115332177528</v>
      </c>
      <c r="H30" s="217">
        <f>'Art30(2)(a)'!I30</f>
        <v>0.166115332177528</v>
      </c>
      <c r="I30" s="218">
        <f>'Art30(2)(a)'!J30</f>
        <v>0.166115332177528</v>
      </c>
      <c r="J30" s="174"/>
      <c r="K30" s="201" t="str">
        <f t="shared" si="0"/>
        <v>€/(kWh/dia)/ano</v>
      </c>
      <c r="L30" s="144"/>
      <c r="M30" s="136"/>
      <c r="N30" s="136"/>
      <c r="O30" s="136"/>
      <c r="P30" s="136"/>
      <c r="Q30" s="136"/>
      <c r="R30" s="136"/>
    </row>
    <row r="31" spans="1:18" s="86" customFormat="1" ht="14.4" x14ac:dyDescent="0.3">
      <c r="A31" s="136"/>
      <c r="B31" s="140"/>
      <c r="C31" s="191"/>
      <c r="D31" s="170" t="str">
        <f>+Input!D36</f>
        <v>Clientes em AP</v>
      </c>
      <c r="E31" s="171" t="str">
        <f>+Input!E36</f>
        <v>Tarifa flexível anual - capacidade base anual</v>
      </c>
      <c r="F31" s="141"/>
      <c r="G31" s="204">
        <f>'Art30(2)(a)'!H31</f>
        <v>0.166115332177528</v>
      </c>
      <c r="H31" s="205">
        <f>'Art30(2)(a)'!I31</f>
        <v>0.166115332177528</v>
      </c>
      <c r="I31" s="206">
        <f>'Art30(2)(a)'!J31</f>
        <v>0.166115332177528</v>
      </c>
      <c r="J31" s="141"/>
      <c r="K31" s="202" t="str">
        <f t="shared" si="0"/>
        <v>€/(kWh/dia)/ano</v>
      </c>
      <c r="L31" s="144"/>
      <c r="M31" s="136"/>
      <c r="N31" s="136"/>
      <c r="O31" s="136"/>
      <c r="P31" s="136"/>
      <c r="Q31" s="136"/>
      <c r="R31" s="136"/>
    </row>
    <row r="32" spans="1:18" s="86" customFormat="1" ht="14.4" x14ac:dyDescent="0.3">
      <c r="A32" s="136"/>
      <c r="B32" s="140"/>
      <c r="C32" s="191"/>
      <c r="D32" s="177"/>
      <c r="E32" s="178" t="str">
        <f>+Input!E37</f>
        <v>Tarifa flexível anual - capacidade mensal adicional (abril a setembro)</v>
      </c>
      <c r="F32" s="182"/>
      <c r="G32" s="207">
        <f>'Art30(2)(a)'!H32</f>
        <v>0.24917299826629197</v>
      </c>
      <c r="H32" s="208">
        <f>'Art30(2)(a)'!I32</f>
        <v>0.24917299826629197</v>
      </c>
      <c r="I32" s="209">
        <f>'Art30(2)(a)'!J32</f>
        <v>0.24917299826629197</v>
      </c>
      <c r="J32" s="183"/>
      <c r="K32" s="181" t="str">
        <f t="shared" si="0"/>
        <v>€/(kWh/dia)/ano</v>
      </c>
      <c r="L32" s="144"/>
      <c r="M32" s="136"/>
      <c r="N32" s="136"/>
      <c r="O32" s="136"/>
      <c r="P32" s="136"/>
      <c r="Q32" s="136"/>
      <c r="R32" s="136"/>
    </row>
    <row r="33" spans="1:18" s="86" customFormat="1" ht="14.4" x14ac:dyDescent="0.3">
      <c r="A33" s="136"/>
      <c r="B33" s="140"/>
      <c r="C33" s="191"/>
      <c r="D33" s="177"/>
      <c r="E33" s="178" t="str">
        <f>+Input!E38</f>
        <v>Tarifa flexível mensal - capacidade mensal (outubro a março)</v>
      </c>
      <c r="F33" s="182"/>
      <c r="G33" s="207">
        <f>'Art30(2)(a)'!H33</f>
        <v>0.49834599653258393</v>
      </c>
      <c r="H33" s="208">
        <f>'Art30(2)(a)'!I33</f>
        <v>0.49834599653258393</v>
      </c>
      <c r="I33" s="209">
        <f>'Art30(2)(a)'!J33</f>
        <v>0.49834599653258393</v>
      </c>
      <c r="J33" s="182"/>
      <c r="K33" s="181" t="str">
        <f t="shared" si="0"/>
        <v>€/(kWh/dia)/ano</v>
      </c>
      <c r="L33" s="144"/>
      <c r="M33" s="136"/>
      <c r="N33" s="136"/>
      <c r="O33" s="136"/>
      <c r="P33" s="136"/>
      <c r="Q33" s="136"/>
      <c r="R33" s="136"/>
    </row>
    <row r="34" spans="1:18" s="86" customFormat="1" ht="14.4" x14ac:dyDescent="0.3">
      <c r="A34" s="136"/>
      <c r="B34" s="140"/>
      <c r="C34" s="191"/>
      <c r="D34" s="177"/>
      <c r="E34" s="178" t="str">
        <f>+Input!E39</f>
        <v>Tarifa flexível mensal - capacidade mensal (abril a setembro)</v>
      </c>
      <c r="F34" s="151"/>
      <c r="G34" s="207">
        <f>'Art30(2)(a)'!H34</f>
        <v>0.24917299826629197</v>
      </c>
      <c r="H34" s="208">
        <f>'Art30(2)(a)'!I34</f>
        <v>0.24917299826629197</v>
      </c>
      <c r="I34" s="209">
        <f>'Art30(2)(a)'!J34</f>
        <v>0.24917299826629197</v>
      </c>
      <c r="J34" s="174"/>
      <c r="K34" s="181" t="str">
        <f t="shared" si="0"/>
        <v>€/(kWh/dia)/ano</v>
      </c>
      <c r="L34" s="144"/>
      <c r="M34" s="136"/>
      <c r="N34" s="136"/>
      <c r="O34" s="136"/>
      <c r="P34" s="136"/>
      <c r="Q34" s="136"/>
      <c r="R34" s="136"/>
    </row>
    <row r="35" spans="1:18" s="86" customFormat="1" ht="14.4" x14ac:dyDescent="0.3">
      <c r="A35" s="136"/>
      <c r="B35" s="140"/>
      <c r="C35" s="191"/>
      <c r="D35" s="177"/>
      <c r="E35" s="178" t="str">
        <f>+Input!E40</f>
        <v>Tarifa flexível diária - capacidade diária (outubro a março)</v>
      </c>
      <c r="F35" s="141"/>
      <c r="G35" s="207">
        <f>'Art30(2)(a)'!H35</f>
        <v>1.6611533217752801</v>
      </c>
      <c r="H35" s="208">
        <f>'Art30(2)(a)'!I35</f>
        <v>1.6611533217752801</v>
      </c>
      <c r="I35" s="209">
        <f>'Art30(2)(a)'!J35</f>
        <v>1.6611533217752801</v>
      </c>
      <c r="J35" s="141"/>
      <c r="K35" s="181" t="str">
        <f t="shared" si="0"/>
        <v>€/(kWh/dia)/ano</v>
      </c>
      <c r="L35" s="144"/>
      <c r="M35" s="136"/>
      <c r="N35" s="136"/>
      <c r="O35" s="136"/>
      <c r="P35" s="136"/>
      <c r="Q35" s="136"/>
      <c r="R35" s="136"/>
    </row>
    <row r="36" spans="1:18" s="86" customFormat="1" ht="15" thickBot="1" x14ac:dyDescent="0.35">
      <c r="A36" s="136"/>
      <c r="B36" s="140"/>
      <c r="C36" s="192"/>
      <c r="D36" s="184"/>
      <c r="E36" s="185" t="str">
        <f>+Input!E41</f>
        <v>Tarifa flexível diária - capacidade diária (abril a setembro)</v>
      </c>
      <c r="F36" s="182"/>
      <c r="G36" s="210">
        <f>'Art30(2)(a)'!H36</f>
        <v>0.99669199306516787</v>
      </c>
      <c r="H36" s="211">
        <f>'Art30(2)(a)'!I36</f>
        <v>0.99669199306516787</v>
      </c>
      <c r="I36" s="212">
        <f>'Art30(2)(a)'!J36</f>
        <v>0.99669199306516787</v>
      </c>
      <c r="J36" s="183"/>
      <c r="K36" s="188" t="str">
        <f t="shared" si="0"/>
        <v>€/(kWh/dia)/ano</v>
      </c>
      <c r="L36" s="144"/>
      <c r="M36" s="136"/>
      <c r="N36" s="136"/>
      <c r="O36" s="136"/>
      <c r="P36" s="136"/>
      <c r="Q36" s="136"/>
      <c r="R36" s="136"/>
    </row>
    <row r="37" spans="1:18" s="86" customFormat="1" ht="15" thickBot="1" x14ac:dyDescent="0.35">
      <c r="A37" s="136"/>
      <c r="B37" s="159"/>
      <c r="C37" s="160"/>
      <c r="D37" s="160"/>
      <c r="E37" s="160"/>
      <c r="F37" s="160"/>
      <c r="G37" s="160"/>
      <c r="H37" s="219"/>
      <c r="I37" s="160"/>
      <c r="J37" s="160"/>
      <c r="K37" s="160"/>
      <c r="L37" s="162"/>
      <c r="M37" s="136"/>
      <c r="N37" s="136"/>
      <c r="O37" s="136"/>
      <c r="P37" s="136"/>
      <c r="Q37" s="136"/>
      <c r="R37" s="136"/>
    </row>
    <row r="38" spans="1:18" s="86" customFormat="1" ht="14.4" x14ac:dyDescent="0.3">
      <c r="A38" s="136"/>
      <c r="B38" s="136"/>
      <c r="C38" s="136"/>
      <c r="D38" s="136"/>
      <c r="E38" s="136"/>
      <c r="F38" s="136"/>
      <c r="G38" s="136"/>
      <c r="H38" s="136"/>
      <c r="I38" s="136"/>
      <c r="J38" s="136"/>
      <c r="K38" s="136"/>
      <c r="L38" s="136"/>
      <c r="M38" s="136"/>
      <c r="N38" s="136"/>
      <c r="O38" s="136"/>
      <c r="P38" s="136"/>
      <c r="Q38" s="136"/>
      <c r="R38" s="1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9"/>
  <sheetViews>
    <sheetView showGridLines="0" zoomScale="110" zoomScaleNormal="110" workbookViewId="0">
      <selection activeCell="D8" sqref="D8"/>
    </sheetView>
  </sheetViews>
  <sheetFormatPr defaultColWidth="0" defaultRowHeight="14.4" zeroHeight="1" x14ac:dyDescent="0.3"/>
  <cols>
    <col min="1" max="1" width="25.88671875" style="1" bestFit="1" customWidth="1"/>
    <col min="2" max="2" width="3.5546875" customWidth="1"/>
    <col min="3" max="3" width="101.6640625" customWidth="1"/>
    <col min="4" max="4" width="92.6640625" customWidth="1"/>
    <col min="5" max="5" width="8.88671875" customWidth="1"/>
    <col min="6" max="16384" width="8.88671875" hidden="1"/>
  </cols>
  <sheetData>
    <row r="1" spans="1:4" x14ac:dyDescent="0.3"/>
    <row r="2" spans="1:4" x14ac:dyDescent="0.3"/>
    <row r="3" spans="1:4" x14ac:dyDescent="0.3"/>
    <row r="4" spans="1:4" x14ac:dyDescent="0.3"/>
    <row r="5" spans="1:4" x14ac:dyDescent="0.3"/>
    <row r="6" spans="1:4" x14ac:dyDescent="0.3">
      <c r="C6" s="119" t="s">
        <v>578</v>
      </c>
      <c r="D6" s="119" t="s">
        <v>579</v>
      </c>
    </row>
    <row r="7" spans="1:4" ht="28.8" x14ac:dyDescent="0.3">
      <c r="C7" s="94" t="s">
        <v>516</v>
      </c>
      <c r="D7" s="94" t="s">
        <v>515</v>
      </c>
    </row>
    <row r="8" spans="1:4" ht="158.4" x14ac:dyDescent="0.3">
      <c r="C8" s="95" t="s">
        <v>552</v>
      </c>
      <c r="D8" s="95" t="s">
        <v>558</v>
      </c>
    </row>
    <row r="9" spans="1:4" x14ac:dyDescent="0.3"/>
    <row r="10" spans="1:4" x14ac:dyDescent="0.3">
      <c r="A10" s="101" t="s">
        <v>517</v>
      </c>
      <c r="C10" s="96" t="s">
        <v>531</v>
      </c>
      <c r="D10" s="97" t="s">
        <v>532</v>
      </c>
    </row>
    <row r="11" spans="1:4" x14ac:dyDescent="0.3"/>
    <row r="12" spans="1:4" ht="187.2" x14ac:dyDescent="0.3">
      <c r="A12" s="99" t="s">
        <v>530</v>
      </c>
      <c r="C12" s="118" t="s">
        <v>576</v>
      </c>
      <c r="D12" s="95" t="s">
        <v>577</v>
      </c>
    </row>
    <row r="13" spans="1:4" ht="28.8" x14ac:dyDescent="0.3">
      <c r="A13" s="99" t="s">
        <v>518</v>
      </c>
      <c r="C13" s="100" t="s">
        <v>536</v>
      </c>
      <c r="D13" s="98" t="s">
        <v>533</v>
      </c>
    </row>
    <row r="14" spans="1:4" ht="57.6" x14ac:dyDescent="0.3">
      <c r="A14" s="99" t="s">
        <v>519</v>
      </c>
      <c r="B14" s="93"/>
      <c r="C14" s="100" t="s">
        <v>538</v>
      </c>
      <c r="D14" s="100" t="s">
        <v>537</v>
      </c>
    </row>
    <row r="15" spans="1:4" x14ac:dyDescent="0.3">
      <c r="A15" s="99" t="s">
        <v>550</v>
      </c>
      <c r="B15" s="93"/>
      <c r="C15" s="100" t="s">
        <v>534</v>
      </c>
      <c r="D15" s="100" t="s">
        <v>513</v>
      </c>
    </row>
    <row r="16" spans="1:4" x14ac:dyDescent="0.3">
      <c r="A16" s="99" t="s">
        <v>551</v>
      </c>
      <c r="B16" s="93"/>
      <c r="C16" s="100" t="s">
        <v>535</v>
      </c>
      <c r="D16" s="100" t="s">
        <v>514</v>
      </c>
    </row>
    <row r="17" spans="1:4" ht="28.8" x14ac:dyDescent="0.3">
      <c r="A17" s="99" t="s">
        <v>520</v>
      </c>
      <c r="B17" s="93"/>
      <c r="C17" s="100" t="s">
        <v>539</v>
      </c>
      <c r="D17" s="100" t="s">
        <v>540</v>
      </c>
    </row>
    <row r="18" spans="1:4" ht="28.8" x14ac:dyDescent="0.3">
      <c r="A18" s="99" t="s">
        <v>521</v>
      </c>
      <c r="B18" s="93"/>
      <c r="C18" s="100" t="s">
        <v>542</v>
      </c>
      <c r="D18" s="100" t="s">
        <v>543</v>
      </c>
    </row>
    <row r="19" spans="1:4" ht="28.8" x14ac:dyDescent="0.3">
      <c r="A19" s="99" t="s">
        <v>522</v>
      </c>
      <c r="B19" s="93"/>
      <c r="C19" s="100" t="s">
        <v>553</v>
      </c>
      <c r="D19" s="100" t="s">
        <v>541</v>
      </c>
    </row>
    <row r="20" spans="1:4" ht="28.8" x14ac:dyDescent="0.3">
      <c r="A20" s="99" t="s">
        <v>523</v>
      </c>
      <c r="B20" s="93"/>
      <c r="C20" s="100" t="s">
        <v>554</v>
      </c>
      <c r="D20" s="100" t="s">
        <v>557</v>
      </c>
    </row>
    <row r="21" spans="1:4" ht="28.8" x14ac:dyDescent="0.3">
      <c r="A21" s="99" t="s">
        <v>524</v>
      </c>
      <c r="B21" s="93"/>
      <c r="C21" s="100" t="s">
        <v>544</v>
      </c>
      <c r="D21" s="100" t="s">
        <v>545</v>
      </c>
    </row>
    <row r="22" spans="1:4" x14ac:dyDescent="0.3">
      <c r="A22" s="99" t="s">
        <v>525</v>
      </c>
      <c r="B22" s="93"/>
      <c r="C22" s="100" t="s">
        <v>555</v>
      </c>
      <c r="D22" s="100" t="s">
        <v>556</v>
      </c>
    </row>
    <row r="23" spans="1:4" x14ac:dyDescent="0.3">
      <c r="A23" s="99" t="s">
        <v>526</v>
      </c>
      <c r="B23" s="93"/>
      <c r="C23" s="100" t="s">
        <v>546</v>
      </c>
      <c r="D23" s="100" t="s">
        <v>549</v>
      </c>
    </row>
    <row r="24" spans="1:4" x14ac:dyDescent="0.3">
      <c r="A24" s="99" t="s">
        <v>527</v>
      </c>
      <c r="B24" s="93"/>
      <c r="C24" s="100" t="s">
        <v>547</v>
      </c>
      <c r="D24" s="100" t="s">
        <v>548</v>
      </c>
    </row>
    <row r="25" spans="1:4" s="1" customFormat="1" x14ac:dyDescent="0.3">
      <c r="A25" s="99" t="s">
        <v>582</v>
      </c>
      <c r="B25" s="93"/>
      <c r="C25" s="100" t="s">
        <v>583</v>
      </c>
      <c r="D25" s="100" t="s">
        <v>588</v>
      </c>
    </row>
    <row r="26" spans="1:4" x14ac:dyDescent="0.3">
      <c r="A26" s="99" t="s">
        <v>589</v>
      </c>
      <c r="B26" s="93"/>
      <c r="C26" s="100" t="s">
        <v>591</v>
      </c>
      <c r="D26" s="100" t="s">
        <v>594</v>
      </c>
    </row>
    <row r="27" spans="1:4" x14ac:dyDescent="0.3">
      <c r="A27" s="99" t="s">
        <v>590</v>
      </c>
      <c r="B27" s="93"/>
      <c r="C27" s="100" t="s">
        <v>592</v>
      </c>
      <c r="D27" s="100" t="s">
        <v>593</v>
      </c>
    </row>
    <row r="28" spans="1:4" s="1" customFormat="1" x14ac:dyDescent="0.3">
      <c r="A28" s="99" t="s">
        <v>595</v>
      </c>
      <c r="B28" s="93"/>
      <c r="C28" s="100" t="s">
        <v>597</v>
      </c>
      <c r="D28" s="100" t="s">
        <v>596</v>
      </c>
    </row>
    <row r="29" spans="1:4" x14ac:dyDescent="0.3"/>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2"/>
  <sheetViews>
    <sheetView showGridLines="0" zoomScale="120" zoomScaleNormal="120" workbookViewId="0">
      <selection activeCell="D8" sqref="D8"/>
    </sheetView>
  </sheetViews>
  <sheetFormatPr defaultColWidth="0" defaultRowHeight="14.4" zeroHeight="1" x14ac:dyDescent="0.3"/>
  <cols>
    <col min="1" max="1" width="4.77734375" customWidth="1"/>
    <col min="2" max="2" width="39.33203125" bestFit="1" customWidth="1"/>
    <col min="3" max="3" width="8.88671875" customWidth="1"/>
    <col min="4" max="6" width="8.88671875" hidden="1" customWidth="1"/>
    <col min="7" max="16384" width="8.88671875" hidden="1"/>
  </cols>
  <sheetData>
    <row r="1" spans="2:2" x14ac:dyDescent="0.3"/>
    <row r="2" spans="2:2" x14ac:dyDescent="0.3">
      <c r="B2" s="77" t="s">
        <v>528</v>
      </c>
    </row>
    <row r="3" spans="2:2" x14ac:dyDescent="0.3">
      <c r="B3" s="82" t="s">
        <v>575</v>
      </c>
    </row>
    <row r="4" spans="2:2" x14ac:dyDescent="0.3">
      <c r="B4" s="83" t="s">
        <v>581</v>
      </c>
    </row>
    <row r="5" spans="2:2" s="1" customFormat="1" x14ac:dyDescent="0.3"/>
    <row r="6" spans="2:2" x14ac:dyDescent="0.3"/>
    <row r="7" spans="2:2" x14ac:dyDescent="0.3">
      <c r="B7" s="77" t="s">
        <v>529</v>
      </c>
    </row>
    <row r="8" spans="2:2" x14ac:dyDescent="0.3">
      <c r="B8" s="82" t="s">
        <v>254</v>
      </c>
    </row>
    <row r="9" spans="2:2" x14ac:dyDescent="0.3">
      <c r="B9" s="83" t="s">
        <v>256</v>
      </c>
    </row>
    <row r="10" spans="2:2" x14ac:dyDescent="0.3"/>
    <row r="11" spans="2:2" x14ac:dyDescent="0.3"/>
    <row r="12" spans="2:2" x14ac:dyDescent="0.3"/>
  </sheetData>
  <dataValidations count="2">
    <dataValidation type="list" allowBlank="1" showInputMessage="1" showErrorMessage="1" sqref="B3">
      <formula1>List_RPM</formula1>
    </dataValidation>
    <dataValidation type="list" allowBlank="1" showInputMessage="1" showErrorMessage="1" sqref="B8">
      <formula1>Discount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471"/>
  <sheetViews>
    <sheetView showGridLines="0" topLeftCell="A11" zoomScaleNormal="100" workbookViewId="0">
      <selection activeCell="N35" sqref="N35"/>
    </sheetView>
  </sheetViews>
  <sheetFormatPr defaultRowHeight="14.4" zeroHeight="1" x14ac:dyDescent="0.3"/>
  <cols>
    <col min="2" max="2" width="20.33203125" customWidth="1"/>
    <col min="3" max="3" width="67.33203125" style="1" bestFit="1" customWidth="1"/>
    <col min="4" max="5" width="13.44140625" customWidth="1"/>
    <col min="6" max="6" width="13.44140625" style="1" customWidth="1"/>
    <col min="7" max="7" width="13.44140625" customWidth="1"/>
    <col min="9" max="9" width="10.88671875" bestFit="1" customWidth="1"/>
    <col min="10" max="10" width="11" bestFit="1" customWidth="1"/>
  </cols>
  <sheetData>
    <row r="1" spans="2:7" x14ac:dyDescent="0.3"/>
    <row r="2" spans="2:7" s="33" customFormat="1" ht="28.95" customHeight="1" x14ac:dyDescent="0.3">
      <c r="B2" s="32" t="s">
        <v>598</v>
      </c>
      <c r="C2" s="32"/>
      <c r="D2" s="32"/>
      <c r="E2" s="32"/>
      <c r="F2" s="32"/>
      <c r="G2" s="32"/>
    </row>
    <row r="3" spans="2:7" x14ac:dyDescent="0.3"/>
    <row r="4" spans="2:7" x14ac:dyDescent="0.3">
      <c r="B4" s="26" t="s">
        <v>36</v>
      </c>
      <c r="C4" s="27"/>
      <c r="D4" s="6"/>
      <c r="E4" s="6"/>
      <c r="F4" s="6"/>
      <c r="G4" s="6"/>
    </row>
    <row r="5" spans="2:7" x14ac:dyDescent="0.3">
      <c r="B5" s="28"/>
      <c r="C5" s="29"/>
      <c r="D5" s="7" t="s">
        <v>28</v>
      </c>
      <c r="E5" s="7" t="s">
        <v>29</v>
      </c>
      <c r="F5" s="7" t="s">
        <v>30</v>
      </c>
      <c r="G5" s="7" t="s">
        <v>35</v>
      </c>
    </row>
    <row r="6" spans="2:7" s="1" customFormat="1" x14ac:dyDescent="0.3">
      <c r="B6" s="30"/>
      <c r="C6" s="31"/>
      <c r="D6" s="8"/>
      <c r="E6" s="8"/>
      <c r="F6" s="8"/>
      <c r="G6" s="8"/>
    </row>
    <row r="7" spans="2:7" x14ac:dyDescent="0.3">
      <c r="B7" s="16" t="s">
        <v>559</v>
      </c>
      <c r="C7" s="17"/>
      <c r="D7" s="38">
        <f>IF('RPM &amp; Discounts'!$B$3='A0.Support'!$B$8,'A5.Counter-factual'!$B$2*D9,D9)</f>
        <v>70874364.315885276</v>
      </c>
      <c r="E7" s="38">
        <f>IF('RPM &amp; Discounts'!$B$3='A0.Support'!$B$8,'A5.Counter-factual'!$B$2*E9,E9)</f>
        <v>74971438.059899092</v>
      </c>
      <c r="F7" s="38">
        <f>IF('RPM &amp; Discounts'!$B$3='A0.Support'!$B$8,'A5.Counter-factual'!$B$2*F9,F9)</f>
        <v>74971438.059899092</v>
      </c>
      <c r="G7" s="38">
        <f>IF('RPM &amp; Discounts'!$B$3='A0.Support'!$B$8,'A5.Counter-factual'!$B$2*G9,G9)</f>
        <v>74971438.059899092</v>
      </c>
    </row>
    <row r="8" spans="2:7" x14ac:dyDescent="0.3">
      <c r="B8" s="16" t="s">
        <v>560</v>
      </c>
      <c r="C8" s="17"/>
      <c r="D8" s="38">
        <f>D9-D7</f>
        <v>0</v>
      </c>
      <c r="E8" s="38">
        <f t="shared" ref="E8:G8" si="0">E9-E7</f>
        <v>0</v>
      </c>
      <c r="F8" s="38">
        <f t="shared" si="0"/>
        <v>0</v>
      </c>
      <c r="G8" s="38">
        <f t="shared" si="0"/>
        <v>0</v>
      </c>
    </row>
    <row r="9" spans="2:7" s="1" customFormat="1" x14ac:dyDescent="0.3">
      <c r="B9" s="109" t="s">
        <v>31</v>
      </c>
      <c r="C9" s="110"/>
      <c r="D9" s="111">
        <f>[2]proveitos!$C$19</f>
        <v>70874364.315885276</v>
      </c>
      <c r="E9" s="111">
        <f>+[3]proveitos!$C$19</f>
        <v>74971438.059899092</v>
      </c>
      <c r="F9" s="112">
        <f>Input!H4</f>
        <v>74971438.059899092</v>
      </c>
      <c r="G9" s="112">
        <f>Input!I4</f>
        <v>74971438.059899092</v>
      </c>
    </row>
    <row r="10" spans="2:7" s="1" customFormat="1" x14ac:dyDescent="0.3"/>
    <row r="11" spans="2:7" x14ac:dyDescent="0.3"/>
    <row r="12" spans="2:7" x14ac:dyDescent="0.3"/>
    <row r="13" spans="2:7" ht="28.95" customHeight="1" x14ac:dyDescent="0.3">
      <c r="B13" s="32" t="s">
        <v>33</v>
      </c>
      <c r="C13" s="5"/>
      <c r="D13" s="5"/>
      <c r="E13" s="5"/>
      <c r="F13" s="5"/>
      <c r="G13" s="5"/>
    </row>
    <row r="14" spans="2:7" s="1" customFormat="1" ht="28.95" customHeight="1" x14ac:dyDescent="0.3">
      <c r="B14"/>
      <c r="C14"/>
      <c r="D14"/>
      <c r="E14"/>
      <c r="F14"/>
      <c r="G14"/>
    </row>
    <row r="15" spans="2:7" s="1" customFormat="1" ht="28.95" customHeight="1" x14ac:dyDescent="0.3">
      <c r="B15" s="35" t="s">
        <v>599</v>
      </c>
      <c r="C15" s="5"/>
      <c r="D15" s="5"/>
      <c r="E15" s="5"/>
      <c r="F15" s="5"/>
      <c r="G15" s="5"/>
    </row>
    <row r="16" spans="2:7" x14ac:dyDescent="0.3">
      <c r="B16" s="1"/>
      <c r="D16" s="1"/>
      <c r="E16" s="1"/>
      <c r="G16" s="1"/>
    </row>
    <row r="17" spans="2:7" x14ac:dyDescent="0.3">
      <c r="B17" s="9" t="s">
        <v>2</v>
      </c>
      <c r="C17" s="9" t="s">
        <v>6</v>
      </c>
      <c r="D17" s="6"/>
      <c r="E17" s="6"/>
      <c r="F17" s="6"/>
      <c r="G17" s="6"/>
    </row>
    <row r="18" spans="2:7" x14ac:dyDescent="0.3">
      <c r="B18" s="25"/>
      <c r="C18" s="25"/>
      <c r="D18" s="23" t="str">
        <f t="shared" ref="D18:G18" si="1">D$5</f>
        <v>2023-24</v>
      </c>
      <c r="E18" s="23" t="str">
        <f t="shared" si="1"/>
        <v>2024-25</v>
      </c>
      <c r="F18" s="23" t="str">
        <f t="shared" si="1"/>
        <v>2025-26</v>
      </c>
      <c r="G18" s="23" t="str">
        <f t="shared" si="1"/>
        <v>2026-27</v>
      </c>
    </row>
    <row r="19" spans="2:7" x14ac:dyDescent="0.3">
      <c r="B19" s="24"/>
      <c r="C19" s="24"/>
      <c r="D19" s="8"/>
      <c r="E19" s="8"/>
      <c r="F19" s="8"/>
      <c r="G19" s="8"/>
    </row>
    <row r="20" spans="2:7" x14ac:dyDescent="0.3">
      <c r="B20" s="10" t="s">
        <v>8</v>
      </c>
      <c r="C20" s="3" t="s">
        <v>9</v>
      </c>
      <c r="D20" s="64">
        <f t="array" ref="D20:D23">TRANSPOSE([2]Qt!$C$56:$F$56)</f>
        <v>3052986</v>
      </c>
      <c r="E20" s="64">
        <f t="array" ref="E20:E23">TRANSPOSE([3]Qt!$C$56:$F$56)</f>
        <v>4884702</v>
      </c>
      <c r="F20" s="65">
        <f>Input!H10</f>
        <v>4884702</v>
      </c>
      <c r="G20" s="65">
        <f>Input!I10</f>
        <v>4884702</v>
      </c>
    </row>
    <row r="21" spans="2:7" x14ac:dyDescent="0.3">
      <c r="B21" s="11"/>
      <c r="C21" s="3" t="s">
        <v>10</v>
      </c>
      <c r="D21" s="64">
        <v>1427387.9999999998</v>
      </c>
      <c r="E21" s="64">
        <v>3513912</v>
      </c>
      <c r="F21" s="65">
        <f>Input!H11</f>
        <v>3513912</v>
      </c>
      <c r="G21" s="65">
        <f>Input!I11</f>
        <v>3513912</v>
      </c>
    </row>
    <row r="22" spans="2:7" x14ac:dyDescent="0.3">
      <c r="B22" s="11"/>
      <c r="C22" s="3" t="s">
        <v>11</v>
      </c>
      <c r="D22" s="64">
        <v>2830358</v>
      </c>
      <c r="E22" s="64">
        <v>9185306</v>
      </c>
      <c r="F22" s="65">
        <f>Input!H12</f>
        <v>9185306</v>
      </c>
      <c r="G22" s="65">
        <f>Input!I12</f>
        <v>9185306</v>
      </c>
    </row>
    <row r="23" spans="2:7" x14ac:dyDescent="0.3">
      <c r="B23" s="11"/>
      <c r="C23" s="3" t="s">
        <v>12</v>
      </c>
      <c r="D23" s="64">
        <v>10826796.701369863</v>
      </c>
      <c r="E23" s="64">
        <v>5947824.7013698621</v>
      </c>
      <c r="F23" s="65">
        <f>Input!H13</f>
        <v>5947824.7013698621</v>
      </c>
      <c r="G23" s="65">
        <f>Input!I13</f>
        <v>5947824.7013698621</v>
      </c>
    </row>
    <row r="24" spans="2:7" x14ac:dyDescent="0.3">
      <c r="B24" s="12"/>
      <c r="C24" s="3" t="s">
        <v>13</v>
      </c>
      <c r="D24" s="64">
        <f>[2]Qt!$G$56*24</f>
        <v>1105373.1506849315</v>
      </c>
      <c r="E24" s="64">
        <f>[3]Qt!$G$56*24</f>
        <v>666864.43013698631</v>
      </c>
      <c r="F24" s="65">
        <f>Input!H14</f>
        <v>666864.43013698631</v>
      </c>
      <c r="G24" s="65">
        <f>Input!I14</f>
        <v>666864.43013698631</v>
      </c>
    </row>
    <row r="25" spans="2:7" x14ac:dyDescent="0.3">
      <c r="B25" s="10" t="s">
        <v>14</v>
      </c>
      <c r="C25" s="3" t="s">
        <v>9</v>
      </c>
      <c r="D25" s="64">
        <f t="array" ref="D25:D28">TRANSPOSE([2]Qt!$C$57:$F$57)</f>
        <v>200000000</v>
      </c>
      <c r="E25" s="102">
        <f>+[3]Qt!$C$57</f>
        <v>200000000</v>
      </c>
      <c r="F25" s="65">
        <f>Input!H15</f>
        <v>200000000</v>
      </c>
      <c r="G25" s="65">
        <f>Input!I15</f>
        <v>200000000</v>
      </c>
    </row>
    <row r="26" spans="2:7" x14ac:dyDescent="0.3">
      <c r="B26" s="13"/>
      <c r="C26" s="3" t="s">
        <v>10</v>
      </c>
      <c r="D26" s="64">
        <v>0</v>
      </c>
      <c r="E26" s="64">
        <f>+[3]Qt!$D$57</f>
        <v>0</v>
      </c>
      <c r="F26" s="65">
        <f>Input!H16</f>
        <v>0</v>
      </c>
      <c r="G26" s="65">
        <f>Input!I16</f>
        <v>0</v>
      </c>
    </row>
    <row r="27" spans="2:7" x14ac:dyDescent="0.3">
      <c r="B27" s="13"/>
      <c r="C27" s="3" t="s">
        <v>11</v>
      </c>
      <c r="D27" s="64">
        <v>0</v>
      </c>
      <c r="E27" s="64">
        <f>+[3]Qt!$E$57</f>
        <v>0</v>
      </c>
      <c r="F27" s="65">
        <f>Input!H17</f>
        <v>0</v>
      </c>
      <c r="G27" s="65">
        <f>Input!I17</f>
        <v>0</v>
      </c>
    </row>
    <row r="28" spans="2:7" x14ac:dyDescent="0.3">
      <c r="B28" s="13"/>
      <c r="C28" s="3" t="s">
        <v>12</v>
      </c>
      <c r="D28" s="64">
        <v>0</v>
      </c>
      <c r="E28" s="64">
        <f>+[3]Qt!$F$57</f>
        <v>0</v>
      </c>
      <c r="F28" s="65">
        <f>Input!H18</f>
        <v>0</v>
      </c>
      <c r="G28" s="65">
        <f>Input!I18</f>
        <v>0</v>
      </c>
    </row>
    <row r="29" spans="2:7" x14ac:dyDescent="0.3">
      <c r="B29" s="14"/>
      <c r="C29" s="3" t="s">
        <v>13</v>
      </c>
      <c r="D29" s="64">
        <f>[2]Qt!$G$57*24</f>
        <v>0</v>
      </c>
      <c r="E29" s="64">
        <f>+[3]Qt!$G$57*24</f>
        <v>0</v>
      </c>
      <c r="F29" s="65">
        <f>Input!H19</f>
        <v>0</v>
      </c>
      <c r="G29" s="65">
        <f>Input!I19</f>
        <v>0</v>
      </c>
    </row>
    <row r="30" spans="2:7" x14ac:dyDescent="0.3">
      <c r="B30" s="10" t="s">
        <v>15</v>
      </c>
      <c r="C30" s="3" t="s">
        <v>12</v>
      </c>
      <c r="D30" s="64">
        <f>[2]Qt!$F$58</f>
        <v>4185610.9808219173</v>
      </c>
      <c r="E30" s="64">
        <f>[3]Qt!$F$58</f>
        <v>4369884.2958904114</v>
      </c>
      <c r="F30" s="65">
        <f>Input!H20</f>
        <v>4369884.2958904114</v>
      </c>
      <c r="G30" s="65">
        <f>Input!I20</f>
        <v>4369884.2958904114</v>
      </c>
    </row>
    <row r="31" spans="2:7" x14ac:dyDescent="0.3">
      <c r="B31" s="14"/>
      <c r="C31" s="3" t="s">
        <v>13</v>
      </c>
      <c r="D31" s="64">
        <f>[2]Qt!$G$58*24</f>
        <v>4367877.2109589046</v>
      </c>
      <c r="E31" s="64">
        <f>[3]Qt!$G$58*24</f>
        <v>2787181.2931506848</v>
      </c>
      <c r="F31" s="65">
        <f>Input!H21</f>
        <v>2787181.2931506848</v>
      </c>
      <c r="G31" s="65">
        <f>Input!I21</f>
        <v>2787181.2931506848</v>
      </c>
    </row>
    <row r="32" spans="2:7" x14ac:dyDescent="0.3">
      <c r="B32" s="15" t="s">
        <v>26</v>
      </c>
      <c r="C32" s="3" t="s">
        <v>27</v>
      </c>
      <c r="D32" s="4">
        <v>1E-3</v>
      </c>
      <c r="E32" s="4">
        <v>1E-3</v>
      </c>
      <c r="F32" s="65">
        <f>Input!H22</f>
        <v>1E-3</v>
      </c>
      <c r="G32" s="65">
        <f>Input!I22</f>
        <v>1E-3</v>
      </c>
    </row>
    <row r="33" spans="1:8" s="1" customFormat="1" x14ac:dyDescent="0.3">
      <c r="A33"/>
      <c r="B33"/>
      <c r="C33"/>
      <c r="D33" s="63">
        <f>SUM([2]Qt!$C$56:$F$57,[2]Qt!$F$58)+SUM([2]Qt!$G$56:$G$58)*24+0.001-SUM(D20:D32)</f>
        <v>0</v>
      </c>
      <c r="E33" s="63">
        <f>SUM([3]Qt!$C$56:$F$57,[3]Qt!$F$58)+SUM([3]Qt!$G$56:$G$58)*24+0.001-SUM(E20:E32)</f>
        <v>0</v>
      </c>
      <c r="F33" s="63">
        <f>SUM([3]Qt!$C$56:$F$57,[3]Qt!$F$58)+SUM([3]Qt!$G$56:$G$58)*24+0.001-SUM(F20:F32)</f>
        <v>0</v>
      </c>
      <c r="G33" s="63">
        <f>SUM([3]Qt!$C$56:$F$57,[3]Qt!$F$58)+SUM([3]Qt!$G$56:$G$58)*24+0.001-SUM(G20:G32)</f>
        <v>0</v>
      </c>
      <c r="H33"/>
    </row>
    <row r="34" spans="1:8" s="1" customFormat="1" x14ac:dyDescent="0.3"/>
    <row r="35" spans="1:8" s="1" customFormat="1" ht="28.95" customHeight="1" x14ac:dyDescent="0.3">
      <c r="B35" s="35" t="s">
        <v>600</v>
      </c>
      <c r="C35" s="5"/>
      <c r="D35" s="5"/>
      <c r="E35" s="5"/>
      <c r="F35" s="5"/>
      <c r="G35" s="5"/>
    </row>
    <row r="36" spans="1:8" s="1" customFormat="1" x14ac:dyDescent="0.3"/>
    <row r="37" spans="1:8" s="1" customFormat="1" x14ac:dyDescent="0.3">
      <c r="B37" s="9" t="s">
        <v>2</v>
      </c>
      <c r="C37" s="9" t="s">
        <v>6</v>
      </c>
      <c r="D37" s="6"/>
      <c r="E37" s="6"/>
      <c r="F37" s="6"/>
      <c r="G37" s="6"/>
    </row>
    <row r="38" spans="1:8" s="1" customFormat="1" x14ac:dyDescent="0.3">
      <c r="B38" s="25"/>
      <c r="C38" s="25"/>
      <c r="D38" s="23" t="str">
        <f t="shared" ref="D38:G38" si="2">D$5</f>
        <v>2023-24</v>
      </c>
      <c r="E38" s="23" t="str">
        <f t="shared" si="2"/>
        <v>2024-25</v>
      </c>
      <c r="F38" s="23" t="str">
        <f t="shared" si="2"/>
        <v>2025-26</v>
      </c>
      <c r="G38" s="23" t="str">
        <f t="shared" si="2"/>
        <v>2026-27</v>
      </c>
    </row>
    <row r="39" spans="1:8" s="1" customFormat="1" x14ac:dyDescent="0.3">
      <c r="B39" s="24"/>
      <c r="C39" s="24"/>
      <c r="D39" s="8"/>
      <c r="E39" s="8"/>
      <c r="F39" s="8"/>
      <c r="G39" s="8"/>
    </row>
    <row r="40" spans="1:8" s="1" customFormat="1" x14ac:dyDescent="0.3">
      <c r="B40" s="10" t="s">
        <v>8</v>
      </c>
      <c r="C40" s="3" t="s">
        <v>12</v>
      </c>
      <c r="D40" s="4">
        <v>0</v>
      </c>
      <c r="E40" s="65">
        <f t="shared" ref="E40:G40" si="3">D40</f>
        <v>0</v>
      </c>
      <c r="F40" s="65">
        <f t="shared" si="3"/>
        <v>0</v>
      </c>
      <c r="G40" s="65">
        <f t="shared" si="3"/>
        <v>0</v>
      </c>
    </row>
    <row r="41" spans="1:8" s="1" customFormat="1" x14ac:dyDescent="0.3">
      <c r="B41" s="12"/>
      <c r="C41" s="3" t="s">
        <v>13</v>
      </c>
      <c r="D41" s="4">
        <v>0</v>
      </c>
      <c r="E41" s="65">
        <f t="shared" ref="E41:G41" si="4">D41</f>
        <v>0</v>
      </c>
      <c r="F41" s="65">
        <f t="shared" si="4"/>
        <v>0</v>
      </c>
      <c r="G41" s="65">
        <f t="shared" si="4"/>
        <v>0</v>
      </c>
    </row>
    <row r="42" spans="1:8" s="1" customFormat="1" x14ac:dyDescent="0.3">
      <c r="B42" s="15" t="s">
        <v>14</v>
      </c>
      <c r="C42" s="3" t="s">
        <v>13</v>
      </c>
      <c r="D42" s="4">
        <v>0</v>
      </c>
      <c r="E42" s="65">
        <f t="shared" ref="E42:G42" si="5">D42</f>
        <v>0</v>
      </c>
      <c r="F42" s="65">
        <f t="shared" si="5"/>
        <v>0</v>
      </c>
      <c r="G42" s="65">
        <f t="shared" si="5"/>
        <v>0</v>
      </c>
    </row>
    <row r="43" spans="1:8" s="1" customFormat="1" x14ac:dyDescent="0.3">
      <c r="B43" s="15" t="s">
        <v>15</v>
      </c>
      <c r="C43" s="3" t="s">
        <v>13</v>
      </c>
      <c r="D43" s="4">
        <v>0</v>
      </c>
      <c r="E43" s="65">
        <f t="shared" ref="E43:G43" si="6">D43</f>
        <v>0</v>
      </c>
      <c r="F43" s="65">
        <f t="shared" si="6"/>
        <v>0</v>
      </c>
      <c r="G43" s="65">
        <f t="shared" si="6"/>
        <v>0</v>
      </c>
    </row>
    <row r="44" spans="1:8" s="1" customFormat="1" x14ac:dyDescent="0.3"/>
    <row r="45" spans="1:8" s="1" customFormat="1" x14ac:dyDescent="0.3"/>
    <row r="46" spans="1:8" s="1" customFormat="1" ht="28.95" customHeight="1" x14ac:dyDescent="0.3">
      <c r="B46" s="35" t="s">
        <v>601</v>
      </c>
      <c r="C46" s="5"/>
      <c r="D46" s="5"/>
      <c r="E46" s="5"/>
      <c r="F46" s="5"/>
      <c r="G46" s="5"/>
    </row>
    <row r="47" spans="1:8" s="1" customFormat="1" x14ac:dyDescent="0.3"/>
    <row r="48" spans="1:8" s="1" customFormat="1" x14ac:dyDescent="0.3">
      <c r="B48" s="26" t="s">
        <v>2</v>
      </c>
      <c r="C48" s="27"/>
      <c r="D48" s="6"/>
      <c r="E48" s="6"/>
      <c r="F48" s="6"/>
      <c r="G48" s="6"/>
    </row>
    <row r="49" spans="1:8" s="1" customFormat="1" x14ac:dyDescent="0.3">
      <c r="B49" s="28"/>
      <c r="C49" s="29"/>
      <c r="D49" s="23" t="str">
        <f t="shared" ref="D49:G49" si="7">D$5</f>
        <v>2023-24</v>
      </c>
      <c r="E49" s="23" t="str">
        <f t="shared" si="7"/>
        <v>2024-25</v>
      </c>
      <c r="F49" s="23" t="str">
        <f t="shared" si="7"/>
        <v>2025-26</v>
      </c>
      <c r="G49" s="23" t="str">
        <f t="shared" si="7"/>
        <v>2026-27</v>
      </c>
    </row>
    <row r="50" spans="1:8" s="1" customFormat="1" x14ac:dyDescent="0.3">
      <c r="B50" s="30"/>
      <c r="C50" s="31"/>
      <c r="D50" s="8"/>
      <c r="E50" s="8"/>
      <c r="F50" s="8"/>
      <c r="G50" s="8"/>
    </row>
    <row r="51" spans="1:8" s="1" customFormat="1" x14ac:dyDescent="0.3">
      <c r="B51" s="16" t="str">
        <f>B20</f>
        <v>VIP</v>
      </c>
      <c r="C51" s="17"/>
      <c r="D51" s="64">
        <f>[4]S_BalFisico!$F$9*10^3</f>
        <v>2859125.3037153566</v>
      </c>
      <c r="E51" s="64">
        <f>[5]S_BalFisico!$F$9*10^3</f>
        <v>1473682.983318727</v>
      </c>
      <c r="F51" s="65">
        <f t="shared" ref="F51:G52" si="8">E51</f>
        <v>1473682.983318727</v>
      </c>
      <c r="G51" s="65">
        <f t="shared" si="8"/>
        <v>1473682.983318727</v>
      </c>
    </row>
    <row r="52" spans="1:8" s="1" customFormat="1" x14ac:dyDescent="0.3">
      <c r="B52" s="16" t="str">
        <f>B25</f>
        <v>LNG terminal</v>
      </c>
      <c r="C52" s="17"/>
      <c r="D52" s="64">
        <f>[4]S_BalFisico!$F$13*10^3</f>
        <v>54632601.441167839</v>
      </c>
      <c r="E52" s="64">
        <f>[5]S_BalFisico!$F$13*10^3</f>
        <v>52862568.743175067</v>
      </c>
      <c r="F52" s="65">
        <f t="shared" si="8"/>
        <v>52862568.743175067</v>
      </c>
      <c r="G52" s="65">
        <f t="shared" si="8"/>
        <v>52862568.743175067</v>
      </c>
    </row>
    <row r="53" spans="1:8" s="1" customFormat="1" x14ac:dyDescent="0.3">
      <c r="B53" s="16" t="s">
        <v>15</v>
      </c>
      <c r="C53" s="17"/>
      <c r="D53" s="64">
        <f>[4]S_BalFisico!$F$16*10^3</f>
        <v>3338730.9539999999</v>
      </c>
      <c r="E53" s="64">
        <f>[5]S_BalFisico!$F$16*10^3</f>
        <v>2215643.4720000001</v>
      </c>
      <c r="F53" s="65">
        <f t="shared" ref="F53:G54" si="9">E53</f>
        <v>2215643.4720000001</v>
      </c>
      <c r="G53" s="65">
        <f t="shared" si="9"/>
        <v>2215643.4720000001</v>
      </c>
    </row>
    <row r="54" spans="1:8" s="1" customFormat="1" x14ac:dyDescent="0.3">
      <c r="B54" s="16" t="str">
        <f>B32</f>
        <v>Gas producers</v>
      </c>
      <c r="C54" s="17"/>
      <c r="D54" s="84">
        <v>1E-3</v>
      </c>
      <c r="E54" s="84">
        <v>1E-3</v>
      </c>
      <c r="F54" s="85">
        <f t="shared" si="9"/>
        <v>1E-3</v>
      </c>
      <c r="G54" s="85">
        <f t="shared" si="9"/>
        <v>1E-3</v>
      </c>
    </row>
    <row r="55" spans="1:8" s="1" customFormat="1" x14ac:dyDescent="0.3">
      <c r="A55"/>
      <c r="B55" s="21" t="s">
        <v>32</v>
      </c>
      <c r="C55" s="22"/>
      <c r="D55" s="20">
        <f t="shared" ref="D55:G55" si="10">SUM(D51:D54)</f>
        <v>60830457.699883193</v>
      </c>
      <c r="E55" s="20">
        <f t="shared" si="10"/>
        <v>56551895.199493796</v>
      </c>
      <c r="F55" s="20">
        <f t="shared" si="10"/>
        <v>56551895.199493796</v>
      </c>
      <c r="G55" s="20">
        <f t="shared" si="10"/>
        <v>56551895.199493796</v>
      </c>
      <c r="H55"/>
    </row>
    <row r="56" spans="1:8" s="1" customFormat="1" x14ac:dyDescent="0.3">
      <c r="D56" s="63">
        <f>[4]S_BalFisico!$F$18*10^3+0.001-D55</f>
        <v>0</v>
      </c>
      <c r="E56" s="63">
        <f>[5]S_BalFisico!$F$18*10^3+0.001-E55</f>
        <v>0</v>
      </c>
      <c r="F56" s="63">
        <f>[5]S_BalFisico!$F$18*10^3+0.001-F55</f>
        <v>0</v>
      </c>
      <c r="G56" s="63">
        <f>[5]S_BalFisico!$F$18*10^3+0.001-G55</f>
        <v>0</v>
      </c>
    </row>
    <row r="57" spans="1:8" s="1" customFormat="1" x14ac:dyDescent="0.3"/>
    <row r="58" spans="1:8" s="1" customFormat="1" ht="28.95" customHeight="1" x14ac:dyDescent="0.3">
      <c r="A58"/>
      <c r="B58" s="32" t="s">
        <v>34</v>
      </c>
      <c r="C58" s="5"/>
      <c r="D58" s="5"/>
      <c r="E58" s="5"/>
      <c r="F58" s="5"/>
      <c r="G58" s="5"/>
      <c r="H58"/>
    </row>
    <row r="59" spans="1:8" s="1" customFormat="1" ht="14.4" customHeight="1" x14ac:dyDescent="0.3"/>
    <row r="60" spans="1:8" s="1" customFormat="1" ht="28.95" customHeight="1" x14ac:dyDescent="0.3">
      <c r="B60" s="35" t="s">
        <v>602</v>
      </c>
      <c r="C60" s="5"/>
      <c r="D60" s="5"/>
      <c r="E60" s="5"/>
      <c r="F60" s="5"/>
      <c r="G60" s="5"/>
    </row>
    <row r="61" spans="1:8" s="1" customFormat="1" x14ac:dyDescent="0.3">
      <c r="A61"/>
      <c r="H61"/>
    </row>
    <row r="62" spans="1:8" s="1" customFormat="1" x14ac:dyDescent="0.3">
      <c r="A62"/>
      <c r="B62" s="9" t="s">
        <v>1</v>
      </c>
      <c r="C62" s="9" t="s">
        <v>6</v>
      </c>
      <c r="D62" s="6"/>
      <c r="E62" s="6"/>
      <c r="F62" s="6"/>
      <c r="G62" s="6"/>
      <c r="H62"/>
    </row>
    <row r="63" spans="1:8" s="1" customFormat="1" x14ac:dyDescent="0.3">
      <c r="A63"/>
      <c r="B63" s="25"/>
      <c r="C63" s="25"/>
      <c r="D63" s="23" t="str">
        <f t="shared" ref="D63:G63" si="11">D$5</f>
        <v>2023-24</v>
      </c>
      <c r="E63" s="23" t="str">
        <f t="shared" si="11"/>
        <v>2024-25</v>
      </c>
      <c r="F63" s="23" t="str">
        <f t="shared" si="11"/>
        <v>2025-26</v>
      </c>
      <c r="G63" s="23" t="str">
        <f t="shared" si="11"/>
        <v>2026-27</v>
      </c>
      <c r="H63"/>
    </row>
    <row r="64" spans="1:8" s="1" customFormat="1" x14ac:dyDescent="0.3">
      <c r="A64"/>
      <c r="B64" s="24"/>
      <c r="C64" s="24"/>
      <c r="D64" s="8"/>
      <c r="E64" s="8"/>
      <c r="F64" s="8"/>
      <c r="G64" s="8"/>
      <c r="H64"/>
    </row>
    <row r="65" spans="2:7" x14ac:dyDescent="0.3">
      <c r="B65" s="10" t="s">
        <v>8</v>
      </c>
      <c r="C65" s="3" t="s">
        <v>9</v>
      </c>
      <c r="D65" s="64">
        <f t="array" ref="D65:D68">TRANSPOSE([2]Qt!$C$64:$F$64)</f>
        <v>1994814</v>
      </c>
      <c r="E65" s="64">
        <f>+[3]Qt!$C$64</f>
        <v>0</v>
      </c>
      <c r="F65" s="65">
        <f>Input!H23</f>
        <v>0</v>
      </c>
      <c r="G65" s="65">
        <f>Input!I23</f>
        <v>0</v>
      </c>
    </row>
    <row r="66" spans="2:7" x14ac:dyDescent="0.3">
      <c r="B66" s="13"/>
      <c r="C66" s="3" t="s">
        <v>10</v>
      </c>
      <c r="D66" s="64">
        <v>0</v>
      </c>
      <c r="E66" s="64">
        <f>+[3]Qt!$D$64</f>
        <v>0</v>
      </c>
      <c r="F66" s="65">
        <f>Input!H24</f>
        <v>0</v>
      </c>
      <c r="G66" s="65">
        <f>Input!I24</f>
        <v>0</v>
      </c>
    </row>
    <row r="67" spans="2:7" x14ac:dyDescent="0.3">
      <c r="B67" s="13"/>
      <c r="C67" s="3" t="s">
        <v>11</v>
      </c>
      <c r="D67" s="64">
        <v>3844403.9999999995</v>
      </c>
      <c r="E67" s="64">
        <f>+[3]Qt!$E$64</f>
        <v>2561584.0000000005</v>
      </c>
      <c r="F67" s="65">
        <f>Input!H25</f>
        <v>2561584.0000000005</v>
      </c>
      <c r="G67" s="65">
        <f>Input!I25</f>
        <v>2561584.0000000005</v>
      </c>
    </row>
    <row r="68" spans="2:7" x14ac:dyDescent="0.3">
      <c r="B68" s="13"/>
      <c r="C68" s="3" t="s">
        <v>12</v>
      </c>
      <c r="D68" s="64">
        <v>7164681.5342465742</v>
      </c>
      <c r="E68" s="64">
        <f>+[3]Qt!$F$64</f>
        <v>25198760.186301369</v>
      </c>
      <c r="F68" s="65">
        <f>Input!H26</f>
        <v>25198760.186301369</v>
      </c>
      <c r="G68" s="65">
        <f>Input!I26</f>
        <v>25198760.186301369</v>
      </c>
    </row>
    <row r="69" spans="2:7" x14ac:dyDescent="0.3">
      <c r="B69" s="14"/>
      <c r="C69" s="3" t="s">
        <v>13</v>
      </c>
      <c r="D69" s="64">
        <f>[2]Qt!$G$64*24</f>
        <v>747673.69315068494</v>
      </c>
      <c r="E69" s="64">
        <f>[3]Qt!$G$64*24</f>
        <v>395278.85205479449</v>
      </c>
      <c r="F69" s="65">
        <f>Input!H27</f>
        <v>395278.85205479449</v>
      </c>
      <c r="G69" s="65">
        <f>Input!I27</f>
        <v>395278.85205479449</v>
      </c>
    </row>
    <row r="70" spans="2:7" x14ac:dyDescent="0.3">
      <c r="B70" s="10" t="s">
        <v>14</v>
      </c>
      <c r="C70" s="3" t="s">
        <v>9</v>
      </c>
      <c r="D70" s="64">
        <f t="array" ref="D70:D73">TRANSPOSE([2]Qt!$C$65:$F$65)</f>
        <v>0</v>
      </c>
      <c r="E70" s="64">
        <f>+[3]Qt!$C$65</f>
        <v>0</v>
      </c>
      <c r="F70" s="65">
        <f>Input!H28</f>
        <v>0</v>
      </c>
      <c r="G70" s="65">
        <f>Input!I28</f>
        <v>0</v>
      </c>
    </row>
    <row r="71" spans="2:7" x14ac:dyDescent="0.3">
      <c r="B71" s="13"/>
      <c r="C71" s="3" t="s">
        <v>10</v>
      </c>
      <c r="D71" s="64">
        <v>0</v>
      </c>
      <c r="E71" s="64">
        <f>+[3]Qt!$D$65</f>
        <v>0</v>
      </c>
      <c r="F71" s="65">
        <f>Input!H29</f>
        <v>0</v>
      </c>
      <c r="G71" s="65">
        <f>Input!I29</f>
        <v>0</v>
      </c>
    </row>
    <row r="72" spans="2:7" x14ac:dyDescent="0.3">
      <c r="B72" s="13"/>
      <c r="C72" s="3" t="s">
        <v>11</v>
      </c>
      <c r="D72" s="64">
        <v>0</v>
      </c>
      <c r="E72" s="64">
        <f>+[3]Qt!$E$65</f>
        <v>0</v>
      </c>
      <c r="F72" s="65">
        <f>Input!H30</f>
        <v>0</v>
      </c>
      <c r="G72" s="65">
        <f>Input!I30</f>
        <v>0</v>
      </c>
    </row>
    <row r="73" spans="2:7" x14ac:dyDescent="0.3">
      <c r="B73" s="13"/>
      <c r="C73" s="3" t="s">
        <v>12</v>
      </c>
      <c r="D73" s="64">
        <v>0</v>
      </c>
      <c r="E73" s="64">
        <f>+[3]Qt!$F$65</f>
        <v>0</v>
      </c>
      <c r="F73" s="65">
        <f>Input!H31</f>
        <v>0</v>
      </c>
      <c r="G73" s="65">
        <f>Input!I31</f>
        <v>0</v>
      </c>
    </row>
    <row r="74" spans="2:7" x14ac:dyDescent="0.3">
      <c r="B74" s="14"/>
      <c r="C74" s="3" t="s">
        <v>13</v>
      </c>
      <c r="D74" s="64">
        <f>[2]Qt!$G$65*24</f>
        <v>0</v>
      </c>
      <c r="E74" s="64">
        <f>+[3]Qt!$G$65</f>
        <v>0</v>
      </c>
      <c r="F74" s="65">
        <f>Input!H32</f>
        <v>0</v>
      </c>
      <c r="G74" s="65">
        <f>Input!I32</f>
        <v>0</v>
      </c>
    </row>
    <row r="75" spans="2:7" x14ac:dyDescent="0.3">
      <c r="B75" s="10" t="s">
        <v>15</v>
      </c>
      <c r="C75" s="3" t="s">
        <v>12</v>
      </c>
      <c r="D75" s="64">
        <f>[2]Qt!$F$66</f>
        <v>8951694.2465753425</v>
      </c>
      <c r="E75" s="64">
        <f>+[3]Qt!$F$66</f>
        <v>6555128.6712328773</v>
      </c>
      <c r="F75" s="65">
        <f>Input!H33</f>
        <v>6555128.6712328773</v>
      </c>
      <c r="G75" s="65">
        <f>Input!I33</f>
        <v>6555128.6712328773</v>
      </c>
    </row>
    <row r="76" spans="2:7" x14ac:dyDescent="0.3">
      <c r="B76" s="14"/>
      <c r="C76" s="3" t="s">
        <v>13</v>
      </c>
      <c r="D76" s="64">
        <f>[2]Qt!$G$66*24</f>
        <v>2674277.9479452055</v>
      </c>
      <c r="E76" s="64">
        <f>+[3]Qt!$G$66*24</f>
        <v>515312</v>
      </c>
      <c r="F76" s="65">
        <f>Input!H34</f>
        <v>515312</v>
      </c>
      <c r="G76" s="65">
        <f>Input!I34</f>
        <v>515312</v>
      </c>
    </row>
    <row r="77" spans="2:7" x14ac:dyDescent="0.3">
      <c r="B77" s="15" t="s">
        <v>17</v>
      </c>
      <c r="C77" s="3" t="s">
        <v>18</v>
      </c>
      <c r="D77" s="64">
        <f>[2]Qt!$C$84+[2]Qt!$C$92+[2]Qt!$C$95+[2]Qt!$C$127/[2]AUX!$C$32</f>
        <v>175449767.87513986</v>
      </c>
      <c r="E77" s="64">
        <f>[3]Qt!$C$84+[3]Qt!$C$92+[3]Qt!$C$95+[3]Qt!$C$127/[3]AUX!$C$32</f>
        <v>165852149.48415494</v>
      </c>
      <c r="F77" s="65">
        <f>Input!H35</f>
        <v>165852149.48415494</v>
      </c>
      <c r="G77" s="65">
        <f>Input!I35</f>
        <v>165852149.48415494</v>
      </c>
    </row>
    <row r="78" spans="2:7" x14ac:dyDescent="0.3">
      <c r="B78" s="10" t="s">
        <v>19</v>
      </c>
      <c r="C78" s="3" t="s">
        <v>20</v>
      </c>
      <c r="D78" s="64">
        <f>[2]Qt!$C$93+[2]Qt!$C$96</f>
        <v>132905216.57454209</v>
      </c>
      <c r="E78" s="64">
        <f>[3]Qt!$C$93+[3]Qt!$C$96</f>
        <v>146529209.96653783</v>
      </c>
      <c r="F78" s="65">
        <f>Input!H36</f>
        <v>146529209.96653783</v>
      </c>
      <c r="G78" s="65">
        <f>Input!I36</f>
        <v>146529209.96653783</v>
      </c>
    </row>
    <row r="79" spans="2:7" x14ac:dyDescent="0.3">
      <c r="B79" s="13"/>
      <c r="C79" s="3" t="s">
        <v>21</v>
      </c>
      <c r="D79" s="64">
        <f>([2]Qt!$D$93+[2]Qt!$D$96)/2</f>
        <v>2812532.9945013379</v>
      </c>
      <c r="E79" s="64">
        <f>([3]Qt!$D$93+[3]Qt!$D$96)/2</f>
        <v>0</v>
      </c>
      <c r="F79" s="65">
        <f>Input!H37</f>
        <v>0</v>
      </c>
      <c r="G79" s="65">
        <f>Input!I37</f>
        <v>0</v>
      </c>
    </row>
    <row r="80" spans="2:7" x14ac:dyDescent="0.3">
      <c r="B80" s="13"/>
      <c r="C80" s="3" t="s">
        <v>22</v>
      </c>
      <c r="D80" s="64">
        <f>([2]Qt!$E$94+[2]Qt!$E$97)/2</f>
        <v>1161559.1052387906</v>
      </c>
      <c r="E80" s="64">
        <f>([3]Qt!$E$94+[3]Qt!$E$97)/2</f>
        <v>342023</v>
      </c>
      <c r="F80" s="65">
        <f>Input!H38</f>
        <v>342023</v>
      </c>
      <c r="G80" s="65">
        <f>Input!I38</f>
        <v>342023</v>
      </c>
    </row>
    <row r="81" spans="2:9" x14ac:dyDescent="0.3">
      <c r="B81" s="13"/>
      <c r="C81" s="3" t="s">
        <v>23</v>
      </c>
      <c r="D81" s="64">
        <f>([2]Qt!$D$94+[2]Qt!$D$97)/2</f>
        <v>181571.81352116147</v>
      </c>
      <c r="E81" s="64">
        <f>([3]Qt!$D$94+[3]Qt!$D$97)/2</f>
        <v>342023</v>
      </c>
      <c r="F81" s="65">
        <f>Input!H39</f>
        <v>342023</v>
      </c>
      <c r="G81" s="65">
        <f>Input!I39</f>
        <v>342023</v>
      </c>
    </row>
    <row r="82" spans="2:9" x14ac:dyDescent="0.3">
      <c r="B82" s="13"/>
      <c r="C82" s="3" t="s">
        <v>24</v>
      </c>
      <c r="D82" s="4">
        <f>0</f>
        <v>0</v>
      </c>
      <c r="E82" s="4">
        <f>0</f>
        <v>0</v>
      </c>
      <c r="F82" s="65">
        <f>Input!H40</f>
        <v>0</v>
      </c>
      <c r="G82" s="65">
        <f>Input!I40</f>
        <v>0</v>
      </c>
    </row>
    <row r="83" spans="2:9" x14ac:dyDescent="0.3">
      <c r="B83" s="14"/>
      <c r="C83" s="3" t="s">
        <v>25</v>
      </c>
      <c r="D83" s="4">
        <f>0</f>
        <v>0</v>
      </c>
      <c r="E83" s="4">
        <f>0</f>
        <v>0</v>
      </c>
      <c r="F83" s="65">
        <f>Input!H41</f>
        <v>0</v>
      </c>
      <c r="G83" s="65">
        <f>Input!I41</f>
        <v>0</v>
      </c>
    </row>
    <row r="84" spans="2:9" x14ac:dyDescent="0.3">
      <c r="D84" s="63">
        <f>SUM([2]Qt!$C$67:$F$67,[2]Qt!$C$85,[2]Qt!$C$98)+[2]Qt!$G$67*24+SUM([2]Qt!$D$98:$E$98)/2+[2]Qt!$C$127/150-SUM(D65:D83)</f>
        <v>0</v>
      </c>
      <c r="E84" s="63">
        <f>SUM([3]Qt!$C$67:$F$67,[3]Qt!$C$85,[3]Qt!$C$98)+[3]Qt!$G$67*24+SUM([3]Qt!$D$98:$E$98)/2+[3]Qt!$C$127/150-SUM(E65:E83)</f>
        <v>0</v>
      </c>
      <c r="F84" s="63">
        <f>SUM([3]Qt!$C$67:$F$67,[3]Qt!$C$85,[3]Qt!$C$98)+[3]Qt!$G$67*24+SUM([3]Qt!$D$98:$E$98)/2+[3]Qt!$C$127/150-SUM(F65:F83)</f>
        <v>0</v>
      </c>
      <c r="G84" s="63">
        <f>SUM([3]Qt!$C$67:$F$67,[3]Qt!$C$85,[3]Qt!$C$98)+[3]Qt!$G$67*24+SUM([3]Qt!$D$98:$E$98)/2+[3]Qt!$C$127/150-SUM(G65:G83)</f>
        <v>0</v>
      </c>
    </row>
    <row r="85" spans="2:9" s="1" customFormat="1" x14ac:dyDescent="0.3"/>
    <row r="86" spans="2:9" s="1" customFormat="1" ht="28.95" customHeight="1" x14ac:dyDescent="0.3">
      <c r="B86" s="35" t="s">
        <v>603</v>
      </c>
      <c r="C86" s="5"/>
      <c r="D86" s="5"/>
      <c r="E86" s="5"/>
      <c r="F86" s="5"/>
      <c r="G86" s="5"/>
    </row>
    <row r="87" spans="2:9" s="1" customFormat="1" x14ac:dyDescent="0.3"/>
    <row r="88" spans="2:9" s="1" customFormat="1" x14ac:dyDescent="0.3">
      <c r="B88" s="9" t="s">
        <v>1</v>
      </c>
      <c r="C88" s="9" t="s">
        <v>6</v>
      </c>
      <c r="D88" s="6"/>
      <c r="E88" s="6"/>
      <c r="F88" s="6"/>
      <c r="G88" s="6"/>
    </row>
    <row r="89" spans="2:9" s="1" customFormat="1" x14ac:dyDescent="0.3">
      <c r="B89" s="25"/>
      <c r="C89" s="25"/>
      <c r="D89" s="23" t="str">
        <f t="shared" ref="D89:G89" si="12">D$5</f>
        <v>2023-24</v>
      </c>
      <c r="E89" s="23" t="str">
        <f t="shared" si="12"/>
        <v>2024-25</v>
      </c>
      <c r="F89" s="23" t="str">
        <f t="shared" si="12"/>
        <v>2025-26</v>
      </c>
      <c r="G89" s="23" t="str">
        <f t="shared" si="12"/>
        <v>2026-27</v>
      </c>
    </row>
    <row r="90" spans="2:9" s="1" customFormat="1" x14ac:dyDescent="0.3">
      <c r="B90" s="24"/>
      <c r="C90" s="24"/>
      <c r="D90" s="8"/>
      <c r="E90" s="8"/>
      <c r="F90" s="8"/>
      <c r="G90" s="8"/>
    </row>
    <row r="91" spans="2:9" s="1" customFormat="1" x14ac:dyDescent="0.3">
      <c r="B91" s="10" t="s">
        <v>8</v>
      </c>
      <c r="C91" s="3" t="s">
        <v>12</v>
      </c>
      <c r="D91" s="4">
        <v>0</v>
      </c>
      <c r="E91" s="65">
        <f t="shared" ref="E91:G91" si="13">D91</f>
        <v>0</v>
      </c>
      <c r="F91" s="65">
        <f t="shared" si="13"/>
        <v>0</v>
      </c>
      <c r="G91" s="65">
        <f t="shared" si="13"/>
        <v>0</v>
      </c>
      <c r="I91"/>
    </row>
    <row r="92" spans="2:9" s="1" customFormat="1" x14ac:dyDescent="0.3">
      <c r="B92" s="12"/>
      <c r="C92" s="3" t="s">
        <v>13</v>
      </c>
      <c r="D92" s="4">
        <v>0</v>
      </c>
      <c r="E92" s="65">
        <f t="shared" ref="E92:G92" si="14">D92</f>
        <v>0</v>
      </c>
      <c r="F92" s="65">
        <f t="shared" si="14"/>
        <v>0</v>
      </c>
      <c r="G92" s="65">
        <f t="shared" si="14"/>
        <v>0</v>
      </c>
    </row>
    <row r="93" spans="2:9" s="1" customFormat="1" x14ac:dyDescent="0.3">
      <c r="B93" s="10" t="s">
        <v>14</v>
      </c>
      <c r="C93" s="3" t="s">
        <v>12</v>
      </c>
      <c r="D93" s="4">
        <v>1</v>
      </c>
      <c r="E93" s="65">
        <f t="shared" ref="E93:G93" si="15">D93</f>
        <v>1</v>
      </c>
      <c r="F93" s="65">
        <f t="shared" si="15"/>
        <v>1</v>
      </c>
      <c r="G93" s="65">
        <f t="shared" si="15"/>
        <v>1</v>
      </c>
    </row>
    <row r="94" spans="2:9" s="1" customFormat="1" x14ac:dyDescent="0.3">
      <c r="B94" s="12"/>
      <c r="C94" s="3" t="s">
        <v>13</v>
      </c>
      <c r="D94" s="4">
        <v>0</v>
      </c>
      <c r="E94" s="65">
        <f t="shared" ref="E94:G94" si="16">D94</f>
        <v>0</v>
      </c>
      <c r="F94" s="65">
        <f t="shared" si="16"/>
        <v>0</v>
      </c>
      <c r="G94" s="65">
        <f t="shared" si="16"/>
        <v>0</v>
      </c>
    </row>
    <row r="95" spans="2:9" s="1" customFormat="1" x14ac:dyDescent="0.3">
      <c r="B95" s="15" t="s">
        <v>15</v>
      </c>
      <c r="C95" s="3" t="s">
        <v>13</v>
      </c>
      <c r="D95" s="4">
        <v>0</v>
      </c>
      <c r="E95" s="65">
        <f t="shared" ref="E95:G95" si="17">D95</f>
        <v>0</v>
      </c>
      <c r="F95" s="65">
        <f t="shared" si="17"/>
        <v>0</v>
      </c>
      <c r="G95" s="65">
        <f t="shared" si="17"/>
        <v>0</v>
      </c>
    </row>
    <row r="96" spans="2:9" x14ac:dyDescent="0.3"/>
    <row r="97" spans="1:7" s="1" customFormat="1" x14ac:dyDescent="0.3"/>
    <row r="98" spans="1:7" s="1" customFormat="1" ht="28.95" customHeight="1" x14ac:dyDescent="0.3">
      <c r="B98" s="35" t="s">
        <v>604</v>
      </c>
      <c r="C98" s="5"/>
      <c r="D98" s="5"/>
      <c r="E98" s="5"/>
      <c r="F98" s="5"/>
      <c r="G98" s="5"/>
    </row>
    <row r="99" spans="1:7" s="1" customFormat="1" x14ac:dyDescent="0.3"/>
    <row r="100" spans="1:7" s="1" customFormat="1" x14ac:dyDescent="0.3">
      <c r="B100" s="26" t="s">
        <v>1</v>
      </c>
      <c r="C100" s="27"/>
      <c r="D100" s="6"/>
      <c r="E100" s="6"/>
      <c r="F100" s="6"/>
      <c r="G100" s="6"/>
    </row>
    <row r="101" spans="1:7" s="1" customFormat="1" x14ac:dyDescent="0.3">
      <c r="B101" s="28"/>
      <c r="C101" s="29"/>
      <c r="D101" s="23" t="str">
        <f t="shared" ref="D101:G101" si="18">D$5</f>
        <v>2023-24</v>
      </c>
      <c r="E101" s="23" t="str">
        <f t="shared" si="18"/>
        <v>2024-25</v>
      </c>
      <c r="F101" s="23" t="str">
        <f t="shared" si="18"/>
        <v>2025-26</v>
      </c>
      <c r="G101" s="23" t="str">
        <f t="shared" si="18"/>
        <v>2026-27</v>
      </c>
    </row>
    <row r="102" spans="1:7" s="1" customFormat="1" x14ac:dyDescent="0.3">
      <c r="B102" s="30"/>
      <c r="C102" s="31"/>
      <c r="D102" s="8"/>
      <c r="E102" s="8"/>
      <c r="F102" s="8"/>
      <c r="G102" s="8"/>
    </row>
    <row r="103" spans="1:7" s="1" customFormat="1" x14ac:dyDescent="0.3">
      <c r="B103" s="16" t="str">
        <f>B65</f>
        <v>VIP</v>
      </c>
      <c r="C103" s="17"/>
      <c r="D103" s="64">
        <f>[4]S_BalFisico!$F$21*10^3</f>
        <v>1869802.9859999998</v>
      </c>
      <c r="E103" s="64">
        <f>[5]S_BalFisico!$F$21*10^3</f>
        <v>3369300.2760000001</v>
      </c>
      <c r="F103" s="65">
        <f t="shared" ref="F103:G104" si="19">E103</f>
        <v>3369300.2760000001</v>
      </c>
      <c r="G103" s="65">
        <f t="shared" si="19"/>
        <v>3369300.2760000001</v>
      </c>
    </row>
    <row r="104" spans="1:7" s="1" customFormat="1" x14ac:dyDescent="0.3">
      <c r="B104" s="16" t="str">
        <f>B70</f>
        <v>LNG terminal</v>
      </c>
      <c r="C104" s="17"/>
      <c r="D104" s="84">
        <v>1E-3</v>
      </c>
      <c r="E104" s="84">
        <f>+D104</f>
        <v>1E-3</v>
      </c>
      <c r="F104" s="85">
        <f t="shared" si="19"/>
        <v>1E-3</v>
      </c>
      <c r="G104" s="85">
        <f t="shared" si="19"/>
        <v>1E-3</v>
      </c>
    </row>
    <row r="105" spans="1:7" s="1" customFormat="1" x14ac:dyDescent="0.3">
      <c r="B105" s="16" t="s">
        <v>15</v>
      </c>
      <c r="C105" s="17"/>
      <c r="D105" s="64">
        <f>[4]S_BalFisico!$F$22*10^3</f>
        <v>3338730.9539999999</v>
      </c>
      <c r="E105" s="64">
        <f>[5]S_BalFisico!$F$22*10^3</f>
        <v>2215643.4720000001</v>
      </c>
      <c r="F105" s="65">
        <f t="shared" ref="F105:G105" si="20">E105</f>
        <v>2215643.4720000001</v>
      </c>
      <c r="G105" s="65">
        <f t="shared" si="20"/>
        <v>2215643.4720000001</v>
      </c>
    </row>
    <row r="106" spans="1:7" s="1" customFormat="1" x14ac:dyDescent="0.3">
      <c r="B106" s="16" t="s">
        <v>257</v>
      </c>
      <c r="C106" s="17"/>
      <c r="D106" s="64">
        <f>SUM([4]S_BalFisico!$F$23:$F$25)*10^3</f>
        <v>55564894.214883201</v>
      </c>
      <c r="E106" s="64">
        <f>SUM([5]S_BalFisico!$F$23:$F$25)*10^3</f>
        <v>50915141.594493806</v>
      </c>
      <c r="F106" s="65">
        <f t="shared" ref="F106:G106" si="21">E106</f>
        <v>50915141.594493806</v>
      </c>
      <c r="G106" s="65">
        <f t="shared" si="21"/>
        <v>50915141.594493806</v>
      </c>
    </row>
    <row r="107" spans="1:7" s="1" customFormat="1" x14ac:dyDescent="0.3">
      <c r="B107" s="21" t="s">
        <v>32</v>
      </c>
      <c r="C107" s="22"/>
      <c r="D107" s="20">
        <f>SUM(D103:D106)</f>
        <v>60773428.1558832</v>
      </c>
      <c r="E107" s="20">
        <f>SUM(E103:E106)</f>
        <v>56500085.343493804</v>
      </c>
      <c r="F107" s="20">
        <f>SUM(F103:F106)</f>
        <v>56500085.343493804</v>
      </c>
      <c r="G107" s="20">
        <f>SUM(G103:G106)</f>
        <v>56500085.343493804</v>
      </c>
    </row>
    <row r="108" spans="1:7" s="1" customFormat="1" x14ac:dyDescent="0.3">
      <c r="D108" s="63">
        <f>[4]S_BalFisico!$F$26*10^3+0.001-D107</f>
        <v>0</v>
      </c>
      <c r="E108" s="63">
        <f>[5]S_BalFisico!$F$26*10^3+0.001-E107</f>
        <v>0</v>
      </c>
      <c r="F108" s="63">
        <f>[5]S_BalFisico!$F$26*10^3+0.001-F107</f>
        <v>0</v>
      </c>
      <c r="G108" s="63">
        <f>[5]S_BalFisico!$F$26*10^3+0.001-G107</f>
        <v>0</v>
      </c>
    </row>
    <row r="109" spans="1:7" x14ac:dyDescent="0.3"/>
    <row r="110" spans="1:7" ht="28.95" customHeight="1" x14ac:dyDescent="0.3">
      <c r="A110" s="1"/>
      <c r="B110" s="32" t="s">
        <v>42</v>
      </c>
      <c r="C110" s="5"/>
      <c r="D110" s="5"/>
      <c r="E110" s="5"/>
      <c r="F110" s="5"/>
      <c r="G110" s="5"/>
    </row>
    <row r="111" spans="1:7" x14ac:dyDescent="0.3">
      <c r="A111" s="1"/>
      <c r="B111" s="1"/>
      <c r="D111" s="1"/>
      <c r="E111" s="1"/>
      <c r="G111" s="1"/>
    </row>
    <row r="112" spans="1:7" x14ac:dyDescent="0.3">
      <c r="B112" s="26" t="s">
        <v>38</v>
      </c>
      <c r="C112" s="27"/>
      <c r="D112" s="6"/>
      <c r="E112" s="6"/>
      <c r="F112" s="6"/>
      <c r="G112" s="6"/>
    </row>
    <row r="113" spans="2:9" x14ac:dyDescent="0.3">
      <c r="B113" s="28"/>
      <c r="C113" s="29"/>
      <c r="D113" s="23" t="str">
        <f t="shared" ref="D113:G113" si="22">D$5</f>
        <v>2023-24</v>
      </c>
      <c r="E113" s="23" t="str">
        <f t="shared" si="22"/>
        <v>2024-25</v>
      </c>
      <c r="F113" s="23" t="str">
        <f t="shared" si="22"/>
        <v>2025-26</v>
      </c>
      <c r="G113" s="23" t="str">
        <f t="shared" si="22"/>
        <v>2026-27</v>
      </c>
    </row>
    <row r="114" spans="2:9" x14ac:dyDescent="0.3">
      <c r="B114" s="30"/>
      <c r="C114" s="31"/>
      <c r="D114" s="8"/>
      <c r="E114" s="8"/>
      <c r="F114" s="8"/>
      <c r="G114" s="8"/>
    </row>
    <row r="115" spans="2:9" x14ac:dyDescent="0.3">
      <c r="B115" s="10" t="s">
        <v>8</v>
      </c>
      <c r="C115" s="3" t="s">
        <v>9</v>
      </c>
      <c r="D115" s="39">
        <v>1</v>
      </c>
      <c r="E115" s="66">
        <f t="shared" ref="E115" si="23">D115</f>
        <v>1</v>
      </c>
      <c r="F115" s="66">
        <f t="shared" ref="F115:G115" si="24">E115</f>
        <v>1</v>
      </c>
      <c r="G115" s="66">
        <f t="shared" si="24"/>
        <v>1</v>
      </c>
      <c r="I115" s="59"/>
    </row>
    <row r="116" spans="2:9" x14ac:dyDescent="0.3">
      <c r="B116" s="11"/>
      <c r="C116" s="3" t="s">
        <v>10</v>
      </c>
      <c r="D116" s="39">
        <v>1.3</v>
      </c>
      <c r="E116" s="117">
        <f>[6]Folha1!C7</f>
        <v>1.18</v>
      </c>
      <c r="F116" s="66">
        <f t="shared" ref="F116:G116" si="25">E116</f>
        <v>1.18</v>
      </c>
      <c r="G116" s="66">
        <f t="shared" si="25"/>
        <v>1.18</v>
      </c>
    </row>
    <row r="117" spans="2:9" x14ac:dyDescent="0.3">
      <c r="B117" s="11"/>
      <c r="C117" s="3" t="s">
        <v>11</v>
      </c>
      <c r="D117" s="39">
        <v>1.5</v>
      </c>
      <c r="E117" s="117">
        <f>[6]Folha1!C8</f>
        <v>1.35</v>
      </c>
      <c r="F117" s="66">
        <f t="shared" ref="F117:G117" si="26">E117</f>
        <v>1.35</v>
      </c>
      <c r="G117" s="66">
        <f t="shared" si="26"/>
        <v>1.35</v>
      </c>
    </row>
    <row r="118" spans="2:9" x14ac:dyDescent="0.3">
      <c r="B118" s="11"/>
      <c r="C118" s="3" t="s">
        <v>12</v>
      </c>
      <c r="D118" s="39">
        <v>2</v>
      </c>
      <c r="E118" s="117">
        <f>[6]Folha1!C9</f>
        <v>1.94</v>
      </c>
      <c r="F118" s="66">
        <f t="shared" ref="F118:G118" si="27">E118</f>
        <v>1.94</v>
      </c>
      <c r="G118" s="66">
        <f t="shared" si="27"/>
        <v>1.94</v>
      </c>
    </row>
    <row r="119" spans="2:9" x14ac:dyDescent="0.3">
      <c r="B119" s="12"/>
      <c r="C119" s="3" t="s">
        <v>13</v>
      </c>
      <c r="D119" s="39">
        <v>2.2000000000000002</v>
      </c>
      <c r="E119" s="117">
        <f>[6]Folha1!C10</f>
        <v>2.13</v>
      </c>
      <c r="F119" s="66">
        <f t="shared" ref="F119:G119" si="28">E119</f>
        <v>2.13</v>
      </c>
      <c r="G119" s="66">
        <f t="shared" si="28"/>
        <v>2.13</v>
      </c>
    </row>
    <row r="120" spans="2:9" x14ac:dyDescent="0.3">
      <c r="B120" s="10" t="s">
        <v>14</v>
      </c>
      <c r="C120" s="3" t="s">
        <v>9</v>
      </c>
      <c r="D120" s="39">
        <v>1</v>
      </c>
      <c r="E120" s="66">
        <f t="shared" ref="E120" si="29">D120</f>
        <v>1</v>
      </c>
      <c r="F120" s="66">
        <f t="shared" ref="F120:G120" si="30">E120</f>
        <v>1</v>
      </c>
      <c r="G120" s="66">
        <f t="shared" si="30"/>
        <v>1</v>
      </c>
    </row>
    <row r="121" spans="2:9" x14ac:dyDescent="0.3">
      <c r="B121" s="13"/>
      <c r="C121" s="3" t="s">
        <v>10</v>
      </c>
      <c r="D121" s="39">
        <v>1.3</v>
      </c>
      <c r="E121" s="117">
        <f>[6]Folha1!C14</f>
        <v>1.18</v>
      </c>
      <c r="F121" s="66">
        <f t="shared" ref="F121:G121" si="31">E121</f>
        <v>1.18</v>
      </c>
      <c r="G121" s="66">
        <f t="shared" si="31"/>
        <v>1.18</v>
      </c>
    </row>
    <row r="122" spans="2:9" x14ac:dyDescent="0.3">
      <c r="B122" s="13"/>
      <c r="C122" s="3" t="s">
        <v>11</v>
      </c>
      <c r="D122" s="39">
        <v>1.5</v>
      </c>
      <c r="E122" s="117">
        <f>[6]Folha1!C15</f>
        <v>1.35</v>
      </c>
      <c r="F122" s="66">
        <f t="shared" ref="F122:G122" si="32">E122</f>
        <v>1.35</v>
      </c>
      <c r="G122" s="66">
        <f t="shared" si="32"/>
        <v>1.35</v>
      </c>
    </row>
    <row r="123" spans="2:9" x14ac:dyDescent="0.3">
      <c r="B123" s="13"/>
      <c r="C123" s="3" t="s">
        <v>12</v>
      </c>
      <c r="D123" s="39">
        <v>2</v>
      </c>
      <c r="E123" s="117">
        <f>[6]Folha1!C16</f>
        <v>1.94</v>
      </c>
      <c r="F123" s="66">
        <f t="shared" ref="F123:G123" si="33">E123</f>
        <v>1.94</v>
      </c>
      <c r="G123" s="66">
        <f t="shared" si="33"/>
        <v>1.94</v>
      </c>
    </row>
    <row r="124" spans="2:9" x14ac:dyDescent="0.3">
      <c r="B124" s="14"/>
      <c r="C124" s="3" t="s">
        <v>13</v>
      </c>
      <c r="D124" s="39">
        <v>2.2000000000000002</v>
      </c>
      <c r="E124" s="117">
        <f>[6]Folha1!C17</f>
        <v>2.13</v>
      </c>
      <c r="F124" s="66">
        <f t="shared" ref="F124:G124" si="34">E124</f>
        <v>2.13</v>
      </c>
      <c r="G124" s="66">
        <f t="shared" si="34"/>
        <v>2.13</v>
      </c>
    </row>
    <row r="125" spans="2:9" x14ac:dyDescent="0.3">
      <c r="B125" s="10" t="s">
        <v>15</v>
      </c>
      <c r="C125" s="3" t="s">
        <v>12</v>
      </c>
      <c r="D125" s="39">
        <v>1</v>
      </c>
      <c r="E125" s="117">
        <f>[6]Folha1!C21</f>
        <v>1</v>
      </c>
      <c r="F125" s="66">
        <f t="shared" ref="F125:G125" si="35">E125</f>
        <v>1</v>
      </c>
      <c r="G125" s="66">
        <f t="shared" si="35"/>
        <v>1</v>
      </c>
    </row>
    <row r="126" spans="2:9" x14ac:dyDescent="0.3">
      <c r="B126" s="14"/>
      <c r="C126" s="3" t="s">
        <v>13</v>
      </c>
      <c r="D126" s="39">
        <v>1.1000000000000001</v>
      </c>
      <c r="E126" s="117">
        <f>[6]Folha1!C22</f>
        <v>1.1000000000000001</v>
      </c>
      <c r="F126" s="66">
        <f t="shared" ref="F126:G126" si="36">E126</f>
        <v>1.1000000000000001</v>
      </c>
      <c r="G126" s="66">
        <f t="shared" si="36"/>
        <v>1.1000000000000001</v>
      </c>
    </row>
    <row r="127" spans="2:9" s="1" customFormat="1" x14ac:dyDescent="0.3">
      <c r="B127" s="15" t="s">
        <v>26</v>
      </c>
      <c r="C127" s="3" t="s">
        <v>27</v>
      </c>
      <c r="D127" s="39">
        <v>1</v>
      </c>
      <c r="E127" s="66">
        <f t="shared" ref="E127" si="37">D127</f>
        <v>1</v>
      </c>
      <c r="F127" s="66">
        <f t="shared" ref="F127:G127" si="38">E127</f>
        <v>1</v>
      </c>
      <c r="G127" s="66">
        <f t="shared" si="38"/>
        <v>1</v>
      </c>
    </row>
    <row r="128" spans="2:9" x14ac:dyDescent="0.3"/>
    <row r="129" spans="2:7" x14ac:dyDescent="0.3"/>
    <row r="130" spans="2:7" x14ac:dyDescent="0.3">
      <c r="B130" s="26" t="s">
        <v>39</v>
      </c>
      <c r="C130" s="27"/>
      <c r="D130" s="6"/>
      <c r="E130" s="6"/>
      <c r="F130" s="6"/>
      <c r="G130" s="6"/>
    </row>
    <row r="131" spans="2:7" x14ac:dyDescent="0.3">
      <c r="B131" s="28"/>
      <c r="C131" s="29"/>
      <c r="D131" s="23" t="str">
        <f t="shared" ref="D131:G131" si="39">D$5</f>
        <v>2023-24</v>
      </c>
      <c r="E131" s="23" t="str">
        <f t="shared" si="39"/>
        <v>2024-25</v>
      </c>
      <c r="F131" s="23" t="str">
        <f t="shared" si="39"/>
        <v>2025-26</v>
      </c>
      <c r="G131" s="23" t="str">
        <f t="shared" si="39"/>
        <v>2026-27</v>
      </c>
    </row>
    <row r="132" spans="2:7" x14ac:dyDescent="0.3">
      <c r="B132" s="30"/>
      <c r="C132" s="31"/>
      <c r="D132" s="8"/>
      <c r="E132" s="8"/>
      <c r="F132" s="8"/>
      <c r="G132" s="8"/>
    </row>
    <row r="133" spans="2:7" x14ac:dyDescent="0.3">
      <c r="B133" s="10" t="s">
        <v>8</v>
      </c>
      <c r="C133" s="3" t="s">
        <v>9</v>
      </c>
      <c r="D133" s="39">
        <v>1</v>
      </c>
      <c r="E133" s="66">
        <f>E115</f>
        <v>1</v>
      </c>
      <c r="F133" s="66">
        <f t="shared" ref="F133:G133" si="40">E133</f>
        <v>1</v>
      </c>
      <c r="G133" s="66">
        <f t="shared" si="40"/>
        <v>1</v>
      </c>
    </row>
    <row r="134" spans="2:7" x14ac:dyDescent="0.3">
      <c r="B134" s="13"/>
      <c r="C134" s="3" t="s">
        <v>10</v>
      </c>
      <c r="D134" s="39">
        <v>1.3</v>
      </c>
      <c r="E134" s="66">
        <f t="shared" ref="E134:E144" si="41">E116</f>
        <v>1.18</v>
      </c>
      <c r="F134" s="66">
        <f t="shared" ref="F134:G134" si="42">E134</f>
        <v>1.18</v>
      </c>
      <c r="G134" s="66">
        <f t="shared" si="42"/>
        <v>1.18</v>
      </c>
    </row>
    <row r="135" spans="2:7" x14ac:dyDescent="0.3">
      <c r="B135" s="13"/>
      <c r="C135" s="3" t="s">
        <v>11</v>
      </c>
      <c r="D135" s="39">
        <v>1.5</v>
      </c>
      <c r="E135" s="66">
        <f t="shared" si="41"/>
        <v>1.35</v>
      </c>
      <c r="F135" s="66">
        <f t="shared" ref="F135:G135" si="43">E135</f>
        <v>1.35</v>
      </c>
      <c r="G135" s="66">
        <f t="shared" si="43"/>
        <v>1.35</v>
      </c>
    </row>
    <row r="136" spans="2:7" x14ac:dyDescent="0.3">
      <c r="B136" s="13"/>
      <c r="C136" s="3" t="s">
        <v>12</v>
      </c>
      <c r="D136" s="39">
        <v>2</v>
      </c>
      <c r="E136" s="66">
        <f t="shared" si="41"/>
        <v>1.94</v>
      </c>
      <c r="F136" s="66">
        <f t="shared" ref="F136:G136" si="44">E136</f>
        <v>1.94</v>
      </c>
      <c r="G136" s="66">
        <f t="shared" si="44"/>
        <v>1.94</v>
      </c>
    </row>
    <row r="137" spans="2:7" x14ac:dyDescent="0.3">
      <c r="B137" s="14"/>
      <c r="C137" s="3" t="s">
        <v>13</v>
      </c>
      <c r="D137" s="39">
        <v>2.2000000000000002</v>
      </c>
      <c r="E137" s="66">
        <f t="shared" si="41"/>
        <v>2.13</v>
      </c>
      <c r="F137" s="66">
        <f t="shared" ref="F137:G137" si="45">E137</f>
        <v>2.13</v>
      </c>
      <c r="G137" s="66">
        <f t="shared" si="45"/>
        <v>2.13</v>
      </c>
    </row>
    <row r="138" spans="2:7" x14ac:dyDescent="0.3">
      <c r="B138" s="10" t="s">
        <v>14</v>
      </c>
      <c r="C138" s="3" t="s">
        <v>9</v>
      </c>
      <c r="D138" s="39">
        <v>1</v>
      </c>
      <c r="E138" s="66">
        <f t="shared" si="41"/>
        <v>1</v>
      </c>
      <c r="F138" s="66">
        <f t="shared" ref="F138:G138" si="46">E138</f>
        <v>1</v>
      </c>
      <c r="G138" s="66">
        <f t="shared" si="46"/>
        <v>1</v>
      </c>
    </row>
    <row r="139" spans="2:7" x14ac:dyDescent="0.3">
      <c r="B139" s="13"/>
      <c r="C139" s="3" t="s">
        <v>10</v>
      </c>
      <c r="D139" s="39">
        <v>1.3</v>
      </c>
      <c r="E139" s="66">
        <f t="shared" si="41"/>
        <v>1.18</v>
      </c>
      <c r="F139" s="66">
        <f t="shared" ref="F139:G139" si="47">E139</f>
        <v>1.18</v>
      </c>
      <c r="G139" s="66">
        <f t="shared" si="47"/>
        <v>1.18</v>
      </c>
    </row>
    <row r="140" spans="2:7" x14ac:dyDescent="0.3">
      <c r="B140" s="13"/>
      <c r="C140" s="3" t="s">
        <v>11</v>
      </c>
      <c r="D140" s="39">
        <v>1.5</v>
      </c>
      <c r="E140" s="66">
        <f t="shared" si="41"/>
        <v>1.35</v>
      </c>
      <c r="F140" s="66">
        <f t="shared" ref="F140:G140" si="48">E140</f>
        <v>1.35</v>
      </c>
      <c r="G140" s="66">
        <f t="shared" si="48"/>
        <v>1.35</v>
      </c>
    </row>
    <row r="141" spans="2:7" x14ac:dyDescent="0.3">
      <c r="B141" s="13"/>
      <c r="C141" s="3" t="s">
        <v>12</v>
      </c>
      <c r="D141" s="39">
        <v>2</v>
      </c>
      <c r="E141" s="66">
        <f t="shared" si="41"/>
        <v>1.94</v>
      </c>
      <c r="F141" s="66">
        <f t="shared" ref="F141:G141" si="49">E141</f>
        <v>1.94</v>
      </c>
      <c r="G141" s="66">
        <f t="shared" si="49"/>
        <v>1.94</v>
      </c>
    </row>
    <row r="142" spans="2:7" x14ac:dyDescent="0.3">
      <c r="B142" s="14"/>
      <c r="C142" s="3" t="s">
        <v>13</v>
      </c>
      <c r="D142" s="39">
        <v>2.2000000000000002</v>
      </c>
      <c r="E142" s="66">
        <f t="shared" si="41"/>
        <v>2.13</v>
      </c>
      <c r="F142" s="66">
        <f t="shared" ref="F142:G142" si="50">E142</f>
        <v>2.13</v>
      </c>
      <c r="G142" s="66">
        <f t="shared" si="50"/>
        <v>2.13</v>
      </c>
    </row>
    <row r="143" spans="2:7" x14ac:dyDescent="0.3">
      <c r="B143" s="10" t="s">
        <v>15</v>
      </c>
      <c r="C143" s="3" t="s">
        <v>12</v>
      </c>
      <c r="D143" s="39">
        <v>1</v>
      </c>
      <c r="E143" s="66">
        <f t="shared" si="41"/>
        <v>1</v>
      </c>
      <c r="F143" s="66">
        <f t="shared" ref="F143:G143" si="51">E143</f>
        <v>1</v>
      </c>
      <c r="G143" s="66">
        <f t="shared" si="51"/>
        <v>1</v>
      </c>
    </row>
    <row r="144" spans="2:7" x14ac:dyDescent="0.3">
      <c r="B144" s="14"/>
      <c r="C144" s="3" t="s">
        <v>13</v>
      </c>
      <c r="D144" s="39">
        <v>1.1000000000000001</v>
      </c>
      <c r="E144" s="66">
        <f t="shared" si="41"/>
        <v>1.1000000000000001</v>
      </c>
      <c r="F144" s="66">
        <f t="shared" ref="F144:G144" si="52">E144</f>
        <v>1.1000000000000001</v>
      </c>
      <c r="G144" s="66">
        <f t="shared" si="52"/>
        <v>1.1000000000000001</v>
      </c>
    </row>
    <row r="145" spans="2:7" x14ac:dyDescent="0.3">
      <c r="B145" s="10" t="s">
        <v>19</v>
      </c>
      <c r="C145" s="3" t="s">
        <v>21</v>
      </c>
      <c r="D145" s="39">
        <v>1.5</v>
      </c>
      <c r="E145" s="66">
        <f t="shared" ref="E145:E149" si="53">D145</f>
        <v>1.5</v>
      </c>
      <c r="F145" s="66">
        <f t="shared" ref="F145:G145" si="54">E145</f>
        <v>1.5</v>
      </c>
      <c r="G145" s="66">
        <f t="shared" si="54"/>
        <v>1.5</v>
      </c>
    </row>
    <row r="146" spans="2:7" x14ac:dyDescent="0.3">
      <c r="B146" s="13"/>
      <c r="C146" s="3" t="s">
        <v>22</v>
      </c>
      <c r="D146" s="39">
        <v>3</v>
      </c>
      <c r="E146" s="66">
        <f t="shared" si="53"/>
        <v>3</v>
      </c>
      <c r="F146" s="66">
        <f t="shared" ref="F146:G146" si="55">E146</f>
        <v>3</v>
      </c>
      <c r="G146" s="66">
        <f t="shared" si="55"/>
        <v>3</v>
      </c>
    </row>
    <row r="147" spans="2:7" x14ac:dyDescent="0.3">
      <c r="B147" s="13"/>
      <c r="C147" s="3" t="s">
        <v>23</v>
      </c>
      <c r="D147" s="39">
        <v>1.5</v>
      </c>
      <c r="E147" s="66">
        <f t="shared" si="53"/>
        <v>1.5</v>
      </c>
      <c r="F147" s="66">
        <f t="shared" ref="F147:G147" si="56">E147</f>
        <v>1.5</v>
      </c>
      <c r="G147" s="66">
        <f t="shared" si="56"/>
        <v>1.5</v>
      </c>
    </row>
    <row r="148" spans="2:7" x14ac:dyDescent="0.3">
      <c r="B148" s="13"/>
      <c r="C148" s="3" t="s">
        <v>24</v>
      </c>
      <c r="D148" s="39">
        <v>10</v>
      </c>
      <c r="E148" s="66">
        <f t="shared" si="53"/>
        <v>10</v>
      </c>
      <c r="F148" s="66">
        <f t="shared" ref="F148:G148" si="57">E148</f>
        <v>10</v>
      </c>
      <c r="G148" s="66">
        <f t="shared" si="57"/>
        <v>10</v>
      </c>
    </row>
    <row r="149" spans="2:7" x14ac:dyDescent="0.3">
      <c r="B149" s="14"/>
      <c r="C149" s="3" t="s">
        <v>25</v>
      </c>
      <c r="D149" s="39">
        <v>6</v>
      </c>
      <c r="E149" s="66">
        <f t="shared" si="53"/>
        <v>6</v>
      </c>
      <c r="F149" s="66">
        <f t="shared" ref="F149:G149" si="58">E149</f>
        <v>6</v>
      </c>
      <c r="G149" s="66">
        <f t="shared" si="58"/>
        <v>6</v>
      </c>
    </row>
    <row r="150" spans="2:7" x14ac:dyDescent="0.3"/>
    <row r="151" spans="2:7" x14ac:dyDescent="0.3"/>
    <row r="152" spans="2:7" x14ac:dyDescent="0.3">
      <c r="B152" s="26" t="s">
        <v>236</v>
      </c>
      <c r="C152" s="27"/>
      <c r="D152" s="6"/>
      <c r="E152" s="6"/>
      <c r="F152" s="6"/>
      <c r="G152" s="6"/>
    </row>
    <row r="153" spans="2:7" x14ac:dyDescent="0.3">
      <c r="B153" s="28"/>
      <c r="C153" s="29"/>
      <c r="D153" s="23" t="str">
        <f t="shared" ref="D153:G153" si="59">D$5</f>
        <v>2023-24</v>
      </c>
      <c r="E153" s="23" t="str">
        <f t="shared" si="59"/>
        <v>2024-25</v>
      </c>
      <c r="F153" s="23" t="str">
        <f t="shared" si="59"/>
        <v>2025-26</v>
      </c>
      <c r="G153" s="23" t="str">
        <f t="shared" si="59"/>
        <v>2026-27</v>
      </c>
    </row>
    <row r="154" spans="2:7" x14ac:dyDescent="0.3">
      <c r="B154" s="30"/>
      <c r="C154" s="31"/>
      <c r="D154" s="8"/>
      <c r="E154" s="8"/>
      <c r="F154" s="8"/>
      <c r="G154" s="8"/>
    </row>
    <row r="155" spans="2:7" x14ac:dyDescent="0.3">
      <c r="B155" s="10" t="s">
        <v>15</v>
      </c>
      <c r="C155" s="3" t="s">
        <v>12</v>
      </c>
      <c r="D155" s="34">
        <v>1</v>
      </c>
      <c r="E155" s="67">
        <f t="shared" ref="E155:G155" si="60">D155</f>
        <v>1</v>
      </c>
      <c r="F155" s="67">
        <f t="shared" si="60"/>
        <v>1</v>
      </c>
      <c r="G155" s="67">
        <f t="shared" si="60"/>
        <v>1</v>
      </c>
    </row>
    <row r="156" spans="2:7" x14ac:dyDescent="0.3">
      <c r="B156" s="14"/>
      <c r="C156" s="3" t="s">
        <v>13</v>
      </c>
      <c r="D156" s="34">
        <v>1</v>
      </c>
      <c r="E156" s="67">
        <f t="shared" ref="E156:G156" si="61">D156</f>
        <v>1</v>
      </c>
      <c r="F156" s="67">
        <f t="shared" si="61"/>
        <v>1</v>
      </c>
      <c r="G156" s="67">
        <f t="shared" si="61"/>
        <v>1</v>
      </c>
    </row>
    <row r="157" spans="2:7" x14ac:dyDescent="0.3">
      <c r="B157" s="1"/>
      <c r="D157" s="1"/>
      <c r="E157" s="1"/>
      <c r="G157" s="1"/>
    </row>
    <row r="158" spans="2:7" x14ac:dyDescent="0.3">
      <c r="B158" s="1"/>
      <c r="D158" s="1"/>
      <c r="E158" s="1"/>
      <c r="G158" s="1"/>
    </row>
    <row r="159" spans="2:7" s="1" customFormat="1" x14ac:dyDescent="0.3">
      <c r="B159" s="26" t="s">
        <v>40</v>
      </c>
      <c r="C159" s="27"/>
      <c r="D159" s="6"/>
      <c r="E159" s="6"/>
      <c r="F159" s="6"/>
      <c r="G159" s="6"/>
    </row>
    <row r="160" spans="2:7" s="1" customFormat="1" x14ac:dyDescent="0.3">
      <c r="B160" s="28"/>
      <c r="C160" s="29"/>
      <c r="D160" s="23" t="str">
        <f t="shared" ref="D160:G160" si="62">D$5</f>
        <v>2023-24</v>
      </c>
      <c r="E160" s="23" t="str">
        <f t="shared" si="62"/>
        <v>2024-25</v>
      </c>
      <c r="F160" s="23" t="str">
        <f t="shared" si="62"/>
        <v>2025-26</v>
      </c>
      <c r="G160" s="23" t="str">
        <f t="shared" si="62"/>
        <v>2026-27</v>
      </c>
    </row>
    <row r="161" spans="2:7" s="1" customFormat="1" x14ac:dyDescent="0.3">
      <c r="B161" s="30"/>
      <c r="C161" s="31"/>
      <c r="D161" s="8"/>
      <c r="E161" s="8"/>
      <c r="F161" s="8"/>
      <c r="G161" s="8"/>
    </row>
    <row r="162" spans="2:7" s="1" customFormat="1" x14ac:dyDescent="0.3">
      <c r="B162" s="10" t="s">
        <v>8</v>
      </c>
      <c r="C162" s="3" t="s">
        <v>12</v>
      </c>
      <c r="D162" s="40">
        <v>4.5999999999999999E-2</v>
      </c>
      <c r="E162" s="68">
        <f t="shared" ref="E162:G162" si="63">D162</f>
        <v>4.5999999999999999E-2</v>
      </c>
      <c r="F162" s="68">
        <f t="shared" si="63"/>
        <v>4.5999999999999999E-2</v>
      </c>
      <c r="G162" s="68">
        <f t="shared" si="63"/>
        <v>4.5999999999999999E-2</v>
      </c>
    </row>
    <row r="163" spans="2:7" s="1" customFormat="1" x14ac:dyDescent="0.3">
      <c r="B163" s="12"/>
      <c r="C163" s="3" t="s">
        <v>13</v>
      </c>
      <c r="D163" s="40">
        <v>4.5999999999999999E-2</v>
      </c>
      <c r="E163" s="68">
        <f t="shared" ref="E163:G163" si="64">D163</f>
        <v>4.5999999999999999E-2</v>
      </c>
      <c r="F163" s="68">
        <f t="shared" si="64"/>
        <v>4.5999999999999999E-2</v>
      </c>
      <c r="G163" s="68">
        <f t="shared" si="64"/>
        <v>4.5999999999999999E-2</v>
      </c>
    </row>
    <row r="164" spans="2:7" s="1" customFormat="1" x14ac:dyDescent="0.3">
      <c r="B164" s="15" t="s">
        <v>14</v>
      </c>
      <c r="C164" s="3" t="s">
        <v>13</v>
      </c>
      <c r="D164" s="40">
        <v>0.153</v>
      </c>
      <c r="E164" s="68">
        <f t="shared" ref="E164:G164" si="65">D164</f>
        <v>0.153</v>
      </c>
      <c r="F164" s="68">
        <f t="shared" si="65"/>
        <v>0.153</v>
      </c>
      <c r="G164" s="68">
        <f t="shared" si="65"/>
        <v>0.153</v>
      </c>
    </row>
    <row r="165" spans="2:7" s="1" customFormat="1" x14ac:dyDescent="0.3">
      <c r="B165" s="15" t="s">
        <v>15</v>
      </c>
      <c r="C165" s="3" t="s">
        <v>13</v>
      </c>
      <c r="D165" s="40">
        <v>0</v>
      </c>
      <c r="E165" s="68">
        <f t="shared" ref="E165:G165" si="66">D165</f>
        <v>0</v>
      </c>
      <c r="F165" s="68">
        <f t="shared" si="66"/>
        <v>0</v>
      </c>
      <c r="G165" s="68">
        <f t="shared" si="66"/>
        <v>0</v>
      </c>
    </row>
    <row r="166" spans="2:7" s="1" customFormat="1" x14ac:dyDescent="0.3"/>
    <row r="167" spans="2:7" s="1" customFormat="1" x14ac:dyDescent="0.3"/>
    <row r="168" spans="2:7" x14ac:dyDescent="0.3">
      <c r="B168" s="26" t="s">
        <v>237</v>
      </c>
      <c r="C168" s="27"/>
      <c r="D168" s="6"/>
      <c r="E168" s="6"/>
      <c r="F168" s="6"/>
      <c r="G168" s="6"/>
    </row>
    <row r="169" spans="2:7" x14ac:dyDescent="0.3">
      <c r="B169" s="28"/>
      <c r="C169" s="29"/>
      <c r="D169" s="23" t="str">
        <f t="shared" ref="D169:G169" si="67">D$5</f>
        <v>2023-24</v>
      </c>
      <c r="E169" s="23" t="str">
        <f t="shared" si="67"/>
        <v>2024-25</v>
      </c>
      <c r="F169" s="23" t="str">
        <f t="shared" si="67"/>
        <v>2025-26</v>
      </c>
      <c r="G169" s="23" t="str">
        <f t="shared" si="67"/>
        <v>2026-27</v>
      </c>
    </row>
    <row r="170" spans="2:7" x14ac:dyDescent="0.3">
      <c r="B170" s="30"/>
      <c r="C170" s="31"/>
      <c r="D170" s="8"/>
      <c r="E170" s="8"/>
      <c r="F170" s="8"/>
      <c r="G170" s="8"/>
    </row>
    <row r="171" spans="2:7" x14ac:dyDescent="0.3">
      <c r="B171" s="10" t="s">
        <v>15</v>
      </c>
      <c r="C171" s="3" t="s">
        <v>12</v>
      </c>
      <c r="D171" s="34">
        <v>1</v>
      </c>
      <c r="E171" s="67">
        <f t="shared" ref="E171:G171" si="68">D171</f>
        <v>1</v>
      </c>
      <c r="F171" s="67">
        <f t="shared" si="68"/>
        <v>1</v>
      </c>
      <c r="G171" s="67">
        <f t="shared" si="68"/>
        <v>1</v>
      </c>
    </row>
    <row r="172" spans="2:7" x14ac:dyDescent="0.3">
      <c r="B172" s="14"/>
      <c r="C172" s="3" t="s">
        <v>13</v>
      </c>
      <c r="D172" s="34">
        <v>1</v>
      </c>
      <c r="E172" s="67">
        <f t="shared" ref="E172:G172" si="69">D172</f>
        <v>1</v>
      </c>
      <c r="F172" s="67">
        <f t="shared" si="69"/>
        <v>1</v>
      </c>
      <c r="G172" s="67">
        <f t="shared" si="69"/>
        <v>1</v>
      </c>
    </row>
    <row r="173" spans="2:7" x14ac:dyDescent="0.3"/>
    <row r="174" spans="2:7" x14ac:dyDescent="0.3"/>
    <row r="175" spans="2:7" x14ac:dyDescent="0.3">
      <c r="B175" s="26" t="s">
        <v>41</v>
      </c>
      <c r="C175" s="27"/>
      <c r="D175" s="6"/>
      <c r="E175" s="6"/>
      <c r="F175" s="6"/>
      <c r="G175" s="6"/>
    </row>
    <row r="176" spans="2:7" x14ac:dyDescent="0.3">
      <c r="B176" s="28"/>
      <c r="C176" s="29"/>
      <c r="D176" s="23" t="str">
        <f t="shared" ref="D176:G176" si="70">D$5</f>
        <v>2023-24</v>
      </c>
      <c r="E176" s="23" t="str">
        <f t="shared" si="70"/>
        <v>2024-25</v>
      </c>
      <c r="F176" s="23" t="str">
        <f t="shared" si="70"/>
        <v>2025-26</v>
      </c>
      <c r="G176" s="23" t="str">
        <f t="shared" si="70"/>
        <v>2026-27</v>
      </c>
    </row>
    <row r="177" spans="2:9" x14ac:dyDescent="0.3">
      <c r="B177" s="30"/>
      <c r="C177" s="31"/>
      <c r="D177" s="8"/>
      <c r="E177" s="8"/>
      <c r="F177" s="8"/>
      <c r="G177" s="8"/>
    </row>
    <row r="178" spans="2:9" x14ac:dyDescent="0.3">
      <c r="B178" s="10" t="s">
        <v>8</v>
      </c>
      <c r="C178" s="3" t="s">
        <v>12</v>
      </c>
      <c r="D178" s="40">
        <v>4.5999999999999999E-2</v>
      </c>
      <c r="E178" s="68">
        <f t="shared" ref="E178:G178" si="71">D178</f>
        <v>4.5999999999999999E-2</v>
      </c>
      <c r="F178" s="68">
        <f t="shared" si="71"/>
        <v>4.5999999999999999E-2</v>
      </c>
      <c r="G178" s="68">
        <f t="shared" si="71"/>
        <v>4.5999999999999999E-2</v>
      </c>
    </row>
    <row r="179" spans="2:9" x14ac:dyDescent="0.3">
      <c r="B179" s="12"/>
      <c r="C179" s="3" t="s">
        <v>13</v>
      </c>
      <c r="D179" s="40">
        <v>4.5999999999999999E-2</v>
      </c>
      <c r="E179" s="68">
        <f t="shared" ref="E179:G179" si="72">D179</f>
        <v>4.5999999999999999E-2</v>
      </c>
      <c r="F179" s="68">
        <f t="shared" si="72"/>
        <v>4.5999999999999999E-2</v>
      </c>
      <c r="G179" s="68">
        <f t="shared" si="72"/>
        <v>4.5999999999999999E-2</v>
      </c>
    </row>
    <row r="180" spans="2:9" x14ac:dyDescent="0.3">
      <c r="B180" s="10" t="s">
        <v>14</v>
      </c>
      <c r="C180" s="3" t="s">
        <v>12</v>
      </c>
      <c r="D180" s="40">
        <v>0</v>
      </c>
      <c r="E180" s="68">
        <f t="shared" ref="E180:G180" si="73">D180</f>
        <v>0</v>
      </c>
      <c r="F180" s="68">
        <f t="shared" si="73"/>
        <v>0</v>
      </c>
      <c r="G180" s="68">
        <f t="shared" si="73"/>
        <v>0</v>
      </c>
    </row>
    <row r="181" spans="2:9" x14ac:dyDescent="0.3">
      <c r="B181" s="12"/>
      <c r="C181" s="3" t="s">
        <v>13</v>
      </c>
      <c r="D181" s="40">
        <v>0</v>
      </c>
      <c r="E181" s="68">
        <f t="shared" ref="E181:G181" si="74">D181</f>
        <v>0</v>
      </c>
      <c r="F181" s="68">
        <f t="shared" si="74"/>
        <v>0</v>
      </c>
      <c r="G181" s="68">
        <f t="shared" si="74"/>
        <v>0</v>
      </c>
      <c r="I181" s="59"/>
    </row>
    <row r="182" spans="2:9" x14ac:dyDescent="0.3">
      <c r="B182" s="15" t="s">
        <v>15</v>
      </c>
      <c r="C182" s="3" t="s">
        <v>13</v>
      </c>
      <c r="D182" s="40">
        <v>0</v>
      </c>
      <c r="E182" s="68">
        <f t="shared" ref="E182:G182" si="75">D182</f>
        <v>0</v>
      </c>
      <c r="F182" s="68">
        <f t="shared" si="75"/>
        <v>0</v>
      </c>
      <c r="G182" s="68">
        <f t="shared" si="75"/>
        <v>0</v>
      </c>
    </row>
    <row r="183" spans="2:9" x14ac:dyDescent="0.3"/>
    <row r="184" spans="2:9" x14ac:dyDescent="0.3"/>
    <row r="185" spans="2:9" ht="28.95" customHeight="1" x14ac:dyDescent="0.3">
      <c r="B185" s="32" t="s">
        <v>43</v>
      </c>
      <c r="C185" s="5"/>
      <c r="D185" s="5"/>
      <c r="E185" s="5"/>
      <c r="F185" s="5"/>
      <c r="G185" s="5"/>
    </row>
    <row r="186" spans="2:9" x14ac:dyDescent="0.3">
      <c r="B186" s="1"/>
      <c r="D186" s="1"/>
      <c r="E186" s="1"/>
      <c r="G186" s="1"/>
    </row>
    <row r="187" spans="2:9" x14ac:dyDescent="0.3">
      <c r="B187" s="26" t="s">
        <v>37</v>
      </c>
      <c r="C187" s="27"/>
      <c r="D187" s="6"/>
      <c r="E187" s="6"/>
      <c r="F187" s="6"/>
      <c r="G187" s="6"/>
    </row>
    <row r="188" spans="2:9" x14ac:dyDescent="0.3">
      <c r="B188" s="28"/>
      <c r="C188" s="29"/>
      <c r="D188" s="23" t="str">
        <f t="shared" ref="D188:G188" si="76">D$5</f>
        <v>2023-24</v>
      </c>
      <c r="E188" s="23" t="str">
        <f t="shared" si="76"/>
        <v>2024-25</v>
      </c>
      <c r="F188" s="23" t="str">
        <f t="shared" si="76"/>
        <v>2025-26</v>
      </c>
      <c r="G188" s="23" t="str">
        <f t="shared" si="76"/>
        <v>2026-27</v>
      </c>
    </row>
    <row r="189" spans="2:9" x14ac:dyDescent="0.3">
      <c r="B189" s="30"/>
      <c r="C189" s="31"/>
      <c r="D189" s="8"/>
      <c r="E189" s="8"/>
      <c r="F189" s="8"/>
      <c r="G189" s="8"/>
    </row>
    <row r="190" spans="2:9" x14ac:dyDescent="0.3">
      <c r="B190" s="16" t="s">
        <v>7</v>
      </c>
      <c r="C190" s="17"/>
      <c r="D190" s="34">
        <f>IF(OR('RPM &amp; Discounts'!$B$3='A0.Support'!$B$3,'RPM &amp; Discounts'!$B$3='A0.Support'!$B$8),0.5,0.28)</f>
        <v>0.28000000000000003</v>
      </c>
      <c r="E190" s="67">
        <f t="shared" ref="E190:G190" si="77">D190</f>
        <v>0.28000000000000003</v>
      </c>
      <c r="F190" s="67">
        <f t="shared" si="77"/>
        <v>0.28000000000000003</v>
      </c>
      <c r="G190" s="67">
        <f t="shared" si="77"/>
        <v>0.28000000000000003</v>
      </c>
    </row>
    <row r="191" spans="2:9" x14ac:dyDescent="0.3">
      <c r="B191" s="18" t="s">
        <v>16</v>
      </c>
      <c r="C191" s="19"/>
      <c r="D191" s="34">
        <f>1-D190</f>
        <v>0.72</v>
      </c>
      <c r="E191" s="67">
        <f t="shared" ref="E191:G191" si="78">D191</f>
        <v>0.72</v>
      </c>
      <c r="F191" s="67">
        <f t="shared" si="78"/>
        <v>0.72</v>
      </c>
      <c r="G191" s="67">
        <f t="shared" si="78"/>
        <v>0.72</v>
      </c>
    </row>
    <row r="192" spans="2:9" x14ac:dyDescent="0.3"/>
    <row r="193" spans="2:7" x14ac:dyDescent="0.3"/>
    <row r="194" spans="2:7" x14ac:dyDescent="0.3">
      <c r="B194" s="26" t="s">
        <v>44</v>
      </c>
      <c r="C194" s="27"/>
      <c r="D194" s="6"/>
      <c r="E194" s="6"/>
      <c r="F194" s="6"/>
      <c r="G194" s="6"/>
    </row>
    <row r="195" spans="2:7" x14ac:dyDescent="0.3">
      <c r="B195" s="28"/>
      <c r="C195" s="29"/>
      <c r="D195" s="23" t="str">
        <f t="shared" ref="D195:G195" si="79">D$5</f>
        <v>2023-24</v>
      </c>
      <c r="E195" s="23" t="str">
        <f t="shared" si="79"/>
        <v>2024-25</v>
      </c>
      <c r="F195" s="23" t="str">
        <f t="shared" si="79"/>
        <v>2025-26</v>
      </c>
      <c r="G195" s="23" t="str">
        <f t="shared" si="79"/>
        <v>2026-27</v>
      </c>
    </row>
    <row r="196" spans="2:7" x14ac:dyDescent="0.3">
      <c r="B196" s="30"/>
      <c r="C196" s="31"/>
      <c r="D196" s="8"/>
      <c r="E196" s="8"/>
      <c r="F196" s="8"/>
      <c r="G196" s="8"/>
    </row>
    <row r="197" spans="2:7" x14ac:dyDescent="0.3">
      <c r="B197" s="16" t="s">
        <v>47</v>
      </c>
      <c r="C197" s="17"/>
      <c r="D197" s="350">
        <f>IF('RPM &amp; Discounts'!$B$3='A0.Support'!$B$8,'A5.Counter-factual'!$B$4,1+(20+24)/28)</f>
        <v>2.5714285714285712</v>
      </c>
      <c r="E197" s="67">
        <f t="shared" ref="E197:G197" si="80">D197</f>
        <v>2.5714285714285712</v>
      </c>
      <c r="F197" s="67">
        <f t="shared" si="80"/>
        <v>2.5714285714285712</v>
      </c>
      <c r="G197" s="67">
        <f t="shared" si="80"/>
        <v>2.5714285714285712</v>
      </c>
    </row>
    <row r="198" spans="2:7" x14ac:dyDescent="0.3">
      <c r="B198" s="18" t="s">
        <v>48</v>
      </c>
      <c r="C198" s="19"/>
      <c r="D198" s="34">
        <v>1</v>
      </c>
      <c r="E198" s="67">
        <f t="shared" ref="E198:G198" si="81">D198</f>
        <v>1</v>
      </c>
      <c r="F198" s="67">
        <f t="shared" si="81"/>
        <v>1</v>
      </c>
      <c r="G198" s="67">
        <f t="shared" si="81"/>
        <v>1</v>
      </c>
    </row>
    <row r="199" spans="2:7" x14ac:dyDescent="0.3"/>
    <row r="200" spans="2:7" x14ac:dyDescent="0.3"/>
    <row r="201" spans="2:7" x14ac:dyDescent="0.3">
      <c r="B201" s="26" t="s">
        <v>46</v>
      </c>
      <c r="C201" s="27"/>
      <c r="D201" s="6"/>
      <c r="E201" s="6"/>
      <c r="F201" s="6"/>
      <c r="G201" s="6"/>
    </row>
    <row r="202" spans="2:7" x14ac:dyDescent="0.3">
      <c r="B202" s="28"/>
      <c r="C202" s="29"/>
      <c r="D202" s="23" t="str">
        <f t="shared" ref="D202:G202" si="82">D$5</f>
        <v>2023-24</v>
      </c>
      <c r="E202" s="23" t="str">
        <f t="shared" si="82"/>
        <v>2024-25</v>
      </c>
      <c r="F202" s="23" t="str">
        <f t="shared" si="82"/>
        <v>2025-26</v>
      </c>
      <c r="G202" s="23" t="str">
        <f t="shared" si="82"/>
        <v>2026-27</v>
      </c>
    </row>
    <row r="203" spans="2:7" x14ac:dyDescent="0.3">
      <c r="B203" s="30"/>
      <c r="C203" s="31"/>
      <c r="D203" s="8"/>
      <c r="E203" s="8"/>
      <c r="F203" s="8"/>
      <c r="G203" s="8"/>
    </row>
    <row r="204" spans="2:7" x14ac:dyDescent="0.3">
      <c r="B204" s="16" t="s">
        <v>8</v>
      </c>
      <c r="C204" s="17"/>
      <c r="D204" s="34">
        <v>0.90419775503312938</v>
      </c>
      <c r="E204" s="67">
        <f t="shared" ref="E204:G204" si="83">D204</f>
        <v>0.90419775503312938</v>
      </c>
      <c r="F204" s="67">
        <f t="shared" si="83"/>
        <v>0.90419775503312938</v>
      </c>
      <c r="G204" s="67">
        <f t="shared" si="83"/>
        <v>0.90419775503312938</v>
      </c>
    </row>
    <row r="205" spans="2:7" x14ac:dyDescent="0.3">
      <c r="B205" s="16" t="s">
        <v>14</v>
      </c>
      <c r="C205" s="17"/>
      <c r="D205" s="34">
        <v>0.8940959594036697</v>
      </c>
      <c r="E205" s="67">
        <f t="shared" ref="E205:G205" si="84">D205</f>
        <v>0.8940959594036697</v>
      </c>
      <c r="F205" s="67">
        <f t="shared" si="84"/>
        <v>0.8940959594036697</v>
      </c>
      <c r="G205" s="67">
        <f t="shared" si="84"/>
        <v>0.8940959594036697</v>
      </c>
    </row>
    <row r="206" spans="2:7" x14ac:dyDescent="0.3">
      <c r="B206" s="16" t="s">
        <v>15</v>
      </c>
      <c r="C206" s="17"/>
      <c r="D206" s="34">
        <v>0.49262302658066282</v>
      </c>
      <c r="E206" s="67">
        <f t="shared" ref="E206:G206" si="85">D206</f>
        <v>0.49262302658066282</v>
      </c>
      <c r="F206" s="67">
        <f t="shared" si="85"/>
        <v>0.49262302658066282</v>
      </c>
      <c r="G206" s="67">
        <f t="shared" si="85"/>
        <v>0.49262302658066282</v>
      </c>
    </row>
    <row r="207" spans="2:7" s="1" customFormat="1" x14ac:dyDescent="0.3">
      <c r="B207" s="16" t="s">
        <v>26</v>
      </c>
      <c r="C207" s="17"/>
      <c r="D207" s="62">
        <f>D206</f>
        <v>0.49262302658066282</v>
      </c>
      <c r="E207" s="67">
        <f t="shared" ref="E207:G207" si="86">D207</f>
        <v>0.49262302658066282</v>
      </c>
      <c r="F207" s="67">
        <f t="shared" si="86"/>
        <v>0.49262302658066282</v>
      </c>
      <c r="G207" s="67">
        <f t="shared" si="86"/>
        <v>0.49262302658066282</v>
      </c>
    </row>
    <row r="208" spans="2:7" x14ac:dyDescent="0.3"/>
    <row r="209" spans="1:7" x14ac:dyDescent="0.3"/>
    <row r="210" spans="1:7" x14ac:dyDescent="0.3">
      <c r="B210" s="26" t="s">
        <v>49</v>
      </c>
      <c r="C210" s="27"/>
      <c r="D210" s="6"/>
      <c r="E210" s="6"/>
      <c r="F210" s="6"/>
      <c r="G210" s="6"/>
    </row>
    <row r="211" spans="1:7" x14ac:dyDescent="0.3">
      <c r="B211" s="28"/>
      <c r="C211" s="29"/>
      <c r="D211" s="23" t="str">
        <f t="shared" ref="D211:G211" si="87">D$5</f>
        <v>2023-24</v>
      </c>
      <c r="E211" s="23" t="str">
        <f t="shared" si="87"/>
        <v>2024-25</v>
      </c>
      <c r="F211" s="23" t="str">
        <f t="shared" si="87"/>
        <v>2025-26</v>
      </c>
      <c r="G211" s="23" t="str">
        <f t="shared" si="87"/>
        <v>2026-27</v>
      </c>
    </row>
    <row r="212" spans="1:7" x14ac:dyDescent="0.3">
      <c r="B212" s="30"/>
      <c r="C212" s="31"/>
      <c r="D212" s="8"/>
      <c r="E212" s="8"/>
      <c r="F212" s="8"/>
      <c r="G212" s="8"/>
    </row>
    <row r="213" spans="1:7" x14ac:dyDescent="0.3">
      <c r="B213" s="16" t="s">
        <v>8</v>
      </c>
      <c r="C213" s="17"/>
      <c r="D213" s="34">
        <v>6.6988626720183478E-2</v>
      </c>
      <c r="E213" s="67">
        <f t="shared" ref="E213:G213" si="88">D213</f>
        <v>6.6988626720183478E-2</v>
      </c>
      <c r="F213" s="67">
        <f t="shared" si="88"/>
        <v>6.6988626720183478E-2</v>
      </c>
      <c r="G213" s="67">
        <f t="shared" si="88"/>
        <v>6.6988626720183478E-2</v>
      </c>
    </row>
    <row r="214" spans="1:7" x14ac:dyDescent="0.3">
      <c r="B214" s="16" t="s">
        <v>14</v>
      </c>
      <c r="C214" s="17"/>
      <c r="D214" s="34">
        <v>0</v>
      </c>
      <c r="E214" s="67">
        <f t="shared" ref="E214:G214" si="89">D214</f>
        <v>0</v>
      </c>
      <c r="F214" s="67">
        <f t="shared" si="89"/>
        <v>0</v>
      </c>
      <c r="G214" s="67">
        <f t="shared" si="89"/>
        <v>0</v>
      </c>
    </row>
    <row r="215" spans="1:7" x14ac:dyDescent="0.3">
      <c r="B215" s="16" t="s">
        <v>15</v>
      </c>
      <c r="C215" s="17"/>
      <c r="D215" s="34">
        <v>0.28108548364299851</v>
      </c>
      <c r="E215" s="67">
        <f t="shared" ref="E215:G215" si="90">D215</f>
        <v>0.28108548364299851</v>
      </c>
      <c r="F215" s="67">
        <f t="shared" si="90"/>
        <v>0.28108548364299851</v>
      </c>
      <c r="G215" s="67">
        <f t="shared" si="90"/>
        <v>0.28108548364299851</v>
      </c>
    </row>
    <row r="216" spans="1:7" x14ac:dyDescent="0.3">
      <c r="B216" s="16" t="s">
        <v>45</v>
      </c>
      <c r="C216" s="17"/>
      <c r="D216" s="34">
        <v>0.58863487865516284</v>
      </c>
      <c r="E216" s="67">
        <f t="shared" ref="E216:G216" si="91">D216</f>
        <v>0.58863487865516284</v>
      </c>
      <c r="F216" s="67">
        <f t="shared" si="91"/>
        <v>0.58863487865516284</v>
      </c>
      <c r="G216" s="67">
        <f t="shared" si="91"/>
        <v>0.58863487865516284</v>
      </c>
    </row>
    <row r="217" spans="1:7" x14ac:dyDescent="0.3"/>
    <row r="218" spans="1:7" s="1" customFormat="1" x14ac:dyDescent="0.3"/>
    <row r="219" spans="1:7" s="1" customFormat="1" x14ac:dyDescent="0.3">
      <c r="A219" s="86"/>
      <c r="B219" s="26" t="s">
        <v>261</v>
      </c>
      <c r="C219" s="27"/>
      <c r="D219" s="6"/>
      <c r="E219" s="6"/>
      <c r="F219" s="6"/>
      <c r="G219" s="6"/>
    </row>
    <row r="220" spans="1:7" s="1" customFormat="1" x14ac:dyDescent="0.3">
      <c r="A220" s="86"/>
      <c r="B220" s="28"/>
      <c r="C220" s="29"/>
      <c r="D220" s="23" t="str">
        <f t="shared" ref="D220:G220" si="92">D$5</f>
        <v>2023-24</v>
      </c>
      <c r="E220" s="23" t="str">
        <f t="shared" si="92"/>
        <v>2024-25</v>
      </c>
      <c r="F220" s="23" t="str">
        <f t="shared" si="92"/>
        <v>2025-26</v>
      </c>
      <c r="G220" s="23" t="str">
        <f t="shared" si="92"/>
        <v>2026-27</v>
      </c>
    </row>
    <row r="221" spans="1:7" s="1" customFormat="1" x14ac:dyDescent="0.3">
      <c r="A221" s="86"/>
      <c r="B221" s="30"/>
      <c r="C221" s="31"/>
      <c r="D221" s="8"/>
      <c r="E221" s="8"/>
      <c r="F221" s="8"/>
      <c r="G221" s="8"/>
    </row>
    <row r="222" spans="1:7" s="1" customFormat="1" x14ac:dyDescent="0.3">
      <c r="A222" s="86"/>
      <c r="B222" s="16" t="s">
        <v>8</v>
      </c>
      <c r="C222" s="17"/>
      <c r="D222" s="87">
        <f t="array" ref="D222:D224">TRANSPOSE([7]Analysis!$C$28:$E$28)</f>
        <v>0.30096563478759114</v>
      </c>
      <c r="E222" s="68">
        <f t="shared" ref="E222:E224" si="93">D222</f>
        <v>0.30096563478759114</v>
      </c>
      <c r="F222" s="68">
        <f t="shared" ref="F222:F224" si="94">E222</f>
        <v>0.30096563478759114</v>
      </c>
      <c r="G222" s="68">
        <f t="shared" ref="G222:G224" si="95">F222</f>
        <v>0.30096563478759114</v>
      </c>
    </row>
    <row r="223" spans="1:7" s="1" customFormat="1" x14ac:dyDescent="0.3">
      <c r="A223" s="86"/>
      <c r="B223" s="16" t="s">
        <v>14</v>
      </c>
      <c r="C223" s="17"/>
      <c r="D223" s="87">
        <v>0.98663788917465756</v>
      </c>
      <c r="E223" s="68">
        <f t="shared" si="93"/>
        <v>0.98663788917465756</v>
      </c>
      <c r="F223" s="68">
        <f t="shared" si="94"/>
        <v>0.98663788917465756</v>
      </c>
      <c r="G223" s="68">
        <f t="shared" si="95"/>
        <v>0.98663788917465756</v>
      </c>
    </row>
    <row r="224" spans="1:7" s="1" customFormat="1" x14ac:dyDescent="0.3">
      <c r="A224" s="86"/>
      <c r="B224" s="16" t="s">
        <v>15</v>
      </c>
      <c r="C224" s="17"/>
      <c r="D224" s="87">
        <v>0.13127867462419943</v>
      </c>
      <c r="E224" s="68">
        <f t="shared" si="93"/>
        <v>0.13127867462419943</v>
      </c>
      <c r="F224" s="68">
        <f t="shared" si="94"/>
        <v>0.13127867462419943</v>
      </c>
      <c r="G224" s="68">
        <f t="shared" si="95"/>
        <v>0.13127867462419943</v>
      </c>
    </row>
    <row r="225" spans="1:7" s="1" customFormat="1" x14ac:dyDescent="0.3">
      <c r="A225" s="86"/>
      <c r="B225" s="16" t="s">
        <v>26</v>
      </c>
      <c r="C225" s="17"/>
      <c r="D225" s="68">
        <f>D224</f>
        <v>0.13127867462419943</v>
      </c>
      <c r="E225" s="68">
        <f t="shared" ref="E225:G225" si="96">E224</f>
        <v>0.13127867462419943</v>
      </c>
      <c r="F225" s="68">
        <f t="shared" si="96"/>
        <v>0.13127867462419943</v>
      </c>
      <c r="G225" s="68">
        <f t="shared" si="96"/>
        <v>0.13127867462419943</v>
      </c>
    </row>
    <row r="226" spans="1:7" s="1" customFormat="1" x14ac:dyDescent="0.3">
      <c r="A226" s="86"/>
    </row>
    <row r="227" spans="1:7" s="1" customFormat="1" x14ac:dyDescent="0.3">
      <c r="A227" s="86"/>
    </row>
    <row r="228" spans="1:7" s="1" customFormat="1" x14ac:dyDescent="0.3">
      <c r="A228" s="86"/>
      <c r="B228" s="26" t="s">
        <v>262</v>
      </c>
      <c r="C228" s="27"/>
      <c r="D228" s="6"/>
      <c r="E228" s="6"/>
      <c r="F228" s="6"/>
      <c r="G228" s="6"/>
    </row>
    <row r="229" spans="1:7" s="1" customFormat="1" x14ac:dyDescent="0.3">
      <c r="A229" s="86"/>
      <c r="B229" s="28"/>
      <c r="C229" s="29"/>
      <c r="D229" s="23" t="str">
        <f t="shared" ref="D229:G229" si="97">D$5</f>
        <v>2023-24</v>
      </c>
      <c r="E229" s="23" t="str">
        <f t="shared" si="97"/>
        <v>2024-25</v>
      </c>
      <c r="F229" s="23" t="str">
        <f t="shared" si="97"/>
        <v>2025-26</v>
      </c>
      <c r="G229" s="23" t="str">
        <f t="shared" si="97"/>
        <v>2026-27</v>
      </c>
    </row>
    <row r="230" spans="1:7" s="1" customFormat="1" x14ac:dyDescent="0.3">
      <c r="A230" s="86"/>
      <c r="B230" s="30"/>
      <c r="C230" s="31"/>
      <c r="D230" s="8"/>
      <c r="E230" s="8"/>
      <c r="F230" s="8"/>
      <c r="G230" s="8"/>
    </row>
    <row r="231" spans="1:7" s="1" customFormat="1" x14ac:dyDescent="0.3">
      <c r="A231" s="86"/>
      <c r="B231" s="16" t="s">
        <v>8</v>
      </c>
      <c r="C231" s="17"/>
      <c r="D231" s="87">
        <f t="array" ref="D231:D234">TRANSPOSE([7]Analysis!$F$28:$I$28)</f>
        <v>0.14452116455577699</v>
      </c>
      <c r="E231" s="68">
        <f t="shared" ref="E231:E234" si="98">D231</f>
        <v>0.14452116455577699</v>
      </c>
      <c r="F231" s="68">
        <f t="shared" ref="F231:F234" si="99">E231</f>
        <v>0.14452116455577699</v>
      </c>
      <c r="G231" s="68">
        <f t="shared" ref="G231:G234" si="100">F231</f>
        <v>0.14452116455577699</v>
      </c>
    </row>
    <row r="232" spans="1:7" s="1" customFormat="1" x14ac:dyDescent="0.3">
      <c r="A232" s="86"/>
      <c r="B232" s="16" t="s">
        <v>14</v>
      </c>
      <c r="C232" s="17"/>
      <c r="D232" s="87">
        <v>0</v>
      </c>
      <c r="E232" s="68">
        <f t="shared" si="98"/>
        <v>0</v>
      </c>
      <c r="F232" s="68">
        <f t="shared" si="99"/>
        <v>0</v>
      </c>
      <c r="G232" s="68">
        <f t="shared" si="100"/>
        <v>0</v>
      </c>
    </row>
    <row r="233" spans="1:7" s="1" customFormat="1" x14ac:dyDescent="0.3">
      <c r="A233" s="86"/>
      <c r="B233" s="16" t="s">
        <v>15</v>
      </c>
      <c r="C233" s="17"/>
      <c r="D233" s="87">
        <v>0.52817585734383188</v>
      </c>
      <c r="E233" s="68">
        <f t="shared" si="98"/>
        <v>0.52817585734383188</v>
      </c>
      <c r="F233" s="68">
        <f t="shared" si="99"/>
        <v>0.52817585734383188</v>
      </c>
      <c r="G233" s="68">
        <f t="shared" si="100"/>
        <v>0.52817585734383188</v>
      </c>
    </row>
    <row r="234" spans="1:7" s="1" customFormat="1" x14ac:dyDescent="0.3">
      <c r="A234" s="86"/>
      <c r="B234" s="16" t="s">
        <v>45</v>
      </c>
      <c r="C234" s="17"/>
      <c r="D234" s="87">
        <v>0.46838876692920056</v>
      </c>
      <c r="E234" s="68">
        <f t="shared" si="98"/>
        <v>0.46838876692920056</v>
      </c>
      <c r="F234" s="68">
        <f t="shared" si="99"/>
        <v>0.46838876692920056</v>
      </c>
      <c r="G234" s="68">
        <f t="shared" si="100"/>
        <v>0.46838876692920056</v>
      </c>
    </row>
    <row r="235" spans="1:7" s="1" customFormat="1" x14ac:dyDescent="0.3"/>
    <row r="236" spans="1:7" s="1" customFormat="1" x14ac:dyDescent="0.3"/>
    <row r="237" spans="1:7" s="1" customFormat="1" x14ac:dyDescent="0.3">
      <c r="B237" s="26" t="s">
        <v>605</v>
      </c>
      <c r="C237" s="27"/>
      <c r="D237" s="6"/>
      <c r="E237" s="6"/>
      <c r="F237" s="6"/>
      <c r="G237" s="6"/>
    </row>
    <row r="238" spans="1:7" s="1" customFormat="1" x14ac:dyDescent="0.3">
      <c r="B238" s="28"/>
      <c r="C238" s="29"/>
      <c r="D238" s="23" t="str">
        <f t="shared" ref="D238:G238" si="101">D$5</f>
        <v>2023-24</v>
      </c>
      <c r="E238" s="23" t="str">
        <f t="shared" si="101"/>
        <v>2024-25</v>
      </c>
      <c r="F238" s="23" t="str">
        <f t="shared" si="101"/>
        <v>2025-26</v>
      </c>
      <c r="G238" s="23" t="str">
        <f t="shared" si="101"/>
        <v>2026-27</v>
      </c>
    </row>
    <row r="239" spans="1:7" s="1" customFormat="1" x14ac:dyDescent="0.3">
      <c r="B239" s="30"/>
      <c r="C239" s="31"/>
      <c r="D239" s="8"/>
      <c r="E239" s="8"/>
      <c r="F239" s="8"/>
      <c r="G239" s="8"/>
    </row>
    <row r="240" spans="1:7" s="1" customFormat="1" x14ac:dyDescent="0.3">
      <c r="B240" s="16" t="s">
        <v>8</v>
      </c>
      <c r="C240" s="17"/>
      <c r="D240" s="64">
        <f t="array" ref="D240:D242">TRANSPOSE([7]Analysis!$C$6:$E$6)</f>
        <v>144</v>
      </c>
      <c r="E240" s="65">
        <f t="shared" ref="E240:G240" si="102">D240</f>
        <v>144</v>
      </c>
      <c r="F240" s="65">
        <f t="shared" si="102"/>
        <v>144</v>
      </c>
      <c r="G240" s="65">
        <f t="shared" si="102"/>
        <v>144</v>
      </c>
    </row>
    <row r="241" spans="2:7" s="1" customFormat="1" x14ac:dyDescent="0.3">
      <c r="B241" s="16" t="s">
        <v>14</v>
      </c>
      <c r="C241" s="17"/>
      <c r="D241" s="64">
        <v>200</v>
      </c>
      <c r="E241" s="65">
        <f t="shared" ref="E241:G241" si="103">D241</f>
        <v>200</v>
      </c>
      <c r="F241" s="65">
        <f t="shared" si="103"/>
        <v>200</v>
      </c>
      <c r="G241" s="65">
        <f t="shared" si="103"/>
        <v>200</v>
      </c>
    </row>
    <row r="242" spans="2:7" s="1" customFormat="1" x14ac:dyDescent="0.3">
      <c r="B242" s="16" t="s">
        <v>15</v>
      </c>
      <c r="C242" s="17"/>
      <c r="D242" s="64">
        <v>85.68</v>
      </c>
      <c r="E242" s="65">
        <f t="shared" ref="E242:G242" si="104">D242</f>
        <v>85.68</v>
      </c>
      <c r="F242" s="65">
        <f t="shared" si="104"/>
        <v>85.68</v>
      </c>
      <c r="G242" s="65">
        <f t="shared" si="104"/>
        <v>85.68</v>
      </c>
    </row>
    <row r="243" spans="2:7" s="1" customFormat="1" x14ac:dyDescent="0.3">
      <c r="B243" s="16" t="s">
        <v>26</v>
      </c>
      <c r="C243" s="17"/>
      <c r="D243" s="4">
        <f>1/10^6</f>
        <v>9.9999999999999995E-7</v>
      </c>
      <c r="E243" s="65">
        <f t="shared" ref="E243:G243" si="105">D243</f>
        <v>9.9999999999999995E-7</v>
      </c>
      <c r="F243" s="65">
        <f t="shared" si="105"/>
        <v>9.9999999999999995E-7</v>
      </c>
      <c r="G243" s="65">
        <f t="shared" si="105"/>
        <v>9.9999999999999995E-7</v>
      </c>
    </row>
    <row r="244" spans="2:7" s="1" customFormat="1" x14ac:dyDescent="0.3"/>
    <row r="245" spans="2:7" s="1" customFormat="1" x14ac:dyDescent="0.3"/>
    <row r="246" spans="2:7" s="1" customFormat="1" x14ac:dyDescent="0.3">
      <c r="B246" s="26" t="s">
        <v>606</v>
      </c>
      <c r="C246" s="27"/>
      <c r="D246" s="6"/>
      <c r="E246" s="6"/>
      <c r="F246" s="6"/>
      <c r="G246" s="6"/>
    </row>
    <row r="247" spans="2:7" s="1" customFormat="1" x14ac:dyDescent="0.3">
      <c r="B247" s="28"/>
      <c r="C247" s="29"/>
      <c r="D247" s="23" t="str">
        <f t="shared" ref="D247:G247" si="106">D$5</f>
        <v>2023-24</v>
      </c>
      <c r="E247" s="23" t="str">
        <f t="shared" si="106"/>
        <v>2024-25</v>
      </c>
      <c r="F247" s="23" t="str">
        <f t="shared" si="106"/>
        <v>2025-26</v>
      </c>
      <c r="G247" s="23" t="str">
        <f t="shared" si="106"/>
        <v>2026-27</v>
      </c>
    </row>
    <row r="248" spans="2:7" s="1" customFormat="1" x14ac:dyDescent="0.3">
      <c r="B248" s="30"/>
      <c r="C248" s="31"/>
      <c r="D248" s="8"/>
      <c r="E248" s="8"/>
      <c r="F248" s="8"/>
      <c r="G248" s="8"/>
    </row>
    <row r="249" spans="2:7" s="1" customFormat="1" x14ac:dyDescent="0.3">
      <c r="B249" s="16" t="s">
        <v>8</v>
      </c>
      <c r="C249" s="17"/>
      <c r="D249" s="64">
        <f>[7]Analysis!$F$6</f>
        <v>80</v>
      </c>
      <c r="E249" s="65">
        <f t="shared" ref="E249:G249" si="107">D249</f>
        <v>80</v>
      </c>
      <c r="F249" s="65">
        <f t="shared" si="107"/>
        <v>80</v>
      </c>
      <c r="G249" s="65">
        <f t="shared" si="107"/>
        <v>80</v>
      </c>
    </row>
    <row r="250" spans="2:7" s="1" customFormat="1" x14ac:dyDescent="0.3">
      <c r="B250" s="16" t="s">
        <v>14</v>
      </c>
      <c r="C250" s="17"/>
      <c r="D250" s="4">
        <v>5</v>
      </c>
      <c r="E250" s="65">
        <f t="shared" ref="E250:G250" si="108">D250</f>
        <v>5</v>
      </c>
      <c r="F250" s="65">
        <f t="shared" si="108"/>
        <v>5</v>
      </c>
      <c r="G250" s="65">
        <f t="shared" si="108"/>
        <v>5</v>
      </c>
    </row>
    <row r="251" spans="2:7" s="1" customFormat="1" x14ac:dyDescent="0.3">
      <c r="B251" s="16" t="s">
        <v>15</v>
      </c>
      <c r="C251" s="17"/>
      <c r="D251" s="64">
        <f>[7]Analysis!$H$6</f>
        <v>24</v>
      </c>
      <c r="E251" s="65">
        <f t="shared" ref="E251:G251" si="109">D251</f>
        <v>24</v>
      </c>
      <c r="F251" s="65">
        <f t="shared" si="109"/>
        <v>24</v>
      </c>
      <c r="G251" s="65">
        <f t="shared" si="109"/>
        <v>24</v>
      </c>
    </row>
    <row r="252" spans="2:7" s="1" customFormat="1" x14ac:dyDescent="0.3">
      <c r="B252" s="16" t="s">
        <v>45</v>
      </c>
      <c r="C252" s="17"/>
      <c r="D252" s="64">
        <f>[7]Analysis!$I$6</f>
        <v>653.89922000000001</v>
      </c>
      <c r="E252" s="65">
        <f t="shared" ref="E252:G252" si="110">D252</f>
        <v>653.89922000000001</v>
      </c>
      <c r="F252" s="65">
        <f t="shared" si="110"/>
        <v>653.89922000000001</v>
      </c>
      <c r="G252" s="65">
        <f t="shared" si="110"/>
        <v>653.89922000000001</v>
      </c>
    </row>
    <row r="253" spans="2:7" s="1" customFormat="1" x14ac:dyDescent="0.3"/>
    <row r="254" spans="2:7" s="1" customFormat="1" x14ac:dyDescent="0.3"/>
    <row r="255" spans="2:7" x14ac:dyDescent="0.3">
      <c r="B255" s="26" t="s">
        <v>607</v>
      </c>
      <c r="C255" s="27"/>
      <c r="D255" s="6"/>
      <c r="E255" s="6"/>
      <c r="F255" s="6"/>
      <c r="G255" s="6"/>
    </row>
    <row r="256" spans="2:7" x14ac:dyDescent="0.3">
      <c r="B256" s="28"/>
      <c r="C256" s="29"/>
      <c r="D256" s="23" t="str">
        <f t="shared" ref="D256:G256" si="111">D$5</f>
        <v>2023-24</v>
      </c>
      <c r="E256" s="23" t="str">
        <f t="shared" si="111"/>
        <v>2024-25</v>
      </c>
      <c r="F256" s="23" t="str">
        <f t="shared" si="111"/>
        <v>2025-26</v>
      </c>
      <c r="G256" s="23" t="str">
        <f t="shared" si="111"/>
        <v>2026-27</v>
      </c>
    </row>
    <row r="257" spans="2:10" x14ac:dyDescent="0.3">
      <c r="B257" s="30"/>
      <c r="C257" s="31"/>
      <c r="D257" s="8"/>
      <c r="E257" s="8"/>
      <c r="F257" s="8"/>
      <c r="G257" s="8"/>
    </row>
    <row r="258" spans="2:10" x14ac:dyDescent="0.3">
      <c r="B258" s="16" t="s">
        <v>50</v>
      </c>
      <c r="C258" s="17"/>
      <c r="D258" s="4">
        <v>134</v>
      </c>
      <c r="E258" s="65">
        <f t="shared" ref="E258:G258" si="112">D258</f>
        <v>134</v>
      </c>
      <c r="F258" s="65">
        <f t="shared" si="112"/>
        <v>134</v>
      </c>
      <c r="G258" s="65">
        <f t="shared" si="112"/>
        <v>134</v>
      </c>
    </row>
    <row r="259" spans="2:10" x14ac:dyDescent="0.3">
      <c r="B259" s="16" t="s">
        <v>51</v>
      </c>
      <c r="C259" s="17"/>
      <c r="D259" s="4">
        <v>10</v>
      </c>
      <c r="E259" s="65">
        <f t="shared" ref="E259:G259" si="113">D259</f>
        <v>10</v>
      </c>
      <c r="F259" s="65">
        <f t="shared" si="113"/>
        <v>10</v>
      </c>
      <c r="G259" s="65">
        <f t="shared" si="113"/>
        <v>10</v>
      </c>
    </row>
    <row r="260" spans="2:10" x14ac:dyDescent="0.3">
      <c r="B260" s="16" t="s">
        <v>52</v>
      </c>
      <c r="C260" s="17"/>
      <c r="D260" s="4">
        <v>55</v>
      </c>
      <c r="E260" s="65">
        <f t="shared" ref="E260:G260" si="114">D260</f>
        <v>55</v>
      </c>
      <c r="F260" s="65">
        <f t="shared" si="114"/>
        <v>55</v>
      </c>
      <c r="G260" s="65">
        <f t="shared" si="114"/>
        <v>55</v>
      </c>
    </row>
    <row r="261" spans="2:10" x14ac:dyDescent="0.3">
      <c r="B261" s="16" t="s">
        <v>53</v>
      </c>
      <c r="C261" s="17"/>
      <c r="D261" s="4">
        <v>25</v>
      </c>
      <c r="E261" s="65">
        <f t="shared" ref="E261:G261" si="115">D261</f>
        <v>25</v>
      </c>
      <c r="F261" s="65">
        <f t="shared" si="115"/>
        <v>25</v>
      </c>
      <c r="G261" s="65">
        <f t="shared" si="115"/>
        <v>25</v>
      </c>
    </row>
    <row r="262" spans="2:10" x14ac:dyDescent="0.3"/>
    <row r="263" spans="2:10" x14ac:dyDescent="0.3"/>
    <row r="264" spans="2:10" x14ac:dyDescent="0.3">
      <c r="B264" s="26" t="s">
        <v>244</v>
      </c>
      <c r="C264" s="27"/>
      <c r="D264" s="6"/>
      <c r="E264" s="6"/>
      <c r="F264" s="6"/>
      <c r="G264" s="6"/>
    </row>
    <row r="265" spans="2:10" x14ac:dyDescent="0.3">
      <c r="B265" s="28"/>
      <c r="C265" s="29"/>
      <c r="D265" s="23" t="str">
        <f t="shared" ref="D265:G265" si="116">D$5</f>
        <v>2023-24</v>
      </c>
      <c r="E265" s="23" t="str">
        <f t="shared" si="116"/>
        <v>2024-25</v>
      </c>
      <c r="F265" s="23" t="str">
        <f t="shared" si="116"/>
        <v>2025-26</v>
      </c>
      <c r="G265" s="23" t="str">
        <f t="shared" si="116"/>
        <v>2026-27</v>
      </c>
    </row>
    <row r="266" spans="2:10" x14ac:dyDescent="0.3">
      <c r="B266" s="30"/>
      <c r="C266" s="31"/>
      <c r="D266" s="8"/>
      <c r="E266" s="8"/>
      <c r="F266" s="8"/>
      <c r="G266" s="8"/>
    </row>
    <row r="267" spans="2:10" x14ac:dyDescent="0.3">
      <c r="B267" s="16" t="s">
        <v>54</v>
      </c>
      <c r="C267" s="17" t="s">
        <v>55</v>
      </c>
      <c r="D267" s="70">
        <f>[8]GRMS!D5</f>
        <v>2.4601808979450922E-3</v>
      </c>
      <c r="E267" s="69">
        <f t="shared" ref="E267:G267" si="117">D267</f>
        <v>2.4601808979450922E-3</v>
      </c>
      <c r="F267" s="69">
        <f t="shared" si="117"/>
        <v>2.4601808979450922E-3</v>
      </c>
      <c r="G267" s="69">
        <f t="shared" si="117"/>
        <v>2.4601808979450922E-3</v>
      </c>
    </row>
    <row r="268" spans="2:10" x14ac:dyDescent="0.3">
      <c r="B268" s="16" t="s">
        <v>56</v>
      </c>
      <c r="C268" s="17" t="s">
        <v>57</v>
      </c>
      <c r="D268" s="70">
        <f>[8]GRMS!D6</f>
        <v>8.6031500348787079E-3</v>
      </c>
      <c r="E268" s="69">
        <f t="shared" ref="E268:G268" si="118">D268</f>
        <v>8.6031500348787079E-3</v>
      </c>
      <c r="F268" s="69">
        <f t="shared" si="118"/>
        <v>8.6031500348787079E-3</v>
      </c>
      <c r="G268" s="69">
        <f t="shared" si="118"/>
        <v>8.6031500348787079E-3</v>
      </c>
      <c r="I268" s="1"/>
      <c r="J268" s="1"/>
    </row>
    <row r="269" spans="2:10" x14ac:dyDescent="0.3">
      <c r="B269" s="16" t="s">
        <v>58</v>
      </c>
      <c r="C269" s="17" t="s">
        <v>59</v>
      </c>
      <c r="D269" s="70">
        <f>[8]GRMS!D7</f>
        <v>2.9631921650186532E-3</v>
      </c>
      <c r="E269" s="69">
        <f t="shared" ref="E269:G269" si="119">D269</f>
        <v>2.9631921650186532E-3</v>
      </c>
      <c r="F269" s="69">
        <f t="shared" si="119"/>
        <v>2.9631921650186532E-3</v>
      </c>
      <c r="G269" s="69">
        <f t="shared" si="119"/>
        <v>2.9631921650186532E-3</v>
      </c>
      <c r="I269" s="1"/>
      <c r="J269" s="1"/>
    </row>
    <row r="270" spans="2:10" x14ac:dyDescent="0.3">
      <c r="B270" s="16" t="s">
        <v>60</v>
      </c>
      <c r="C270" s="17" t="s">
        <v>57</v>
      </c>
      <c r="D270" s="70">
        <f>[8]GRMS!D8</f>
        <v>4.9034880706046247E-3</v>
      </c>
      <c r="E270" s="69">
        <f t="shared" ref="E270:G270" si="120">D270</f>
        <v>4.9034880706046247E-3</v>
      </c>
      <c r="F270" s="69">
        <f t="shared" si="120"/>
        <v>4.9034880706046247E-3</v>
      </c>
      <c r="G270" s="69">
        <f t="shared" si="120"/>
        <v>4.9034880706046247E-3</v>
      </c>
      <c r="I270" s="1"/>
      <c r="J270" s="1"/>
    </row>
    <row r="271" spans="2:10" x14ac:dyDescent="0.3">
      <c r="B271" s="16" t="s">
        <v>61</v>
      </c>
      <c r="C271" s="17" t="s">
        <v>62</v>
      </c>
      <c r="D271" s="70">
        <f>[8]GRMS!D9</f>
        <v>1.2719654363333628E-3</v>
      </c>
      <c r="E271" s="69">
        <f t="shared" ref="E271:G271" si="121">D271</f>
        <v>1.2719654363333628E-3</v>
      </c>
      <c r="F271" s="69">
        <f t="shared" si="121"/>
        <v>1.2719654363333628E-3</v>
      </c>
      <c r="G271" s="69">
        <f t="shared" si="121"/>
        <v>1.2719654363333628E-3</v>
      </c>
      <c r="I271" s="1"/>
      <c r="J271" s="1"/>
    </row>
    <row r="272" spans="2:10" x14ac:dyDescent="0.3">
      <c r="B272" s="16" t="s">
        <v>63</v>
      </c>
      <c r="C272" s="17" t="s">
        <v>64</v>
      </c>
      <c r="D272" s="70">
        <f>[8]GRMS!D10</f>
        <v>2.7846987747568936E-3</v>
      </c>
      <c r="E272" s="69">
        <f t="shared" ref="E272:G272" si="122">D272</f>
        <v>2.7846987747568936E-3</v>
      </c>
      <c r="F272" s="69">
        <f t="shared" si="122"/>
        <v>2.7846987747568936E-3</v>
      </c>
      <c r="G272" s="69">
        <f t="shared" si="122"/>
        <v>2.7846987747568936E-3</v>
      </c>
      <c r="I272" s="1"/>
      <c r="J272" s="1"/>
    </row>
    <row r="273" spans="2:10" x14ac:dyDescent="0.3">
      <c r="B273" s="16" t="s">
        <v>65</v>
      </c>
      <c r="C273" s="17" t="s">
        <v>66</v>
      </c>
      <c r="D273" s="70">
        <f>[8]GRMS!D11</f>
        <v>6.4016614411236414E-3</v>
      </c>
      <c r="E273" s="69">
        <f t="shared" ref="E273:G273" si="123">D273</f>
        <v>6.4016614411236414E-3</v>
      </c>
      <c r="F273" s="69">
        <f t="shared" si="123"/>
        <v>6.4016614411236414E-3</v>
      </c>
      <c r="G273" s="69">
        <f t="shared" si="123"/>
        <v>6.4016614411236414E-3</v>
      </c>
      <c r="I273" s="1"/>
      <c r="J273" s="1"/>
    </row>
    <row r="274" spans="2:10" x14ac:dyDescent="0.3">
      <c r="B274" s="16" t="s">
        <v>67</v>
      </c>
      <c r="C274" s="17" t="s">
        <v>68</v>
      </c>
      <c r="D274" s="70">
        <f>[8]GRMS!D12</f>
        <v>7.5760263221205876E-3</v>
      </c>
      <c r="E274" s="69">
        <f t="shared" ref="E274:G274" si="124">D274</f>
        <v>7.5760263221205876E-3</v>
      </c>
      <c r="F274" s="69">
        <f t="shared" si="124"/>
        <v>7.5760263221205876E-3</v>
      </c>
      <c r="G274" s="69">
        <f t="shared" si="124"/>
        <v>7.5760263221205876E-3</v>
      </c>
      <c r="I274" s="1"/>
      <c r="J274" s="1"/>
    </row>
    <row r="275" spans="2:10" x14ac:dyDescent="0.3">
      <c r="B275" s="16" t="s">
        <v>69</v>
      </c>
      <c r="C275" s="17" t="s">
        <v>70</v>
      </c>
      <c r="D275" s="70">
        <f>[8]GRMS!D13</f>
        <v>5.4039216222358461E-3</v>
      </c>
      <c r="E275" s="69">
        <f t="shared" ref="E275:G275" si="125">D275</f>
        <v>5.4039216222358461E-3</v>
      </c>
      <c r="F275" s="69">
        <f t="shared" si="125"/>
        <v>5.4039216222358461E-3</v>
      </c>
      <c r="G275" s="69">
        <f t="shared" si="125"/>
        <v>5.4039216222358461E-3</v>
      </c>
      <c r="I275" s="1"/>
      <c r="J275" s="1"/>
    </row>
    <row r="276" spans="2:10" x14ac:dyDescent="0.3">
      <c r="B276" s="16" t="s">
        <v>71</v>
      </c>
      <c r="C276" s="17" t="s">
        <v>72</v>
      </c>
      <c r="D276" s="70">
        <f>[8]GRMS!D14</f>
        <v>3.9969718483747488E-2</v>
      </c>
      <c r="E276" s="69">
        <f t="shared" ref="E276:G276" si="126">D276</f>
        <v>3.9969718483747488E-2</v>
      </c>
      <c r="F276" s="69">
        <f t="shared" si="126"/>
        <v>3.9969718483747488E-2</v>
      </c>
      <c r="G276" s="69">
        <f t="shared" si="126"/>
        <v>3.9969718483747488E-2</v>
      </c>
      <c r="I276" s="1"/>
      <c r="J276" s="1"/>
    </row>
    <row r="277" spans="2:10" x14ac:dyDescent="0.3">
      <c r="B277" s="16" t="s">
        <v>73</v>
      </c>
      <c r="C277" s="17" t="s">
        <v>74</v>
      </c>
      <c r="D277" s="70">
        <f>[8]GRMS!D15</f>
        <v>0</v>
      </c>
      <c r="E277" s="69">
        <f t="shared" ref="E277:G277" si="127">D277</f>
        <v>0</v>
      </c>
      <c r="F277" s="69">
        <f t="shared" si="127"/>
        <v>0</v>
      </c>
      <c r="G277" s="69">
        <f t="shared" si="127"/>
        <v>0</v>
      </c>
      <c r="I277" s="1"/>
      <c r="J277" s="1"/>
    </row>
    <row r="278" spans="2:10" x14ac:dyDescent="0.3">
      <c r="B278" s="16" t="s">
        <v>75</v>
      </c>
      <c r="C278" s="17" t="s">
        <v>76</v>
      </c>
      <c r="D278" s="70">
        <f>[8]GRMS!D16</f>
        <v>2.126627612964799E-3</v>
      </c>
      <c r="E278" s="69">
        <f t="shared" ref="E278:G278" si="128">D278</f>
        <v>2.126627612964799E-3</v>
      </c>
      <c r="F278" s="69">
        <f t="shared" si="128"/>
        <v>2.126627612964799E-3</v>
      </c>
      <c r="G278" s="69">
        <f t="shared" si="128"/>
        <v>2.126627612964799E-3</v>
      </c>
      <c r="I278" s="1"/>
      <c r="J278" s="1"/>
    </row>
    <row r="279" spans="2:10" x14ac:dyDescent="0.3">
      <c r="B279" s="16" t="s">
        <v>77</v>
      </c>
      <c r="C279" s="17" t="s">
        <v>78</v>
      </c>
      <c r="D279" s="70">
        <f>[8]GRMS!D17</f>
        <v>8.712480226563948E-3</v>
      </c>
      <c r="E279" s="69">
        <f t="shared" ref="E279:G279" si="129">D279</f>
        <v>8.712480226563948E-3</v>
      </c>
      <c r="F279" s="69">
        <f t="shared" si="129"/>
        <v>8.712480226563948E-3</v>
      </c>
      <c r="G279" s="69">
        <f t="shared" si="129"/>
        <v>8.712480226563948E-3</v>
      </c>
      <c r="I279" s="1"/>
      <c r="J279" s="1"/>
    </row>
    <row r="280" spans="2:10" x14ac:dyDescent="0.3">
      <c r="B280" s="16" t="s">
        <v>79</v>
      </c>
      <c r="C280" s="17" t="s">
        <v>80</v>
      </c>
      <c r="D280" s="70">
        <f>[8]GRMS!D18</f>
        <v>5.3454291345044385E-3</v>
      </c>
      <c r="E280" s="69">
        <f t="shared" ref="E280:G280" si="130">D280</f>
        <v>5.3454291345044385E-3</v>
      </c>
      <c r="F280" s="69">
        <f t="shared" si="130"/>
        <v>5.3454291345044385E-3</v>
      </c>
      <c r="G280" s="69">
        <f t="shared" si="130"/>
        <v>5.3454291345044385E-3</v>
      </c>
      <c r="I280" s="1"/>
      <c r="J280" s="1"/>
    </row>
    <row r="281" spans="2:10" x14ac:dyDescent="0.3">
      <c r="B281" s="16" t="s">
        <v>81</v>
      </c>
      <c r="C281" s="17" t="s">
        <v>74</v>
      </c>
      <c r="D281" s="70">
        <f>[8]GRMS!D19</f>
        <v>0.1231492953012138</v>
      </c>
      <c r="E281" s="69">
        <f t="shared" ref="E281:G281" si="131">D281</f>
        <v>0.1231492953012138</v>
      </c>
      <c r="F281" s="69">
        <f t="shared" si="131"/>
        <v>0.1231492953012138</v>
      </c>
      <c r="G281" s="69">
        <f t="shared" si="131"/>
        <v>0.1231492953012138</v>
      </c>
      <c r="I281" s="1"/>
      <c r="J281" s="1"/>
    </row>
    <row r="282" spans="2:10" x14ac:dyDescent="0.3">
      <c r="B282" s="16" t="s">
        <v>82</v>
      </c>
      <c r="C282" s="17" t="s">
        <v>78</v>
      </c>
      <c r="D282" s="70">
        <f>[8]GRMS!D20</f>
        <v>2.0858234085987305E-3</v>
      </c>
      <c r="E282" s="69">
        <f t="shared" ref="E282:G282" si="132">D282</f>
        <v>2.0858234085987305E-3</v>
      </c>
      <c r="F282" s="69">
        <f t="shared" si="132"/>
        <v>2.0858234085987305E-3</v>
      </c>
      <c r="G282" s="69">
        <f t="shared" si="132"/>
        <v>2.0858234085987305E-3</v>
      </c>
      <c r="I282" s="1"/>
      <c r="J282" s="1"/>
    </row>
    <row r="283" spans="2:10" x14ac:dyDescent="0.3">
      <c r="B283" s="16" t="s">
        <v>83</v>
      </c>
      <c r="C283" s="17" t="s">
        <v>84</v>
      </c>
      <c r="D283" s="70">
        <f>[8]GRMS!D21</f>
        <v>1.5020389125963501E-3</v>
      </c>
      <c r="E283" s="69">
        <f t="shared" ref="E283:G283" si="133">D283</f>
        <v>1.5020389125963501E-3</v>
      </c>
      <c r="F283" s="69">
        <f t="shared" si="133"/>
        <v>1.5020389125963501E-3</v>
      </c>
      <c r="G283" s="69">
        <f t="shared" si="133"/>
        <v>1.5020389125963501E-3</v>
      </c>
      <c r="I283" s="1"/>
      <c r="J283" s="1"/>
    </row>
    <row r="284" spans="2:10" x14ac:dyDescent="0.3">
      <c r="B284" s="16" t="s">
        <v>85</v>
      </c>
      <c r="C284" s="17" t="s">
        <v>86</v>
      </c>
      <c r="D284" s="70">
        <f>[8]GRMS!D22</f>
        <v>1.4686585287042211E-4</v>
      </c>
      <c r="E284" s="69">
        <f t="shared" ref="E284:G284" si="134">D284</f>
        <v>1.4686585287042211E-4</v>
      </c>
      <c r="F284" s="69">
        <f t="shared" si="134"/>
        <v>1.4686585287042211E-4</v>
      </c>
      <c r="G284" s="69">
        <f t="shared" si="134"/>
        <v>1.4686585287042211E-4</v>
      </c>
      <c r="I284" s="1"/>
      <c r="J284" s="1"/>
    </row>
    <row r="285" spans="2:10" x14ac:dyDescent="0.3">
      <c r="B285" s="16" t="s">
        <v>87</v>
      </c>
      <c r="C285" s="17" t="s">
        <v>88</v>
      </c>
      <c r="D285" s="70">
        <f>[8]GRMS!D23</f>
        <v>0</v>
      </c>
      <c r="E285" s="69">
        <f t="shared" ref="E285:G285" si="135">D285</f>
        <v>0</v>
      </c>
      <c r="F285" s="69">
        <f t="shared" si="135"/>
        <v>0</v>
      </c>
      <c r="G285" s="69">
        <f t="shared" si="135"/>
        <v>0</v>
      </c>
      <c r="I285" s="1"/>
      <c r="J285" s="1"/>
    </row>
    <row r="286" spans="2:10" x14ac:dyDescent="0.3">
      <c r="B286" s="16" t="s">
        <v>89</v>
      </c>
      <c r="C286" s="17" t="s">
        <v>88</v>
      </c>
      <c r="D286" s="70">
        <f>[8]GRMS!D24</f>
        <v>4.8379687305773978E-3</v>
      </c>
      <c r="E286" s="69">
        <f t="shared" ref="E286:G286" si="136">D286</f>
        <v>4.8379687305773978E-3</v>
      </c>
      <c r="F286" s="69">
        <f t="shared" si="136"/>
        <v>4.8379687305773978E-3</v>
      </c>
      <c r="G286" s="69">
        <f t="shared" si="136"/>
        <v>4.8379687305773978E-3</v>
      </c>
      <c r="I286" s="1"/>
      <c r="J286" s="1"/>
    </row>
    <row r="287" spans="2:10" x14ac:dyDescent="0.3">
      <c r="B287" s="16" t="s">
        <v>90</v>
      </c>
      <c r="C287" s="17" t="s">
        <v>91</v>
      </c>
      <c r="D287" s="70">
        <f>[8]GRMS!D25</f>
        <v>2.7449813352213156E-3</v>
      </c>
      <c r="E287" s="69">
        <f t="shared" ref="E287:G287" si="137">D287</f>
        <v>2.7449813352213156E-3</v>
      </c>
      <c r="F287" s="69">
        <f t="shared" si="137"/>
        <v>2.7449813352213156E-3</v>
      </c>
      <c r="G287" s="69">
        <f t="shared" si="137"/>
        <v>2.7449813352213156E-3</v>
      </c>
      <c r="I287" s="1"/>
      <c r="J287" s="1"/>
    </row>
    <row r="288" spans="2:10" x14ac:dyDescent="0.3">
      <c r="B288" s="16" t="s">
        <v>92</v>
      </c>
      <c r="C288" s="17" t="s">
        <v>93</v>
      </c>
      <c r="D288" s="70">
        <f>[8]GRMS!D26</f>
        <v>4.981334045877122E-3</v>
      </c>
      <c r="E288" s="69">
        <f t="shared" ref="E288:G288" si="138">D288</f>
        <v>4.981334045877122E-3</v>
      </c>
      <c r="F288" s="69">
        <f t="shared" si="138"/>
        <v>4.981334045877122E-3</v>
      </c>
      <c r="G288" s="69">
        <f t="shared" si="138"/>
        <v>4.981334045877122E-3</v>
      </c>
      <c r="I288" s="1"/>
      <c r="J288" s="1"/>
    </row>
    <row r="289" spans="2:10" x14ac:dyDescent="0.3">
      <c r="B289" s="16" t="s">
        <v>94</v>
      </c>
      <c r="C289" s="17" t="s">
        <v>95</v>
      </c>
      <c r="D289" s="70">
        <f>[8]GRMS!D27</f>
        <v>5.0668079966865922E-3</v>
      </c>
      <c r="E289" s="69">
        <f t="shared" ref="E289:G289" si="139">D289</f>
        <v>5.0668079966865922E-3</v>
      </c>
      <c r="F289" s="69">
        <f t="shared" si="139"/>
        <v>5.0668079966865922E-3</v>
      </c>
      <c r="G289" s="69">
        <f t="shared" si="139"/>
        <v>5.0668079966865922E-3</v>
      </c>
      <c r="I289" s="1"/>
      <c r="J289" s="1"/>
    </row>
    <row r="290" spans="2:10" x14ac:dyDescent="0.3">
      <c r="B290" s="16" t="s">
        <v>96</v>
      </c>
      <c r="C290" s="17" t="s">
        <v>97</v>
      </c>
      <c r="D290" s="70">
        <f>[8]GRMS!D28</f>
        <v>1.3005031177782757E-2</v>
      </c>
      <c r="E290" s="69">
        <f t="shared" ref="E290:G290" si="140">D290</f>
        <v>1.3005031177782757E-2</v>
      </c>
      <c r="F290" s="69">
        <f t="shared" si="140"/>
        <v>1.3005031177782757E-2</v>
      </c>
      <c r="G290" s="69">
        <f t="shared" si="140"/>
        <v>1.3005031177782757E-2</v>
      </c>
      <c r="I290" s="1"/>
      <c r="J290" s="1"/>
    </row>
    <row r="291" spans="2:10" x14ac:dyDescent="0.3">
      <c r="B291" s="16" t="s">
        <v>98</v>
      </c>
      <c r="C291" s="17" t="s">
        <v>99</v>
      </c>
      <c r="D291" s="70">
        <f>[8]GRMS!D29</f>
        <v>0</v>
      </c>
      <c r="E291" s="69">
        <f t="shared" ref="E291:G291" si="141">D291</f>
        <v>0</v>
      </c>
      <c r="F291" s="69">
        <f t="shared" si="141"/>
        <v>0</v>
      </c>
      <c r="G291" s="69">
        <f t="shared" si="141"/>
        <v>0</v>
      </c>
      <c r="I291" s="1"/>
      <c r="J291" s="1"/>
    </row>
    <row r="292" spans="2:10" x14ac:dyDescent="0.3">
      <c r="B292" s="16" t="s">
        <v>100</v>
      </c>
      <c r="C292" s="17" t="s">
        <v>101</v>
      </c>
      <c r="D292" s="70">
        <f>[8]GRMS!D30</f>
        <v>2.8918314124732308E-2</v>
      </c>
      <c r="E292" s="69">
        <f t="shared" ref="E292:G292" si="142">D292</f>
        <v>2.8918314124732308E-2</v>
      </c>
      <c r="F292" s="69">
        <f t="shared" si="142"/>
        <v>2.8918314124732308E-2</v>
      </c>
      <c r="G292" s="69">
        <f t="shared" si="142"/>
        <v>2.8918314124732308E-2</v>
      </c>
      <c r="I292" s="1"/>
      <c r="J292" s="1"/>
    </row>
    <row r="293" spans="2:10" x14ac:dyDescent="0.3">
      <c r="B293" s="16" t="s">
        <v>102</v>
      </c>
      <c r="C293" s="17" t="s">
        <v>101</v>
      </c>
      <c r="D293" s="70">
        <f>[8]GRMS!D31</f>
        <v>0</v>
      </c>
      <c r="E293" s="69">
        <f t="shared" ref="E293:G293" si="143">D293</f>
        <v>0</v>
      </c>
      <c r="F293" s="69">
        <f t="shared" si="143"/>
        <v>0</v>
      </c>
      <c r="G293" s="69">
        <f t="shared" si="143"/>
        <v>0</v>
      </c>
      <c r="I293" s="1"/>
      <c r="J293" s="1"/>
    </row>
    <row r="294" spans="2:10" x14ac:dyDescent="0.3">
      <c r="B294" s="16" t="s">
        <v>103</v>
      </c>
      <c r="C294" s="17" t="s">
        <v>104</v>
      </c>
      <c r="D294" s="70">
        <f>[8]GRMS!D32</f>
        <v>0.10621961193774626</v>
      </c>
      <c r="E294" s="69">
        <f t="shared" ref="E294:G294" si="144">D294</f>
        <v>0.10621961193774626</v>
      </c>
      <c r="F294" s="69">
        <f t="shared" si="144"/>
        <v>0.10621961193774626</v>
      </c>
      <c r="G294" s="69">
        <f t="shared" si="144"/>
        <v>0.10621961193774626</v>
      </c>
      <c r="I294" s="1"/>
      <c r="J294" s="1"/>
    </row>
    <row r="295" spans="2:10" x14ac:dyDescent="0.3">
      <c r="B295" s="16" t="s">
        <v>105</v>
      </c>
      <c r="C295" s="17" t="s">
        <v>106</v>
      </c>
      <c r="D295" s="70">
        <f>[8]GRMS!D33</f>
        <v>3.809005560079624E-3</v>
      </c>
      <c r="E295" s="69">
        <f t="shared" ref="E295:G295" si="145">D295</f>
        <v>3.809005560079624E-3</v>
      </c>
      <c r="F295" s="69">
        <f t="shared" si="145"/>
        <v>3.809005560079624E-3</v>
      </c>
      <c r="G295" s="69">
        <f t="shared" si="145"/>
        <v>3.809005560079624E-3</v>
      </c>
      <c r="I295" s="1"/>
      <c r="J295" s="1"/>
    </row>
    <row r="296" spans="2:10" x14ac:dyDescent="0.3">
      <c r="B296" s="16" t="s">
        <v>107</v>
      </c>
      <c r="C296" s="17" t="s">
        <v>104</v>
      </c>
      <c r="D296" s="70">
        <f>[8]GRMS!D34</f>
        <v>0</v>
      </c>
      <c r="E296" s="69">
        <f t="shared" ref="E296:G296" si="146">D296</f>
        <v>0</v>
      </c>
      <c r="F296" s="69">
        <f t="shared" si="146"/>
        <v>0</v>
      </c>
      <c r="G296" s="69">
        <f t="shared" si="146"/>
        <v>0</v>
      </c>
      <c r="I296" s="1"/>
      <c r="J296" s="1"/>
    </row>
    <row r="297" spans="2:10" x14ac:dyDescent="0.3">
      <c r="B297" s="16" t="s">
        <v>108</v>
      </c>
      <c r="C297" s="17" t="s">
        <v>109</v>
      </c>
      <c r="D297" s="70">
        <f>[8]GRMS!D35</f>
        <v>1.4085049611417698E-4</v>
      </c>
      <c r="E297" s="69">
        <f t="shared" ref="E297:G297" si="147">D297</f>
        <v>1.4085049611417698E-4</v>
      </c>
      <c r="F297" s="69">
        <f t="shared" si="147"/>
        <v>1.4085049611417698E-4</v>
      </c>
      <c r="G297" s="69">
        <f t="shared" si="147"/>
        <v>1.4085049611417698E-4</v>
      </c>
      <c r="I297" s="1"/>
      <c r="J297" s="1"/>
    </row>
    <row r="298" spans="2:10" x14ac:dyDescent="0.3">
      <c r="B298" s="16" t="s">
        <v>110</v>
      </c>
      <c r="C298" s="17" t="s">
        <v>111</v>
      </c>
      <c r="D298" s="70">
        <f>[8]GRMS!D36</f>
        <v>4.9703065792147906E-3</v>
      </c>
      <c r="E298" s="69">
        <f t="shared" ref="E298:G298" si="148">D298</f>
        <v>4.9703065792147906E-3</v>
      </c>
      <c r="F298" s="69">
        <f t="shared" si="148"/>
        <v>4.9703065792147906E-3</v>
      </c>
      <c r="G298" s="69">
        <f t="shared" si="148"/>
        <v>4.9703065792147906E-3</v>
      </c>
      <c r="I298" s="1"/>
      <c r="J298" s="1"/>
    </row>
    <row r="299" spans="2:10" x14ac:dyDescent="0.3">
      <c r="B299" s="16" t="s">
        <v>112</v>
      </c>
      <c r="C299" s="17" t="s">
        <v>113</v>
      </c>
      <c r="D299" s="70">
        <f>[8]GRMS!D37</f>
        <v>1.4164886614097861E-3</v>
      </c>
      <c r="E299" s="69">
        <f t="shared" ref="E299:G299" si="149">D299</f>
        <v>1.4164886614097861E-3</v>
      </c>
      <c r="F299" s="69">
        <f t="shared" si="149"/>
        <v>1.4164886614097861E-3</v>
      </c>
      <c r="G299" s="69">
        <f t="shared" si="149"/>
        <v>1.4164886614097861E-3</v>
      </c>
      <c r="I299" s="1"/>
      <c r="J299" s="1"/>
    </row>
    <row r="300" spans="2:10" x14ac:dyDescent="0.3">
      <c r="B300" s="16" t="s">
        <v>114</v>
      </c>
      <c r="C300" s="17" t="s">
        <v>115</v>
      </c>
      <c r="D300" s="70">
        <f>[8]GRMS!D38</f>
        <v>0</v>
      </c>
      <c r="E300" s="69">
        <f t="shared" ref="E300:G300" si="150">D300</f>
        <v>0</v>
      </c>
      <c r="F300" s="69">
        <f t="shared" si="150"/>
        <v>0</v>
      </c>
      <c r="G300" s="69">
        <f t="shared" si="150"/>
        <v>0</v>
      </c>
      <c r="I300" s="1"/>
      <c r="J300" s="1"/>
    </row>
    <row r="301" spans="2:10" x14ac:dyDescent="0.3">
      <c r="B301" s="16" t="s">
        <v>116</v>
      </c>
      <c r="C301" s="17" t="s">
        <v>117</v>
      </c>
      <c r="D301" s="70">
        <f>[8]GRMS!D39</f>
        <v>3.3723735589048539E-3</v>
      </c>
      <c r="E301" s="69">
        <f t="shared" ref="E301:G301" si="151">D301</f>
        <v>3.3723735589048539E-3</v>
      </c>
      <c r="F301" s="69">
        <f t="shared" si="151"/>
        <v>3.3723735589048539E-3</v>
      </c>
      <c r="G301" s="69">
        <f t="shared" si="151"/>
        <v>3.3723735589048539E-3</v>
      </c>
      <c r="I301" s="1"/>
      <c r="J301" s="1"/>
    </row>
    <row r="302" spans="2:10" x14ac:dyDescent="0.3">
      <c r="B302" s="16" t="s">
        <v>118</v>
      </c>
      <c r="C302" s="17" t="s">
        <v>119</v>
      </c>
      <c r="D302" s="70">
        <f>[8]GRMS!D40</f>
        <v>0</v>
      </c>
      <c r="E302" s="69">
        <f t="shared" ref="E302:G302" si="152">D302</f>
        <v>0</v>
      </c>
      <c r="F302" s="69">
        <f t="shared" si="152"/>
        <v>0</v>
      </c>
      <c r="G302" s="69">
        <f t="shared" si="152"/>
        <v>0</v>
      </c>
      <c r="I302" s="1"/>
      <c r="J302" s="1"/>
    </row>
    <row r="303" spans="2:10" x14ac:dyDescent="0.3">
      <c r="B303" s="16" t="s">
        <v>120</v>
      </c>
      <c r="C303" s="17" t="s">
        <v>121</v>
      </c>
      <c r="D303" s="70">
        <f>[8]GRMS!D41</f>
        <v>1.5161874771162671E-3</v>
      </c>
      <c r="E303" s="69">
        <f t="shared" ref="E303:G303" si="153">D303</f>
        <v>1.5161874771162671E-3</v>
      </c>
      <c r="F303" s="69">
        <f t="shared" si="153"/>
        <v>1.5161874771162671E-3</v>
      </c>
      <c r="G303" s="69">
        <f t="shared" si="153"/>
        <v>1.5161874771162671E-3</v>
      </c>
      <c r="I303" s="1"/>
      <c r="J303" s="1"/>
    </row>
    <row r="304" spans="2:10" x14ac:dyDescent="0.3">
      <c r="B304" s="16" t="s">
        <v>122</v>
      </c>
      <c r="C304" s="17" t="s">
        <v>123</v>
      </c>
      <c r="D304" s="70">
        <f>[8]GRMS!D42</f>
        <v>4.3120673503758552E-3</v>
      </c>
      <c r="E304" s="69">
        <f t="shared" ref="E304:G304" si="154">D304</f>
        <v>4.3120673503758552E-3</v>
      </c>
      <c r="F304" s="69">
        <f t="shared" si="154"/>
        <v>4.3120673503758552E-3</v>
      </c>
      <c r="G304" s="69">
        <f t="shared" si="154"/>
        <v>4.3120673503758552E-3</v>
      </c>
      <c r="I304" s="1"/>
      <c r="J304" s="1"/>
    </row>
    <row r="305" spans="2:10" x14ac:dyDescent="0.3">
      <c r="B305" s="16" t="s">
        <v>124</v>
      </c>
      <c r="C305" s="17" t="s">
        <v>125</v>
      </c>
      <c r="D305" s="70">
        <f>[8]GRMS!D43</f>
        <v>8.9787396722065087E-3</v>
      </c>
      <c r="E305" s="69">
        <f t="shared" ref="E305:G305" si="155">D305</f>
        <v>8.9787396722065087E-3</v>
      </c>
      <c r="F305" s="69">
        <f t="shared" si="155"/>
        <v>8.9787396722065087E-3</v>
      </c>
      <c r="G305" s="69">
        <f t="shared" si="155"/>
        <v>8.9787396722065087E-3</v>
      </c>
      <c r="I305" s="1"/>
      <c r="J305" s="1"/>
    </row>
    <row r="306" spans="2:10" x14ac:dyDescent="0.3">
      <c r="B306" s="16" t="s">
        <v>126</v>
      </c>
      <c r="C306" s="17" t="s">
        <v>127</v>
      </c>
      <c r="D306" s="70">
        <f>[8]GRMS!D44</f>
        <v>2.3080977490193733E-3</v>
      </c>
      <c r="E306" s="69">
        <f t="shared" ref="E306:G306" si="156">D306</f>
        <v>2.3080977490193733E-3</v>
      </c>
      <c r="F306" s="69">
        <f t="shared" si="156"/>
        <v>2.3080977490193733E-3</v>
      </c>
      <c r="G306" s="69">
        <f t="shared" si="156"/>
        <v>2.3080977490193733E-3</v>
      </c>
      <c r="I306" s="1"/>
      <c r="J306" s="1"/>
    </row>
    <row r="307" spans="2:10" x14ac:dyDescent="0.3">
      <c r="B307" s="16" t="s">
        <v>128</v>
      </c>
      <c r="C307" s="17" t="s">
        <v>129</v>
      </c>
      <c r="D307" s="70">
        <f>[8]GRMS!D45</f>
        <v>8.5653617575801762E-3</v>
      </c>
      <c r="E307" s="69">
        <f t="shared" ref="E307:G307" si="157">D307</f>
        <v>8.5653617575801762E-3</v>
      </c>
      <c r="F307" s="69">
        <f t="shared" si="157"/>
        <v>8.5653617575801762E-3</v>
      </c>
      <c r="G307" s="69">
        <f t="shared" si="157"/>
        <v>8.5653617575801762E-3</v>
      </c>
      <c r="I307" s="1"/>
      <c r="J307" s="1"/>
    </row>
    <row r="308" spans="2:10" x14ac:dyDescent="0.3">
      <c r="B308" s="16" t="s">
        <v>130</v>
      </c>
      <c r="C308" s="17" t="s">
        <v>129</v>
      </c>
      <c r="D308" s="70">
        <f>[8]GRMS!D46</f>
        <v>6.3974267701949646E-3</v>
      </c>
      <c r="E308" s="69">
        <f t="shared" ref="E308:G308" si="158">D308</f>
        <v>6.3974267701949646E-3</v>
      </c>
      <c r="F308" s="69">
        <f t="shared" si="158"/>
        <v>6.3974267701949646E-3</v>
      </c>
      <c r="G308" s="69">
        <f t="shared" si="158"/>
        <v>6.3974267701949646E-3</v>
      </c>
      <c r="I308" s="1"/>
      <c r="J308" s="1"/>
    </row>
    <row r="309" spans="2:10" x14ac:dyDescent="0.3">
      <c r="B309" s="16" t="s">
        <v>131</v>
      </c>
      <c r="C309" s="17" t="s">
        <v>132</v>
      </c>
      <c r="D309" s="70">
        <f>[8]GRMS!D47</f>
        <v>2.034467068297898E-4</v>
      </c>
      <c r="E309" s="69">
        <f t="shared" ref="E309:G309" si="159">D309</f>
        <v>2.034467068297898E-4</v>
      </c>
      <c r="F309" s="69">
        <f t="shared" si="159"/>
        <v>2.034467068297898E-4</v>
      </c>
      <c r="G309" s="69">
        <f t="shared" si="159"/>
        <v>2.034467068297898E-4</v>
      </c>
      <c r="I309" s="1"/>
      <c r="J309" s="1"/>
    </row>
    <row r="310" spans="2:10" x14ac:dyDescent="0.3">
      <c r="B310" s="16" t="s">
        <v>133</v>
      </c>
      <c r="C310" s="17" t="s">
        <v>134</v>
      </c>
      <c r="D310" s="70">
        <f>[8]GRMS!D48</f>
        <v>8.5999907868325749E-3</v>
      </c>
      <c r="E310" s="69">
        <f t="shared" ref="E310:G310" si="160">D310</f>
        <v>8.5999907868325749E-3</v>
      </c>
      <c r="F310" s="69">
        <f t="shared" si="160"/>
        <v>8.5999907868325749E-3</v>
      </c>
      <c r="G310" s="69">
        <f t="shared" si="160"/>
        <v>8.5999907868325749E-3</v>
      </c>
      <c r="I310" s="1"/>
      <c r="J310" s="1"/>
    </row>
    <row r="311" spans="2:10" x14ac:dyDescent="0.3">
      <c r="B311" s="16" t="s">
        <v>135</v>
      </c>
      <c r="C311" s="17" t="s">
        <v>134</v>
      </c>
      <c r="D311" s="70">
        <f>[8]GRMS!D49</f>
        <v>6.6833088168707939E-3</v>
      </c>
      <c r="E311" s="69">
        <f t="shared" ref="E311:G311" si="161">D311</f>
        <v>6.6833088168707939E-3</v>
      </c>
      <c r="F311" s="69">
        <f t="shared" si="161"/>
        <v>6.6833088168707939E-3</v>
      </c>
      <c r="G311" s="69">
        <f t="shared" si="161"/>
        <v>6.6833088168707939E-3</v>
      </c>
      <c r="I311" s="1"/>
      <c r="J311" s="1"/>
    </row>
    <row r="312" spans="2:10" x14ac:dyDescent="0.3">
      <c r="B312" s="16" t="s">
        <v>136</v>
      </c>
      <c r="C312" s="17" t="s">
        <v>137</v>
      </c>
      <c r="D312" s="70">
        <f>[8]GRMS!D50</f>
        <v>1.1047141848759726E-2</v>
      </c>
      <c r="E312" s="69">
        <f t="shared" ref="E312:G312" si="162">D312</f>
        <v>1.1047141848759726E-2</v>
      </c>
      <c r="F312" s="69">
        <f t="shared" si="162"/>
        <v>1.1047141848759726E-2</v>
      </c>
      <c r="G312" s="69">
        <f t="shared" si="162"/>
        <v>1.1047141848759726E-2</v>
      </c>
      <c r="I312" s="1"/>
      <c r="J312" s="1"/>
    </row>
    <row r="313" spans="2:10" x14ac:dyDescent="0.3">
      <c r="B313" s="16" t="s">
        <v>138</v>
      </c>
      <c r="C313" s="17" t="s">
        <v>139</v>
      </c>
      <c r="D313" s="70">
        <f>[8]GRMS!D51</f>
        <v>2.4945593732564951E-3</v>
      </c>
      <c r="E313" s="69">
        <f t="shared" ref="E313:G313" si="163">D313</f>
        <v>2.4945593732564951E-3</v>
      </c>
      <c r="F313" s="69">
        <f t="shared" si="163"/>
        <v>2.4945593732564951E-3</v>
      </c>
      <c r="G313" s="69">
        <f t="shared" si="163"/>
        <v>2.4945593732564951E-3</v>
      </c>
      <c r="I313" s="1"/>
      <c r="J313" s="1"/>
    </row>
    <row r="314" spans="2:10" x14ac:dyDescent="0.3">
      <c r="B314" s="16" t="s">
        <v>140</v>
      </c>
      <c r="C314" s="17" t="s">
        <v>141</v>
      </c>
      <c r="D314" s="70">
        <f>[8]GRMS!D52</f>
        <v>5.3815449900239789E-3</v>
      </c>
      <c r="E314" s="69">
        <f t="shared" ref="E314:G314" si="164">D314</f>
        <v>5.3815449900239789E-3</v>
      </c>
      <c r="F314" s="69">
        <f t="shared" si="164"/>
        <v>5.3815449900239789E-3</v>
      </c>
      <c r="G314" s="69">
        <f t="shared" si="164"/>
        <v>5.3815449900239789E-3</v>
      </c>
      <c r="I314" s="1"/>
      <c r="J314" s="1"/>
    </row>
    <row r="315" spans="2:10" x14ac:dyDescent="0.3">
      <c r="B315" s="16" t="s">
        <v>142</v>
      </c>
      <c r="C315" s="17" t="s">
        <v>143</v>
      </c>
      <c r="D315" s="70">
        <f>[8]GRMS!D53</f>
        <v>4.7131351271357466E-3</v>
      </c>
      <c r="E315" s="69">
        <f t="shared" ref="E315:G315" si="165">D315</f>
        <v>4.7131351271357466E-3</v>
      </c>
      <c r="F315" s="69">
        <f t="shared" si="165"/>
        <v>4.7131351271357466E-3</v>
      </c>
      <c r="G315" s="69">
        <f t="shared" si="165"/>
        <v>4.7131351271357466E-3</v>
      </c>
      <c r="I315" s="1"/>
      <c r="J315" s="1"/>
    </row>
    <row r="316" spans="2:10" x14ac:dyDescent="0.3">
      <c r="B316" s="16" t="s">
        <v>144</v>
      </c>
      <c r="C316" s="17" t="s">
        <v>145</v>
      </c>
      <c r="D316" s="70">
        <f>[8]GRMS!D54</f>
        <v>0.12539399156121336</v>
      </c>
      <c r="E316" s="69">
        <f t="shared" ref="E316:G316" si="166">D316</f>
        <v>0.12539399156121336</v>
      </c>
      <c r="F316" s="69">
        <f t="shared" si="166"/>
        <v>0.12539399156121336</v>
      </c>
      <c r="G316" s="69">
        <f t="shared" si="166"/>
        <v>0.12539399156121336</v>
      </c>
      <c r="I316" s="1"/>
      <c r="J316" s="1"/>
    </row>
    <row r="317" spans="2:10" x14ac:dyDescent="0.3">
      <c r="B317" s="16" t="s">
        <v>146</v>
      </c>
      <c r="C317" s="17" t="s">
        <v>147</v>
      </c>
      <c r="D317" s="70">
        <f>[8]GRMS!D55</f>
        <v>1.5411293486277332E-2</v>
      </c>
      <c r="E317" s="69">
        <f t="shared" ref="E317:G317" si="167">D317</f>
        <v>1.5411293486277332E-2</v>
      </c>
      <c r="F317" s="69">
        <f t="shared" si="167"/>
        <v>1.5411293486277332E-2</v>
      </c>
      <c r="G317" s="69">
        <f t="shared" si="167"/>
        <v>1.5411293486277332E-2</v>
      </c>
      <c r="I317" s="1"/>
      <c r="J317" s="1"/>
    </row>
    <row r="318" spans="2:10" x14ac:dyDescent="0.3">
      <c r="B318" s="16" t="s">
        <v>148</v>
      </c>
      <c r="C318" s="17" t="s">
        <v>149</v>
      </c>
      <c r="D318" s="70">
        <f>[8]GRMS!D56</f>
        <v>1.3129754455003476E-2</v>
      </c>
      <c r="E318" s="69">
        <f t="shared" ref="E318:G318" si="168">D318</f>
        <v>1.3129754455003476E-2</v>
      </c>
      <c r="F318" s="69">
        <f t="shared" si="168"/>
        <v>1.3129754455003476E-2</v>
      </c>
      <c r="G318" s="69">
        <f t="shared" si="168"/>
        <v>1.3129754455003476E-2</v>
      </c>
      <c r="I318" s="1"/>
      <c r="J318" s="1"/>
    </row>
    <row r="319" spans="2:10" x14ac:dyDescent="0.3">
      <c r="B319" s="16" t="s">
        <v>150</v>
      </c>
      <c r="C319" s="17" t="s">
        <v>151</v>
      </c>
      <c r="D319" s="70">
        <f>[8]GRMS!D57</f>
        <v>3.6943769258569618E-2</v>
      </c>
      <c r="E319" s="69">
        <f t="shared" ref="E319:G319" si="169">D319</f>
        <v>3.6943769258569618E-2</v>
      </c>
      <c r="F319" s="69">
        <f t="shared" si="169"/>
        <v>3.6943769258569618E-2</v>
      </c>
      <c r="G319" s="69">
        <f t="shared" si="169"/>
        <v>3.6943769258569618E-2</v>
      </c>
      <c r="I319" s="1"/>
      <c r="J319" s="1"/>
    </row>
    <row r="320" spans="2:10" x14ac:dyDescent="0.3">
      <c r="B320" s="16" t="s">
        <v>152</v>
      </c>
      <c r="C320" s="17" t="s">
        <v>153</v>
      </c>
      <c r="D320" s="70">
        <f>[8]GRMS!D58</f>
        <v>2.5691099971075045E-2</v>
      </c>
      <c r="E320" s="69">
        <f t="shared" ref="E320:G320" si="170">D320</f>
        <v>2.5691099971075045E-2</v>
      </c>
      <c r="F320" s="69">
        <f t="shared" si="170"/>
        <v>2.5691099971075045E-2</v>
      </c>
      <c r="G320" s="69">
        <f t="shared" si="170"/>
        <v>2.5691099971075045E-2</v>
      </c>
      <c r="I320" s="1"/>
      <c r="J320" s="1"/>
    </row>
    <row r="321" spans="2:10" x14ac:dyDescent="0.3">
      <c r="B321" s="16" t="s">
        <v>154</v>
      </c>
      <c r="C321" s="17" t="s">
        <v>155</v>
      </c>
      <c r="D321" s="70">
        <f>[8]GRMS!D59</f>
        <v>2.3622578188525301E-2</v>
      </c>
      <c r="E321" s="69">
        <f t="shared" ref="E321:G321" si="171">D321</f>
        <v>2.3622578188525301E-2</v>
      </c>
      <c r="F321" s="69">
        <f t="shared" si="171"/>
        <v>2.3622578188525301E-2</v>
      </c>
      <c r="G321" s="69">
        <f t="shared" si="171"/>
        <v>2.3622578188525301E-2</v>
      </c>
      <c r="I321" s="1"/>
      <c r="J321" s="1"/>
    </row>
    <row r="322" spans="2:10" x14ac:dyDescent="0.3">
      <c r="B322" s="16" t="s">
        <v>156</v>
      </c>
      <c r="C322" s="17" t="s">
        <v>157</v>
      </c>
      <c r="D322" s="70">
        <f>[8]GRMS!D60</f>
        <v>2.9635674803870581E-3</v>
      </c>
      <c r="E322" s="69">
        <f t="shared" ref="E322:G322" si="172">D322</f>
        <v>2.9635674803870581E-3</v>
      </c>
      <c r="F322" s="69">
        <f t="shared" si="172"/>
        <v>2.9635674803870581E-3</v>
      </c>
      <c r="G322" s="69">
        <f t="shared" si="172"/>
        <v>2.9635674803870581E-3</v>
      </c>
      <c r="I322" s="1"/>
      <c r="J322" s="1"/>
    </row>
    <row r="323" spans="2:10" x14ac:dyDescent="0.3">
      <c r="B323" s="16" t="s">
        <v>158</v>
      </c>
      <c r="C323" s="17" t="s">
        <v>159</v>
      </c>
      <c r="D323" s="70">
        <f>[8]GRMS!D61</f>
        <v>1.2669250746660284E-2</v>
      </c>
      <c r="E323" s="69">
        <f t="shared" ref="E323:G323" si="173">D323</f>
        <v>1.2669250746660284E-2</v>
      </c>
      <c r="F323" s="69">
        <f t="shared" si="173"/>
        <v>1.2669250746660284E-2</v>
      </c>
      <c r="G323" s="69">
        <f t="shared" si="173"/>
        <v>1.2669250746660284E-2</v>
      </c>
      <c r="I323" s="1"/>
      <c r="J323" s="1"/>
    </row>
    <row r="324" spans="2:10" x14ac:dyDescent="0.3">
      <c r="B324" s="16" t="s">
        <v>160</v>
      </c>
      <c r="C324" s="17" t="s">
        <v>161</v>
      </c>
      <c r="D324" s="70">
        <f>[8]GRMS!D62</f>
        <v>1.7011907330647301E-2</v>
      </c>
      <c r="E324" s="69">
        <f t="shared" ref="E324:G324" si="174">D324</f>
        <v>1.7011907330647301E-2</v>
      </c>
      <c r="F324" s="69">
        <f t="shared" si="174"/>
        <v>1.7011907330647301E-2</v>
      </c>
      <c r="G324" s="69">
        <f t="shared" si="174"/>
        <v>1.7011907330647301E-2</v>
      </c>
      <c r="I324" s="1"/>
      <c r="J324" s="1"/>
    </row>
    <row r="325" spans="2:10" x14ac:dyDescent="0.3">
      <c r="B325" s="16" t="s">
        <v>162</v>
      </c>
      <c r="C325" s="17" t="s">
        <v>163</v>
      </c>
      <c r="D325" s="70">
        <f>[8]GRMS!D63</f>
        <v>1.7971728955378273E-4</v>
      </c>
      <c r="E325" s="69">
        <f t="shared" ref="E325:G325" si="175">D325</f>
        <v>1.7971728955378273E-4</v>
      </c>
      <c r="F325" s="69">
        <f t="shared" si="175"/>
        <v>1.7971728955378273E-4</v>
      </c>
      <c r="G325" s="69">
        <f t="shared" si="175"/>
        <v>1.7971728955378273E-4</v>
      </c>
      <c r="I325" s="1"/>
      <c r="J325" s="1"/>
    </row>
    <row r="326" spans="2:10" x14ac:dyDescent="0.3">
      <c r="B326" s="16" t="s">
        <v>164</v>
      </c>
      <c r="C326" s="17" t="s">
        <v>165</v>
      </c>
      <c r="D326" s="70">
        <f>[8]GRMS!D64</f>
        <v>6.0914199835176964E-4</v>
      </c>
      <c r="E326" s="69">
        <f t="shared" ref="E326:G326" si="176">D326</f>
        <v>6.0914199835176964E-4</v>
      </c>
      <c r="F326" s="69">
        <f t="shared" si="176"/>
        <v>6.0914199835176964E-4</v>
      </c>
      <c r="G326" s="69">
        <f t="shared" si="176"/>
        <v>6.0914199835176964E-4</v>
      </c>
      <c r="I326" s="1"/>
      <c r="J326" s="1"/>
    </row>
    <row r="327" spans="2:10" x14ac:dyDescent="0.3">
      <c r="B327" s="16" t="s">
        <v>166</v>
      </c>
      <c r="C327" s="17" t="s">
        <v>167</v>
      </c>
      <c r="D327" s="70">
        <f>[8]GRMS!D65</f>
        <v>5.4776453149729535E-4</v>
      </c>
      <c r="E327" s="69">
        <f t="shared" ref="E327:G327" si="177">D327</f>
        <v>5.4776453149729535E-4</v>
      </c>
      <c r="F327" s="69">
        <f t="shared" si="177"/>
        <v>5.4776453149729535E-4</v>
      </c>
      <c r="G327" s="69">
        <f t="shared" si="177"/>
        <v>5.4776453149729535E-4</v>
      </c>
      <c r="I327" s="1"/>
      <c r="J327" s="1"/>
    </row>
    <row r="328" spans="2:10" x14ac:dyDescent="0.3">
      <c r="B328" s="16" t="s">
        <v>168</v>
      </c>
      <c r="C328" s="17" t="s">
        <v>169</v>
      </c>
      <c r="D328" s="70">
        <f>[8]GRMS!D66</f>
        <v>1.9153456822764719E-4</v>
      </c>
      <c r="E328" s="69">
        <f t="shared" ref="E328:G328" si="178">D328</f>
        <v>1.9153456822764719E-4</v>
      </c>
      <c r="F328" s="69">
        <f t="shared" si="178"/>
        <v>1.9153456822764719E-4</v>
      </c>
      <c r="G328" s="69">
        <f t="shared" si="178"/>
        <v>1.9153456822764719E-4</v>
      </c>
      <c r="I328" s="1"/>
      <c r="J328" s="1"/>
    </row>
    <row r="329" spans="2:10" x14ac:dyDescent="0.3">
      <c r="B329" s="16" t="s">
        <v>170</v>
      </c>
      <c r="C329" s="17" t="s">
        <v>171</v>
      </c>
      <c r="D329" s="70">
        <f>[8]GRMS!D67</f>
        <v>6.769101373308938E-4</v>
      </c>
      <c r="E329" s="69">
        <f t="shared" ref="E329:G329" si="179">D329</f>
        <v>6.769101373308938E-4</v>
      </c>
      <c r="F329" s="69">
        <f t="shared" si="179"/>
        <v>6.769101373308938E-4</v>
      </c>
      <c r="G329" s="69">
        <f t="shared" si="179"/>
        <v>6.769101373308938E-4</v>
      </c>
      <c r="I329" s="1"/>
      <c r="J329" s="1"/>
    </row>
    <row r="330" spans="2:10" x14ac:dyDescent="0.3">
      <c r="B330" s="16" t="s">
        <v>172</v>
      </c>
      <c r="C330" s="17" t="s">
        <v>173</v>
      </c>
      <c r="D330" s="70">
        <f>[8]GRMS!D68</f>
        <v>9.7953249705184889E-2</v>
      </c>
      <c r="E330" s="69">
        <f t="shared" ref="E330:G330" si="180">D330</f>
        <v>9.7953249705184889E-2</v>
      </c>
      <c r="F330" s="69">
        <f t="shared" si="180"/>
        <v>9.7953249705184889E-2</v>
      </c>
      <c r="G330" s="69">
        <f t="shared" si="180"/>
        <v>9.7953249705184889E-2</v>
      </c>
      <c r="I330" s="1"/>
      <c r="J330" s="1"/>
    </row>
    <row r="331" spans="2:10" x14ac:dyDescent="0.3">
      <c r="B331" s="16" t="s">
        <v>174</v>
      </c>
      <c r="C331" s="17" t="s">
        <v>175</v>
      </c>
      <c r="D331" s="70">
        <f>[8]GRMS!D69</f>
        <v>1.5506288486844631E-3</v>
      </c>
      <c r="E331" s="69">
        <f t="shared" ref="E331:G331" si="181">D331</f>
        <v>1.5506288486844631E-3</v>
      </c>
      <c r="F331" s="69">
        <f t="shared" si="181"/>
        <v>1.5506288486844631E-3</v>
      </c>
      <c r="G331" s="69">
        <f t="shared" si="181"/>
        <v>1.5506288486844631E-3</v>
      </c>
      <c r="I331" s="1"/>
      <c r="J331" s="1"/>
    </row>
    <row r="332" spans="2:10" x14ac:dyDescent="0.3">
      <c r="B332" s="16" t="s">
        <v>176</v>
      </c>
      <c r="C332" s="17" t="s">
        <v>177</v>
      </c>
      <c r="D332" s="70">
        <f>[8]GRMS!D70</f>
        <v>8.3783876835131187E-3</v>
      </c>
      <c r="E332" s="69">
        <f t="shared" ref="E332:G332" si="182">D332</f>
        <v>8.3783876835131187E-3</v>
      </c>
      <c r="F332" s="69">
        <f t="shared" si="182"/>
        <v>8.3783876835131187E-3</v>
      </c>
      <c r="G332" s="69">
        <f t="shared" si="182"/>
        <v>8.3783876835131187E-3</v>
      </c>
      <c r="I332" s="1"/>
      <c r="J332" s="1"/>
    </row>
    <row r="333" spans="2:10" x14ac:dyDescent="0.3">
      <c r="B333" s="16" t="s">
        <v>178</v>
      </c>
      <c r="C333" s="17" t="s">
        <v>179</v>
      </c>
      <c r="D333" s="70">
        <f>[8]GRMS!D71</f>
        <v>1.6676705338870086E-3</v>
      </c>
      <c r="E333" s="69">
        <f t="shared" ref="E333:G333" si="183">D333</f>
        <v>1.6676705338870086E-3</v>
      </c>
      <c r="F333" s="69">
        <f t="shared" si="183"/>
        <v>1.6676705338870086E-3</v>
      </c>
      <c r="G333" s="69">
        <f t="shared" si="183"/>
        <v>1.6676705338870086E-3</v>
      </c>
      <c r="I333" s="1"/>
      <c r="J333" s="1"/>
    </row>
    <row r="334" spans="2:10" x14ac:dyDescent="0.3">
      <c r="B334" s="16" t="s">
        <v>180</v>
      </c>
      <c r="C334" s="17" t="s">
        <v>181</v>
      </c>
      <c r="D334" s="70">
        <f>[8]GRMS!D72</f>
        <v>4.777586261883667E-3</v>
      </c>
      <c r="E334" s="69">
        <f t="shared" ref="E334:G334" si="184">D334</f>
        <v>4.777586261883667E-3</v>
      </c>
      <c r="F334" s="69">
        <f t="shared" si="184"/>
        <v>4.777586261883667E-3</v>
      </c>
      <c r="G334" s="69">
        <f t="shared" si="184"/>
        <v>4.777586261883667E-3</v>
      </c>
      <c r="I334" s="1"/>
      <c r="J334" s="1"/>
    </row>
    <row r="335" spans="2:10" x14ac:dyDescent="0.3">
      <c r="B335" s="16" t="s">
        <v>182</v>
      </c>
      <c r="C335" s="17" t="s">
        <v>183</v>
      </c>
      <c r="D335" s="70">
        <f>[8]GRMS!D73</f>
        <v>1.4546543162490752E-3</v>
      </c>
      <c r="E335" s="69">
        <f t="shared" ref="E335:G335" si="185">D335</f>
        <v>1.4546543162490752E-3</v>
      </c>
      <c r="F335" s="69">
        <f t="shared" si="185"/>
        <v>1.4546543162490752E-3</v>
      </c>
      <c r="G335" s="69">
        <f t="shared" si="185"/>
        <v>1.4546543162490752E-3</v>
      </c>
      <c r="I335" s="1"/>
      <c r="J335" s="1"/>
    </row>
    <row r="336" spans="2:10" x14ac:dyDescent="0.3">
      <c r="B336" s="16" t="s">
        <v>184</v>
      </c>
      <c r="C336" s="17" t="s">
        <v>185</v>
      </c>
      <c r="D336" s="70">
        <f>[8]GRMS!D74</f>
        <v>5.5238761258882361E-3</v>
      </c>
      <c r="E336" s="69">
        <f t="shared" ref="E336:G336" si="186">D336</f>
        <v>5.5238761258882361E-3</v>
      </c>
      <c r="F336" s="69">
        <f t="shared" si="186"/>
        <v>5.5238761258882361E-3</v>
      </c>
      <c r="G336" s="69">
        <f t="shared" si="186"/>
        <v>5.5238761258882361E-3</v>
      </c>
      <c r="I336" s="1"/>
      <c r="J336" s="1"/>
    </row>
    <row r="337" spans="2:10" x14ac:dyDescent="0.3">
      <c r="B337" s="16" t="s">
        <v>186</v>
      </c>
      <c r="C337" s="17" t="s">
        <v>187</v>
      </c>
      <c r="D337" s="70">
        <f>[8]GRMS!D75</f>
        <v>8.5621602350007908E-4</v>
      </c>
      <c r="E337" s="69">
        <f t="shared" ref="E337:G337" si="187">D337</f>
        <v>8.5621602350007908E-4</v>
      </c>
      <c r="F337" s="69">
        <f t="shared" si="187"/>
        <v>8.5621602350007908E-4</v>
      </c>
      <c r="G337" s="69">
        <f t="shared" si="187"/>
        <v>8.5621602350007908E-4</v>
      </c>
      <c r="I337" s="1"/>
      <c r="J337" s="1"/>
    </row>
    <row r="338" spans="2:10" x14ac:dyDescent="0.3">
      <c r="B338" s="16" t="s">
        <v>188</v>
      </c>
      <c r="C338" s="17" t="s">
        <v>189</v>
      </c>
      <c r="D338" s="70">
        <f>[8]GRMS!D76</f>
        <v>2.383407252296608E-4</v>
      </c>
      <c r="E338" s="69">
        <f t="shared" ref="E338:G338" si="188">D338</f>
        <v>2.383407252296608E-4</v>
      </c>
      <c r="F338" s="69">
        <f t="shared" si="188"/>
        <v>2.383407252296608E-4</v>
      </c>
      <c r="G338" s="69">
        <f t="shared" si="188"/>
        <v>2.383407252296608E-4</v>
      </c>
      <c r="I338" s="1"/>
      <c r="J338" s="1"/>
    </row>
    <row r="339" spans="2:10" x14ac:dyDescent="0.3">
      <c r="B339" s="16" t="s">
        <v>190</v>
      </c>
      <c r="C339" s="17" t="s">
        <v>191</v>
      </c>
      <c r="D339" s="70">
        <f>[8]GRMS!D77</f>
        <v>1.3234970612842744E-3</v>
      </c>
      <c r="E339" s="69">
        <f t="shared" ref="E339:G339" si="189">D339</f>
        <v>1.3234970612842744E-3</v>
      </c>
      <c r="F339" s="69">
        <f t="shared" si="189"/>
        <v>1.3234970612842744E-3</v>
      </c>
      <c r="G339" s="69">
        <f t="shared" si="189"/>
        <v>1.3234970612842744E-3</v>
      </c>
      <c r="I339" s="1"/>
      <c r="J339" s="1"/>
    </row>
    <row r="340" spans="2:10" x14ac:dyDescent="0.3">
      <c r="B340" s="16" t="s">
        <v>192</v>
      </c>
      <c r="C340" s="17" t="s">
        <v>193</v>
      </c>
      <c r="D340" s="70">
        <f>[8]GRMS!D78</f>
        <v>1.3484885280408512E-3</v>
      </c>
      <c r="E340" s="69">
        <f t="shared" ref="E340:G340" si="190">D340</f>
        <v>1.3484885280408512E-3</v>
      </c>
      <c r="F340" s="69">
        <f t="shared" si="190"/>
        <v>1.3484885280408512E-3</v>
      </c>
      <c r="G340" s="69">
        <f t="shared" si="190"/>
        <v>1.3484885280408512E-3</v>
      </c>
      <c r="I340" s="1"/>
      <c r="J340" s="1"/>
    </row>
    <row r="341" spans="2:10" x14ac:dyDescent="0.3">
      <c r="B341" s="16" t="s">
        <v>194</v>
      </c>
      <c r="C341" s="17" t="s">
        <v>195</v>
      </c>
      <c r="D341" s="70">
        <f>[8]GRMS!D79</f>
        <v>9.3088212900290564E-4</v>
      </c>
      <c r="E341" s="69">
        <f t="shared" ref="E341:G341" si="191">D341</f>
        <v>9.3088212900290564E-4</v>
      </c>
      <c r="F341" s="69">
        <f t="shared" si="191"/>
        <v>9.3088212900290564E-4</v>
      </c>
      <c r="G341" s="69">
        <f t="shared" si="191"/>
        <v>9.3088212900290564E-4</v>
      </c>
      <c r="I341" s="1"/>
      <c r="J341" s="1"/>
    </row>
    <row r="342" spans="2:10" x14ac:dyDescent="0.3">
      <c r="B342" s="16" t="s">
        <v>196</v>
      </c>
      <c r="C342" s="17" t="s">
        <v>197</v>
      </c>
      <c r="D342" s="70">
        <f>[8]GRMS!D80</f>
        <v>5.5042060948908261E-4</v>
      </c>
      <c r="E342" s="69">
        <f t="shared" ref="E342:G342" si="192">D342</f>
        <v>5.5042060948908261E-4</v>
      </c>
      <c r="F342" s="69">
        <f t="shared" si="192"/>
        <v>5.5042060948908261E-4</v>
      </c>
      <c r="G342" s="69">
        <f t="shared" si="192"/>
        <v>5.5042060948908261E-4</v>
      </c>
      <c r="I342" s="1"/>
      <c r="J342" s="1"/>
    </row>
    <row r="343" spans="2:10" x14ac:dyDescent="0.3">
      <c r="B343" s="16" t="s">
        <v>198</v>
      </c>
      <c r="C343" s="17" t="s">
        <v>199</v>
      </c>
      <c r="D343" s="70">
        <f>[8]GRMS!D81</f>
        <v>6.6931412546540571E-4</v>
      </c>
      <c r="E343" s="69">
        <f t="shared" ref="E343:G343" si="193">D343</f>
        <v>6.6931412546540571E-4</v>
      </c>
      <c r="F343" s="69">
        <f t="shared" si="193"/>
        <v>6.6931412546540571E-4</v>
      </c>
      <c r="G343" s="69">
        <f t="shared" si="193"/>
        <v>6.6931412546540571E-4</v>
      </c>
      <c r="I343" s="1"/>
      <c r="J343" s="1"/>
    </row>
    <row r="344" spans="2:10" x14ac:dyDescent="0.3">
      <c r="B344" s="16" t="s">
        <v>200</v>
      </c>
      <c r="C344" s="17" t="s">
        <v>201</v>
      </c>
      <c r="D344" s="70">
        <f>[8]GRMS!D82</f>
        <v>2.2072884535003323E-3</v>
      </c>
      <c r="E344" s="69">
        <f t="shared" ref="E344:G344" si="194">D344</f>
        <v>2.2072884535003323E-3</v>
      </c>
      <c r="F344" s="69">
        <f t="shared" si="194"/>
        <v>2.2072884535003323E-3</v>
      </c>
      <c r="G344" s="69">
        <f t="shared" si="194"/>
        <v>2.2072884535003323E-3</v>
      </c>
      <c r="I344" s="1"/>
      <c r="J344" s="1"/>
    </row>
    <row r="345" spans="2:10" x14ac:dyDescent="0.3">
      <c r="B345" s="16" t="s">
        <v>202</v>
      </c>
      <c r="C345" s="17" t="s">
        <v>203</v>
      </c>
      <c r="D345" s="70">
        <f>[8]GRMS!D83</f>
        <v>2.7643853459850759E-3</v>
      </c>
      <c r="E345" s="69">
        <f t="shared" ref="E345:G345" si="195">D345</f>
        <v>2.7643853459850759E-3</v>
      </c>
      <c r="F345" s="69">
        <f t="shared" si="195"/>
        <v>2.7643853459850759E-3</v>
      </c>
      <c r="G345" s="69">
        <f t="shared" si="195"/>
        <v>2.7643853459850759E-3</v>
      </c>
      <c r="I345" s="1"/>
      <c r="J345" s="1"/>
    </row>
    <row r="346" spans="2:10" x14ac:dyDescent="0.3">
      <c r="B346" s="16" t="s">
        <v>204</v>
      </c>
      <c r="C346" s="17" t="s">
        <v>205</v>
      </c>
      <c r="D346" s="70">
        <f>[8]GRMS!D84</f>
        <v>1.9925277411596404E-2</v>
      </c>
      <c r="E346" s="69">
        <f t="shared" ref="E346:G346" si="196">D346</f>
        <v>1.9925277411596404E-2</v>
      </c>
      <c r="F346" s="69">
        <f t="shared" si="196"/>
        <v>1.9925277411596404E-2</v>
      </c>
      <c r="G346" s="69">
        <f t="shared" si="196"/>
        <v>1.9925277411596404E-2</v>
      </c>
      <c r="I346" s="1"/>
      <c r="J346" s="1"/>
    </row>
    <row r="347" spans="2:10" x14ac:dyDescent="0.3">
      <c r="B347" s="16" t="s">
        <v>206</v>
      </c>
      <c r="C347" s="17" t="s">
        <v>207</v>
      </c>
      <c r="D347" s="70">
        <f>[8]GRMS!D85</f>
        <v>4.2923293707993859E-2</v>
      </c>
      <c r="E347" s="69">
        <f t="shared" ref="E347:G347" si="197">D347</f>
        <v>4.2923293707993859E-2</v>
      </c>
      <c r="F347" s="69">
        <f t="shared" si="197"/>
        <v>4.2923293707993859E-2</v>
      </c>
      <c r="G347" s="69">
        <f t="shared" si="197"/>
        <v>4.2923293707993859E-2</v>
      </c>
      <c r="I347" s="1"/>
      <c r="J347" s="1"/>
    </row>
    <row r="348" spans="2:10" x14ac:dyDescent="0.3">
      <c r="B348" s="16" t="s">
        <v>208</v>
      </c>
      <c r="C348" s="17" t="s">
        <v>207</v>
      </c>
      <c r="D348" s="70">
        <f>[8]GRMS!D86</f>
        <v>1.8099892967171429E-2</v>
      </c>
      <c r="E348" s="69">
        <f t="shared" ref="E348:G348" si="198">D348</f>
        <v>1.8099892967171429E-2</v>
      </c>
      <c r="F348" s="69">
        <f t="shared" si="198"/>
        <v>1.8099892967171429E-2</v>
      </c>
      <c r="G348" s="69">
        <f t="shared" si="198"/>
        <v>1.8099892967171429E-2</v>
      </c>
      <c r="I348" s="1"/>
      <c r="J348" s="1"/>
    </row>
    <row r="349" spans="2:10" x14ac:dyDescent="0.3">
      <c r="B349" s="16" t="s">
        <v>209</v>
      </c>
      <c r="C349" s="17" t="s">
        <v>210</v>
      </c>
      <c r="D349" s="70">
        <f>[8]GRMS!D87</f>
        <v>4.4695523597825426E-4</v>
      </c>
      <c r="E349" s="69">
        <f t="shared" ref="E349:G349" si="199">D349</f>
        <v>4.4695523597825426E-4</v>
      </c>
      <c r="F349" s="69">
        <f t="shared" si="199"/>
        <v>4.4695523597825426E-4</v>
      </c>
      <c r="G349" s="69">
        <f t="shared" si="199"/>
        <v>4.4695523597825426E-4</v>
      </c>
      <c r="I349" s="1"/>
      <c r="J349" s="1"/>
    </row>
    <row r="350" spans="2:10" x14ac:dyDescent="0.3">
      <c r="B350" s="16" t="s">
        <v>211</v>
      </c>
      <c r="C350" s="17" t="s">
        <v>207</v>
      </c>
      <c r="D350" s="70">
        <f>[8]GRMS!D88</f>
        <v>3.5145689007196085E-2</v>
      </c>
      <c r="E350" s="69">
        <f t="shared" ref="E350:G350" si="200">D350</f>
        <v>3.5145689007196085E-2</v>
      </c>
      <c r="F350" s="69">
        <f t="shared" si="200"/>
        <v>3.5145689007196085E-2</v>
      </c>
      <c r="G350" s="69">
        <f t="shared" si="200"/>
        <v>3.5145689007196085E-2</v>
      </c>
      <c r="I350" s="1"/>
      <c r="J350" s="1"/>
    </row>
    <row r="351" spans="2:10" x14ac:dyDescent="0.3">
      <c r="B351" s="16" t="s">
        <v>212</v>
      </c>
      <c r="C351" s="17" t="s">
        <v>213</v>
      </c>
      <c r="D351" s="70">
        <f>[8]GRMS!D89</f>
        <v>1.3107786132917677E-4</v>
      </c>
      <c r="E351" s="69">
        <f t="shared" ref="E351:G351" si="201">D351</f>
        <v>1.3107786132917677E-4</v>
      </c>
      <c r="F351" s="69">
        <f t="shared" si="201"/>
        <v>1.3107786132917677E-4</v>
      </c>
      <c r="G351" s="69">
        <f t="shared" si="201"/>
        <v>1.3107786132917677E-4</v>
      </c>
      <c r="I351" s="1"/>
      <c r="J351" s="1"/>
    </row>
    <row r="352" spans="2:10" x14ac:dyDescent="0.3">
      <c r="D352" s="63">
        <f>1-SUM(D267:D351)</f>
        <v>0</v>
      </c>
      <c r="E352" s="63">
        <f t="shared" ref="E352:G352" si="202">1-SUM(E267:E351)</f>
        <v>0</v>
      </c>
      <c r="F352" s="63">
        <f t="shared" si="202"/>
        <v>0</v>
      </c>
      <c r="G352" s="63">
        <f t="shared" si="202"/>
        <v>0</v>
      </c>
    </row>
    <row r="353" spans="2:7" x14ac:dyDescent="0.3"/>
    <row r="354" spans="2:7" s="1" customFormat="1" ht="28.95" customHeight="1" x14ac:dyDescent="0.3">
      <c r="B354" s="32" t="s">
        <v>245</v>
      </c>
      <c r="C354" s="5"/>
      <c r="D354" s="5"/>
      <c r="E354" s="5"/>
      <c r="F354" s="5"/>
      <c r="G354" s="5"/>
    </row>
    <row r="355" spans="2:7" s="1" customFormat="1" ht="14.4" customHeight="1" x14ac:dyDescent="0.3">
      <c r="B355" s="37"/>
    </row>
    <row r="356" spans="2:7" s="1" customFormat="1" ht="28.95" customHeight="1" x14ac:dyDescent="0.3">
      <c r="B356" s="35" t="s">
        <v>608</v>
      </c>
      <c r="C356" s="5"/>
      <c r="D356" s="5"/>
      <c r="E356" s="5"/>
      <c r="F356" s="5"/>
      <c r="G356" s="5"/>
    </row>
    <row r="357" spans="2:7" s="1" customFormat="1" x14ac:dyDescent="0.3"/>
    <row r="358" spans="2:7" s="1" customFormat="1" x14ac:dyDescent="0.3">
      <c r="B358" s="9" t="s">
        <v>2</v>
      </c>
      <c r="C358" s="9" t="s">
        <v>6</v>
      </c>
      <c r="D358" s="6"/>
      <c r="E358" s="6"/>
      <c r="F358" s="6"/>
      <c r="G358" s="6"/>
    </row>
    <row r="359" spans="2:7" s="1" customFormat="1" x14ac:dyDescent="0.3">
      <c r="B359" s="25"/>
      <c r="C359" s="25"/>
      <c r="D359" s="23" t="str">
        <f>D5</f>
        <v>2023-24</v>
      </c>
      <c r="E359" s="23" t="str">
        <f>E5</f>
        <v>2024-25</v>
      </c>
      <c r="F359" s="23" t="str">
        <f>F5</f>
        <v>2025-26</v>
      </c>
      <c r="G359" s="23" t="str">
        <f>G5</f>
        <v>2026-27</v>
      </c>
    </row>
    <row r="360" spans="2:7" s="1" customFormat="1" x14ac:dyDescent="0.3">
      <c r="B360" s="24"/>
      <c r="C360" s="24"/>
      <c r="D360" s="8"/>
      <c r="E360" s="8"/>
      <c r="F360" s="8"/>
      <c r="G360" s="8"/>
    </row>
    <row r="361" spans="2:7" s="1" customFormat="1" x14ac:dyDescent="0.3">
      <c r="B361" s="10" t="s">
        <v>8</v>
      </c>
      <c r="C361" s="3" t="s">
        <v>9</v>
      </c>
      <c r="D361" s="65">
        <f t="shared" ref="D361:G373" si="203">D20</f>
        <v>3052986</v>
      </c>
      <c r="E361" s="65">
        <f t="shared" si="203"/>
        <v>4884702</v>
      </c>
      <c r="F361" s="65">
        <f t="shared" si="203"/>
        <v>4884702</v>
      </c>
      <c r="G361" s="65">
        <f t="shared" si="203"/>
        <v>4884702</v>
      </c>
    </row>
    <row r="362" spans="2:7" s="1" customFormat="1" x14ac:dyDescent="0.3">
      <c r="B362" s="11"/>
      <c r="C362" s="3" t="s">
        <v>10</v>
      </c>
      <c r="D362" s="65">
        <f t="shared" si="203"/>
        <v>1427387.9999999998</v>
      </c>
      <c r="E362" s="65">
        <f t="shared" si="203"/>
        <v>3513912</v>
      </c>
      <c r="F362" s="65">
        <f t="shared" si="203"/>
        <v>3513912</v>
      </c>
      <c r="G362" s="65">
        <f t="shared" si="203"/>
        <v>3513912</v>
      </c>
    </row>
    <row r="363" spans="2:7" s="1" customFormat="1" x14ac:dyDescent="0.3">
      <c r="B363" s="11"/>
      <c r="C363" s="3" t="s">
        <v>11</v>
      </c>
      <c r="D363" s="65">
        <f t="shared" si="203"/>
        <v>2830358</v>
      </c>
      <c r="E363" s="65">
        <f t="shared" si="203"/>
        <v>9185306</v>
      </c>
      <c r="F363" s="65">
        <f t="shared" si="203"/>
        <v>9185306</v>
      </c>
      <c r="G363" s="65">
        <f t="shared" si="203"/>
        <v>9185306</v>
      </c>
    </row>
    <row r="364" spans="2:7" s="1" customFormat="1" x14ac:dyDescent="0.3">
      <c r="B364" s="11"/>
      <c r="C364" s="3" t="s">
        <v>12</v>
      </c>
      <c r="D364" s="65">
        <f t="shared" si="203"/>
        <v>10826796.701369863</v>
      </c>
      <c r="E364" s="65">
        <f t="shared" si="203"/>
        <v>5947824.7013698621</v>
      </c>
      <c r="F364" s="65">
        <f t="shared" si="203"/>
        <v>5947824.7013698621</v>
      </c>
      <c r="G364" s="65">
        <f t="shared" si="203"/>
        <v>5947824.7013698621</v>
      </c>
    </row>
    <row r="365" spans="2:7" s="1" customFormat="1" x14ac:dyDescent="0.3">
      <c r="B365" s="12"/>
      <c r="C365" s="3" t="s">
        <v>13</v>
      </c>
      <c r="D365" s="65">
        <f t="shared" si="203"/>
        <v>1105373.1506849315</v>
      </c>
      <c r="E365" s="65">
        <f t="shared" si="203"/>
        <v>666864.43013698631</v>
      </c>
      <c r="F365" s="65">
        <f t="shared" si="203"/>
        <v>666864.43013698631</v>
      </c>
      <c r="G365" s="65">
        <f t="shared" si="203"/>
        <v>666864.43013698631</v>
      </c>
    </row>
    <row r="366" spans="2:7" s="1" customFormat="1" x14ac:dyDescent="0.3">
      <c r="B366" s="10" t="s">
        <v>14</v>
      </c>
      <c r="C366" s="3" t="s">
        <v>9</v>
      </c>
      <c r="D366" s="65">
        <f t="shared" si="203"/>
        <v>200000000</v>
      </c>
      <c r="E366" s="65">
        <f t="shared" si="203"/>
        <v>200000000</v>
      </c>
      <c r="F366" s="65">
        <f t="shared" si="203"/>
        <v>200000000</v>
      </c>
      <c r="G366" s="65">
        <f t="shared" si="203"/>
        <v>200000000</v>
      </c>
    </row>
    <row r="367" spans="2:7" s="1" customFormat="1" x14ac:dyDescent="0.3">
      <c r="B367" s="13"/>
      <c r="C367" s="3" t="s">
        <v>10</v>
      </c>
      <c r="D367" s="65">
        <f t="shared" si="203"/>
        <v>0</v>
      </c>
      <c r="E367" s="65">
        <f t="shared" si="203"/>
        <v>0</v>
      </c>
      <c r="F367" s="65">
        <f t="shared" si="203"/>
        <v>0</v>
      </c>
      <c r="G367" s="65">
        <f t="shared" si="203"/>
        <v>0</v>
      </c>
    </row>
    <row r="368" spans="2:7" s="1" customFormat="1" x14ac:dyDescent="0.3">
      <c r="B368" s="13"/>
      <c r="C368" s="3" t="s">
        <v>11</v>
      </c>
      <c r="D368" s="65">
        <f t="shared" si="203"/>
        <v>0</v>
      </c>
      <c r="E368" s="65">
        <f t="shared" si="203"/>
        <v>0</v>
      </c>
      <c r="F368" s="65">
        <f t="shared" si="203"/>
        <v>0</v>
      </c>
      <c r="G368" s="65">
        <f t="shared" si="203"/>
        <v>0</v>
      </c>
    </row>
    <row r="369" spans="2:7" s="1" customFormat="1" x14ac:dyDescent="0.3">
      <c r="B369" s="13"/>
      <c r="C369" s="3" t="s">
        <v>12</v>
      </c>
      <c r="D369" s="65">
        <f t="shared" si="203"/>
        <v>0</v>
      </c>
      <c r="E369" s="65">
        <f t="shared" si="203"/>
        <v>0</v>
      </c>
      <c r="F369" s="65">
        <f t="shared" si="203"/>
        <v>0</v>
      </c>
      <c r="G369" s="65">
        <f t="shared" si="203"/>
        <v>0</v>
      </c>
    </row>
    <row r="370" spans="2:7" s="1" customFormat="1" x14ac:dyDescent="0.3">
      <c r="B370" s="14"/>
      <c r="C370" s="3" t="s">
        <v>13</v>
      </c>
      <c r="D370" s="65">
        <f t="shared" si="203"/>
        <v>0</v>
      </c>
      <c r="E370" s="65">
        <f t="shared" si="203"/>
        <v>0</v>
      </c>
      <c r="F370" s="65">
        <f t="shared" si="203"/>
        <v>0</v>
      </c>
      <c r="G370" s="65">
        <f t="shared" si="203"/>
        <v>0</v>
      </c>
    </row>
    <row r="371" spans="2:7" s="1" customFormat="1" x14ac:dyDescent="0.3">
      <c r="B371" s="10" t="s">
        <v>15</v>
      </c>
      <c r="C371" s="3" t="s">
        <v>12</v>
      </c>
      <c r="D371" s="65">
        <f t="shared" si="203"/>
        <v>4185610.9808219173</v>
      </c>
      <c r="E371" s="65">
        <f t="shared" si="203"/>
        <v>4369884.2958904114</v>
      </c>
      <c r="F371" s="65">
        <f t="shared" si="203"/>
        <v>4369884.2958904114</v>
      </c>
      <c r="G371" s="65">
        <f t="shared" si="203"/>
        <v>4369884.2958904114</v>
      </c>
    </row>
    <row r="372" spans="2:7" s="1" customFormat="1" x14ac:dyDescent="0.3">
      <c r="B372" s="14"/>
      <c r="C372" s="3" t="s">
        <v>13</v>
      </c>
      <c r="D372" s="65">
        <f t="shared" si="203"/>
        <v>4367877.2109589046</v>
      </c>
      <c r="E372" s="65">
        <f t="shared" si="203"/>
        <v>2787181.2931506848</v>
      </c>
      <c r="F372" s="65">
        <f t="shared" si="203"/>
        <v>2787181.2931506848</v>
      </c>
      <c r="G372" s="65">
        <f t="shared" si="203"/>
        <v>2787181.2931506848</v>
      </c>
    </row>
    <row r="373" spans="2:7" s="1" customFormat="1" x14ac:dyDescent="0.3">
      <c r="B373" s="15" t="s">
        <v>26</v>
      </c>
      <c r="C373" s="3" t="s">
        <v>27</v>
      </c>
      <c r="D373" s="65">
        <f t="shared" si="203"/>
        <v>1E-3</v>
      </c>
      <c r="E373" s="65">
        <f t="shared" si="203"/>
        <v>1E-3</v>
      </c>
      <c r="F373" s="65">
        <f t="shared" si="203"/>
        <v>1E-3</v>
      </c>
      <c r="G373" s="65">
        <f t="shared" si="203"/>
        <v>1E-3</v>
      </c>
    </row>
    <row r="374" spans="2:7" s="1" customFormat="1" x14ac:dyDescent="0.3"/>
    <row r="375" spans="2:7" s="1" customFormat="1" x14ac:dyDescent="0.3"/>
    <row r="376" spans="2:7" s="1" customFormat="1" ht="28.95" customHeight="1" x14ac:dyDescent="0.3">
      <c r="B376" s="35" t="s">
        <v>609</v>
      </c>
      <c r="C376" s="5"/>
      <c r="D376" s="5"/>
      <c r="E376" s="5"/>
      <c r="F376" s="5"/>
      <c r="G376" s="5"/>
    </row>
    <row r="377" spans="2:7" s="1" customFormat="1" x14ac:dyDescent="0.3"/>
    <row r="378" spans="2:7" s="1" customFormat="1" x14ac:dyDescent="0.3">
      <c r="B378" s="9" t="s">
        <v>2</v>
      </c>
      <c r="C378" s="9" t="s">
        <v>6</v>
      </c>
      <c r="D378" s="6"/>
      <c r="E378" s="6"/>
      <c r="F378" s="6"/>
      <c r="G378" s="6"/>
    </row>
    <row r="379" spans="2:7" s="1" customFormat="1" x14ac:dyDescent="0.3">
      <c r="B379" s="25"/>
      <c r="C379" s="25"/>
      <c r="D379" s="23" t="str">
        <f>D359</f>
        <v>2023-24</v>
      </c>
      <c r="E379" s="23" t="str">
        <f t="shared" ref="E379:G379" si="204">E359</f>
        <v>2024-25</v>
      </c>
      <c r="F379" s="23" t="str">
        <f t="shared" si="204"/>
        <v>2025-26</v>
      </c>
      <c r="G379" s="23" t="str">
        <f t="shared" si="204"/>
        <v>2026-27</v>
      </c>
    </row>
    <row r="380" spans="2:7" s="1" customFormat="1" x14ac:dyDescent="0.3">
      <c r="B380" s="24"/>
      <c r="C380" s="24"/>
      <c r="D380" s="8"/>
      <c r="E380" s="8"/>
      <c r="F380" s="8"/>
      <c r="G380" s="8"/>
    </row>
    <row r="381" spans="2:7" s="1" customFormat="1" x14ac:dyDescent="0.3">
      <c r="B381" s="10" t="s">
        <v>8</v>
      </c>
      <c r="C381" s="3" t="s">
        <v>12</v>
      </c>
      <c r="D381" s="65">
        <f t="shared" ref="D381:G384" si="205">D40</f>
        <v>0</v>
      </c>
      <c r="E381" s="65">
        <f t="shared" si="205"/>
        <v>0</v>
      </c>
      <c r="F381" s="65">
        <f t="shared" si="205"/>
        <v>0</v>
      </c>
      <c r="G381" s="65">
        <f t="shared" si="205"/>
        <v>0</v>
      </c>
    </row>
    <row r="382" spans="2:7" s="1" customFormat="1" x14ac:dyDescent="0.3">
      <c r="B382" s="12"/>
      <c r="C382" s="3" t="s">
        <v>13</v>
      </c>
      <c r="D382" s="65">
        <f t="shared" si="205"/>
        <v>0</v>
      </c>
      <c r="E382" s="65">
        <f t="shared" si="205"/>
        <v>0</v>
      </c>
      <c r="F382" s="65">
        <f t="shared" si="205"/>
        <v>0</v>
      </c>
      <c r="G382" s="65">
        <f t="shared" si="205"/>
        <v>0</v>
      </c>
    </row>
    <row r="383" spans="2:7" s="1" customFormat="1" x14ac:dyDescent="0.3">
      <c r="B383" s="15" t="s">
        <v>14</v>
      </c>
      <c r="C383" s="3" t="s">
        <v>13</v>
      </c>
      <c r="D383" s="65">
        <f t="shared" si="205"/>
        <v>0</v>
      </c>
      <c r="E383" s="65">
        <f t="shared" si="205"/>
        <v>0</v>
      </c>
      <c r="F383" s="65">
        <f t="shared" si="205"/>
        <v>0</v>
      </c>
      <c r="G383" s="65">
        <f t="shared" si="205"/>
        <v>0</v>
      </c>
    </row>
    <row r="384" spans="2:7" s="1" customFormat="1" x14ac:dyDescent="0.3">
      <c r="B384" s="15" t="s">
        <v>15</v>
      </c>
      <c r="C384" s="3" t="s">
        <v>13</v>
      </c>
      <c r="D384" s="65">
        <f t="shared" si="205"/>
        <v>0</v>
      </c>
      <c r="E384" s="65">
        <f t="shared" si="205"/>
        <v>0</v>
      </c>
      <c r="F384" s="65">
        <f t="shared" si="205"/>
        <v>0</v>
      </c>
      <c r="G384" s="65">
        <f t="shared" si="205"/>
        <v>0</v>
      </c>
    </row>
    <row r="385" spans="2:7" x14ac:dyDescent="0.3"/>
    <row r="386" spans="2:7" x14ac:dyDescent="0.3"/>
    <row r="387" spans="2:7" s="1" customFormat="1" ht="28.95" customHeight="1" x14ac:dyDescent="0.3">
      <c r="B387" s="35" t="s">
        <v>610</v>
      </c>
      <c r="C387" s="5"/>
      <c r="D387" s="5"/>
      <c r="E387" s="5"/>
      <c r="F387" s="5"/>
      <c r="G387" s="5"/>
    </row>
    <row r="388" spans="2:7" s="1" customFormat="1" x14ac:dyDescent="0.3"/>
    <row r="389" spans="2:7" s="1" customFormat="1" x14ac:dyDescent="0.3">
      <c r="B389" s="9" t="s">
        <v>1</v>
      </c>
      <c r="C389" s="9" t="s">
        <v>6</v>
      </c>
      <c r="D389" s="6"/>
      <c r="E389" s="6"/>
      <c r="F389" s="6"/>
      <c r="G389" s="6"/>
    </row>
    <row r="390" spans="2:7" s="1" customFormat="1" x14ac:dyDescent="0.3">
      <c r="B390" s="25"/>
      <c r="C390" s="25"/>
      <c r="D390" s="23" t="str">
        <f>D359</f>
        <v>2023-24</v>
      </c>
      <c r="E390" s="23" t="str">
        <f t="shared" ref="E390:G390" si="206">E359</f>
        <v>2024-25</v>
      </c>
      <c r="F390" s="23" t="str">
        <f t="shared" si="206"/>
        <v>2025-26</v>
      </c>
      <c r="G390" s="23" t="str">
        <f t="shared" si="206"/>
        <v>2026-27</v>
      </c>
    </row>
    <row r="391" spans="2:7" s="1" customFormat="1" x14ac:dyDescent="0.3">
      <c r="B391" s="24"/>
      <c r="C391" s="24"/>
      <c r="D391" s="8"/>
      <c r="E391" s="8"/>
      <c r="F391" s="8"/>
      <c r="G391" s="8"/>
    </row>
    <row r="392" spans="2:7" s="1" customFormat="1" x14ac:dyDescent="0.3">
      <c r="B392" s="10" t="s">
        <v>8</v>
      </c>
      <c r="C392" s="3" t="s">
        <v>9</v>
      </c>
      <c r="D392" s="65">
        <f t="shared" ref="D392:G410" si="207">D65</f>
        <v>1994814</v>
      </c>
      <c r="E392" s="65">
        <f t="shared" si="207"/>
        <v>0</v>
      </c>
      <c r="F392" s="65">
        <f t="shared" si="207"/>
        <v>0</v>
      </c>
      <c r="G392" s="65">
        <f t="shared" si="207"/>
        <v>0</v>
      </c>
    </row>
    <row r="393" spans="2:7" s="1" customFormat="1" x14ac:dyDescent="0.3">
      <c r="B393" s="13"/>
      <c r="C393" s="3" t="s">
        <v>10</v>
      </c>
      <c r="D393" s="65">
        <f t="shared" si="207"/>
        <v>0</v>
      </c>
      <c r="E393" s="65">
        <f t="shared" si="207"/>
        <v>0</v>
      </c>
      <c r="F393" s="65">
        <f t="shared" si="207"/>
        <v>0</v>
      </c>
      <c r="G393" s="65">
        <f t="shared" si="207"/>
        <v>0</v>
      </c>
    </row>
    <row r="394" spans="2:7" s="1" customFormat="1" x14ac:dyDescent="0.3">
      <c r="B394" s="13"/>
      <c r="C394" s="3" t="s">
        <v>11</v>
      </c>
      <c r="D394" s="65">
        <f t="shared" si="207"/>
        <v>3844403.9999999995</v>
      </c>
      <c r="E394" s="65">
        <f t="shared" si="207"/>
        <v>2561584.0000000005</v>
      </c>
      <c r="F394" s="65">
        <f t="shared" si="207"/>
        <v>2561584.0000000005</v>
      </c>
      <c r="G394" s="65">
        <f t="shared" si="207"/>
        <v>2561584.0000000005</v>
      </c>
    </row>
    <row r="395" spans="2:7" s="1" customFormat="1" x14ac:dyDescent="0.3">
      <c r="B395" s="13"/>
      <c r="C395" s="3" t="s">
        <v>12</v>
      </c>
      <c r="D395" s="65">
        <f t="shared" si="207"/>
        <v>7164681.5342465742</v>
      </c>
      <c r="E395" s="65">
        <f t="shared" si="207"/>
        <v>25198760.186301369</v>
      </c>
      <c r="F395" s="65">
        <f t="shared" si="207"/>
        <v>25198760.186301369</v>
      </c>
      <c r="G395" s="65">
        <f t="shared" si="207"/>
        <v>25198760.186301369</v>
      </c>
    </row>
    <row r="396" spans="2:7" s="1" customFormat="1" x14ac:dyDescent="0.3">
      <c r="B396" s="14"/>
      <c r="C396" s="3" t="s">
        <v>13</v>
      </c>
      <c r="D396" s="65">
        <f t="shared" si="207"/>
        <v>747673.69315068494</v>
      </c>
      <c r="E396" s="65">
        <f t="shared" si="207"/>
        <v>395278.85205479449</v>
      </c>
      <c r="F396" s="65">
        <f t="shared" si="207"/>
        <v>395278.85205479449</v>
      </c>
      <c r="G396" s="65">
        <f t="shared" si="207"/>
        <v>395278.85205479449</v>
      </c>
    </row>
    <row r="397" spans="2:7" s="1" customFormat="1" x14ac:dyDescent="0.3">
      <c r="B397" s="10" t="s">
        <v>14</v>
      </c>
      <c r="C397" s="3" t="s">
        <v>9</v>
      </c>
      <c r="D397" s="65">
        <f t="shared" si="207"/>
        <v>0</v>
      </c>
      <c r="E397" s="65">
        <f t="shared" si="207"/>
        <v>0</v>
      </c>
      <c r="F397" s="65">
        <f t="shared" si="207"/>
        <v>0</v>
      </c>
      <c r="G397" s="65">
        <f t="shared" si="207"/>
        <v>0</v>
      </c>
    </row>
    <row r="398" spans="2:7" s="1" customFormat="1" x14ac:dyDescent="0.3">
      <c r="B398" s="13"/>
      <c r="C398" s="3" t="s">
        <v>10</v>
      </c>
      <c r="D398" s="65">
        <f t="shared" si="207"/>
        <v>0</v>
      </c>
      <c r="E398" s="65">
        <f t="shared" si="207"/>
        <v>0</v>
      </c>
      <c r="F398" s="65">
        <f t="shared" si="207"/>
        <v>0</v>
      </c>
      <c r="G398" s="65">
        <f t="shared" si="207"/>
        <v>0</v>
      </c>
    </row>
    <row r="399" spans="2:7" s="1" customFormat="1" x14ac:dyDescent="0.3">
      <c r="B399" s="13"/>
      <c r="C399" s="3" t="s">
        <v>11</v>
      </c>
      <c r="D399" s="65">
        <f t="shared" si="207"/>
        <v>0</v>
      </c>
      <c r="E399" s="65">
        <f t="shared" si="207"/>
        <v>0</v>
      </c>
      <c r="F399" s="65">
        <f t="shared" si="207"/>
        <v>0</v>
      </c>
      <c r="G399" s="65">
        <f t="shared" si="207"/>
        <v>0</v>
      </c>
    </row>
    <row r="400" spans="2:7" s="1" customFormat="1" x14ac:dyDescent="0.3">
      <c r="B400" s="13"/>
      <c r="C400" s="3" t="s">
        <v>12</v>
      </c>
      <c r="D400" s="65">
        <f t="shared" si="207"/>
        <v>0</v>
      </c>
      <c r="E400" s="65">
        <f t="shared" si="207"/>
        <v>0</v>
      </c>
      <c r="F400" s="65">
        <f t="shared" si="207"/>
        <v>0</v>
      </c>
      <c r="G400" s="65">
        <f t="shared" si="207"/>
        <v>0</v>
      </c>
    </row>
    <row r="401" spans="2:7" s="1" customFormat="1" x14ac:dyDescent="0.3">
      <c r="B401" s="14"/>
      <c r="C401" s="3" t="s">
        <v>13</v>
      </c>
      <c r="D401" s="65">
        <f t="shared" si="207"/>
        <v>0</v>
      </c>
      <c r="E401" s="65">
        <f t="shared" si="207"/>
        <v>0</v>
      </c>
      <c r="F401" s="65">
        <f t="shared" si="207"/>
        <v>0</v>
      </c>
      <c r="G401" s="65">
        <f t="shared" si="207"/>
        <v>0</v>
      </c>
    </row>
    <row r="402" spans="2:7" s="1" customFormat="1" x14ac:dyDescent="0.3">
      <c r="B402" s="10" t="s">
        <v>15</v>
      </c>
      <c r="C402" s="3" t="s">
        <v>12</v>
      </c>
      <c r="D402" s="65">
        <f t="shared" si="207"/>
        <v>8951694.2465753425</v>
      </c>
      <c r="E402" s="65">
        <f t="shared" si="207"/>
        <v>6555128.6712328773</v>
      </c>
      <c r="F402" s="65">
        <f t="shared" si="207"/>
        <v>6555128.6712328773</v>
      </c>
      <c r="G402" s="65">
        <f t="shared" si="207"/>
        <v>6555128.6712328773</v>
      </c>
    </row>
    <row r="403" spans="2:7" s="1" customFormat="1" x14ac:dyDescent="0.3">
      <c r="B403" s="14"/>
      <c r="C403" s="3" t="s">
        <v>13</v>
      </c>
      <c r="D403" s="65">
        <f t="shared" si="207"/>
        <v>2674277.9479452055</v>
      </c>
      <c r="E403" s="65">
        <f t="shared" si="207"/>
        <v>515312</v>
      </c>
      <c r="F403" s="65">
        <f t="shared" si="207"/>
        <v>515312</v>
      </c>
      <c r="G403" s="65">
        <f t="shared" si="207"/>
        <v>515312</v>
      </c>
    </row>
    <row r="404" spans="2:7" s="1" customFormat="1" x14ac:dyDescent="0.3">
      <c r="B404" s="15" t="s">
        <v>17</v>
      </c>
      <c r="C404" s="3" t="s">
        <v>18</v>
      </c>
      <c r="D404" s="65">
        <f t="shared" si="207"/>
        <v>175449767.87513986</v>
      </c>
      <c r="E404" s="65">
        <f t="shared" si="207"/>
        <v>165852149.48415494</v>
      </c>
      <c r="F404" s="65">
        <f t="shared" si="207"/>
        <v>165852149.48415494</v>
      </c>
      <c r="G404" s="65">
        <f t="shared" si="207"/>
        <v>165852149.48415494</v>
      </c>
    </row>
    <row r="405" spans="2:7" s="1" customFormat="1" x14ac:dyDescent="0.3">
      <c r="B405" s="10" t="s">
        <v>19</v>
      </c>
      <c r="C405" s="3" t="s">
        <v>20</v>
      </c>
      <c r="D405" s="65">
        <f t="shared" si="207"/>
        <v>132905216.57454209</v>
      </c>
      <c r="E405" s="65">
        <f t="shared" si="207"/>
        <v>146529209.96653783</v>
      </c>
      <c r="F405" s="65">
        <f t="shared" si="207"/>
        <v>146529209.96653783</v>
      </c>
      <c r="G405" s="65">
        <f t="shared" si="207"/>
        <v>146529209.96653783</v>
      </c>
    </row>
    <row r="406" spans="2:7" s="1" customFormat="1" x14ac:dyDescent="0.3">
      <c r="B406" s="13"/>
      <c r="C406" s="3" t="s">
        <v>21</v>
      </c>
      <c r="D406" s="65">
        <f t="shared" si="207"/>
        <v>2812532.9945013379</v>
      </c>
      <c r="E406" s="65">
        <f t="shared" si="207"/>
        <v>0</v>
      </c>
      <c r="F406" s="65">
        <f t="shared" si="207"/>
        <v>0</v>
      </c>
      <c r="G406" s="65">
        <f t="shared" si="207"/>
        <v>0</v>
      </c>
    </row>
    <row r="407" spans="2:7" s="1" customFormat="1" x14ac:dyDescent="0.3">
      <c r="B407" s="13"/>
      <c r="C407" s="3" t="s">
        <v>22</v>
      </c>
      <c r="D407" s="65">
        <f t="shared" si="207"/>
        <v>1161559.1052387906</v>
      </c>
      <c r="E407" s="65">
        <f t="shared" si="207"/>
        <v>342023</v>
      </c>
      <c r="F407" s="65">
        <f t="shared" si="207"/>
        <v>342023</v>
      </c>
      <c r="G407" s="65">
        <f t="shared" si="207"/>
        <v>342023</v>
      </c>
    </row>
    <row r="408" spans="2:7" s="1" customFormat="1" x14ac:dyDescent="0.3">
      <c r="B408" s="13"/>
      <c r="C408" s="3" t="s">
        <v>23</v>
      </c>
      <c r="D408" s="65">
        <f t="shared" si="207"/>
        <v>181571.81352116147</v>
      </c>
      <c r="E408" s="65">
        <f t="shared" si="207"/>
        <v>342023</v>
      </c>
      <c r="F408" s="65">
        <f t="shared" si="207"/>
        <v>342023</v>
      </c>
      <c r="G408" s="65">
        <f t="shared" si="207"/>
        <v>342023</v>
      </c>
    </row>
    <row r="409" spans="2:7" s="1" customFormat="1" x14ac:dyDescent="0.3">
      <c r="B409" s="13"/>
      <c r="C409" s="3" t="s">
        <v>24</v>
      </c>
      <c r="D409" s="65">
        <f t="shared" si="207"/>
        <v>0</v>
      </c>
      <c r="E409" s="65">
        <f t="shared" si="207"/>
        <v>0</v>
      </c>
      <c r="F409" s="65">
        <f t="shared" si="207"/>
        <v>0</v>
      </c>
      <c r="G409" s="65">
        <f t="shared" si="207"/>
        <v>0</v>
      </c>
    </row>
    <row r="410" spans="2:7" s="1" customFormat="1" x14ac:dyDescent="0.3">
      <c r="B410" s="14"/>
      <c r="C410" s="3" t="s">
        <v>25</v>
      </c>
      <c r="D410" s="65">
        <f t="shared" si="207"/>
        <v>0</v>
      </c>
      <c r="E410" s="65">
        <f t="shared" si="207"/>
        <v>0</v>
      </c>
      <c r="F410" s="65">
        <f t="shared" si="207"/>
        <v>0</v>
      </c>
      <c r="G410" s="65">
        <f t="shared" si="207"/>
        <v>0</v>
      </c>
    </row>
    <row r="411" spans="2:7" s="1" customFormat="1" x14ac:dyDescent="0.3"/>
    <row r="412" spans="2:7" s="1" customFormat="1" x14ac:dyDescent="0.3"/>
    <row r="413" spans="2:7" s="1" customFormat="1" ht="28.95" customHeight="1" x14ac:dyDescent="0.3">
      <c r="B413" s="35" t="s">
        <v>611</v>
      </c>
      <c r="C413" s="5"/>
      <c r="D413" s="5"/>
      <c r="E413" s="5"/>
      <c r="F413" s="5"/>
      <c r="G413" s="5"/>
    </row>
    <row r="414" spans="2:7" s="1" customFormat="1" x14ac:dyDescent="0.3"/>
    <row r="415" spans="2:7" s="1" customFormat="1" x14ac:dyDescent="0.3">
      <c r="B415" s="9" t="s">
        <v>1</v>
      </c>
      <c r="C415" s="9" t="s">
        <v>6</v>
      </c>
      <c r="D415" s="6"/>
      <c r="E415" s="6"/>
      <c r="F415" s="6"/>
      <c r="G415" s="6"/>
    </row>
    <row r="416" spans="2:7" s="1" customFormat="1" x14ac:dyDescent="0.3">
      <c r="B416" s="25"/>
      <c r="C416" s="25"/>
      <c r="D416" s="23" t="str">
        <f>D359</f>
        <v>2023-24</v>
      </c>
      <c r="E416" s="23" t="str">
        <f t="shared" ref="E416:G416" si="208">E359</f>
        <v>2024-25</v>
      </c>
      <c r="F416" s="23" t="str">
        <f t="shared" si="208"/>
        <v>2025-26</v>
      </c>
      <c r="G416" s="23" t="str">
        <f t="shared" si="208"/>
        <v>2026-27</v>
      </c>
    </row>
    <row r="417" spans="2:7" s="1" customFormat="1" x14ac:dyDescent="0.3">
      <c r="B417" s="24"/>
      <c r="C417" s="24"/>
      <c r="D417" s="8"/>
      <c r="E417" s="8"/>
      <c r="F417" s="8"/>
      <c r="G417" s="8"/>
    </row>
    <row r="418" spans="2:7" s="1" customFormat="1" x14ac:dyDescent="0.3">
      <c r="B418" s="10" t="s">
        <v>8</v>
      </c>
      <c r="C418" s="3" t="s">
        <v>12</v>
      </c>
      <c r="D418" s="65">
        <f>D91</f>
        <v>0</v>
      </c>
      <c r="E418" s="65">
        <f t="shared" ref="E418:G418" si="209">E91</f>
        <v>0</v>
      </c>
      <c r="F418" s="65">
        <f t="shared" si="209"/>
        <v>0</v>
      </c>
      <c r="G418" s="65">
        <f t="shared" si="209"/>
        <v>0</v>
      </c>
    </row>
    <row r="419" spans="2:7" s="1" customFormat="1" x14ac:dyDescent="0.3">
      <c r="B419" s="12"/>
      <c r="C419" s="3" t="s">
        <v>13</v>
      </c>
      <c r="D419" s="65">
        <f t="shared" ref="D419:G422" si="210">D92</f>
        <v>0</v>
      </c>
      <c r="E419" s="65">
        <f t="shared" si="210"/>
        <v>0</v>
      </c>
      <c r="F419" s="65">
        <f t="shared" si="210"/>
        <v>0</v>
      </c>
      <c r="G419" s="65">
        <f t="shared" si="210"/>
        <v>0</v>
      </c>
    </row>
    <row r="420" spans="2:7" s="1" customFormat="1" x14ac:dyDescent="0.3">
      <c r="B420" s="10" t="s">
        <v>14</v>
      </c>
      <c r="C420" s="3" t="s">
        <v>12</v>
      </c>
      <c r="D420" s="65">
        <f t="shared" si="210"/>
        <v>1</v>
      </c>
      <c r="E420" s="65">
        <f t="shared" si="210"/>
        <v>1</v>
      </c>
      <c r="F420" s="65">
        <f t="shared" si="210"/>
        <v>1</v>
      </c>
      <c r="G420" s="65">
        <f t="shared" si="210"/>
        <v>1</v>
      </c>
    </row>
    <row r="421" spans="2:7" s="1" customFormat="1" x14ac:dyDescent="0.3">
      <c r="B421" s="12"/>
      <c r="C421" s="3" t="s">
        <v>13</v>
      </c>
      <c r="D421" s="65">
        <f t="shared" si="210"/>
        <v>0</v>
      </c>
      <c r="E421" s="65">
        <f t="shared" si="210"/>
        <v>0</v>
      </c>
      <c r="F421" s="65">
        <f t="shared" si="210"/>
        <v>0</v>
      </c>
      <c r="G421" s="65">
        <f t="shared" si="210"/>
        <v>0</v>
      </c>
    </row>
    <row r="422" spans="2:7" s="1" customFormat="1" x14ac:dyDescent="0.3">
      <c r="B422" s="15" t="s">
        <v>15</v>
      </c>
      <c r="C422" s="3" t="s">
        <v>13</v>
      </c>
      <c r="D422" s="65">
        <f t="shared" si="210"/>
        <v>0</v>
      </c>
      <c r="E422" s="65">
        <f t="shared" si="210"/>
        <v>0</v>
      </c>
      <c r="F422" s="65">
        <f t="shared" si="210"/>
        <v>0</v>
      </c>
      <c r="G422" s="65">
        <f t="shared" si="210"/>
        <v>0</v>
      </c>
    </row>
    <row r="423" spans="2:7" x14ac:dyDescent="0.3"/>
    <row r="424" spans="2:7" x14ac:dyDescent="0.3"/>
    <row r="425" spans="2:7" x14ac:dyDescent="0.3"/>
    <row r="426" spans="2:7" x14ac:dyDescent="0.3"/>
    <row r="427" spans="2:7" x14ac:dyDescent="0.3"/>
    <row r="428" spans="2:7" x14ac:dyDescent="0.3"/>
    <row r="429" spans="2:7" x14ac:dyDescent="0.3"/>
    <row r="430" spans="2:7" x14ac:dyDescent="0.3">
      <c r="C430"/>
      <c r="F430"/>
    </row>
    <row r="431" spans="2:7" x14ac:dyDescent="0.3">
      <c r="C431"/>
      <c r="F431"/>
    </row>
    <row r="432" spans="2:7" x14ac:dyDescent="0.3">
      <c r="C432"/>
      <c r="F432"/>
    </row>
    <row r="433" spans="3:6" x14ac:dyDescent="0.3">
      <c r="C433"/>
      <c r="F433"/>
    </row>
    <row r="434" spans="3:6" x14ac:dyDescent="0.3">
      <c r="C434"/>
      <c r="F434"/>
    </row>
    <row r="435" spans="3:6" x14ac:dyDescent="0.3">
      <c r="C435"/>
      <c r="F435"/>
    </row>
    <row r="436" spans="3:6" x14ac:dyDescent="0.3">
      <c r="C436"/>
      <c r="F436"/>
    </row>
    <row r="437" spans="3:6" x14ac:dyDescent="0.3">
      <c r="C437"/>
      <c r="F437"/>
    </row>
    <row r="438" spans="3:6" x14ac:dyDescent="0.3">
      <c r="C438"/>
      <c r="F438"/>
    </row>
    <row r="439" spans="3:6" x14ac:dyDescent="0.3">
      <c r="C439"/>
      <c r="F439"/>
    </row>
    <row r="440" spans="3:6" x14ac:dyDescent="0.3">
      <c r="C440"/>
      <c r="F440"/>
    </row>
    <row r="441" spans="3:6" x14ac:dyDescent="0.3">
      <c r="C441"/>
      <c r="F441"/>
    </row>
    <row r="442" spans="3:6" x14ac:dyDescent="0.3">
      <c r="C442"/>
      <c r="F442"/>
    </row>
    <row r="443" spans="3:6" x14ac:dyDescent="0.3">
      <c r="C443"/>
      <c r="F443"/>
    </row>
    <row r="444" spans="3:6" x14ac:dyDescent="0.3">
      <c r="C444"/>
      <c r="F444"/>
    </row>
    <row r="445" spans="3:6" x14ac:dyDescent="0.3">
      <c r="C445"/>
      <c r="F445"/>
    </row>
    <row r="446" spans="3:6" x14ac:dyDescent="0.3">
      <c r="C446"/>
      <c r="F446"/>
    </row>
    <row r="447" spans="3:6" x14ac:dyDescent="0.3">
      <c r="C447"/>
      <c r="F447"/>
    </row>
    <row r="448" spans="3:6" x14ac:dyDescent="0.3">
      <c r="C448"/>
      <c r="F448"/>
    </row>
    <row r="449" spans="3:6" x14ac:dyDescent="0.3">
      <c r="C449"/>
      <c r="F449"/>
    </row>
    <row r="450" spans="3:6" x14ac:dyDescent="0.3">
      <c r="C450"/>
      <c r="F450"/>
    </row>
    <row r="451" spans="3:6" x14ac:dyDescent="0.3">
      <c r="C451"/>
      <c r="F451"/>
    </row>
    <row r="452" spans="3:6" x14ac:dyDescent="0.3">
      <c r="C452"/>
      <c r="F452"/>
    </row>
    <row r="453" spans="3:6" x14ac:dyDescent="0.3">
      <c r="C453"/>
      <c r="F453"/>
    </row>
    <row r="454" spans="3:6" x14ac:dyDescent="0.3">
      <c r="C454"/>
      <c r="F454"/>
    </row>
    <row r="455" spans="3:6" x14ac:dyDescent="0.3">
      <c r="C455"/>
      <c r="F455"/>
    </row>
    <row r="456" spans="3:6" x14ac:dyDescent="0.3">
      <c r="C456"/>
      <c r="F456"/>
    </row>
    <row r="457" spans="3:6" x14ac:dyDescent="0.3">
      <c r="C457"/>
      <c r="F457"/>
    </row>
    <row r="458" spans="3:6" x14ac:dyDescent="0.3">
      <c r="C458"/>
      <c r="F458"/>
    </row>
    <row r="459" spans="3:6" x14ac:dyDescent="0.3">
      <c r="C459"/>
      <c r="F459"/>
    </row>
    <row r="460" spans="3:6" x14ac:dyDescent="0.3">
      <c r="C460"/>
      <c r="F460"/>
    </row>
    <row r="461" spans="3:6" x14ac:dyDescent="0.3">
      <c r="C461"/>
      <c r="F461"/>
    </row>
    <row r="462" spans="3:6" x14ac:dyDescent="0.3">
      <c r="C462"/>
      <c r="F462"/>
    </row>
    <row r="463" spans="3:6" x14ac:dyDescent="0.3">
      <c r="C463"/>
      <c r="F463"/>
    </row>
    <row r="464" spans="3:6" x14ac:dyDescent="0.3">
      <c r="C464"/>
      <c r="F464"/>
    </row>
    <row r="465" spans="3:6" x14ac:dyDescent="0.3">
      <c r="C465"/>
      <c r="F465"/>
    </row>
    <row r="466" spans="3:6" x14ac:dyDescent="0.3">
      <c r="C466"/>
      <c r="F466"/>
    </row>
    <row r="467" spans="3:6" x14ac:dyDescent="0.3"/>
    <row r="468" spans="3:6" x14ac:dyDescent="0.3"/>
    <row r="469" spans="3:6" x14ac:dyDescent="0.3"/>
    <row r="470" spans="3:6" x14ac:dyDescent="0.3"/>
    <row r="471" spans="3:6" x14ac:dyDescent="0.3"/>
  </sheetData>
  <conditionalFormatting sqref="D56:G56">
    <cfRule type="cellIs" dxfId="67" priority="49" operator="equal">
      <formula>0</formula>
    </cfRule>
    <cfRule type="cellIs" dxfId="66" priority="50" operator="lessThan">
      <formula>0</formula>
    </cfRule>
    <cfRule type="cellIs" dxfId="65" priority="51" operator="greaterThan">
      <formula>0</formula>
    </cfRule>
  </conditionalFormatting>
  <conditionalFormatting sqref="D108">
    <cfRule type="cellIs" dxfId="64" priority="43" operator="equal">
      <formula>0</formula>
    </cfRule>
    <cfRule type="cellIs" dxfId="63" priority="44" operator="lessThan">
      <formula>0</formula>
    </cfRule>
    <cfRule type="cellIs" dxfId="62" priority="45" operator="greaterThan">
      <formula>0</formula>
    </cfRule>
  </conditionalFormatting>
  <conditionalFormatting sqref="D84">
    <cfRule type="cellIs" dxfId="61" priority="37" operator="equal">
      <formula>0</formula>
    </cfRule>
    <cfRule type="cellIs" dxfId="60" priority="38" operator="lessThan">
      <formula>0</formula>
    </cfRule>
    <cfRule type="cellIs" dxfId="59" priority="39" operator="greaterThan">
      <formula>0</formula>
    </cfRule>
  </conditionalFormatting>
  <conditionalFormatting sqref="E352:G352">
    <cfRule type="cellIs" dxfId="58" priority="31" operator="equal">
      <formula>0</formula>
    </cfRule>
    <cfRule type="cellIs" dxfId="57" priority="32" operator="lessThan">
      <formula>0</formula>
    </cfRule>
    <cfRule type="cellIs" dxfId="56" priority="33" operator="greaterThan">
      <formula>0</formula>
    </cfRule>
  </conditionalFormatting>
  <conditionalFormatting sqref="D33:G33">
    <cfRule type="cellIs" dxfId="55" priority="28" operator="equal">
      <formula>0</formula>
    </cfRule>
    <cfRule type="cellIs" dxfId="54" priority="29" operator="lessThan">
      <formula>0</formula>
    </cfRule>
    <cfRule type="cellIs" dxfId="53" priority="30" operator="greaterThan">
      <formula>0</formula>
    </cfRule>
  </conditionalFormatting>
  <conditionalFormatting sqref="D352">
    <cfRule type="cellIs" dxfId="52" priority="19" operator="equal">
      <formula>0</formula>
    </cfRule>
    <cfRule type="cellIs" dxfId="51" priority="20" operator="lessThan">
      <formula>0</formula>
    </cfRule>
    <cfRule type="cellIs" dxfId="50" priority="21" operator="greaterThan">
      <formula>0</formula>
    </cfRule>
  </conditionalFormatting>
  <conditionalFormatting sqref="E84:G84">
    <cfRule type="cellIs" dxfId="49" priority="16" operator="equal">
      <formula>0</formula>
    </cfRule>
    <cfRule type="cellIs" dxfId="48" priority="17" operator="lessThan">
      <formula>0</formula>
    </cfRule>
    <cfRule type="cellIs" dxfId="47" priority="18" operator="greaterThan">
      <formula>0</formula>
    </cfRule>
  </conditionalFormatting>
  <conditionalFormatting sqref="E108:G108">
    <cfRule type="cellIs" dxfId="46" priority="13" operator="equal">
      <formula>0</formula>
    </cfRule>
    <cfRule type="cellIs" dxfId="45" priority="14" operator="lessThan">
      <formula>0</formula>
    </cfRule>
    <cfRule type="cellIs" dxfId="44" priority="15" operator="greater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G107"/>
  <sheetViews>
    <sheetView showGridLines="0" topLeftCell="A7" workbookViewId="0">
      <selection activeCell="D8" sqref="D8"/>
    </sheetView>
  </sheetViews>
  <sheetFormatPr defaultRowHeight="14.4" customHeight="1" x14ac:dyDescent="0.3"/>
  <cols>
    <col min="2" max="2" width="30.88671875" customWidth="1"/>
    <col min="3" max="3" width="27.5546875" customWidth="1"/>
    <col min="4" max="7" width="11.6640625" customWidth="1"/>
    <col min="9" max="9" width="11" bestFit="1" customWidth="1"/>
  </cols>
  <sheetData>
    <row r="2" spans="2:7" ht="28.95" customHeight="1" x14ac:dyDescent="0.3">
      <c r="B2" s="32" t="s">
        <v>612</v>
      </c>
      <c r="C2" s="5"/>
      <c r="D2" s="5"/>
      <c r="E2" s="5"/>
      <c r="F2" s="5"/>
      <c r="G2" s="5"/>
    </row>
    <row r="3" spans="2:7" ht="14.4" customHeight="1" x14ac:dyDescent="0.3">
      <c r="B3" s="37" t="s">
        <v>250</v>
      </c>
      <c r="C3" s="1"/>
      <c r="D3" s="1"/>
      <c r="E3" s="1"/>
      <c r="F3" s="1"/>
      <c r="G3" s="1"/>
    </row>
    <row r="4" spans="2:7" ht="14.4" customHeight="1" x14ac:dyDescent="0.3">
      <c r="B4" s="9" t="s">
        <v>2</v>
      </c>
      <c r="C4" s="9" t="s">
        <v>214</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36" t="s">
        <v>0</v>
      </c>
      <c r="C7" s="3" t="s">
        <v>216</v>
      </c>
      <c r="D7" s="38">
        <f>(SUMPRODUCT(Input_!D$361:D$365,Input_!D115:D119)+Input_!D$381*Input_!D118+Input_!D$382*Input_!D119)*Input_!D258/SUM(Input_!D258:D259)</f>
        <v>30931240.224923894</v>
      </c>
      <c r="E7" s="38">
        <f>(SUMPRODUCT(Input_!E$361:E$365,Input_!E115:E119)+Input_!E$381*Input_!E118+Input_!E$382*Input_!E119)*Input_!E258/SUM(Input_!E258:E259)</f>
        <v>32002254.47123478</v>
      </c>
      <c r="F7" s="38">
        <f>(SUMPRODUCT(Input_!F$361:F$365,Input_!F115:F119)+Input_!F$381*Input_!F118+Input_!F$382*Input_!F119)*Input_!F258/SUM(Input_!F258:F259)</f>
        <v>32002254.47123478</v>
      </c>
      <c r="G7" s="38">
        <f>(SUMPRODUCT(Input_!G$361:G$365,Input_!G115:G119)+Input_!G$381*Input_!G118+Input_!G$382*Input_!G119)*Input_!G258/SUM(Input_!G258:G259)</f>
        <v>32002254.47123478</v>
      </c>
    </row>
    <row r="8" spans="2:7" ht="14.4" customHeight="1" x14ac:dyDescent="0.3">
      <c r="B8" s="36" t="s">
        <v>215</v>
      </c>
      <c r="C8" s="3" t="s">
        <v>216</v>
      </c>
      <c r="D8" s="38">
        <f>(SUMPRODUCT(Input_!D$361:D$365,Input_!D115:D119)+Input_!D$381*Input_!D118+Input_!D$382*Input_!D119)*Input_!D259/SUM(Input_!D258:D259)</f>
        <v>2308301.5093226787</v>
      </c>
      <c r="E8" s="38">
        <f>(SUMPRODUCT(Input_!E$361:E$365,Input_!E115:E119)+Input_!E$381*Input_!E118+Input_!E$382*Input_!E119)*Input_!E259/SUM(Input_!E258:E259)</f>
        <v>2388227.9456145358</v>
      </c>
      <c r="F8" s="38">
        <f>(SUMPRODUCT(Input_!F$361:F$365,Input_!F115:F119)+Input_!F$381*Input_!F118+Input_!F$382*Input_!F119)*Input_!F259/SUM(Input_!F258:F259)</f>
        <v>2388227.9456145358</v>
      </c>
      <c r="G8" s="38">
        <f>(SUMPRODUCT(Input_!G$361:G$365,Input_!G115:G119)+Input_!G$381*Input_!G118+Input_!G$382*Input_!G119)*Input_!G259/SUM(Input_!G258:G259)</f>
        <v>2388227.9456145358</v>
      </c>
    </row>
    <row r="9" spans="2:7" ht="14.4" customHeight="1" x14ac:dyDescent="0.3">
      <c r="B9" s="36" t="s">
        <v>217</v>
      </c>
      <c r="C9" s="3" t="s">
        <v>14</v>
      </c>
      <c r="D9" s="38">
        <f>SUMPRODUCT(Input_!D$366:D$370,Input_!D120:D124)+Input_!D$383*Input_!D124</f>
        <v>200000000</v>
      </c>
      <c r="E9" s="38">
        <f>SUMPRODUCT(Input_!E$366:E$370,Input_!E120:E124)+Input_!E$383*Input_!E124</f>
        <v>200000000</v>
      </c>
      <c r="F9" s="38">
        <f>SUMPRODUCT(Input_!F$366:F$370,Input_!F120:F124)+Input_!F$383*Input_!F124</f>
        <v>200000000</v>
      </c>
      <c r="G9" s="38">
        <f>SUMPRODUCT(Input_!G$366:G$370,Input_!G120:G124)+Input_!G$383*Input_!G124</f>
        <v>200000000</v>
      </c>
    </row>
    <row r="10" spans="2:7" ht="14.4" customHeight="1" x14ac:dyDescent="0.3">
      <c r="B10" s="36" t="s">
        <v>218</v>
      </c>
      <c r="C10" s="3" t="s">
        <v>15</v>
      </c>
      <c r="D10" s="38">
        <f>SUMPRODUCT(Input_!D$371:D$372,Input_!D125:D126)+Input_!D$384*Input_!D126</f>
        <v>8990275.9128767122</v>
      </c>
      <c r="E10" s="38">
        <f>SUMPRODUCT(Input_!E$371:E$372,Input_!E125:E126)+Input_!E$384*Input_!E126</f>
        <v>7435783.7183561651</v>
      </c>
      <c r="F10" s="38">
        <f>SUMPRODUCT(Input_!F$371:F$372,Input_!F125:F126)+Input_!F$384*Input_!F126</f>
        <v>7435783.7183561651</v>
      </c>
      <c r="G10" s="38">
        <f>SUMPRODUCT(Input_!G$371:G$372,Input_!G125:G126)+Input_!G$384*Input_!G126</f>
        <v>7435783.7183561651</v>
      </c>
    </row>
    <row r="11" spans="2:7" ht="14.4" customHeight="1" x14ac:dyDescent="0.3">
      <c r="B11" s="36" t="s">
        <v>26</v>
      </c>
      <c r="C11" s="3" t="s">
        <v>219</v>
      </c>
      <c r="D11" s="38">
        <f>Input_!D$373</f>
        <v>1E-3</v>
      </c>
      <c r="E11" s="38">
        <f>Input_!E$373</f>
        <v>1E-3</v>
      </c>
      <c r="F11" s="38">
        <f>Input_!F$373</f>
        <v>1E-3</v>
      </c>
      <c r="G11" s="38">
        <f>Input_!G$373</f>
        <v>1E-3</v>
      </c>
    </row>
    <row r="14" spans="2:7" ht="28.95" customHeight="1" x14ac:dyDescent="0.3">
      <c r="B14" s="32" t="s">
        <v>613</v>
      </c>
      <c r="C14" s="5"/>
      <c r="D14" s="5"/>
      <c r="E14" s="5"/>
      <c r="F14" s="5"/>
      <c r="G14" s="5"/>
    </row>
    <row r="15" spans="2:7" ht="14.4" customHeight="1" x14ac:dyDescent="0.3">
      <c r="B15" s="37" t="s">
        <v>250</v>
      </c>
      <c r="C15" s="1"/>
      <c r="D15" s="1"/>
      <c r="E15" s="1"/>
      <c r="F15" s="1"/>
      <c r="G15" s="1"/>
    </row>
    <row r="16" spans="2:7" ht="14.4" customHeight="1" x14ac:dyDescent="0.3">
      <c r="B16" s="9" t="s">
        <v>1</v>
      </c>
      <c r="C16" s="9" t="s">
        <v>214</v>
      </c>
      <c r="D16" s="6"/>
      <c r="E16" s="6"/>
      <c r="F16" s="6"/>
      <c r="G16" s="6"/>
    </row>
    <row r="17" spans="2:7" ht="14.4" customHeight="1" x14ac:dyDescent="0.3">
      <c r="B17" s="25"/>
      <c r="C17" s="25"/>
      <c r="D17" s="23" t="str">
        <f>Input_!D$5</f>
        <v>2023-24</v>
      </c>
      <c r="E17" s="23" t="str">
        <f>Input_!E$5</f>
        <v>2024-25</v>
      </c>
      <c r="F17" s="23" t="str">
        <f>Input_!F$5</f>
        <v>2025-26</v>
      </c>
      <c r="G17" s="23" t="str">
        <f>Input_!G$5</f>
        <v>2026-27</v>
      </c>
    </row>
    <row r="18" spans="2:7" ht="14.4" customHeight="1" x14ac:dyDescent="0.3">
      <c r="B18" s="24"/>
      <c r="C18" s="24"/>
      <c r="D18" s="8"/>
      <c r="E18" s="8"/>
      <c r="F18" s="8"/>
      <c r="G18" s="8"/>
    </row>
    <row r="19" spans="2:7" ht="14.4" customHeight="1" x14ac:dyDescent="0.3">
      <c r="B19" s="36" t="s">
        <v>0</v>
      </c>
      <c r="C19" s="3" t="s">
        <v>216</v>
      </c>
      <c r="D19" s="38">
        <f>(SUMPRODUCT(Input_!D$392:D$396,Input_!D133:D137)+Input_!D$418*Input_!D136+Input_!D$419*Input_!D137)*Input_!D260/SUM(Input_!D260:D261)</f>
        <v>16318269.820479449</v>
      </c>
      <c r="E19" s="38">
        <f>(SUMPRODUCT(Input_!E$392:E$396,Input_!E133:E137)+Input_!E$418*Input_!E136+Input_!E$419*Input_!E137)*Input_!E260/SUM(Input_!E260:E261)</f>
        <v>36565153.017457187</v>
      </c>
      <c r="F19" s="38">
        <f>(SUMPRODUCT(Input_!F$392:F$396,Input_!F133:F137)+Input_!F$418*Input_!F136+Input_!F$419*Input_!F137)*Input_!F260/SUM(Input_!F260:F261)</f>
        <v>36565153.017457187</v>
      </c>
      <c r="G19" s="38">
        <f>(SUMPRODUCT(Input_!G$392:G$396,Input_!G133:G137)+Input_!G$418*Input_!G136+Input_!G$419*Input_!G137)*Input_!G260/SUM(Input_!G260:G261)</f>
        <v>36565153.017457187</v>
      </c>
    </row>
    <row r="20" spans="2:7" ht="14.4" customHeight="1" x14ac:dyDescent="0.3">
      <c r="B20" s="36" t="s">
        <v>215</v>
      </c>
      <c r="C20" s="3" t="s">
        <v>216</v>
      </c>
      <c r="D20" s="38">
        <f>(SUMPRODUCT(Input_!D$392:D$396,Input_!D133:D137)+Input_!D$418*Input_!D136+Input_!D$419*Input_!D137)*Input_!D261/SUM(Input_!D260:D261)</f>
        <v>7417395.3729452044</v>
      </c>
      <c r="E20" s="38">
        <f>(SUMPRODUCT(Input_!E$392:E$396,Input_!E133:E137)+Input_!E$418*Input_!E136+Input_!E$419*Input_!E137)*Input_!E261/SUM(Input_!E260:E261)</f>
        <v>16620524.098844176</v>
      </c>
      <c r="F20" s="38">
        <f>(SUMPRODUCT(Input_!F$392:F$396,Input_!F133:F137)+Input_!F$418*Input_!F136+Input_!F$419*Input_!F137)*Input_!F261/SUM(Input_!F260:F261)</f>
        <v>16620524.098844176</v>
      </c>
      <c r="G20" s="38">
        <f>(SUMPRODUCT(Input_!G$392:G$396,Input_!G133:G137)+Input_!G$418*Input_!G136+Input_!G$419*Input_!G137)*Input_!G261/SUM(Input_!G260:G261)</f>
        <v>16620524.098844176</v>
      </c>
    </row>
    <row r="21" spans="2:7" ht="14.4" customHeight="1" x14ac:dyDescent="0.3">
      <c r="B21" s="36" t="s">
        <v>217</v>
      </c>
      <c r="C21" s="3" t="s">
        <v>14</v>
      </c>
      <c r="D21" s="38">
        <f>SUMPRODUCT(Input_!D$397:D$401,Input_!D138:D142)+Input_!D$420*Input_!D141+Input_!D$421*Input_!D142</f>
        <v>2</v>
      </c>
      <c r="E21" s="38">
        <f>SUMPRODUCT(Input_!E$397:E$401,Input_!E138:E142)+Input_!E$420*Input_!E141+Input_!E$421*Input_!E142</f>
        <v>1.94</v>
      </c>
      <c r="F21" s="38">
        <f>SUMPRODUCT(Input_!F$397:F$401,Input_!F138:F142)+Input_!F$420*Input_!F141+Input_!F$421*Input_!F142</f>
        <v>1.94</v>
      </c>
      <c r="G21" s="38">
        <f>SUMPRODUCT(Input_!G$397:G$401,Input_!G138:G142)+Input_!G$420*Input_!G141+Input_!G$421*Input_!G142</f>
        <v>1.94</v>
      </c>
    </row>
    <row r="22" spans="2:7" ht="14.4" customHeight="1" x14ac:dyDescent="0.3">
      <c r="B22" s="36" t="s">
        <v>218</v>
      </c>
      <c r="C22" s="3" t="s">
        <v>15</v>
      </c>
      <c r="D22" s="38">
        <f>SUMPRODUCT(Input_!D$402:D$403,Input_!D143:D144)+Input_!D$422*Input_!D144</f>
        <v>11893399.989315068</v>
      </c>
      <c r="E22" s="38">
        <f>SUMPRODUCT(Input_!E$402:E$403,Input_!E143:E144)+Input_!E$422*Input_!E144</f>
        <v>7121971.8712328775</v>
      </c>
      <c r="F22" s="38">
        <f>SUMPRODUCT(Input_!F$402:F$403,Input_!F143:F144)+Input_!F$422*Input_!F144</f>
        <v>7121971.8712328775</v>
      </c>
      <c r="G22" s="38">
        <f>SUMPRODUCT(Input_!G$402:G$403,Input_!G143:G144)+Input_!G$422*Input_!G144</f>
        <v>7121971.8712328775</v>
      </c>
    </row>
    <row r="23" spans="2:7" ht="14.4" customHeight="1" x14ac:dyDescent="0.3">
      <c r="B23" s="36" t="s">
        <v>54</v>
      </c>
      <c r="C23" s="3" t="s">
        <v>220</v>
      </c>
      <c r="D23" s="38">
        <f>(SUM(Input_!D$404:D$405)+SUMPRODUCT(Input_!D$406:D$410,Input_!D$145:D$149))*Input_!D267</f>
        <v>778231.03827960521</v>
      </c>
      <c r="E23" s="38">
        <f>(SUM(Input_!E$404:E$405)+SUMPRODUCT(Input_!E$406:E$410,Input_!E$145:E$149))*Input_!E267</f>
        <v>772301.12642537442</v>
      </c>
      <c r="F23" s="38">
        <f>(SUM(Input_!F$404:F$405)+SUMPRODUCT(Input_!F$406:F$410,Input_!F$145:F$149))*Input_!F267</f>
        <v>772301.12642537442</v>
      </c>
      <c r="G23" s="38">
        <f>(SUM(Input_!G$404:G$405)+SUMPRODUCT(Input_!G$406:G$410,Input_!G$145:G$149))*Input_!G267</f>
        <v>772301.12642537442</v>
      </c>
    </row>
    <row r="24" spans="2:7" ht="14.4" customHeight="1" x14ac:dyDescent="0.3">
      <c r="B24" s="36" t="s">
        <v>56</v>
      </c>
      <c r="C24" s="3" t="s">
        <v>220</v>
      </c>
      <c r="D24" s="38">
        <f>(SUM(Input_!D$404:D$405)+SUMPRODUCT(Input_!D$406:D$410,Input_!D$145:D$149))*Input_!D268</f>
        <v>2721441.4963189051</v>
      </c>
      <c r="E24" s="38">
        <f>(SUM(Input_!E$404:E$405)+SUMPRODUCT(Input_!E$406:E$410,Input_!E$145:E$149))*Input_!E268</f>
        <v>2700704.8417833927</v>
      </c>
      <c r="F24" s="38">
        <f>(SUM(Input_!F$404:F$405)+SUMPRODUCT(Input_!F$406:F$410,Input_!F$145:F$149))*Input_!F268</f>
        <v>2700704.8417833927</v>
      </c>
      <c r="G24" s="38">
        <f>(SUM(Input_!G$404:G$405)+SUMPRODUCT(Input_!G$406:G$410,Input_!G$145:G$149))*Input_!G268</f>
        <v>2700704.8417833927</v>
      </c>
    </row>
    <row r="25" spans="2:7" ht="14.4" customHeight="1" x14ac:dyDescent="0.3">
      <c r="B25" s="36" t="s">
        <v>58</v>
      </c>
      <c r="C25" s="3" t="s">
        <v>220</v>
      </c>
      <c r="D25" s="38">
        <f>(SUM(Input_!D$404:D$405)+SUMPRODUCT(Input_!D$406:D$410,Input_!D$145:D$149))*Input_!D269</f>
        <v>937349.00434786058</v>
      </c>
      <c r="E25" s="38">
        <f>(SUM(Input_!E$404:E$405)+SUMPRODUCT(Input_!E$406:E$410,Input_!E$145:E$149))*Input_!E269</f>
        <v>930206.65625452122</v>
      </c>
      <c r="F25" s="38">
        <f>(SUM(Input_!F$404:F$405)+SUMPRODUCT(Input_!F$406:F$410,Input_!F$145:F$149))*Input_!F269</f>
        <v>930206.65625452122</v>
      </c>
      <c r="G25" s="38">
        <f>(SUM(Input_!G$404:G$405)+SUMPRODUCT(Input_!G$406:G$410,Input_!G$145:G$149))*Input_!G269</f>
        <v>930206.65625452122</v>
      </c>
    </row>
    <row r="26" spans="2:7" ht="14.4" customHeight="1" x14ac:dyDescent="0.3">
      <c r="B26" s="36" t="s">
        <v>60</v>
      </c>
      <c r="C26" s="3" t="s">
        <v>220</v>
      </c>
      <c r="D26" s="38">
        <f>(SUM(Input_!D$404:D$405)+SUMPRODUCT(Input_!D$406:D$410,Input_!D$145:D$149))*Input_!D270</f>
        <v>1551124.3972204293</v>
      </c>
      <c r="E26" s="38">
        <f>(SUM(Input_!E$404:E$405)+SUMPRODUCT(Input_!E$406:E$410,Input_!E$145:E$149))*Input_!E270</f>
        <v>1539305.245197403</v>
      </c>
      <c r="F26" s="38">
        <f>(SUM(Input_!F$404:F$405)+SUMPRODUCT(Input_!F$406:F$410,Input_!F$145:F$149))*Input_!F270</f>
        <v>1539305.245197403</v>
      </c>
      <c r="G26" s="38">
        <f>(SUM(Input_!G$404:G$405)+SUMPRODUCT(Input_!G$406:G$410,Input_!G$145:G$149))*Input_!G270</f>
        <v>1539305.245197403</v>
      </c>
    </row>
    <row r="27" spans="2:7" ht="14.4" customHeight="1" x14ac:dyDescent="0.3">
      <c r="B27" s="36" t="s">
        <v>61</v>
      </c>
      <c r="C27" s="3" t="s">
        <v>220</v>
      </c>
      <c r="D27" s="38">
        <f>(SUM(Input_!D$404:D$405)+SUMPRODUCT(Input_!D$406:D$410,Input_!D$145:D$149))*Input_!D271</f>
        <v>402361.86818631936</v>
      </c>
      <c r="E27" s="38">
        <f>(SUM(Input_!E$404:E$405)+SUMPRODUCT(Input_!E$406:E$410,Input_!E$145:E$149))*Input_!E271</f>
        <v>399295.97863104916</v>
      </c>
      <c r="F27" s="38">
        <f>(SUM(Input_!F$404:F$405)+SUMPRODUCT(Input_!F$406:F$410,Input_!F$145:F$149))*Input_!F271</f>
        <v>399295.97863104916</v>
      </c>
      <c r="G27" s="38">
        <f>(SUM(Input_!G$404:G$405)+SUMPRODUCT(Input_!G$406:G$410,Input_!G$145:G$149))*Input_!G271</f>
        <v>399295.97863104916</v>
      </c>
    </row>
    <row r="28" spans="2:7" ht="14.4" customHeight="1" x14ac:dyDescent="0.3">
      <c r="B28" s="36" t="s">
        <v>63</v>
      </c>
      <c r="C28" s="3" t="s">
        <v>220</v>
      </c>
      <c r="D28" s="38">
        <f>(SUM(Input_!D$404:D$405)+SUMPRODUCT(Input_!D$406:D$410,Input_!D$145:D$149))*Input_!D272</f>
        <v>880886.04402429983</v>
      </c>
      <c r="E28" s="38">
        <f>(SUM(Input_!E$404:E$405)+SUMPRODUCT(Input_!E$406:E$410,Input_!E$145:E$149))*Input_!E272</f>
        <v>874173.92854991101</v>
      </c>
      <c r="F28" s="38">
        <f>(SUM(Input_!F$404:F$405)+SUMPRODUCT(Input_!F$406:F$410,Input_!F$145:F$149))*Input_!F272</f>
        <v>874173.92854991101</v>
      </c>
      <c r="G28" s="38">
        <f>(SUM(Input_!G$404:G$405)+SUMPRODUCT(Input_!G$406:G$410,Input_!G$145:G$149))*Input_!G272</f>
        <v>874173.92854991101</v>
      </c>
    </row>
    <row r="29" spans="2:7" ht="14.4" customHeight="1" x14ac:dyDescent="0.3">
      <c r="B29" s="36" t="s">
        <v>65</v>
      </c>
      <c r="C29" s="3" t="s">
        <v>220</v>
      </c>
      <c r="D29" s="38">
        <f>(SUM(Input_!D$404:D$405)+SUMPRODUCT(Input_!D$406:D$410,Input_!D$145:D$149))*Input_!D273</f>
        <v>2025042.8064868895</v>
      </c>
      <c r="E29" s="38">
        <f>(SUM(Input_!E$404:E$405)+SUMPRODUCT(Input_!E$406:E$410,Input_!E$145:E$149))*Input_!E273</f>
        <v>2009612.5232511326</v>
      </c>
      <c r="F29" s="38">
        <f>(SUM(Input_!F$404:F$405)+SUMPRODUCT(Input_!F$406:F$410,Input_!F$145:F$149))*Input_!F273</f>
        <v>2009612.5232511326</v>
      </c>
      <c r="G29" s="38">
        <f>(SUM(Input_!G$404:G$405)+SUMPRODUCT(Input_!G$406:G$410,Input_!G$145:G$149))*Input_!G273</f>
        <v>2009612.5232511326</v>
      </c>
    </row>
    <row r="30" spans="2:7" ht="14.4" customHeight="1" x14ac:dyDescent="0.3">
      <c r="B30" s="36" t="s">
        <v>67</v>
      </c>
      <c r="C30" s="3" t="s">
        <v>220</v>
      </c>
      <c r="D30" s="38">
        <f>(SUM(Input_!D$404:D$405)+SUMPRODUCT(Input_!D$406:D$410,Input_!D$145:D$149))*Input_!D274</f>
        <v>2396530.6110709882</v>
      </c>
      <c r="E30" s="38">
        <f>(SUM(Input_!E$404:E$405)+SUMPRODUCT(Input_!E$406:E$410,Input_!E$145:E$149))*Input_!E274</f>
        <v>2378269.6903667292</v>
      </c>
      <c r="F30" s="38">
        <f>(SUM(Input_!F$404:F$405)+SUMPRODUCT(Input_!F$406:F$410,Input_!F$145:F$149))*Input_!F274</f>
        <v>2378269.6903667292</v>
      </c>
      <c r="G30" s="38">
        <f>(SUM(Input_!G$404:G$405)+SUMPRODUCT(Input_!G$406:G$410,Input_!G$145:G$149))*Input_!G274</f>
        <v>2378269.6903667292</v>
      </c>
    </row>
    <row r="31" spans="2:7" ht="14.4" customHeight="1" x14ac:dyDescent="0.3">
      <c r="B31" s="36" t="s">
        <v>69</v>
      </c>
      <c r="C31" s="3" t="s">
        <v>220</v>
      </c>
      <c r="D31" s="38">
        <f>(SUM(Input_!D$404:D$405)+SUMPRODUCT(Input_!D$406:D$410,Input_!D$145:D$149))*Input_!D275</f>
        <v>1709426.9524517185</v>
      </c>
      <c r="E31" s="38">
        <f>(SUM(Input_!E$404:E$405)+SUMPRODUCT(Input_!E$406:E$410,Input_!E$145:E$149))*Input_!E275</f>
        <v>1696401.5774015356</v>
      </c>
      <c r="F31" s="38">
        <f>(SUM(Input_!F$404:F$405)+SUMPRODUCT(Input_!F$406:F$410,Input_!F$145:F$149))*Input_!F275</f>
        <v>1696401.5774015356</v>
      </c>
      <c r="G31" s="38">
        <f>(SUM(Input_!G$404:G$405)+SUMPRODUCT(Input_!G$406:G$410,Input_!G$145:G$149))*Input_!G275</f>
        <v>1696401.5774015356</v>
      </c>
    </row>
    <row r="32" spans="2:7" ht="14.4" customHeight="1" x14ac:dyDescent="0.3">
      <c r="B32" s="36" t="s">
        <v>71</v>
      </c>
      <c r="C32" s="3" t="s">
        <v>220</v>
      </c>
      <c r="D32" s="38">
        <f>(SUM(Input_!D$404:D$405)+SUMPRODUCT(Input_!D$406:D$410,Input_!D$145:D$149))*Input_!D276</f>
        <v>12643653.782261247</v>
      </c>
      <c r="E32" s="38">
        <f>(SUM(Input_!E$404:E$405)+SUMPRODUCT(Input_!E$406:E$410,Input_!E$145:E$149))*Input_!E276</f>
        <v>12547312.530426873</v>
      </c>
      <c r="F32" s="38">
        <f>(SUM(Input_!F$404:F$405)+SUMPRODUCT(Input_!F$406:F$410,Input_!F$145:F$149))*Input_!F276</f>
        <v>12547312.530426873</v>
      </c>
      <c r="G32" s="38">
        <f>(SUM(Input_!G$404:G$405)+SUMPRODUCT(Input_!G$406:G$410,Input_!G$145:G$149))*Input_!G276</f>
        <v>12547312.530426873</v>
      </c>
    </row>
    <row r="33" spans="2:7" ht="14.4" customHeight="1" x14ac:dyDescent="0.3">
      <c r="B33" s="36" t="s">
        <v>73</v>
      </c>
      <c r="C33" s="3" t="s">
        <v>220</v>
      </c>
      <c r="D33" s="38">
        <f>(SUM(Input_!D$404:D$405)+SUMPRODUCT(Input_!D$406:D$410,Input_!D$145:D$149))*Input_!D277</f>
        <v>0</v>
      </c>
      <c r="E33" s="38">
        <f>(SUM(Input_!E$404:E$405)+SUMPRODUCT(Input_!E$406:E$410,Input_!E$145:E$149))*Input_!E277</f>
        <v>0</v>
      </c>
      <c r="F33" s="38">
        <f>(SUM(Input_!F$404:F$405)+SUMPRODUCT(Input_!F$406:F$410,Input_!F$145:F$149))*Input_!F277</f>
        <v>0</v>
      </c>
      <c r="G33" s="38">
        <f>(SUM(Input_!G$404:G$405)+SUMPRODUCT(Input_!G$406:G$410,Input_!G$145:G$149))*Input_!G277</f>
        <v>0</v>
      </c>
    </row>
    <row r="34" spans="2:7" ht="14.4" customHeight="1" x14ac:dyDescent="0.3">
      <c r="B34" s="36" t="s">
        <v>75</v>
      </c>
      <c r="C34" s="3" t="s">
        <v>220</v>
      </c>
      <c r="D34" s="38">
        <f>(SUM(Input_!D$404:D$405)+SUMPRODUCT(Input_!D$406:D$410,Input_!D$145:D$149))*Input_!D278</f>
        <v>672717.85446917627</v>
      </c>
      <c r="E34" s="38">
        <f>(SUM(Input_!E$404:E$405)+SUMPRODUCT(Input_!E$406:E$410,Input_!E$145:E$149))*Input_!E278</f>
        <v>667591.92478563637</v>
      </c>
      <c r="F34" s="38">
        <f>(SUM(Input_!F$404:F$405)+SUMPRODUCT(Input_!F$406:F$410,Input_!F$145:F$149))*Input_!F278</f>
        <v>667591.92478563637</v>
      </c>
      <c r="G34" s="38">
        <f>(SUM(Input_!G$404:G$405)+SUMPRODUCT(Input_!G$406:G$410,Input_!G$145:G$149))*Input_!G278</f>
        <v>667591.92478563637</v>
      </c>
    </row>
    <row r="35" spans="2:7" ht="14.4" customHeight="1" x14ac:dyDescent="0.3">
      <c r="B35" s="36" t="s">
        <v>77</v>
      </c>
      <c r="C35" s="3" t="s">
        <v>220</v>
      </c>
      <c r="D35" s="38">
        <f>(SUM(Input_!D$404:D$405)+SUMPRODUCT(Input_!D$406:D$410,Input_!D$145:D$149))*Input_!D279</f>
        <v>2756026.0053936564</v>
      </c>
      <c r="E35" s="38">
        <f>(SUM(Input_!E$404:E$405)+SUMPRODUCT(Input_!E$406:E$410,Input_!E$145:E$149))*Input_!E279</f>
        <v>2735025.8261717111</v>
      </c>
      <c r="F35" s="38">
        <f>(SUM(Input_!F$404:F$405)+SUMPRODUCT(Input_!F$406:F$410,Input_!F$145:F$149))*Input_!F279</f>
        <v>2735025.8261717111</v>
      </c>
      <c r="G35" s="38">
        <f>(SUM(Input_!G$404:G$405)+SUMPRODUCT(Input_!G$406:G$410,Input_!G$145:G$149))*Input_!G279</f>
        <v>2735025.8261717111</v>
      </c>
    </row>
    <row r="36" spans="2:7" ht="14.4" customHeight="1" x14ac:dyDescent="0.3">
      <c r="B36" s="36" t="s">
        <v>79</v>
      </c>
      <c r="C36" s="3" t="s">
        <v>220</v>
      </c>
      <c r="D36" s="38">
        <f>(SUM(Input_!D$404:D$405)+SUMPRODUCT(Input_!D$406:D$410,Input_!D$145:D$149))*Input_!D280</f>
        <v>1690923.9759036149</v>
      </c>
      <c r="E36" s="38">
        <f>(SUM(Input_!E$404:E$405)+SUMPRODUCT(Input_!E$406:E$410,Input_!E$145:E$149))*Input_!E280</f>
        <v>1678039.5885737543</v>
      </c>
      <c r="F36" s="38">
        <f>(SUM(Input_!F$404:F$405)+SUMPRODUCT(Input_!F$406:F$410,Input_!F$145:F$149))*Input_!F280</f>
        <v>1678039.5885737543</v>
      </c>
      <c r="G36" s="38">
        <f>(SUM(Input_!G$404:G$405)+SUMPRODUCT(Input_!G$406:G$410,Input_!G$145:G$149))*Input_!G280</f>
        <v>1678039.5885737543</v>
      </c>
    </row>
    <row r="37" spans="2:7" ht="14.4" customHeight="1" x14ac:dyDescent="0.3">
      <c r="B37" s="36" t="s">
        <v>81</v>
      </c>
      <c r="C37" s="3" t="s">
        <v>220</v>
      </c>
      <c r="D37" s="38">
        <f>(SUM(Input_!D$404:D$405)+SUMPRODUCT(Input_!D$406:D$410,Input_!D$145:D$149))*Input_!D281</f>
        <v>38955917.439126588</v>
      </c>
      <c r="E37" s="38">
        <f>(SUM(Input_!E$404:E$405)+SUMPRODUCT(Input_!E$406:E$410,Input_!E$145:E$149))*Input_!E281</f>
        <v>38659083.793008611</v>
      </c>
      <c r="F37" s="38">
        <f>(SUM(Input_!F$404:F$405)+SUMPRODUCT(Input_!F$406:F$410,Input_!F$145:F$149))*Input_!F281</f>
        <v>38659083.793008611</v>
      </c>
      <c r="G37" s="38">
        <f>(SUM(Input_!G$404:G$405)+SUMPRODUCT(Input_!G$406:G$410,Input_!G$145:G$149))*Input_!G281</f>
        <v>38659083.793008611</v>
      </c>
    </row>
    <row r="38" spans="2:7" ht="14.4" customHeight="1" x14ac:dyDescent="0.3">
      <c r="B38" s="36" t="s">
        <v>82</v>
      </c>
      <c r="C38" s="3" t="s">
        <v>220</v>
      </c>
      <c r="D38" s="38">
        <f>(SUM(Input_!D$404:D$405)+SUMPRODUCT(Input_!D$406:D$410,Input_!D$145:D$149))*Input_!D282</f>
        <v>659810.22708433529</v>
      </c>
      <c r="E38" s="38">
        <f>(SUM(Input_!E$404:E$405)+SUMPRODUCT(Input_!E$406:E$410,Input_!E$145:E$149))*Input_!E282</f>
        <v>654782.65006070549</v>
      </c>
      <c r="F38" s="38">
        <f>(SUM(Input_!F$404:F$405)+SUMPRODUCT(Input_!F$406:F$410,Input_!F$145:F$149))*Input_!F282</f>
        <v>654782.65006070549</v>
      </c>
      <c r="G38" s="38">
        <f>(SUM(Input_!G$404:G$405)+SUMPRODUCT(Input_!G$406:G$410,Input_!G$145:G$149))*Input_!G282</f>
        <v>654782.65006070549</v>
      </c>
    </row>
    <row r="39" spans="2:7" ht="14.4" customHeight="1" x14ac:dyDescent="0.3">
      <c r="B39" s="36" t="s">
        <v>83</v>
      </c>
      <c r="C39" s="3" t="s">
        <v>220</v>
      </c>
      <c r="D39" s="38">
        <f>(SUM(Input_!D$404:D$405)+SUMPRODUCT(Input_!D$406:D$410,Input_!D$145:D$149))*Input_!D283</f>
        <v>475141.19935757492</v>
      </c>
      <c r="E39" s="38">
        <f>(SUM(Input_!E$404:E$405)+SUMPRODUCT(Input_!E$406:E$410,Input_!E$145:E$149))*Input_!E283</f>
        <v>471520.75081220135</v>
      </c>
      <c r="F39" s="38">
        <f>(SUM(Input_!F$404:F$405)+SUMPRODUCT(Input_!F$406:F$410,Input_!F$145:F$149))*Input_!F283</f>
        <v>471520.75081220135</v>
      </c>
      <c r="G39" s="38">
        <f>(SUM(Input_!G$404:G$405)+SUMPRODUCT(Input_!G$406:G$410,Input_!G$145:G$149))*Input_!G283</f>
        <v>471520.75081220135</v>
      </c>
    </row>
    <row r="40" spans="2:7" ht="14.4" customHeight="1" x14ac:dyDescent="0.3">
      <c r="B40" s="36" t="s">
        <v>85</v>
      </c>
      <c r="C40" s="3" t="s">
        <v>220</v>
      </c>
      <c r="D40" s="38">
        <f>(SUM(Input_!D$404:D$405)+SUMPRODUCT(Input_!D$406:D$410,Input_!D$145:D$149))*Input_!D284</f>
        <v>46458.19551831967</v>
      </c>
      <c r="E40" s="38">
        <f>(SUM(Input_!E$404:E$405)+SUMPRODUCT(Input_!E$406:E$410,Input_!E$145:E$149))*Input_!E284</f>
        <v>46104.19652473124</v>
      </c>
      <c r="F40" s="38">
        <f>(SUM(Input_!F$404:F$405)+SUMPRODUCT(Input_!F$406:F$410,Input_!F$145:F$149))*Input_!F284</f>
        <v>46104.19652473124</v>
      </c>
      <c r="G40" s="38">
        <f>(SUM(Input_!G$404:G$405)+SUMPRODUCT(Input_!G$406:G$410,Input_!G$145:G$149))*Input_!G284</f>
        <v>46104.19652473124</v>
      </c>
    </row>
    <row r="41" spans="2:7" ht="14.4" customHeight="1" x14ac:dyDescent="0.3">
      <c r="B41" s="36" t="s">
        <v>87</v>
      </c>
      <c r="C41" s="3" t="s">
        <v>220</v>
      </c>
      <c r="D41" s="38">
        <f>(SUM(Input_!D$404:D$405)+SUMPRODUCT(Input_!D$406:D$410,Input_!D$145:D$149))*Input_!D285</f>
        <v>0</v>
      </c>
      <c r="E41" s="38">
        <f>(SUM(Input_!E$404:E$405)+SUMPRODUCT(Input_!E$406:E$410,Input_!E$145:E$149))*Input_!E285</f>
        <v>0</v>
      </c>
      <c r="F41" s="38">
        <f>(SUM(Input_!F$404:F$405)+SUMPRODUCT(Input_!F$406:F$410,Input_!F$145:F$149))*Input_!F285</f>
        <v>0</v>
      </c>
      <c r="G41" s="38">
        <f>(SUM(Input_!G$404:G$405)+SUMPRODUCT(Input_!G$406:G$410,Input_!G$145:G$149))*Input_!G285</f>
        <v>0</v>
      </c>
    </row>
    <row r="42" spans="2:7" ht="14.4" customHeight="1" x14ac:dyDescent="0.3">
      <c r="B42" s="36" t="s">
        <v>89</v>
      </c>
      <c r="C42" s="3" t="s">
        <v>220</v>
      </c>
      <c r="D42" s="38">
        <f>(SUM(Input_!D$404:D$405)+SUMPRODUCT(Input_!D$406:D$410,Input_!D$145:D$149))*Input_!D286</f>
        <v>1530398.6107307556</v>
      </c>
      <c r="E42" s="38">
        <f>(SUM(Input_!E$404:E$405)+SUMPRODUCT(Input_!E$406:E$410,Input_!E$145:E$149))*Input_!E286</f>
        <v>1518737.3836438321</v>
      </c>
      <c r="F42" s="38">
        <f>(SUM(Input_!F$404:F$405)+SUMPRODUCT(Input_!F$406:F$410,Input_!F$145:F$149))*Input_!F286</f>
        <v>1518737.3836438321</v>
      </c>
      <c r="G42" s="38">
        <f>(SUM(Input_!G$404:G$405)+SUMPRODUCT(Input_!G$406:G$410,Input_!G$145:G$149))*Input_!G286</f>
        <v>1518737.3836438321</v>
      </c>
    </row>
    <row r="43" spans="2:7" ht="14.4" customHeight="1" x14ac:dyDescent="0.3">
      <c r="B43" s="36" t="s">
        <v>90</v>
      </c>
      <c r="C43" s="3" t="s">
        <v>220</v>
      </c>
      <c r="D43" s="38">
        <f>(SUM(Input_!D$404:D$405)+SUMPRODUCT(Input_!D$406:D$410,Input_!D$145:D$149))*Input_!D287</f>
        <v>868322.19384832378</v>
      </c>
      <c r="E43" s="38">
        <f>(SUM(Input_!E$404:E$405)+SUMPRODUCT(Input_!E$406:E$410,Input_!E$145:E$149))*Input_!E287</f>
        <v>861705.8115436862</v>
      </c>
      <c r="F43" s="38">
        <f>(SUM(Input_!F$404:F$405)+SUMPRODUCT(Input_!F$406:F$410,Input_!F$145:F$149))*Input_!F287</f>
        <v>861705.8115436862</v>
      </c>
      <c r="G43" s="38">
        <f>(SUM(Input_!G$404:G$405)+SUMPRODUCT(Input_!G$406:G$410,Input_!G$145:G$149))*Input_!G287</f>
        <v>861705.8115436862</v>
      </c>
    </row>
    <row r="44" spans="2:7" ht="14.4" customHeight="1" x14ac:dyDescent="0.3">
      <c r="B44" s="36" t="s">
        <v>92</v>
      </c>
      <c r="C44" s="3" t="s">
        <v>220</v>
      </c>
      <c r="D44" s="38">
        <f>(SUM(Input_!D$404:D$405)+SUMPRODUCT(Input_!D$406:D$410,Input_!D$145:D$149))*Input_!D288</f>
        <v>1575749.4783324753</v>
      </c>
      <c r="E44" s="38">
        <f>(SUM(Input_!E$404:E$405)+SUMPRODUCT(Input_!E$406:E$410,Input_!E$145:E$149))*Input_!E288</f>
        <v>1563742.6897937937</v>
      </c>
      <c r="F44" s="38">
        <f>(SUM(Input_!F$404:F$405)+SUMPRODUCT(Input_!F$406:F$410,Input_!F$145:F$149))*Input_!F288</f>
        <v>1563742.6897937937</v>
      </c>
      <c r="G44" s="38">
        <f>(SUM(Input_!G$404:G$405)+SUMPRODUCT(Input_!G$406:G$410,Input_!G$145:G$149))*Input_!G288</f>
        <v>1563742.6897937937</v>
      </c>
    </row>
    <row r="45" spans="2:7" ht="14.4" customHeight="1" x14ac:dyDescent="0.3">
      <c r="B45" s="36" t="s">
        <v>94</v>
      </c>
      <c r="C45" s="3" t="s">
        <v>220</v>
      </c>
      <c r="D45" s="38">
        <f>(SUM(Input_!D$404:D$405)+SUMPRODUCT(Input_!D$406:D$410,Input_!D$145:D$149))*Input_!D289</f>
        <v>1602787.5231932716</v>
      </c>
      <c r="E45" s="38">
        <f>(SUM(Input_!E$404:E$405)+SUMPRODUCT(Input_!E$406:E$410,Input_!E$145:E$149))*Input_!E289</f>
        <v>1590574.7120021272</v>
      </c>
      <c r="F45" s="38">
        <f>(SUM(Input_!F$404:F$405)+SUMPRODUCT(Input_!F$406:F$410,Input_!F$145:F$149))*Input_!F289</f>
        <v>1590574.7120021272</v>
      </c>
      <c r="G45" s="38">
        <f>(SUM(Input_!G$404:G$405)+SUMPRODUCT(Input_!G$406:G$410,Input_!G$145:G$149))*Input_!G289</f>
        <v>1590574.7120021272</v>
      </c>
    </row>
    <row r="46" spans="2:7" ht="14.4" customHeight="1" x14ac:dyDescent="0.3">
      <c r="B46" s="36" t="s">
        <v>96</v>
      </c>
      <c r="C46" s="3" t="s">
        <v>220</v>
      </c>
      <c r="D46" s="38">
        <f>(SUM(Input_!D$404:D$405)+SUMPRODUCT(Input_!D$406:D$410,Input_!D$145:D$149))*Input_!D290</f>
        <v>4113892.1632950576</v>
      </c>
      <c r="E46" s="38">
        <f>(SUM(Input_!E$404:E$405)+SUMPRODUCT(Input_!E$406:E$410,Input_!E$145:E$149))*Input_!E290</f>
        <v>4082545.4080177564</v>
      </c>
      <c r="F46" s="38">
        <f>(SUM(Input_!F$404:F$405)+SUMPRODUCT(Input_!F$406:F$410,Input_!F$145:F$149))*Input_!F290</f>
        <v>4082545.4080177564</v>
      </c>
      <c r="G46" s="38">
        <f>(SUM(Input_!G$404:G$405)+SUMPRODUCT(Input_!G$406:G$410,Input_!G$145:G$149))*Input_!G290</f>
        <v>4082545.4080177564</v>
      </c>
    </row>
    <row r="47" spans="2:7" ht="14.4" customHeight="1" x14ac:dyDescent="0.3">
      <c r="B47" s="36" t="s">
        <v>98</v>
      </c>
      <c r="C47" s="3" t="s">
        <v>220</v>
      </c>
      <c r="D47" s="38">
        <f>(SUM(Input_!D$404:D$405)+SUMPRODUCT(Input_!D$406:D$410,Input_!D$145:D$149))*Input_!D291</f>
        <v>0</v>
      </c>
      <c r="E47" s="38">
        <f>(SUM(Input_!E$404:E$405)+SUMPRODUCT(Input_!E$406:E$410,Input_!E$145:E$149))*Input_!E291</f>
        <v>0</v>
      </c>
      <c r="F47" s="38">
        <f>(SUM(Input_!F$404:F$405)+SUMPRODUCT(Input_!F$406:F$410,Input_!F$145:F$149))*Input_!F291</f>
        <v>0</v>
      </c>
      <c r="G47" s="38">
        <f>(SUM(Input_!G$404:G$405)+SUMPRODUCT(Input_!G$406:G$410,Input_!G$145:G$149))*Input_!G291</f>
        <v>0</v>
      </c>
    </row>
    <row r="48" spans="2:7" ht="14.4" customHeight="1" x14ac:dyDescent="0.3">
      <c r="B48" s="36" t="s">
        <v>100</v>
      </c>
      <c r="C48" s="3" t="s">
        <v>220</v>
      </c>
      <c r="D48" s="38">
        <f>(SUM(Input_!D$404:D$405)+SUMPRODUCT(Input_!D$406:D$410,Input_!D$145:D$149))*Input_!D292</f>
        <v>9147753.9905232135</v>
      </c>
      <c r="E48" s="38">
        <f>(SUM(Input_!E$404:E$405)+SUMPRODUCT(Input_!E$406:E$410,Input_!E$145:E$149))*Input_!E292</f>
        <v>9078050.557789525</v>
      </c>
      <c r="F48" s="38">
        <f>(SUM(Input_!F$404:F$405)+SUMPRODUCT(Input_!F$406:F$410,Input_!F$145:F$149))*Input_!F292</f>
        <v>9078050.557789525</v>
      </c>
      <c r="G48" s="38">
        <f>(SUM(Input_!G$404:G$405)+SUMPRODUCT(Input_!G$406:G$410,Input_!G$145:G$149))*Input_!G292</f>
        <v>9078050.557789525</v>
      </c>
    </row>
    <row r="49" spans="2:7" ht="14.4" customHeight="1" x14ac:dyDescent="0.3">
      <c r="B49" s="36" t="s">
        <v>102</v>
      </c>
      <c r="C49" s="3" t="s">
        <v>220</v>
      </c>
      <c r="D49" s="38">
        <f>(SUM(Input_!D$404:D$405)+SUMPRODUCT(Input_!D$406:D$410,Input_!D$145:D$149))*Input_!D293</f>
        <v>0</v>
      </c>
      <c r="E49" s="38">
        <f>(SUM(Input_!E$404:E$405)+SUMPRODUCT(Input_!E$406:E$410,Input_!E$145:E$149))*Input_!E293</f>
        <v>0</v>
      </c>
      <c r="F49" s="38">
        <f>(SUM(Input_!F$404:F$405)+SUMPRODUCT(Input_!F$406:F$410,Input_!F$145:F$149))*Input_!F293</f>
        <v>0</v>
      </c>
      <c r="G49" s="38">
        <f>(SUM(Input_!G$404:G$405)+SUMPRODUCT(Input_!G$406:G$410,Input_!G$145:G$149))*Input_!G293</f>
        <v>0</v>
      </c>
    </row>
    <row r="50" spans="2:7" ht="14.4" customHeight="1" x14ac:dyDescent="0.3">
      <c r="B50" s="36" t="s">
        <v>103</v>
      </c>
      <c r="C50" s="3" t="s">
        <v>220</v>
      </c>
      <c r="D50" s="38">
        <f>(SUM(Input_!D$404:D$405)+SUMPRODUCT(Input_!D$406:D$410,Input_!D$145:D$149))*Input_!D294</f>
        <v>33600536.835732296</v>
      </c>
      <c r="E50" s="38">
        <f>(SUM(Input_!E$404:E$405)+SUMPRODUCT(Input_!E$406:E$410,Input_!E$145:E$149))*Input_!E294</f>
        <v>33344509.75394024</v>
      </c>
      <c r="F50" s="38">
        <f>(SUM(Input_!F$404:F$405)+SUMPRODUCT(Input_!F$406:F$410,Input_!F$145:F$149))*Input_!F294</f>
        <v>33344509.75394024</v>
      </c>
      <c r="G50" s="38">
        <f>(SUM(Input_!G$404:G$405)+SUMPRODUCT(Input_!G$406:G$410,Input_!G$145:G$149))*Input_!G294</f>
        <v>33344509.75394024</v>
      </c>
    </row>
    <row r="51" spans="2:7" ht="14.4" customHeight="1" x14ac:dyDescent="0.3">
      <c r="B51" s="36" t="s">
        <v>105</v>
      </c>
      <c r="C51" s="3" t="s">
        <v>220</v>
      </c>
      <c r="D51" s="38">
        <f>(SUM(Input_!D$404:D$405)+SUMPRODUCT(Input_!D$406:D$410,Input_!D$145:D$149))*Input_!D295</f>
        <v>1204905.8483095798</v>
      </c>
      <c r="E51" s="38">
        <f>(SUM(Input_!E$404:E$405)+SUMPRODUCT(Input_!E$406:E$410,Input_!E$145:E$149))*Input_!E295</f>
        <v>1195724.7888019583</v>
      </c>
      <c r="F51" s="38">
        <f>(SUM(Input_!F$404:F$405)+SUMPRODUCT(Input_!F$406:F$410,Input_!F$145:F$149))*Input_!F295</f>
        <v>1195724.7888019583</v>
      </c>
      <c r="G51" s="38">
        <f>(SUM(Input_!G$404:G$405)+SUMPRODUCT(Input_!G$406:G$410,Input_!G$145:G$149))*Input_!G295</f>
        <v>1195724.7888019583</v>
      </c>
    </row>
    <row r="52" spans="2:7" ht="14.4" customHeight="1" x14ac:dyDescent="0.3">
      <c r="B52" s="36" t="s">
        <v>107</v>
      </c>
      <c r="C52" s="3" t="s">
        <v>220</v>
      </c>
      <c r="D52" s="38">
        <f>(SUM(Input_!D$404:D$405)+SUMPRODUCT(Input_!D$406:D$410,Input_!D$145:D$149))*Input_!D296</f>
        <v>0</v>
      </c>
      <c r="E52" s="38">
        <f>(SUM(Input_!E$404:E$405)+SUMPRODUCT(Input_!E$406:E$410,Input_!E$145:E$149))*Input_!E296</f>
        <v>0</v>
      </c>
      <c r="F52" s="38">
        <f>(SUM(Input_!F$404:F$405)+SUMPRODUCT(Input_!F$406:F$410,Input_!F$145:F$149))*Input_!F296</f>
        <v>0</v>
      </c>
      <c r="G52" s="38">
        <f>(SUM(Input_!G$404:G$405)+SUMPRODUCT(Input_!G$406:G$410,Input_!G$145:G$149))*Input_!G296</f>
        <v>0</v>
      </c>
    </row>
    <row r="53" spans="2:7" ht="14.4" customHeight="1" x14ac:dyDescent="0.3">
      <c r="B53" s="36" t="s">
        <v>108</v>
      </c>
      <c r="C53" s="3" t="s">
        <v>220</v>
      </c>
      <c r="D53" s="38">
        <f>(SUM(Input_!D$404:D$405)+SUMPRODUCT(Input_!D$406:D$410,Input_!D$145:D$149))*Input_!D297</f>
        <v>44555.352789175216</v>
      </c>
      <c r="E53" s="38">
        <f>(SUM(Input_!E$404:E$405)+SUMPRODUCT(Input_!E$406:E$410,Input_!E$145:E$149))*Input_!E297</f>
        <v>44215.852946997191</v>
      </c>
      <c r="F53" s="38">
        <f>(SUM(Input_!F$404:F$405)+SUMPRODUCT(Input_!F$406:F$410,Input_!F$145:F$149))*Input_!F297</f>
        <v>44215.852946997191</v>
      </c>
      <c r="G53" s="38">
        <f>(SUM(Input_!G$404:G$405)+SUMPRODUCT(Input_!G$406:G$410,Input_!G$145:G$149))*Input_!G297</f>
        <v>44215.852946997191</v>
      </c>
    </row>
    <row r="54" spans="2:7" ht="14.4" customHeight="1" x14ac:dyDescent="0.3">
      <c r="B54" s="36" t="s">
        <v>110</v>
      </c>
      <c r="C54" s="3" t="s">
        <v>220</v>
      </c>
      <c r="D54" s="38">
        <f>(SUM(Input_!D$404:D$405)+SUMPRODUCT(Input_!D$406:D$410,Input_!D$145:D$149))*Input_!D298</f>
        <v>1572261.1507719336</v>
      </c>
      <c r="E54" s="38">
        <f>(SUM(Input_!E$404:E$405)+SUMPRODUCT(Input_!E$406:E$410,Input_!E$145:E$149))*Input_!E298</f>
        <v>1560280.9423539811</v>
      </c>
      <c r="F54" s="38">
        <f>(SUM(Input_!F$404:F$405)+SUMPRODUCT(Input_!F$406:F$410,Input_!F$145:F$149))*Input_!F298</f>
        <v>1560280.9423539811</v>
      </c>
      <c r="G54" s="38">
        <f>(SUM(Input_!G$404:G$405)+SUMPRODUCT(Input_!G$406:G$410,Input_!G$145:G$149))*Input_!G298</f>
        <v>1560280.9423539811</v>
      </c>
    </row>
    <row r="55" spans="2:7" ht="14.4" customHeight="1" x14ac:dyDescent="0.3">
      <c r="B55" s="36" t="s">
        <v>112</v>
      </c>
      <c r="C55" s="3" t="s">
        <v>220</v>
      </c>
      <c r="D55" s="38">
        <f>(SUM(Input_!D$404:D$405)+SUMPRODUCT(Input_!D$406:D$410,Input_!D$145:D$149))*Input_!D299</f>
        <v>448079.01833600411</v>
      </c>
      <c r="E55" s="38">
        <f>(SUM(Input_!E$404:E$405)+SUMPRODUCT(Input_!E$406:E$410,Input_!E$145:E$149))*Input_!E299</f>
        <v>444664.77635416714</v>
      </c>
      <c r="F55" s="38">
        <f>(SUM(Input_!F$404:F$405)+SUMPRODUCT(Input_!F$406:F$410,Input_!F$145:F$149))*Input_!F299</f>
        <v>444664.77635416714</v>
      </c>
      <c r="G55" s="38">
        <f>(SUM(Input_!G$404:G$405)+SUMPRODUCT(Input_!G$406:G$410,Input_!G$145:G$149))*Input_!G299</f>
        <v>444664.77635416714</v>
      </c>
    </row>
    <row r="56" spans="2:7" ht="14.4" customHeight="1" x14ac:dyDescent="0.3">
      <c r="B56" s="36" t="s">
        <v>114</v>
      </c>
      <c r="C56" s="3" t="s">
        <v>220</v>
      </c>
      <c r="D56" s="38">
        <f>(SUM(Input_!D$404:D$405)+SUMPRODUCT(Input_!D$406:D$410,Input_!D$145:D$149))*Input_!D300</f>
        <v>0</v>
      </c>
      <c r="E56" s="38">
        <f>(SUM(Input_!E$404:E$405)+SUMPRODUCT(Input_!E$406:E$410,Input_!E$145:E$149))*Input_!E300</f>
        <v>0</v>
      </c>
      <c r="F56" s="38">
        <f>(SUM(Input_!F$404:F$405)+SUMPRODUCT(Input_!F$406:F$410,Input_!F$145:F$149))*Input_!F300</f>
        <v>0</v>
      </c>
      <c r="G56" s="38">
        <f>(SUM(Input_!G$404:G$405)+SUMPRODUCT(Input_!G$406:G$410,Input_!G$145:G$149))*Input_!G300</f>
        <v>0</v>
      </c>
    </row>
    <row r="57" spans="2:7" ht="14.4" customHeight="1" x14ac:dyDescent="0.3">
      <c r="B57" s="36" t="s">
        <v>116</v>
      </c>
      <c r="C57" s="3" t="s">
        <v>220</v>
      </c>
      <c r="D57" s="38">
        <f>(SUM(Input_!D$404:D$405)+SUMPRODUCT(Input_!D$406:D$410,Input_!D$145:D$149))*Input_!D301</f>
        <v>1066785.6897862097</v>
      </c>
      <c r="E57" s="38">
        <f>(SUM(Input_!E$404:E$405)+SUMPRODUCT(Input_!E$406:E$410,Input_!E$145:E$149))*Input_!E301</f>
        <v>1058657.068854087</v>
      </c>
      <c r="F57" s="38">
        <f>(SUM(Input_!F$404:F$405)+SUMPRODUCT(Input_!F$406:F$410,Input_!F$145:F$149))*Input_!F301</f>
        <v>1058657.068854087</v>
      </c>
      <c r="G57" s="38">
        <f>(SUM(Input_!G$404:G$405)+SUMPRODUCT(Input_!G$406:G$410,Input_!G$145:G$149))*Input_!G301</f>
        <v>1058657.068854087</v>
      </c>
    </row>
    <row r="58" spans="2:7" ht="14.4" customHeight="1" x14ac:dyDescent="0.3">
      <c r="B58" s="36" t="s">
        <v>118</v>
      </c>
      <c r="C58" s="3" t="s">
        <v>220</v>
      </c>
      <c r="D58" s="38">
        <f>(SUM(Input_!D$404:D$405)+SUMPRODUCT(Input_!D$406:D$410,Input_!D$145:D$149))*Input_!D302</f>
        <v>0</v>
      </c>
      <c r="E58" s="38">
        <f>(SUM(Input_!E$404:E$405)+SUMPRODUCT(Input_!E$406:E$410,Input_!E$145:E$149))*Input_!E302</f>
        <v>0</v>
      </c>
      <c r="F58" s="38">
        <f>(SUM(Input_!F$404:F$405)+SUMPRODUCT(Input_!F$406:F$410,Input_!F$145:F$149))*Input_!F302</f>
        <v>0</v>
      </c>
      <c r="G58" s="38">
        <f>(SUM(Input_!G$404:G$405)+SUMPRODUCT(Input_!G$406:G$410,Input_!G$145:G$149))*Input_!G302</f>
        <v>0</v>
      </c>
    </row>
    <row r="59" spans="2:7" ht="14.4" customHeight="1" x14ac:dyDescent="0.3">
      <c r="B59" s="36" t="s">
        <v>120</v>
      </c>
      <c r="C59" s="3" t="s">
        <v>220</v>
      </c>
      <c r="D59" s="38">
        <f>(SUM(Input_!D$404:D$405)+SUMPRODUCT(Input_!D$406:D$410,Input_!D$145:D$149))*Input_!D303</f>
        <v>479616.82635951531</v>
      </c>
      <c r="E59" s="38">
        <f>(SUM(Input_!E$404:E$405)+SUMPRODUCT(Input_!E$406:E$410,Input_!E$145:E$149))*Input_!E303</f>
        <v>475962.27473638149</v>
      </c>
      <c r="F59" s="38">
        <f>(SUM(Input_!F$404:F$405)+SUMPRODUCT(Input_!F$406:F$410,Input_!F$145:F$149))*Input_!F303</f>
        <v>475962.27473638149</v>
      </c>
      <c r="G59" s="38">
        <f>(SUM(Input_!G$404:G$405)+SUMPRODUCT(Input_!G$406:G$410,Input_!G$145:G$149))*Input_!G303</f>
        <v>475962.27473638149</v>
      </c>
    </row>
    <row r="60" spans="2:7" ht="14.4" customHeight="1" x14ac:dyDescent="0.3">
      <c r="B60" s="36" t="s">
        <v>122</v>
      </c>
      <c r="C60" s="3" t="s">
        <v>220</v>
      </c>
      <c r="D60" s="38">
        <f>(SUM(Input_!D$404:D$405)+SUMPRODUCT(Input_!D$406:D$410,Input_!D$145:D$149))*Input_!D304</f>
        <v>1364039.7964302399</v>
      </c>
      <c r="E60" s="38">
        <f>(SUM(Input_!E$404:E$405)+SUMPRODUCT(Input_!E$406:E$410,Input_!E$145:E$149))*Input_!E304</f>
        <v>1353646.1789045555</v>
      </c>
      <c r="F60" s="38">
        <f>(SUM(Input_!F$404:F$405)+SUMPRODUCT(Input_!F$406:F$410,Input_!F$145:F$149))*Input_!F304</f>
        <v>1353646.1789045555</v>
      </c>
      <c r="G60" s="38">
        <f>(SUM(Input_!G$404:G$405)+SUMPRODUCT(Input_!G$406:G$410,Input_!G$145:G$149))*Input_!G304</f>
        <v>1353646.1789045555</v>
      </c>
    </row>
    <row r="61" spans="2:7" ht="14.4" customHeight="1" x14ac:dyDescent="0.3">
      <c r="B61" s="36" t="s">
        <v>124</v>
      </c>
      <c r="C61" s="3" t="s">
        <v>220</v>
      </c>
      <c r="D61" s="38">
        <f>(SUM(Input_!D$404:D$405)+SUMPRODUCT(Input_!D$406:D$410,Input_!D$145:D$149))*Input_!D305</f>
        <v>2840252.0738942451</v>
      </c>
      <c r="E61" s="38">
        <f>(SUM(Input_!E$404:E$405)+SUMPRODUCT(Input_!E$406:E$410,Input_!E$145:E$149))*Input_!E305</f>
        <v>2818610.1146128187</v>
      </c>
      <c r="F61" s="38">
        <f>(SUM(Input_!F$404:F$405)+SUMPRODUCT(Input_!F$406:F$410,Input_!F$145:F$149))*Input_!F305</f>
        <v>2818610.1146128187</v>
      </c>
      <c r="G61" s="38">
        <f>(SUM(Input_!G$404:G$405)+SUMPRODUCT(Input_!G$406:G$410,Input_!G$145:G$149))*Input_!G305</f>
        <v>2818610.1146128187</v>
      </c>
    </row>
    <row r="62" spans="2:7" ht="14.4" customHeight="1" x14ac:dyDescent="0.3">
      <c r="B62" s="36" t="s">
        <v>126</v>
      </c>
      <c r="C62" s="3" t="s">
        <v>220</v>
      </c>
      <c r="D62" s="38">
        <f>(SUM(Input_!D$404:D$405)+SUMPRODUCT(Input_!D$406:D$410,Input_!D$145:D$149))*Input_!D306</f>
        <v>730122.45122726576</v>
      </c>
      <c r="E62" s="38">
        <f>(SUM(Input_!E$404:E$405)+SUMPRODUCT(Input_!E$406:E$410,Input_!E$145:E$149))*Input_!E306</f>
        <v>724559.11390761356</v>
      </c>
      <c r="F62" s="38">
        <f>(SUM(Input_!F$404:F$405)+SUMPRODUCT(Input_!F$406:F$410,Input_!F$145:F$149))*Input_!F306</f>
        <v>724559.11390761356</v>
      </c>
      <c r="G62" s="38">
        <f>(SUM(Input_!G$404:G$405)+SUMPRODUCT(Input_!G$406:G$410,Input_!G$145:G$149))*Input_!G306</f>
        <v>724559.11390761356</v>
      </c>
    </row>
    <row r="63" spans="2:7" ht="14.4" customHeight="1" x14ac:dyDescent="0.3">
      <c r="B63" s="36" t="s">
        <v>128</v>
      </c>
      <c r="C63" s="3" t="s">
        <v>220</v>
      </c>
      <c r="D63" s="38">
        <f>(SUM(Input_!D$404:D$405)+SUMPRODUCT(Input_!D$406:D$410,Input_!D$145:D$149))*Input_!D307</f>
        <v>2709487.8996133143</v>
      </c>
      <c r="E63" s="38">
        <f>(SUM(Input_!E$404:E$405)+SUMPRODUCT(Input_!E$406:E$410,Input_!E$145:E$149))*Input_!E307</f>
        <v>2688842.3282797285</v>
      </c>
      <c r="F63" s="38">
        <f>(SUM(Input_!F$404:F$405)+SUMPRODUCT(Input_!F$406:F$410,Input_!F$145:F$149))*Input_!F307</f>
        <v>2688842.3282797285</v>
      </c>
      <c r="G63" s="38">
        <f>(SUM(Input_!G$404:G$405)+SUMPRODUCT(Input_!G$406:G$410,Input_!G$145:G$149))*Input_!G307</f>
        <v>2688842.3282797285</v>
      </c>
    </row>
    <row r="64" spans="2:7" ht="14.4" customHeight="1" x14ac:dyDescent="0.3">
      <c r="B64" s="36" t="s">
        <v>130</v>
      </c>
      <c r="C64" s="3" t="s">
        <v>220</v>
      </c>
      <c r="D64" s="38">
        <f>(SUM(Input_!D$404:D$405)+SUMPRODUCT(Input_!D$406:D$410,Input_!D$145:D$149))*Input_!D308</f>
        <v>2023703.2495639212</v>
      </c>
      <c r="E64" s="38">
        <f>(SUM(Input_!E$404:E$405)+SUMPRODUCT(Input_!E$406:E$410,Input_!E$145:E$149))*Input_!E308</f>
        <v>2008283.1733927585</v>
      </c>
      <c r="F64" s="38">
        <f>(SUM(Input_!F$404:F$405)+SUMPRODUCT(Input_!F$406:F$410,Input_!F$145:F$149))*Input_!F308</f>
        <v>2008283.1733927585</v>
      </c>
      <c r="G64" s="38">
        <f>(SUM(Input_!G$404:G$405)+SUMPRODUCT(Input_!G$406:G$410,Input_!G$145:G$149))*Input_!G308</f>
        <v>2008283.1733927585</v>
      </c>
    </row>
    <row r="65" spans="2:7" ht="14.4" customHeight="1" x14ac:dyDescent="0.3">
      <c r="B65" s="36" t="s">
        <v>131</v>
      </c>
      <c r="C65" s="3" t="s">
        <v>220</v>
      </c>
      <c r="D65" s="38">
        <f>(SUM(Input_!D$404:D$405)+SUMPRODUCT(Input_!D$406:D$410,Input_!D$145:D$149))*Input_!D309</f>
        <v>64356.463389728931</v>
      </c>
      <c r="E65" s="38">
        <f>(SUM(Input_!E$404:E$405)+SUMPRODUCT(Input_!E$406:E$410,Input_!E$145:E$149))*Input_!E309</f>
        <v>63866.08439380148</v>
      </c>
      <c r="F65" s="38">
        <f>(SUM(Input_!F$404:F$405)+SUMPRODUCT(Input_!F$406:F$410,Input_!F$145:F$149))*Input_!F309</f>
        <v>63866.08439380148</v>
      </c>
      <c r="G65" s="38">
        <f>(SUM(Input_!G$404:G$405)+SUMPRODUCT(Input_!G$406:G$410,Input_!G$145:G$149))*Input_!G309</f>
        <v>63866.08439380148</v>
      </c>
    </row>
    <row r="66" spans="2:7" ht="14.4" customHeight="1" x14ac:dyDescent="0.3">
      <c r="B66" s="36" t="s">
        <v>133</v>
      </c>
      <c r="C66" s="3" t="s">
        <v>220</v>
      </c>
      <c r="D66" s="38">
        <f>(SUM(Input_!D$404:D$405)+SUMPRODUCT(Input_!D$406:D$410,Input_!D$145:D$149))*Input_!D310</f>
        <v>2720442.128797119</v>
      </c>
      <c r="E66" s="38">
        <f>(SUM(Input_!E$404:E$405)+SUMPRODUCT(Input_!E$406:E$410,Input_!E$145:E$149))*Input_!E310</f>
        <v>2699713.0891741747</v>
      </c>
      <c r="F66" s="38">
        <f>(SUM(Input_!F$404:F$405)+SUMPRODUCT(Input_!F$406:F$410,Input_!F$145:F$149))*Input_!F310</f>
        <v>2699713.0891741747</v>
      </c>
      <c r="G66" s="38">
        <f>(SUM(Input_!G$404:G$405)+SUMPRODUCT(Input_!G$406:G$410,Input_!G$145:G$149))*Input_!G310</f>
        <v>2699713.0891741747</v>
      </c>
    </row>
    <row r="67" spans="2:7" ht="14.4" customHeight="1" x14ac:dyDescent="0.3">
      <c r="B67" s="36" t="s">
        <v>135</v>
      </c>
      <c r="C67" s="3" t="s">
        <v>220</v>
      </c>
      <c r="D67" s="38">
        <f>(SUM(Input_!D$404:D$405)+SUMPRODUCT(Input_!D$406:D$410,Input_!D$145:D$149))*Input_!D311</f>
        <v>2114136.5515198307</v>
      </c>
      <c r="E67" s="38">
        <f>(SUM(Input_!E$404:E$405)+SUMPRODUCT(Input_!E$406:E$410,Input_!E$145:E$149))*Input_!E311</f>
        <v>2098027.3978345264</v>
      </c>
      <c r="F67" s="38">
        <f>(SUM(Input_!F$404:F$405)+SUMPRODUCT(Input_!F$406:F$410,Input_!F$145:F$149))*Input_!F311</f>
        <v>2098027.3978345264</v>
      </c>
      <c r="G67" s="38">
        <f>(SUM(Input_!G$404:G$405)+SUMPRODUCT(Input_!G$406:G$410,Input_!G$145:G$149))*Input_!G311</f>
        <v>2098027.3978345264</v>
      </c>
    </row>
    <row r="68" spans="2:7" ht="14.4" customHeight="1" x14ac:dyDescent="0.3">
      <c r="B68" s="36" t="s">
        <v>136</v>
      </c>
      <c r="C68" s="3" t="s">
        <v>220</v>
      </c>
      <c r="D68" s="38">
        <f>(SUM(Input_!D$404:D$405)+SUMPRODUCT(Input_!D$406:D$410,Input_!D$145:D$149))*Input_!D312</f>
        <v>3494551.4283780269</v>
      </c>
      <c r="E68" s="38">
        <f>(SUM(Input_!E$404:E$405)+SUMPRODUCT(Input_!E$406:E$410,Input_!E$145:E$149))*Input_!E312</f>
        <v>3467923.883444625</v>
      </c>
      <c r="F68" s="38">
        <f>(SUM(Input_!F$404:F$405)+SUMPRODUCT(Input_!F$406:F$410,Input_!F$145:F$149))*Input_!F312</f>
        <v>3467923.883444625</v>
      </c>
      <c r="G68" s="38">
        <f>(SUM(Input_!G$404:G$405)+SUMPRODUCT(Input_!G$406:G$410,Input_!G$145:G$149))*Input_!G312</f>
        <v>3467923.883444625</v>
      </c>
    </row>
    <row r="69" spans="2:7" ht="14.4" customHeight="1" x14ac:dyDescent="0.3">
      <c r="B69" s="36" t="s">
        <v>138</v>
      </c>
      <c r="C69" s="3" t="s">
        <v>220</v>
      </c>
      <c r="D69" s="38">
        <f>(SUM(Input_!D$404:D$405)+SUMPRODUCT(Input_!D$406:D$410,Input_!D$145:D$149))*Input_!D313</f>
        <v>789106.00953005673</v>
      </c>
      <c r="E69" s="38">
        <f>(SUM(Input_!E$404:E$405)+SUMPRODUCT(Input_!E$406:E$410,Input_!E$145:E$149))*Input_!E313</f>
        <v>783093.23331066896</v>
      </c>
      <c r="F69" s="38">
        <f>(SUM(Input_!F$404:F$405)+SUMPRODUCT(Input_!F$406:F$410,Input_!F$145:F$149))*Input_!F313</f>
        <v>783093.23331066896</v>
      </c>
      <c r="G69" s="38">
        <f>(SUM(Input_!G$404:G$405)+SUMPRODUCT(Input_!G$406:G$410,Input_!G$145:G$149))*Input_!G313</f>
        <v>783093.23331066896</v>
      </c>
    </row>
    <row r="70" spans="2:7" ht="14.4" customHeight="1" x14ac:dyDescent="0.3">
      <c r="B70" s="36" t="s">
        <v>140</v>
      </c>
      <c r="C70" s="3" t="s">
        <v>220</v>
      </c>
      <c r="D70" s="38">
        <f>(SUM(Input_!D$404:D$405)+SUMPRODUCT(Input_!D$406:D$410,Input_!D$145:D$149))*Input_!D314</f>
        <v>1702348.5340581818</v>
      </c>
      <c r="E70" s="38">
        <f>(SUM(Input_!E$404:E$405)+SUMPRODUCT(Input_!E$406:E$410,Input_!E$145:E$149))*Input_!E314</f>
        <v>1689377.0946583087</v>
      </c>
      <c r="F70" s="38">
        <f>(SUM(Input_!F$404:F$405)+SUMPRODUCT(Input_!F$406:F$410,Input_!F$145:F$149))*Input_!F314</f>
        <v>1689377.0946583087</v>
      </c>
      <c r="G70" s="38">
        <f>(SUM(Input_!G$404:G$405)+SUMPRODUCT(Input_!G$406:G$410,Input_!G$145:G$149))*Input_!G314</f>
        <v>1689377.0946583087</v>
      </c>
    </row>
    <row r="71" spans="2:7" ht="14.4" customHeight="1" x14ac:dyDescent="0.3">
      <c r="B71" s="36" t="s">
        <v>142</v>
      </c>
      <c r="C71" s="3" t="s">
        <v>220</v>
      </c>
      <c r="D71" s="38">
        <f>(SUM(Input_!D$404:D$405)+SUMPRODUCT(Input_!D$406:D$410,Input_!D$145:D$149))*Input_!D315</f>
        <v>1490909.8947181541</v>
      </c>
      <c r="E71" s="38">
        <f>(SUM(Input_!E$404:E$405)+SUMPRODUCT(Input_!E$406:E$410,Input_!E$145:E$149))*Input_!E315</f>
        <v>1479549.5610596258</v>
      </c>
      <c r="F71" s="38">
        <f>(SUM(Input_!F$404:F$405)+SUMPRODUCT(Input_!F$406:F$410,Input_!F$145:F$149))*Input_!F315</f>
        <v>1479549.5610596258</v>
      </c>
      <c r="G71" s="38">
        <f>(SUM(Input_!G$404:G$405)+SUMPRODUCT(Input_!G$406:G$410,Input_!G$145:G$149))*Input_!G315</f>
        <v>1479549.5610596258</v>
      </c>
    </row>
    <row r="72" spans="2:7" ht="14.4" customHeight="1" x14ac:dyDescent="0.3">
      <c r="B72" s="36" t="s">
        <v>144</v>
      </c>
      <c r="C72" s="3" t="s">
        <v>220</v>
      </c>
      <c r="D72" s="38">
        <f>(SUM(Input_!D$404:D$405)+SUMPRODUCT(Input_!D$406:D$410,Input_!D$145:D$149))*Input_!D316</f>
        <v>39665984.045407832</v>
      </c>
      <c r="E72" s="38">
        <f>(SUM(Input_!E$404:E$405)+SUMPRODUCT(Input_!E$406:E$410,Input_!E$145:E$149))*Input_!E316</f>
        <v>39363739.88213136</v>
      </c>
      <c r="F72" s="38">
        <f>(SUM(Input_!F$404:F$405)+SUMPRODUCT(Input_!F$406:F$410,Input_!F$145:F$149))*Input_!F316</f>
        <v>39363739.88213136</v>
      </c>
      <c r="G72" s="38">
        <f>(SUM(Input_!G$404:G$405)+SUMPRODUCT(Input_!G$406:G$410,Input_!G$145:G$149))*Input_!G316</f>
        <v>39363739.88213136</v>
      </c>
    </row>
    <row r="73" spans="2:7" ht="14.4" customHeight="1" x14ac:dyDescent="0.3">
      <c r="B73" s="36" t="s">
        <v>146</v>
      </c>
      <c r="C73" s="3" t="s">
        <v>220</v>
      </c>
      <c r="D73" s="38">
        <f>(SUM(Input_!D$404:D$405)+SUMPRODUCT(Input_!D$406:D$410,Input_!D$145:D$149))*Input_!D317</f>
        <v>4875067.0900156731</v>
      </c>
      <c r="E73" s="38">
        <f>(SUM(Input_!E$404:E$405)+SUMPRODUCT(Input_!E$406:E$410,Input_!E$145:E$149))*Input_!E317</f>
        <v>4837920.3858811762</v>
      </c>
      <c r="F73" s="38">
        <f>(SUM(Input_!F$404:F$405)+SUMPRODUCT(Input_!F$406:F$410,Input_!F$145:F$149))*Input_!F317</f>
        <v>4837920.3858811762</v>
      </c>
      <c r="G73" s="38">
        <f>(SUM(Input_!G$404:G$405)+SUMPRODUCT(Input_!G$406:G$410,Input_!G$145:G$149))*Input_!G317</f>
        <v>4837920.3858811762</v>
      </c>
    </row>
    <row r="74" spans="2:7" ht="14.4" customHeight="1" x14ac:dyDescent="0.3">
      <c r="B74" s="36" t="s">
        <v>148</v>
      </c>
      <c r="C74" s="3" t="s">
        <v>220</v>
      </c>
      <c r="D74" s="38">
        <f>(SUM(Input_!D$404:D$405)+SUMPRODUCT(Input_!D$406:D$410,Input_!D$145:D$149))*Input_!D318</f>
        <v>4153345.9797238368</v>
      </c>
      <c r="E74" s="38">
        <f>(SUM(Input_!E$404:E$405)+SUMPRODUCT(Input_!E$406:E$410,Input_!E$145:E$149))*Input_!E318</f>
        <v>4121698.5969436122</v>
      </c>
      <c r="F74" s="38">
        <f>(SUM(Input_!F$404:F$405)+SUMPRODUCT(Input_!F$406:F$410,Input_!F$145:F$149))*Input_!F318</f>
        <v>4121698.5969436122</v>
      </c>
      <c r="G74" s="38">
        <f>(SUM(Input_!G$404:G$405)+SUMPRODUCT(Input_!G$406:G$410,Input_!G$145:G$149))*Input_!G318</f>
        <v>4121698.5969436122</v>
      </c>
    </row>
    <row r="75" spans="2:7" ht="14.4" customHeight="1" x14ac:dyDescent="0.3">
      <c r="B75" s="36" t="s">
        <v>150</v>
      </c>
      <c r="C75" s="3" t="s">
        <v>220</v>
      </c>
      <c r="D75" s="38">
        <f>(SUM(Input_!D$404:D$405)+SUMPRODUCT(Input_!D$406:D$410,Input_!D$145:D$149))*Input_!D319</f>
        <v>11686452.785676606</v>
      </c>
      <c r="E75" s="38">
        <f>(SUM(Input_!E$404:E$405)+SUMPRODUCT(Input_!E$406:E$410,Input_!E$145:E$149))*Input_!E319</f>
        <v>11597405.148793746</v>
      </c>
      <c r="F75" s="38">
        <f>(SUM(Input_!F$404:F$405)+SUMPRODUCT(Input_!F$406:F$410,Input_!F$145:F$149))*Input_!F319</f>
        <v>11597405.148793746</v>
      </c>
      <c r="G75" s="38">
        <f>(SUM(Input_!G$404:G$405)+SUMPRODUCT(Input_!G$406:G$410,Input_!G$145:G$149))*Input_!G319</f>
        <v>11597405.148793746</v>
      </c>
    </row>
    <row r="76" spans="2:7" ht="14.4" customHeight="1" x14ac:dyDescent="0.3">
      <c r="B76" s="36" t="s">
        <v>152</v>
      </c>
      <c r="C76" s="3" t="s">
        <v>220</v>
      </c>
      <c r="D76" s="38">
        <f>(SUM(Input_!D$404:D$405)+SUMPRODUCT(Input_!D$406:D$410,Input_!D$145:D$149))*Input_!D320</f>
        <v>8126886.6942812502</v>
      </c>
      <c r="E76" s="38">
        <f>(SUM(Input_!E$404:E$405)+SUMPRODUCT(Input_!E$406:E$410,Input_!E$145:E$149))*Input_!E320</f>
        <v>8064961.9966324084</v>
      </c>
      <c r="F76" s="38">
        <f>(SUM(Input_!F$404:F$405)+SUMPRODUCT(Input_!F$406:F$410,Input_!F$145:F$149))*Input_!F320</f>
        <v>8064961.9966324084</v>
      </c>
      <c r="G76" s="38">
        <f>(SUM(Input_!G$404:G$405)+SUMPRODUCT(Input_!G$406:G$410,Input_!G$145:G$149))*Input_!G320</f>
        <v>8064961.9966324084</v>
      </c>
    </row>
    <row r="77" spans="2:7" ht="14.4" customHeight="1" x14ac:dyDescent="0.3">
      <c r="B77" s="36" t="s">
        <v>154</v>
      </c>
      <c r="C77" s="3" t="s">
        <v>220</v>
      </c>
      <c r="D77" s="38">
        <f>(SUM(Input_!D$404:D$405)+SUMPRODUCT(Input_!D$406:D$410,Input_!D$145:D$149))*Input_!D321</f>
        <v>7472549.5047346326</v>
      </c>
      <c r="E77" s="38">
        <f>(SUM(Input_!E$404:E$405)+SUMPRODUCT(Input_!E$406:E$410,Input_!E$145:E$149))*Input_!E321</f>
        <v>7415610.6810307996</v>
      </c>
      <c r="F77" s="38">
        <f>(SUM(Input_!F$404:F$405)+SUMPRODUCT(Input_!F$406:F$410,Input_!F$145:F$149))*Input_!F321</f>
        <v>7415610.6810307996</v>
      </c>
      <c r="G77" s="38">
        <f>(SUM(Input_!G$404:G$405)+SUMPRODUCT(Input_!G$406:G$410,Input_!G$145:G$149))*Input_!G321</f>
        <v>7415610.6810307996</v>
      </c>
    </row>
    <row r="78" spans="2:7" ht="14.4" customHeight="1" x14ac:dyDescent="0.3">
      <c r="B78" s="36" t="s">
        <v>156</v>
      </c>
      <c r="C78" s="3" t="s">
        <v>220</v>
      </c>
      <c r="D78" s="38">
        <f>(SUM(Input_!D$404:D$405)+SUMPRODUCT(Input_!D$406:D$410,Input_!D$145:D$149))*Input_!D322</f>
        <v>937467.72816572292</v>
      </c>
      <c r="E78" s="38">
        <f>(SUM(Input_!E$404:E$405)+SUMPRODUCT(Input_!E$406:E$410,Input_!E$145:E$149))*Input_!E322</f>
        <v>930324.47542872338</v>
      </c>
      <c r="F78" s="38">
        <f>(SUM(Input_!F$404:F$405)+SUMPRODUCT(Input_!F$406:F$410,Input_!F$145:F$149))*Input_!F322</f>
        <v>930324.47542872338</v>
      </c>
      <c r="G78" s="38">
        <f>(SUM(Input_!G$404:G$405)+SUMPRODUCT(Input_!G$406:G$410,Input_!G$145:G$149))*Input_!G322</f>
        <v>930324.47542872338</v>
      </c>
    </row>
    <row r="79" spans="2:7" ht="14.4" customHeight="1" x14ac:dyDescent="0.3">
      <c r="B79" s="36" t="s">
        <v>158</v>
      </c>
      <c r="C79" s="3" t="s">
        <v>220</v>
      </c>
      <c r="D79" s="38">
        <f>(SUM(Input_!D$404:D$405)+SUMPRODUCT(Input_!D$406:D$410,Input_!D$145:D$149))*Input_!D323</f>
        <v>4007674.4645214905</v>
      </c>
      <c r="E79" s="38">
        <f>(SUM(Input_!E$404:E$405)+SUMPRODUCT(Input_!E$406:E$410,Input_!E$145:E$149))*Input_!E323</f>
        <v>3977137.0596300066</v>
      </c>
      <c r="F79" s="38">
        <f>(SUM(Input_!F$404:F$405)+SUMPRODUCT(Input_!F$406:F$410,Input_!F$145:F$149))*Input_!F323</f>
        <v>3977137.0596300066</v>
      </c>
      <c r="G79" s="38">
        <f>(SUM(Input_!G$404:G$405)+SUMPRODUCT(Input_!G$406:G$410,Input_!G$145:G$149))*Input_!G323</f>
        <v>3977137.0596300066</v>
      </c>
    </row>
    <row r="80" spans="2:7" ht="14.4" customHeight="1" x14ac:dyDescent="0.3">
      <c r="B80" s="36" t="s">
        <v>160</v>
      </c>
      <c r="C80" s="3" t="s">
        <v>220</v>
      </c>
      <c r="D80" s="38">
        <f>(SUM(Input_!D$404:D$405)+SUMPRODUCT(Input_!D$406:D$410,Input_!D$145:D$149))*Input_!D324</f>
        <v>5381390.5782718407</v>
      </c>
      <c r="E80" s="38">
        <f>(SUM(Input_!E$404:E$405)+SUMPRODUCT(Input_!E$406:E$410,Input_!E$145:E$149))*Input_!E324</f>
        <v>5340385.824911085</v>
      </c>
      <c r="F80" s="38">
        <f>(SUM(Input_!F$404:F$405)+SUMPRODUCT(Input_!F$406:F$410,Input_!F$145:F$149))*Input_!F324</f>
        <v>5340385.824911085</v>
      </c>
      <c r="G80" s="38">
        <f>(SUM(Input_!G$404:G$405)+SUMPRODUCT(Input_!G$406:G$410,Input_!G$145:G$149))*Input_!G324</f>
        <v>5340385.824911085</v>
      </c>
    </row>
    <row r="81" spans="2:7" ht="14.4" customHeight="1" x14ac:dyDescent="0.3">
      <c r="B81" s="36" t="s">
        <v>162</v>
      </c>
      <c r="C81" s="3" t="s">
        <v>220</v>
      </c>
      <c r="D81" s="38">
        <f>(SUM(Input_!D$404:D$405)+SUMPRODUCT(Input_!D$406:D$410,Input_!D$145:D$149))*Input_!D325</f>
        <v>56850.117388952385</v>
      </c>
      <c r="E81" s="38">
        <f>(SUM(Input_!E$404:E$405)+SUMPRODUCT(Input_!E$406:E$410,Input_!E$145:E$149))*Input_!E325</f>
        <v>56416.934736967174</v>
      </c>
      <c r="F81" s="38">
        <f>(SUM(Input_!F$404:F$405)+SUMPRODUCT(Input_!F$406:F$410,Input_!F$145:F$149))*Input_!F325</f>
        <v>56416.934736967174</v>
      </c>
      <c r="G81" s="38">
        <f>(SUM(Input_!G$404:G$405)+SUMPRODUCT(Input_!G$406:G$410,Input_!G$145:G$149))*Input_!G325</f>
        <v>56416.934736967174</v>
      </c>
    </row>
    <row r="82" spans="2:7" ht="14.4" customHeight="1" x14ac:dyDescent="0.3">
      <c r="B82" s="36" t="s">
        <v>164</v>
      </c>
      <c r="C82" s="3" t="s">
        <v>220</v>
      </c>
      <c r="D82" s="38">
        <f>(SUM(Input_!D$404:D$405)+SUMPRODUCT(Input_!D$406:D$410,Input_!D$145:D$149))*Input_!D326</f>
        <v>192690.38721216487</v>
      </c>
      <c r="E82" s="38">
        <f>(SUM(Input_!E$404:E$405)+SUMPRODUCT(Input_!E$406:E$410,Input_!E$145:E$149))*Input_!E326</f>
        <v>191222.13812529767</v>
      </c>
      <c r="F82" s="38">
        <f>(SUM(Input_!F$404:F$405)+SUMPRODUCT(Input_!F$406:F$410,Input_!F$145:F$149))*Input_!F326</f>
        <v>191222.13812529767</v>
      </c>
      <c r="G82" s="38">
        <f>(SUM(Input_!G$404:G$405)+SUMPRODUCT(Input_!G$406:G$410,Input_!G$145:G$149))*Input_!G326</f>
        <v>191222.13812529767</v>
      </c>
    </row>
    <row r="83" spans="2:7" ht="14.4" customHeight="1" x14ac:dyDescent="0.3">
      <c r="B83" s="36" t="s">
        <v>166</v>
      </c>
      <c r="C83" s="3" t="s">
        <v>220</v>
      </c>
      <c r="D83" s="38">
        <f>(SUM(Input_!D$404:D$405)+SUMPRODUCT(Input_!D$406:D$410,Input_!D$145:D$149))*Input_!D327</f>
        <v>173274.80285532883</v>
      </c>
      <c r="E83" s="38">
        <f>(SUM(Input_!E$404:E$405)+SUMPRODUCT(Input_!E$406:E$410,Input_!E$145:E$149))*Input_!E327</f>
        <v>171954.4953156003</v>
      </c>
      <c r="F83" s="38">
        <f>(SUM(Input_!F$404:F$405)+SUMPRODUCT(Input_!F$406:F$410,Input_!F$145:F$149))*Input_!F327</f>
        <v>171954.4953156003</v>
      </c>
      <c r="G83" s="38">
        <f>(SUM(Input_!G$404:G$405)+SUMPRODUCT(Input_!G$406:G$410,Input_!G$145:G$149))*Input_!G327</f>
        <v>171954.4953156003</v>
      </c>
    </row>
    <row r="84" spans="2:7" ht="14.4" customHeight="1" x14ac:dyDescent="0.3">
      <c r="B84" s="36" t="s">
        <v>168</v>
      </c>
      <c r="C84" s="3" t="s">
        <v>220</v>
      </c>
      <c r="D84" s="38">
        <f>(SUM(Input_!D$404:D$405)+SUMPRODUCT(Input_!D$406:D$410,Input_!D$145:D$149))*Input_!D328</f>
        <v>60588.286829940473</v>
      </c>
      <c r="E84" s="38">
        <f>(SUM(Input_!E$404:E$405)+SUMPRODUCT(Input_!E$406:E$410,Input_!E$145:E$149))*Input_!E328</f>
        <v>60126.620329084057</v>
      </c>
      <c r="F84" s="38">
        <f>(SUM(Input_!F$404:F$405)+SUMPRODUCT(Input_!F$406:F$410,Input_!F$145:F$149))*Input_!F328</f>
        <v>60126.620329084057</v>
      </c>
      <c r="G84" s="38">
        <f>(SUM(Input_!G$404:G$405)+SUMPRODUCT(Input_!G$406:G$410,Input_!G$145:G$149))*Input_!G328</f>
        <v>60126.620329084057</v>
      </c>
    </row>
    <row r="85" spans="2:7" ht="14.4" customHeight="1" x14ac:dyDescent="0.3">
      <c r="B85" s="36" t="s">
        <v>170</v>
      </c>
      <c r="C85" s="3" t="s">
        <v>220</v>
      </c>
      <c r="D85" s="38">
        <f>(SUM(Input_!D$404:D$405)+SUMPRODUCT(Input_!D$406:D$410,Input_!D$145:D$149))*Input_!D329</f>
        <v>214127.53811600766</v>
      </c>
      <c r="E85" s="38">
        <f>(SUM(Input_!E$404:E$405)+SUMPRODUCT(Input_!E$406:E$410,Input_!E$145:E$149))*Input_!E329</f>
        <v>212495.94368693122</v>
      </c>
      <c r="F85" s="38">
        <f>(SUM(Input_!F$404:F$405)+SUMPRODUCT(Input_!F$406:F$410,Input_!F$145:F$149))*Input_!F329</f>
        <v>212495.94368693122</v>
      </c>
      <c r="G85" s="38">
        <f>(SUM(Input_!G$404:G$405)+SUMPRODUCT(Input_!G$406:G$410,Input_!G$145:G$149))*Input_!G329</f>
        <v>212495.94368693122</v>
      </c>
    </row>
    <row r="86" spans="2:7" ht="14.4" customHeight="1" x14ac:dyDescent="0.3">
      <c r="B86" s="36" t="s">
        <v>172</v>
      </c>
      <c r="C86" s="3" t="s">
        <v>220</v>
      </c>
      <c r="D86" s="38">
        <f>(SUM(Input_!D$404:D$405)+SUMPRODUCT(Input_!D$406:D$410,Input_!D$145:D$149))*Input_!D330</f>
        <v>30985631.700742044</v>
      </c>
      <c r="E86" s="38">
        <f>(SUM(Input_!E$404:E$405)+SUMPRODUCT(Input_!E$406:E$410,Input_!E$145:E$149))*Input_!E330</f>
        <v>30749529.49497645</v>
      </c>
      <c r="F86" s="38">
        <f>(SUM(Input_!F$404:F$405)+SUMPRODUCT(Input_!F$406:F$410,Input_!F$145:F$149))*Input_!F330</f>
        <v>30749529.49497645</v>
      </c>
      <c r="G86" s="38">
        <f>(SUM(Input_!G$404:G$405)+SUMPRODUCT(Input_!G$406:G$410,Input_!G$145:G$149))*Input_!G330</f>
        <v>30749529.49497645</v>
      </c>
    </row>
    <row r="87" spans="2:7" ht="14.4" customHeight="1" x14ac:dyDescent="0.3">
      <c r="B87" s="36" t="s">
        <v>174</v>
      </c>
      <c r="C87" s="3" t="s">
        <v>220</v>
      </c>
      <c r="D87" s="38">
        <f>(SUM(Input_!D$404:D$405)+SUMPRODUCT(Input_!D$406:D$410,Input_!D$145:D$149))*Input_!D331</f>
        <v>490511.69363438879</v>
      </c>
      <c r="E87" s="38">
        <f>(SUM(Input_!E$404:E$405)+SUMPRODUCT(Input_!E$406:E$410,Input_!E$145:E$149))*Input_!E331</f>
        <v>486774.1260437264</v>
      </c>
      <c r="F87" s="38">
        <f>(SUM(Input_!F$404:F$405)+SUMPRODUCT(Input_!F$406:F$410,Input_!F$145:F$149))*Input_!F331</f>
        <v>486774.1260437264</v>
      </c>
      <c r="G87" s="38">
        <f>(SUM(Input_!G$404:G$405)+SUMPRODUCT(Input_!G$406:G$410,Input_!G$145:G$149))*Input_!G331</f>
        <v>486774.1260437264</v>
      </c>
    </row>
    <row r="88" spans="2:7" ht="14.4" customHeight="1" x14ac:dyDescent="0.3">
      <c r="B88" s="36" t="s">
        <v>176</v>
      </c>
      <c r="C88" s="3" t="s">
        <v>220</v>
      </c>
      <c r="D88" s="38">
        <f>(SUM(Input_!D$404:D$405)+SUMPRODUCT(Input_!D$406:D$410,Input_!D$145:D$149))*Input_!D332</f>
        <v>2650342.237636135</v>
      </c>
      <c r="E88" s="38">
        <f>(SUM(Input_!E$404:E$405)+SUMPRODUCT(Input_!E$406:E$410,Input_!E$145:E$149))*Input_!E332</f>
        <v>2630147.3403888205</v>
      </c>
      <c r="F88" s="38">
        <f>(SUM(Input_!F$404:F$405)+SUMPRODUCT(Input_!F$406:F$410,Input_!F$145:F$149))*Input_!F332</f>
        <v>2630147.3403888205</v>
      </c>
      <c r="G88" s="38">
        <f>(SUM(Input_!G$404:G$405)+SUMPRODUCT(Input_!G$406:G$410,Input_!G$145:G$149))*Input_!G332</f>
        <v>2630147.3403888205</v>
      </c>
    </row>
    <row r="89" spans="2:7" ht="14.4" customHeight="1" x14ac:dyDescent="0.3">
      <c r="B89" s="36" t="s">
        <v>178</v>
      </c>
      <c r="C89" s="3" t="s">
        <v>220</v>
      </c>
      <c r="D89" s="38">
        <f>(SUM(Input_!D$404:D$405)+SUMPRODUCT(Input_!D$406:D$410,Input_!D$145:D$149))*Input_!D333</f>
        <v>527535.58576900885</v>
      </c>
      <c r="E89" s="38">
        <f>(SUM(Input_!E$404:E$405)+SUMPRODUCT(Input_!E$406:E$410,Input_!E$145:E$149))*Input_!E333</f>
        <v>523515.90604703873</v>
      </c>
      <c r="F89" s="38">
        <f>(SUM(Input_!F$404:F$405)+SUMPRODUCT(Input_!F$406:F$410,Input_!F$145:F$149))*Input_!F333</f>
        <v>523515.90604703873</v>
      </c>
      <c r="G89" s="38">
        <f>(SUM(Input_!G$404:G$405)+SUMPRODUCT(Input_!G$406:G$410,Input_!G$145:G$149))*Input_!G333</f>
        <v>523515.90604703873</v>
      </c>
    </row>
    <row r="90" spans="2:7" ht="14.4" customHeight="1" x14ac:dyDescent="0.3">
      <c r="B90" s="36" t="s">
        <v>180</v>
      </c>
      <c r="C90" s="3" t="s">
        <v>220</v>
      </c>
      <c r="D90" s="38">
        <f>(SUM(Input_!D$404:D$405)+SUMPRODUCT(Input_!D$406:D$410,Input_!D$145:D$149))*Input_!D334</f>
        <v>1511297.7749569886</v>
      </c>
      <c r="E90" s="38">
        <f>(SUM(Input_!E$404:E$405)+SUMPRODUCT(Input_!E$406:E$410,Input_!E$145:E$149))*Input_!E334</f>
        <v>1499782.0911173904</v>
      </c>
      <c r="F90" s="38">
        <f>(SUM(Input_!F$404:F$405)+SUMPRODUCT(Input_!F$406:F$410,Input_!F$145:F$149))*Input_!F334</f>
        <v>1499782.0911173904</v>
      </c>
      <c r="G90" s="38">
        <f>(SUM(Input_!G$404:G$405)+SUMPRODUCT(Input_!G$406:G$410,Input_!G$145:G$149))*Input_!G334</f>
        <v>1499782.0911173904</v>
      </c>
    </row>
    <row r="91" spans="2:7" ht="14.4" customHeight="1" x14ac:dyDescent="0.3">
      <c r="B91" s="36" t="s">
        <v>182</v>
      </c>
      <c r="C91" s="3" t="s">
        <v>220</v>
      </c>
      <c r="D91" s="38">
        <f>(SUM(Input_!D$404:D$405)+SUMPRODUCT(Input_!D$406:D$410,Input_!D$145:D$149))*Input_!D335</f>
        <v>460151.99118812644</v>
      </c>
      <c r="E91" s="38">
        <f>(SUM(Input_!E$404:E$405)+SUMPRODUCT(Input_!E$406:E$410,Input_!E$145:E$149))*Input_!E335</f>
        <v>456645.75639013312</v>
      </c>
      <c r="F91" s="38">
        <f>(SUM(Input_!F$404:F$405)+SUMPRODUCT(Input_!F$406:F$410,Input_!F$145:F$149))*Input_!F335</f>
        <v>456645.75639013312</v>
      </c>
      <c r="G91" s="38">
        <f>(SUM(Input_!G$404:G$405)+SUMPRODUCT(Input_!G$406:G$410,Input_!G$145:G$149))*Input_!G335</f>
        <v>456645.75639013312</v>
      </c>
    </row>
    <row r="92" spans="2:7" ht="14.4" customHeight="1" x14ac:dyDescent="0.3">
      <c r="B92" s="36" t="s">
        <v>184</v>
      </c>
      <c r="C92" s="3" t="s">
        <v>220</v>
      </c>
      <c r="D92" s="38">
        <f>(SUM(Input_!D$404:D$405)+SUMPRODUCT(Input_!D$406:D$410,Input_!D$145:D$149))*Input_!D336</f>
        <v>1747372.2588321103</v>
      </c>
      <c r="E92" s="38">
        <f>(SUM(Input_!E$404:E$405)+SUMPRODUCT(Input_!E$406:E$410,Input_!E$145:E$149))*Input_!E336</f>
        <v>1734057.7507211145</v>
      </c>
      <c r="F92" s="38">
        <f>(SUM(Input_!F$404:F$405)+SUMPRODUCT(Input_!F$406:F$410,Input_!F$145:F$149))*Input_!F336</f>
        <v>1734057.7507211145</v>
      </c>
      <c r="G92" s="38">
        <f>(SUM(Input_!G$404:G$405)+SUMPRODUCT(Input_!G$406:G$410,Input_!G$145:G$149))*Input_!G336</f>
        <v>1734057.7507211145</v>
      </c>
    </row>
    <row r="93" spans="2:7" ht="14.4" customHeight="1" x14ac:dyDescent="0.3">
      <c r="B93" s="36" t="s">
        <v>186</v>
      </c>
      <c r="C93" s="3" t="s">
        <v>220</v>
      </c>
      <c r="D93" s="38">
        <f>(SUM(Input_!D$404:D$405)+SUMPRODUCT(Input_!D$406:D$410,Input_!D$145:D$149))*Input_!D337</f>
        <v>270847.51593538024</v>
      </c>
      <c r="E93" s="38">
        <f>(SUM(Input_!E$404:E$405)+SUMPRODUCT(Input_!E$406:E$410,Input_!E$145:E$149))*Input_!E337</f>
        <v>268783.73048294609</v>
      </c>
      <c r="F93" s="38">
        <f>(SUM(Input_!F$404:F$405)+SUMPRODUCT(Input_!F$406:F$410,Input_!F$145:F$149))*Input_!F337</f>
        <v>268783.73048294609</v>
      </c>
      <c r="G93" s="38">
        <f>(SUM(Input_!G$404:G$405)+SUMPRODUCT(Input_!G$406:G$410,Input_!G$145:G$149))*Input_!G337</f>
        <v>268783.73048294609</v>
      </c>
    </row>
    <row r="94" spans="2:7" ht="14.4" customHeight="1" x14ac:dyDescent="0.3">
      <c r="B94" s="36" t="s">
        <v>188</v>
      </c>
      <c r="C94" s="3" t="s">
        <v>220</v>
      </c>
      <c r="D94" s="38">
        <f>(SUM(Input_!D$404:D$405)+SUMPRODUCT(Input_!D$406:D$410,Input_!D$145:D$149))*Input_!D338</f>
        <v>75394.516807573702</v>
      </c>
      <c r="E94" s="38">
        <f>(SUM(Input_!E$404:E$405)+SUMPRODUCT(Input_!E$406:E$410,Input_!E$145:E$149))*Input_!E338</f>
        <v>74820.030804098977</v>
      </c>
      <c r="F94" s="38">
        <f>(SUM(Input_!F$404:F$405)+SUMPRODUCT(Input_!F$406:F$410,Input_!F$145:F$149))*Input_!F338</f>
        <v>74820.030804098977</v>
      </c>
      <c r="G94" s="38">
        <f>(SUM(Input_!G$404:G$405)+SUMPRODUCT(Input_!G$406:G$410,Input_!G$145:G$149))*Input_!G338</f>
        <v>74820.030804098977</v>
      </c>
    </row>
    <row r="95" spans="2:7" ht="14.4" customHeight="1" x14ac:dyDescent="0.3">
      <c r="B95" s="36" t="s">
        <v>190</v>
      </c>
      <c r="C95" s="3" t="s">
        <v>220</v>
      </c>
      <c r="D95" s="38">
        <f>(SUM(Input_!D$404:D$405)+SUMPRODUCT(Input_!D$406:D$410,Input_!D$145:D$149))*Input_!D339</f>
        <v>418662.90931027912</v>
      </c>
      <c r="E95" s="38">
        <f>(SUM(Input_!E$404:E$405)+SUMPRODUCT(Input_!E$406:E$410,Input_!E$145:E$149))*Input_!E339</f>
        <v>415472.81019224081</v>
      </c>
      <c r="F95" s="38">
        <f>(SUM(Input_!F$404:F$405)+SUMPRODUCT(Input_!F$406:F$410,Input_!F$145:F$149))*Input_!F339</f>
        <v>415472.81019224081</v>
      </c>
      <c r="G95" s="38">
        <f>(SUM(Input_!G$404:G$405)+SUMPRODUCT(Input_!G$406:G$410,Input_!G$145:G$149))*Input_!G339</f>
        <v>415472.81019224081</v>
      </c>
    </row>
    <row r="96" spans="2:7" ht="14.4" customHeight="1" x14ac:dyDescent="0.3">
      <c r="B96" s="36" t="s">
        <v>192</v>
      </c>
      <c r="C96" s="3" t="s">
        <v>220</v>
      </c>
      <c r="D96" s="38">
        <f>(SUM(Input_!D$404:D$405)+SUMPRODUCT(Input_!D$406:D$410,Input_!D$145:D$149))*Input_!D340</f>
        <v>426568.48045683431</v>
      </c>
      <c r="E96" s="38">
        <f>(SUM(Input_!E$404:E$405)+SUMPRODUCT(Input_!E$406:E$410,Input_!E$145:E$149))*Input_!E340</f>
        <v>423318.14300628228</v>
      </c>
      <c r="F96" s="38">
        <f>(SUM(Input_!F$404:F$405)+SUMPRODUCT(Input_!F$406:F$410,Input_!F$145:F$149))*Input_!F340</f>
        <v>423318.14300628228</v>
      </c>
      <c r="G96" s="38">
        <f>(SUM(Input_!G$404:G$405)+SUMPRODUCT(Input_!G$406:G$410,Input_!G$145:G$149))*Input_!G340</f>
        <v>423318.14300628228</v>
      </c>
    </row>
    <row r="97" spans="2:7" ht="14.4" customHeight="1" x14ac:dyDescent="0.3">
      <c r="B97" s="36" t="s">
        <v>194</v>
      </c>
      <c r="C97" s="3" t="s">
        <v>220</v>
      </c>
      <c r="D97" s="38">
        <f>(SUM(Input_!D$404:D$405)+SUMPRODUCT(Input_!D$406:D$410,Input_!D$145:D$149))*Input_!D341</f>
        <v>294466.70623894472</v>
      </c>
      <c r="E97" s="38">
        <f>(SUM(Input_!E$404:E$405)+SUMPRODUCT(Input_!E$406:E$410,Input_!E$145:E$149))*Input_!E341</f>
        <v>292222.94888911868</v>
      </c>
      <c r="F97" s="38">
        <f>(SUM(Input_!F$404:F$405)+SUMPRODUCT(Input_!F$406:F$410,Input_!F$145:F$149))*Input_!F341</f>
        <v>292222.94888911868</v>
      </c>
      <c r="G97" s="38">
        <f>(SUM(Input_!G$404:G$405)+SUMPRODUCT(Input_!G$406:G$410,Input_!G$145:G$149))*Input_!G341</f>
        <v>292222.94888911868</v>
      </c>
    </row>
    <row r="98" spans="2:7" ht="14.4" customHeight="1" x14ac:dyDescent="0.3">
      <c r="B98" s="36" t="s">
        <v>196</v>
      </c>
      <c r="C98" s="3" t="s">
        <v>220</v>
      </c>
      <c r="D98" s="38">
        <f>(SUM(Input_!D$404:D$405)+SUMPRODUCT(Input_!D$406:D$410,Input_!D$145:D$149))*Input_!D342</f>
        <v>174115.00218173882</v>
      </c>
      <c r="E98" s="38">
        <f>(SUM(Input_!E$404:E$405)+SUMPRODUCT(Input_!E$406:E$410,Input_!E$145:E$149))*Input_!E342</f>
        <v>172788.29254841528</v>
      </c>
      <c r="F98" s="38">
        <f>(SUM(Input_!F$404:F$405)+SUMPRODUCT(Input_!F$406:F$410,Input_!F$145:F$149))*Input_!F342</f>
        <v>172788.29254841528</v>
      </c>
      <c r="G98" s="38">
        <f>(SUM(Input_!G$404:G$405)+SUMPRODUCT(Input_!G$406:G$410,Input_!G$145:G$149))*Input_!G342</f>
        <v>172788.29254841528</v>
      </c>
    </row>
    <row r="99" spans="2:7" ht="14.4" customHeight="1" x14ac:dyDescent="0.3">
      <c r="B99" s="36" t="s">
        <v>198</v>
      </c>
      <c r="C99" s="3" t="s">
        <v>220</v>
      </c>
      <c r="D99" s="38">
        <f>(SUM(Input_!D$404:D$405)+SUMPRODUCT(Input_!D$406:D$410,Input_!D$145:D$149))*Input_!D343</f>
        <v>211724.6854616355</v>
      </c>
      <c r="E99" s="38">
        <f>(SUM(Input_!E$404:E$405)+SUMPRODUCT(Input_!E$406:E$410,Input_!E$145:E$149))*Input_!E343</f>
        <v>210111.40012553823</v>
      </c>
      <c r="F99" s="38">
        <f>(SUM(Input_!F$404:F$405)+SUMPRODUCT(Input_!F$406:F$410,Input_!F$145:F$149))*Input_!F343</f>
        <v>210111.40012553823</v>
      </c>
      <c r="G99" s="38">
        <f>(SUM(Input_!G$404:G$405)+SUMPRODUCT(Input_!G$406:G$410,Input_!G$145:G$149))*Input_!G343</f>
        <v>210111.40012553823</v>
      </c>
    </row>
    <row r="100" spans="2:7" ht="14.4" customHeight="1" x14ac:dyDescent="0.3">
      <c r="B100" s="36" t="s">
        <v>200</v>
      </c>
      <c r="C100" s="3" t="s">
        <v>220</v>
      </c>
      <c r="D100" s="38">
        <f>(SUM(Input_!D$404:D$405)+SUMPRODUCT(Input_!D$406:D$410,Input_!D$145:D$149))*Input_!D344</f>
        <v>698233.36421518959</v>
      </c>
      <c r="E100" s="38">
        <f>(SUM(Input_!E$404:E$405)+SUMPRODUCT(Input_!E$406:E$410,Input_!E$145:E$149))*Input_!E344</f>
        <v>692913.01318854303</v>
      </c>
      <c r="F100" s="38">
        <f>(SUM(Input_!F$404:F$405)+SUMPRODUCT(Input_!F$406:F$410,Input_!F$145:F$149))*Input_!F344</f>
        <v>692913.01318854303</v>
      </c>
      <c r="G100" s="38">
        <f>(SUM(Input_!G$404:G$405)+SUMPRODUCT(Input_!G$406:G$410,Input_!G$145:G$149))*Input_!G344</f>
        <v>692913.01318854303</v>
      </c>
    </row>
    <row r="101" spans="2:7" ht="14.4" customHeight="1" x14ac:dyDescent="0.3">
      <c r="B101" s="36" t="s">
        <v>202</v>
      </c>
      <c r="C101" s="3" t="s">
        <v>220</v>
      </c>
      <c r="D101" s="38">
        <f>(SUM(Input_!D$404:D$405)+SUMPRODUCT(Input_!D$406:D$410,Input_!D$145:D$149))*Input_!D345</f>
        <v>874460.28046467097</v>
      </c>
      <c r="E101" s="38">
        <f>(SUM(Input_!E$404:E$405)+SUMPRODUCT(Input_!E$406:E$410,Input_!E$145:E$149))*Input_!E345</f>
        <v>867797.127585746</v>
      </c>
      <c r="F101" s="38">
        <f>(SUM(Input_!F$404:F$405)+SUMPRODUCT(Input_!F$406:F$410,Input_!F$145:F$149))*Input_!F345</f>
        <v>867797.127585746</v>
      </c>
      <c r="G101" s="38">
        <f>(SUM(Input_!G$404:G$405)+SUMPRODUCT(Input_!G$406:G$410,Input_!G$145:G$149))*Input_!G345</f>
        <v>867797.127585746</v>
      </c>
    </row>
    <row r="102" spans="2:7" ht="14.4" customHeight="1" x14ac:dyDescent="0.3">
      <c r="B102" s="36" t="s">
        <v>204</v>
      </c>
      <c r="C102" s="3" t="s">
        <v>220</v>
      </c>
      <c r="D102" s="38">
        <f>(SUM(Input_!D$404:D$405)+SUMPRODUCT(Input_!D$406:D$410,Input_!D$145:D$149))*Input_!D346</f>
        <v>6302979.3219628185</v>
      </c>
      <c r="E102" s="38">
        <f>(SUM(Input_!E$404:E$405)+SUMPRODUCT(Input_!E$406:E$410,Input_!E$145:E$149))*Input_!E346</f>
        <v>6254952.3094693245</v>
      </c>
      <c r="F102" s="38">
        <f>(SUM(Input_!F$404:F$405)+SUMPRODUCT(Input_!F$406:F$410,Input_!F$145:F$149))*Input_!F346</f>
        <v>6254952.3094693245</v>
      </c>
      <c r="G102" s="38">
        <f>(SUM(Input_!G$404:G$405)+SUMPRODUCT(Input_!G$406:G$410,Input_!G$145:G$149))*Input_!G346</f>
        <v>6254952.3094693245</v>
      </c>
    </row>
    <row r="103" spans="2:7" ht="14.4" customHeight="1" x14ac:dyDescent="0.3">
      <c r="B103" s="36" t="s">
        <v>206</v>
      </c>
      <c r="C103" s="3" t="s">
        <v>220</v>
      </c>
      <c r="D103" s="38">
        <f>(SUM(Input_!D$404:D$405)+SUMPRODUCT(Input_!D$406:D$410,Input_!D$145:D$149))*Input_!D347</f>
        <v>13577960.651858555</v>
      </c>
      <c r="E103" s="38">
        <f>(SUM(Input_!E$404:E$405)+SUMPRODUCT(Input_!E$406:E$410,Input_!E$145:E$149))*Input_!E347</f>
        <v>13474500.232181991</v>
      </c>
      <c r="F103" s="38">
        <f>(SUM(Input_!F$404:F$405)+SUMPRODUCT(Input_!F$406:F$410,Input_!F$145:F$149))*Input_!F347</f>
        <v>13474500.232181991</v>
      </c>
      <c r="G103" s="38">
        <f>(SUM(Input_!G$404:G$405)+SUMPRODUCT(Input_!G$406:G$410,Input_!G$145:G$149))*Input_!G347</f>
        <v>13474500.232181991</v>
      </c>
    </row>
    <row r="104" spans="2:7" ht="14.4" customHeight="1" x14ac:dyDescent="0.3">
      <c r="B104" s="36" t="s">
        <v>208</v>
      </c>
      <c r="C104" s="3" t="s">
        <v>220</v>
      </c>
      <c r="D104" s="38">
        <f>(SUM(Input_!D$404:D$405)+SUMPRODUCT(Input_!D$406:D$410,Input_!D$145:D$149))*Input_!D348</f>
        <v>5725553.9657092011</v>
      </c>
      <c r="E104" s="38">
        <f>(SUM(Input_!E$404:E$405)+SUMPRODUCT(Input_!E$406:E$410,Input_!E$145:E$149))*Input_!E348</f>
        <v>5681926.7796124434</v>
      </c>
      <c r="F104" s="38">
        <f>(SUM(Input_!F$404:F$405)+SUMPRODUCT(Input_!F$406:F$410,Input_!F$145:F$149))*Input_!F348</f>
        <v>5681926.7796124434</v>
      </c>
      <c r="G104" s="38">
        <f>(SUM(Input_!G$404:G$405)+SUMPRODUCT(Input_!G$406:G$410,Input_!G$145:G$149))*Input_!G348</f>
        <v>5681926.7796124434</v>
      </c>
    </row>
    <row r="105" spans="2:7" ht="14.4" customHeight="1" x14ac:dyDescent="0.3">
      <c r="B105" s="36" t="s">
        <v>209</v>
      </c>
      <c r="C105" s="3" t="s">
        <v>220</v>
      </c>
      <c r="D105" s="38">
        <f>(SUM(Input_!D$404:D$405)+SUMPRODUCT(Input_!D$406:D$410,Input_!D$145:D$149))*Input_!D349</f>
        <v>141385.71584325258</v>
      </c>
      <c r="E105" s="38">
        <f>(SUM(Input_!E$404:E$405)+SUMPRODUCT(Input_!E$406:E$410,Input_!E$145:E$149))*Input_!E349</f>
        <v>140308.39459652972</v>
      </c>
      <c r="F105" s="38">
        <f>(SUM(Input_!F$404:F$405)+SUMPRODUCT(Input_!F$406:F$410,Input_!F$145:F$149))*Input_!F349</f>
        <v>140308.39459652972</v>
      </c>
      <c r="G105" s="38">
        <f>(SUM(Input_!G$404:G$405)+SUMPRODUCT(Input_!G$406:G$410,Input_!G$145:G$149))*Input_!G349</f>
        <v>140308.39459652972</v>
      </c>
    </row>
    <row r="106" spans="2:7" ht="14.4" customHeight="1" x14ac:dyDescent="0.3">
      <c r="B106" s="36" t="s">
        <v>211</v>
      </c>
      <c r="C106" s="3" t="s">
        <v>220</v>
      </c>
      <c r="D106" s="38">
        <f>(SUM(Input_!D$404:D$405)+SUMPRODUCT(Input_!D$406:D$410,Input_!D$145:D$149))*Input_!D350</f>
        <v>11117664.587172469</v>
      </c>
      <c r="E106" s="38">
        <f>(SUM(Input_!E$404:E$405)+SUMPRODUCT(Input_!E$406:E$410,Input_!E$145:E$149))*Input_!E350</f>
        <v>11032950.963860068</v>
      </c>
      <c r="F106" s="38">
        <f>(SUM(Input_!F$404:F$405)+SUMPRODUCT(Input_!F$406:F$410,Input_!F$145:F$149))*Input_!F350</f>
        <v>11032950.963860068</v>
      </c>
      <c r="G106" s="38">
        <f>(SUM(Input_!G$404:G$405)+SUMPRODUCT(Input_!G$406:G$410,Input_!G$145:G$149))*Input_!G350</f>
        <v>11032950.963860068</v>
      </c>
    </row>
    <row r="107" spans="2:7" ht="14.4" customHeight="1" x14ac:dyDescent="0.3">
      <c r="B107" s="36" t="s">
        <v>212</v>
      </c>
      <c r="C107" s="3" t="s">
        <v>220</v>
      </c>
      <c r="D107" s="38">
        <f>(SUM(Input_!D$404:D$405)+SUMPRODUCT(Input_!D$406:D$410,Input_!D$145:D$149))*Input_!D351</f>
        <v>41463.967224068758</v>
      </c>
      <c r="E107" s="38">
        <f>(SUM(Input_!E$404:E$405)+SUMPRODUCT(Input_!E$406:E$410,Input_!E$145:E$149))*Input_!E351</f>
        <v>41148.02291104188</v>
      </c>
      <c r="F107" s="38">
        <f>(SUM(Input_!F$404:F$405)+SUMPRODUCT(Input_!F$406:F$410,Input_!F$145:F$149))*Input_!F351</f>
        <v>41148.02291104188</v>
      </c>
      <c r="G107" s="38">
        <f>(SUM(Input_!G$404:G$405)+SUMPRODUCT(Input_!G$406:G$410,Input_!G$145:G$149))*Input_!G351</f>
        <v>41148.02291104188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3:CM32"/>
  <sheetViews>
    <sheetView showGridLines="0" zoomScale="90" zoomScaleNormal="90" workbookViewId="0">
      <selection activeCell="D8" sqref="D8"/>
    </sheetView>
  </sheetViews>
  <sheetFormatPr defaultColWidth="8.88671875" defaultRowHeight="14.4" x14ac:dyDescent="0.3"/>
  <cols>
    <col min="1" max="1" width="8.88671875" style="1"/>
    <col min="2" max="2" width="31" style="1" customWidth="1"/>
    <col min="3" max="91" width="16.77734375" style="1" customWidth="1"/>
    <col min="92" max="16384" width="8.88671875" style="1"/>
  </cols>
  <sheetData>
    <row r="3" spans="2:91" x14ac:dyDescent="0.3">
      <c r="B3" s="2" t="s">
        <v>3</v>
      </c>
      <c r="C3" s="41" t="s">
        <v>1</v>
      </c>
      <c r="D3" s="42"/>
      <c r="E3" s="42"/>
      <c r="F3" s="42"/>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4"/>
    </row>
    <row r="4" spans="2:91" x14ac:dyDescent="0.3">
      <c r="B4" s="46" t="s">
        <v>2</v>
      </c>
      <c r="C4" s="45" t="str">
        <f t="array" ref="C4:CM4">TRANSPOSE('Input capacity'!B19:B107)</f>
        <v>CTS Campo Maior</v>
      </c>
      <c r="D4" s="14" t="str">
        <v>CTS Valença do Minho</v>
      </c>
      <c r="E4" s="14" t="str">
        <v>LNG Terminal Sines</v>
      </c>
      <c r="F4" s="14" t="str">
        <v>Underground storage Carriço</v>
      </c>
      <c r="G4" s="14" t="str">
        <v>GRMS 01059</v>
      </c>
      <c r="H4" s="14" t="str">
        <v>GRMS 01109</v>
      </c>
      <c r="I4" s="14" t="str">
        <v>GRMS 01119</v>
      </c>
      <c r="J4" s="14" t="str">
        <v>GRMS 01129</v>
      </c>
      <c r="K4" s="14" t="str">
        <v>GRMS 01139</v>
      </c>
      <c r="L4" s="14" t="str">
        <v>GRMS 01149</v>
      </c>
      <c r="M4" s="14" t="str">
        <v>GRMS 01159</v>
      </c>
      <c r="N4" s="14" t="str">
        <v>GRMS 01179</v>
      </c>
      <c r="O4" s="14" t="str">
        <v>GRMS 01189</v>
      </c>
      <c r="P4" s="14" t="str">
        <v>GRMS 01209</v>
      </c>
      <c r="Q4" s="14" t="str">
        <v>GRMS 01219</v>
      </c>
      <c r="R4" s="14" t="str">
        <v>GRMS 01229</v>
      </c>
      <c r="S4" s="14" t="str">
        <v>GRMS 01239</v>
      </c>
      <c r="T4" s="14" t="str">
        <v>GRMS 01259</v>
      </c>
      <c r="U4" s="14" t="str">
        <v>GRMS 01269</v>
      </c>
      <c r="V4" s="14" t="str">
        <v>GRMS 01279</v>
      </c>
      <c r="W4" s="14" t="str">
        <v>GRMS 01309</v>
      </c>
      <c r="X4" s="14" t="str">
        <v>GRMS 01319</v>
      </c>
      <c r="Y4" s="14" t="str">
        <v>GRMS 01359</v>
      </c>
      <c r="Z4" s="14" t="str">
        <v>GRMS 01369</v>
      </c>
      <c r="AA4" s="14" t="str">
        <v>GRMS 01409</v>
      </c>
      <c r="AB4" s="14" t="str">
        <v>GRMS 02069</v>
      </c>
      <c r="AC4" s="14" t="str">
        <v>GRMS 02089</v>
      </c>
      <c r="AD4" s="14" t="str">
        <v>GRMS 02159</v>
      </c>
      <c r="AE4" s="14" t="str">
        <v>GRMS 02509</v>
      </c>
      <c r="AF4" s="14" t="str">
        <v>GRMS 02519</v>
      </c>
      <c r="AG4" s="14" t="str">
        <v>GRMS 02539</v>
      </c>
      <c r="AH4" s="14" t="str">
        <v>GRMS 02549</v>
      </c>
      <c r="AI4" s="14" t="str">
        <v>GRMS 02559</v>
      </c>
      <c r="AJ4" s="14" t="str">
        <v>GRMS 02569</v>
      </c>
      <c r="AK4" s="14" t="str">
        <v>GRMS 02709</v>
      </c>
      <c r="AL4" s="14" t="str">
        <v>GRMS 02719</v>
      </c>
      <c r="AM4" s="14" t="str">
        <v>GRMS 02739</v>
      </c>
      <c r="AN4" s="14" t="str">
        <v>GRMS 03009</v>
      </c>
      <c r="AO4" s="14" t="str">
        <v>GRMS 03059</v>
      </c>
      <c r="AP4" s="14" t="str">
        <v>GRMS 03069</v>
      </c>
      <c r="AQ4" s="14" t="str">
        <v>GRMS 03109</v>
      </c>
      <c r="AR4" s="14" t="str">
        <v>GRMS 03169</v>
      </c>
      <c r="AS4" s="14" t="str">
        <v>GRMS 03219</v>
      </c>
      <c r="AT4" s="14" t="str">
        <v>GRMS 03229</v>
      </c>
      <c r="AU4" s="14" t="str">
        <v>GRMS 03259</v>
      </c>
      <c r="AV4" s="14" t="str">
        <v>GRMS 03269</v>
      </c>
      <c r="AW4" s="14" t="str">
        <v>GRMS 03309</v>
      </c>
      <c r="AX4" s="14" t="str">
        <v>GRMS 03359</v>
      </c>
      <c r="AY4" s="14" t="str">
        <v>GRMS 03369</v>
      </c>
      <c r="AZ4" s="14" t="str">
        <v>GRMS 03459</v>
      </c>
      <c r="BA4" s="14" t="str">
        <v>GRMS 03559</v>
      </c>
      <c r="BB4" s="14" t="str">
        <v>GRMS 03609</v>
      </c>
      <c r="BC4" s="14" t="str">
        <v>GRMS 03619</v>
      </c>
      <c r="BD4" s="14" t="str">
        <v>GRMS 03659</v>
      </c>
      <c r="BE4" s="14" t="str">
        <v>GRMS 04059</v>
      </c>
      <c r="BF4" s="14" t="str">
        <v>GRMS 04109</v>
      </c>
      <c r="BG4" s="14" t="str">
        <v>GRMS 04149</v>
      </c>
      <c r="BH4" s="14" t="str">
        <v>GRMS 04159</v>
      </c>
      <c r="BI4" s="14" t="str">
        <v>GRMS 04209</v>
      </c>
      <c r="BJ4" s="14" t="str">
        <v>GRMS 05009</v>
      </c>
      <c r="BK4" s="14" t="str">
        <v>GRMS 05119</v>
      </c>
      <c r="BL4" s="14" t="str">
        <v>GRMS 05179</v>
      </c>
      <c r="BM4" s="14" t="str">
        <v>GRMS 05309</v>
      </c>
      <c r="BN4" s="14" t="str">
        <v>GRMS 05609</v>
      </c>
      <c r="BO4" s="14" t="str">
        <v>GRMS 07009</v>
      </c>
      <c r="BP4" s="14" t="str">
        <v>GRMS 08009</v>
      </c>
      <c r="BQ4" s="14" t="str">
        <v>GRMS 08109</v>
      </c>
      <c r="BR4" s="14" t="str">
        <v>GRMS 08119</v>
      </c>
      <c r="BS4" s="14" t="str">
        <v>GRMS 08209</v>
      </c>
      <c r="BT4" s="14" t="str">
        <v>GRMS 08309</v>
      </c>
      <c r="BU4" s="14" t="str">
        <v>GRMS 08409</v>
      </c>
      <c r="BV4" s="14" t="str">
        <v>GRMS 08559</v>
      </c>
      <c r="BW4" s="14" t="str">
        <v>GRMS 10079</v>
      </c>
      <c r="BX4" s="14" t="str">
        <v>GRMS 10159</v>
      </c>
      <c r="BY4" s="14" t="str">
        <v>GRMS 10209</v>
      </c>
      <c r="BZ4" s="14" t="str">
        <v>GRMS 10309</v>
      </c>
      <c r="CA4" s="14" t="str">
        <v>GRMS 10359</v>
      </c>
      <c r="CB4" s="14" t="str">
        <v>GRMS 10459</v>
      </c>
      <c r="CC4" s="14" t="str">
        <v>GRMS 11109</v>
      </c>
      <c r="CD4" s="14" t="str">
        <v>GRMS 11159</v>
      </c>
      <c r="CE4" s="14" t="str">
        <v>GRMS 11209</v>
      </c>
      <c r="CF4" s="14" t="str">
        <v>GRMS 11279</v>
      </c>
      <c r="CG4" s="14" t="str">
        <v>GRMS 11309</v>
      </c>
      <c r="CH4" s="14" t="str">
        <v>GRMS 12209</v>
      </c>
      <c r="CI4" s="14" t="str">
        <v>GRMS 12609</v>
      </c>
      <c r="CJ4" s="14" t="str">
        <v>GRMS 12619</v>
      </c>
      <c r="CK4" s="14" t="str">
        <v>GRMS 12619B</v>
      </c>
      <c r="CL4" s="14" t="str">
        <v>GRMS 12629</v>
      </c>
      <c r="CM4" s="14" t="str">
        <v>GRMS 12809</v>
      </c>
    </row>
    <row r="5" spans="2:91" x14ac:dyDescent="0.3">
      <c r="B5" s="14" t="str">
        <f>'Input capacity'!B7</f>
        <v>CTS Campo Maior</v>
      </c>
      <c r="C5" s="52">
        <f>IF(OR('RPM &amp; Discounts'!$B$3='A0.Support'!$B$3,'RPM &amp; Discounts'!$B$3='A0.Support'!$B$4),C23,C14*C23)</f>
        <v>0</v>
      </c>
      <c r="D5" s="52">
        <f>IF(OR('RPM &amp; Discounts'!$B$3='A0.Support'!$B$3,'RPM &amp; Discounts'!$B$3='A0.Support'!$B$4),D23,D14*D23)</f>
        <v>508.95100000000002</v>
      </c>
      <c r="E5" s="52">
        <f>IF(OR('RPM &amp; Discounts'!$B$3='A0.Support'!$B$3,'RPM &amp; Discounts'!$B$3='A0.Support'!$B$4),E23,E14*E23)</f>
        <v>481.59199999999998</v>
      </c>
      <c r="F5" s="52">
        <f>IF(OR('RPM &amp; Discounts'!$B$3='A0.Support'!$B$3,'RPM &amp; Discounts'!$B$3='A0.Support'!$B$4),F23,F14*F23)</f>
        <v>239.52199999999999</v>
      </c>
      <c r="G5" s="52">
        <f>IF(OR('RPM &amp; Discounts'!$B$3='A0.Support'!$B$3,'RPM &amp; Discounts'!$B$3='A0.Support'!$B$4),G23,G14*G23)</f>
        <v>1013.8654285714285</v>
      </c>
      <c r="H5" s="52">
        <f>IF(OR('RPM &amp; Discounts'!$B$3='A0.Support'!$B$3,'RPM &amp; Discounts'!$B$3='A0.Support'!$B$4),H23,H14*H23)</f>
        <v>1047.2965714285713</v>
      </c>
      <c r="I5" s="52">
        <f>IF(OR('RPM &amp; Discounts'!$B$3='A0.Support'!$B$3,'RPM &amp; Discounts'!$B$3='A0.Support'!$B$4),I23,I14*I23)</f>
        <v>1025.9254285714285</v>
      </c>
      <c r="J5" s="52">
        <f>IF(OR('RPM &amp; Discounts'!$B$3='A0.Support'!$B$3,'RPM &amp; Discounts'!$B$3='A0.Support'!$B$4),J23,J14*J23)</f>
        <v>1047.2939999999999</v>
      </c>
      <c r="K5" s="52">
        <f>IF(OR('RPM &amp; Discounts'!$B$3='A0.Support'!$B$3,'RPM &amp; Discounts'!$B$3='A0.Support'!$B$4),K23,K14*K23)</f>
        <v>972.90257142857138</v>
      </c>
      <c r="L5" s="52">
        <f>IF(OR('RPM &amp; Discounts'!$B$3='A0.Support'!$B$3,'RPM &amp; Discounts'!$B$3='A0.Support'!$B$4),L23,L14*L23)</f>
        <v>941.04257142857136</v>
      </c>
      <c r="M5" s="52">
        <f>IF(OR('RPM &amp; Discounts'!$B$3='A0.Support'!$B$3,'RPM &amp; Discounts'!$B$3='A0.Support'!$B$4),M23,M14*M23)</f>
        <v>1063.3911428571428</v>
      </c>
      <c r="N5" s="52">
        <f>IF(OR('RPM &amp; Discounts'!$B$3='A0.Support'!$B$3,'RPM &amp; Discounts'!$B$3='A0.Support'!$B$4),N23,N14*N23)</f>
        <v>898.0997142857143</v>
      </c>
      <c r="O5" s="52">
        <f>IF(OR('RPM &amp; Discounts'!$B$3='A0.Support'!$B$3,'RPM &amp; Discounts'!$B$3='A0.Support'!$B$4),O23,O14*O23)</f>
        <v>866.05971428571422</v>
      </c>
      <c r="P5" s="52">
        <f>IF(OR('RPM &amp; Discounts'!$B$3='A0.Support'!$B$3,'RPM &amp; Discounts'!$B$3='A0.Support'!$B$4),P23,P14*P23)</f>
        <v>941.30228571428563</v>
      </c>
      <c r="Q5" s="52">
        <f>IF(OR('RPM &amp; Discounts'!$B$3='A0.Support'!$B$3,'RPM &amp; Discounts'!$B$3='A0.Support'!$B$4),Q23,Q14*Q23)</f>
        <v>856.72542857142844</v>
      </c>
      <c r="R5" s="52">
        <f>IF(OR('RPM &amp; Discounts'!$B$3='A0.Support'!$B$3,'RPM &amp; Discounts'!$B$3='A0.Support'!$B$4),R23,R14*R23)</f>
        <v>910.16228571428564</v>
      </c>
      <c r="S5" s="52">
        <f>IF(OR('RPM &amp; Discounts'!$B$3='A0.Support'!$B$3,'RPM &amp; Discounts'!$B$3='A0.Support'!$B$4),S23,S14*S23)</f>
        <v>927.57342857142851</v>
      </c>
      <c r="T5" s="52">
        <f>IF(OR('RPM &amp; Discounts'!$B$3='A0.Support'!$B$3,'RPM &amp; Discounts'!$B$3='A0.Support'!$B$4),T23,T14*T23)</f>
        <v>850.11685714285704</v>
      </c>
      <c r="U5" s="52">
        <f>IF(OR('RPM &amp; Discounts'!$B$3='A0.Support'!$B$3,'RPM &amp; Discounts'!$B$3='A0.Support'!$B$4),U23,U14*U23)</f>
        <v>856.72799999999995</v>
      </c>
      <c r="V5" s="52">
        <f>IF(OR('RPM &amp; Discounts'!$B$3='A0.Support'!$B$3,'RPM &amp; Discounts'!$B$3='A0.Support'!$B$4),V23,V14*V23)</f>
        <v>927.57085714285699</v>
      </c>
      <c r="W5" s="52">
        <f>IF(OR('RPM &amp; Discounts'!$B$3='A0.Support'!$B$3,'RPM &amp; Discounts'!$B$3='A0.Support'!$B$4),W23,W14*W23)</f>
        <v>844.43399999999997</v>
      </c>
      <c r="X5" s="52">
        <f>IF(OR('RPM &amp; Discounts'!$B$3='A0.Support'!$B$3,'RPM &amp; Discounts'!$B$3='A0.Support'!$B$4),X23,X14*X23)</f>
        <v>815.04257142857136</v>
      </c>
      <c r="Y5" s="52">
        <f>IF(OR('RPM &amp; Discounts'!$B$3='A0.Support'!$B$3,'RPM &amp; Discounts'!$B$3='A0.Support'!$B$4),Y23,Y14*Y23)</f>
        <v>876.06514285714275</v>
      </c>
      <c r="Z5" s="52">
        <f>IF(OR('RPM &amp; Discounts'!$B$3='A0.Support'!$B$3,'RPM &amp; Discounts'!$B$3='A0.Support'!$B$4),Z23,Z14*Z23)</f>
        <v>876.06257142857123</v>
      </c>
      <c r="AA5" s="52">
        <f>IF(OR('RPM &amp; Discounts'!$B$3='A0.Support'!$B$3,'RPM &amp; Discounts'!$B$3='A0.Support'!$B$4),AA23,AA14*AA23)</f>
        <v>751.7854285714285</v>
      </c>
      <c r="AB5" s="52">
        <f>IF(OR('RPM &amp; Discounts'!$B$3='A0.Support'!$B$3,'RPM &amp; Discounts'!$B$3='A0.Support'!$B$4),AB23,AB14*AB23)</f>
        <v>664.51114285714277</v>
      </c>
      <c r="AC5" s="52">
        <f>IF(OR('RPM &amp; Discounts'!$B$3='A0.Support'!$B$3,'RPM &amp; Discounts'!$B$3='A0.Support'!$B$4),AC23,AC14*AC23)</f>
        <v>631.9054285714285</v>
      </c>
      <c r="AD5" s="52">
        <f>IF(OR('RPM &amp; Discounts'!$B$3='A0.Support'!$B$3,'RPM &amp; Discounts'!$B$3='A0.Support'!$B$4),AD23,AD14*AD23)</f>
        <v>615.01114285714277</v>
      </c>
      <c r="AE5" s="52">
        <f>IF(OR('RPM &amp; Discounts'!$B$3='A0.Support'!$B$3,'RPM &amp; Discounts'!$B$3='A0.Support'!$B$4),AE23,AE14*AE23)</f>
        <v>615.91114285714275</v>
      </c>
      <c r="AF5" s="52">
        <f>IF(OR('RPM &amp; Discounts'!$B$3='A0.Support'!$B$3,'RPM &amp; Discounts'!$B$3='A0.Support'!$B$4),AF23,AF14*AF23)</f>
        <v>641.39400000000001</v>
      </c>
      <c r="AG5" s="52">
        <f>IF(OR('RPM &amp; Discounts'!$B$3='A0.Support'!$B$3,'RPM &amp; Discounts'!$B$3='A0.Support'!$B$4),AG23,AG14*AG23)</f>
        <v>641.6768571428571</v>
      </c>
      <c r="AH5" s="52">
        <f>IF(OR('RPM &amp; Discounts'!$B$3='A0.Support'!$B$3,'RPM &amp; Discounts'!$B$3='A0.Support'!$B$4),AH23,AH14*AH23)</f>
        <v>675.2854285714285</v>
      </c>
      <c r="AI5" s="52">
        <f>IF(OR('RPM &amp; Discounts'!$B$3='A0.Support'!$B$3,'RPM &amp; Discounts'!$B$3='A0.Support'!$B$4),AI23,AI14*AI23)</f>
        <v>590.65971428571424</v>
      </c>
      <c r="AJ5" s="52">
        <f>IF(OR('RPM &amp; Discounts'!$B$3='A0.Support'!$B$3,'RPM &amp; Discounts'!$B$3='A0.Support'!$B$4),AJ23,AJ14*AJ23)</f>
        <v>675.28800000000001</v>
      </c>
      <c r="AK5" s="52">
        <f>IF(OR('RPM &amp; Discounts'!$B$3='A0.Support'!$B$3,'RPM &amp; Discounts'!$B$3='A0.Support'!$B$4),AK23,AK14*AK23)</f>
        <v>650.49685714285704</v>
      </c>
      <c r="AL5" s="52">
        <f>IF(OR('RPM &amp; Discounts'!$B$3='A0.Support'!$B$3,'RPM &amp; Discounts'!$B$3='A0.Support'!$B$4),AL23,AL14*AL23)</f>
        <v>676.00542857142852</v>
      </c>
      <c r="AM5" s="52">
        <f>IF(OR('RPM &amp; Discounts'!$B$3='A0.Support'!$B$3,'RPM &amp; Discounts'!$B$3='A0.Support'!$B$4),AM23,AM14*AM23)</f>
        <v>665.48828571428567</v>
      </c>
      <c r="AN5" s="52">
        <f>IF(OR('RPM &amp; Discounts'!$B$3='A0.Support'!$B$3,'RPM &amp; Discounts'!$B$3='A0.Support'!$B$4),AN23,AN14*AN23)</f>
        <v>680.01685714285713</v>
      </c>
      <c r="AO5" s="52">
        <f>IF(OR('RPM &amp; Discounts'!$B$3='A0.Support'!$B$3,'RPM &amp; Discounts'!$B$3='A0.Support'!$B$4),AO23,AO14*AO23)</f>
        <v>715.14257142857139</v>
      </c>
      <c r="AP5" s="52">
        <f>IF(OR('RPM &amp; Discounts'!$B$3='A0.Support'!$B$3,'RPM &amp; Discounts'!$B$3='A0.Support'!$B$4),AP23,AP14*AP23)</f>
        <v>733.39971428571425</v>
      </c>
      <c r="AQ5" s="52">
        <f>IF(OR('RPM &amp; Discounts'!$B$3='A0.Support'!$B$3,'RPM &amp; Discounts'!$B$3='A0.Support'!$B$4),AQ23,AQ14*AQ23)</f>
        <v>745.84542857142844</v>
      </c>
      <c r="AR5" s="52">
        <f>IF(OR('RPM &amp; Discounts'!$B$3='A0.Support'!$B$3,'RPM &amp; Discounts'!$B$3='A0.Support'!$B$4),AR23,AR14*AR23)</f>
        <v>758.6768571428571</v>
      </c>
      <c r="AS5" s="52">
        <f>IF(OR('RPM &amp; Discounts'!$B$3='A0.Support'!$B$3,'RPM &amp; Discounts'!$B$3='A0.Support'!$B$4),AS23,AS14*AS23)</f>
        <v>800.66828571428562</v>
      </c>
      <c r="AT5" s="52">
        <f>IF(OR('RPM &amp; Discounts'!$B$3='A0.Support'!$B$3,'RPM &amp; Discounts'!$B$3='A0.Support'!$B$4),AT23,AT14*AT23)</f>
        <v>818.87400000000002</v>
      </c>
      <c r="AU5" s="52">
        <f>IF(OR('RPM &amp; Discounts'!$B$3='A0.Support'!$B$3,'RPM &amp; Discounts'!$B$3='A0.Support'!$B$4),AU23,AU14*AU23)</f>
        <v>851.84228571428559</v>
      </c>
      <c r="AV5" s="52">
        <f>IF(OR('RPM &amp; Discounts'!$B$3='A0.Support'!$B$3,'RPM &amp; Discounts'!$B$3='A0.Support'!$B$4),AV23,AV14*AV23)</f>
        <v>851.83971428571419</v>
      </c>
      <c r="AW5" s="52">
        <f>IF(OR('RPM &amp; Discounts'!$B$3='A0.Support'!$B$3,'RPM &amp; Discounts'!$B$3='A0.Support'!$B$4),AW23,AW14*AW23)</f>
        <v>863.46257142857132</v>
      </c>
      <c r="AX5" s="52">
        <f>IF(OR('RPM &amp; Discounts'!$B$3='A0.Support'!$B$3,'RPM &amp; Discounts'!$B$3='A0.Support'!$B$4),AX23,AX14*AX23)</f>
        <v>885.99085714285707</v>
      </c>
      <c r="AY5" s="52">
        <f>IF(OR('RPM &amp; Discounts'!$B$3='A0.Support'!$B$3,'RPM &amp; Discounts'!$B$3='A0.Support'!$B$4),AY23,AY14*AY23)</f>
        <v>885.98828571428555</v>
      </c>
      <c r="AZ5" s="52">
        <f>IF(OR('RPM &amp; Discounts'!$B$3='A0.Support'!$B$3,'RPM &amp; Discounts'!$B$3='A0.Support'!$B$4),AZ23,AZ14*AZ23)</f>
        <v>919.8282857142857</v>
      </c>
      <c r="BA5" s="52">
        <f>IF(OR('RPM &amp; Discounts'!$B$3='A0.Support'!$B$3,'RPM &amp; Discounts'!$B$3='A0.Support'!$B$4),BA23,BA14*BA23)</f>
        <v>964.98257142857142</v>
      </c>
      <c r="BB5" s="52">
        <f>IF(OR('RPM &amp; Discounts'!$B$3='A0.Support'!$B$3,'RPM &amp; Discounts'!$B$3='A0.Support'!$B$4),BB23,BB14*BB23)</f>
        <v>1001.9854285714284</v>
      </c>
      <c r="BC5" s="52">
        <f>IF(OR('RPM &amp; Discounts'!$B$3='A0.Support'!$B$3,'RPM &amp; Discounts'!$B$3='A0.Support'!$B$4),BC23,BC14*BC23)</f>
        <v>994.93971428571422</v>
      </c>
      <c r="BD5" s="52">
        <f>IF(OR('RPM &amp; Discounts'!$B$3='A0.Support'!$B$3,'RPM &amp; Discounts'!$B$3='A0.Support'!$B$4),BD23,BD14*BD23)</f>
        <v>1006.9997142857142</v>
      </c>
      <c r="BE5" s="52">
        <f>IF(OR('RPM &amp; Discounts'!$B$3='A0.Support'!$B$3,'RPM &amp; Discounts'!$B$3='A0.Support'!$B$4),BE23,BE14*BE23)</f>
        <v>1023.3539999999999</v>
      </c>
      <c r="BF5" s="52">
        <f>IF(OR('RPM &amp; Discounts'!$B$3='A0.Support'!$B$3,'RPM &amp; Discounts'!$B$3='A0.Support'!$B$4),BF23,BF14*BF23)</f>
        <v>1047.7568571428571</v>
      </c>
      <c r="BG5" s="52">
        <f>IF(OR('RPM &amp; Discounts'!$B$3='A0.Support'!$B$3,'RPM &amp; Discounts'!$B$3='A0.Support'!$B$4),BG23,BG14*BG23)</f>
        <v>1128.2682857142856</v>
      </c>
      <c r="BH5" s="52">
        <f>IF(OR('RPM &amp; Discounts'!$B$3='A0.Support'!$B$3,'RPM &amp; Discounts'!$B$3='A0.Support'!$B$4),BH23,BH14*BH23)</f>
        <v>1074.2425714285714</v>
      </c>
      <c r="BI5" s="52">
        <f>IF(OR('RPM &amp; Discounts'!$B$3='A0.Support'!$B$3,'RPM &amp; Discounts'!$B$3='A0.Support'!$B$4),BI23,BI14*BI23)</f>
        <v>1097.616857142857</v>
      </c>
      <c r="BJ5" s="52">
        <f>IF(OR('RPM &amp; Discounts'!$B$3='A0.Support'!$B$3,'RPM &amp; Discounts'!$B$3='A0.Support'!$B$4),BJ23,BJ14*BJ23)</f>
        <v>1133.9511428571427</v>
      </c>
      <c r="BK5" s="52">
        <f>IF(OR('RPM &amp; Discounts'!$B$3='A0.Support'!$B$3,'RPM &amp; Discounts'!$B$3='A0.Support'!$B$4),BK23,BK14*BK23)</f>
        <v>1154.2139999999999</v>
      </c>
      <c r="BL5" s="52">
        <f>IF(OR('RPM &amp; Discounts'!$B$3='A0.Support'!$B$3,'RPM &amp; Discounts'!$B$3='A0.Support'!$B$4),BL23,BL14*BL23)</f>
        <v>1225.1082857142856</v>
      </c>
      <c r="BM5" s="52">
        <f>IF(OR('RPM &amp; Discounts'!$B$3='A0.Support'!$B$3,'RPM &amp; Discounts'!$B$3='A0.Support'!$B$4),BM23,BM14*BM23)</f>
        <v>1219.7082857142857</v>
      </c>
      <c r="BN5" s="52">
        <f>IF(OR('RPM &amp; Discounts'!$B$3='A0.Support'!$B$3,'RPM &amp; Discounts'!$B$3='A0.Support'!$B$4),BN23,BN14*BN23)</f>
        <v>1296.4397142857142</v>
      </c>
      <c r="BO5" s="52">
        <f>IF(OR('RPM &amp; Discounts'!$B$3='A0.Support'!$B$3,'RPM &amp; Discounts'!$B$3='A0.Support'!$B$4),BO23,BO14*BO23)</f>
        <v>0.61971428571428566</v>
      </c>
      <c r="BP5" s="52">
        <f>IF(OR('RPM &amp; Discounts'!$B$3='A0.Support'!$B$3,'RPM &amp; Discounts'!$B$3='A0.Support'!$B$4),BP23,BP14*BP23)</f>
        <v>266.45399999999995</v>
      </c>
      <c r="BQ5" s="52">
        <f>IF(OR('RPM &amp; Discounts'!$B$3='A0.Support'!$B$3,'RPM &amp; Discounts'!$B$3='A0.Support'!$B$4),BQ23,BQ14*BQ23)</f>
        <v>324.54257142857142</v>
      </c>
      <c r="BR5" s="52">
        <f>IF(OR('RPM &amp; Discounts'!$B$3='A0.Support'!$B$3,'RPM &amp; Discounts'!$B$3='A0.Support'!$B$4),BR23,BR14*BR23)</f>
        <v>337.55399999999992</v>
      </c>
      <c r="BS5" s="52">
        <f>IF(OR('RPM &amp; Discounts'!$B$3='A0.Support'!$B$3,'RPM &amp; Discounts'!$B$3='A0.Support'!$B$4),BS23,BS14*BS23)</f>
        <v>375.68828571428566</v>
      </c>
      <c r="BT5" s="52">
        <f>IF(OR('RPM &amp; Discounts'!$B$3='A0.Support'!$B$3,'RPM &amp; Discounts'!$B$3='A0.Support'!$B$4),BT23,BT14*BT23)</f>
        <v>422.43685714285709</v>
      </c>
      <c r="BU5" s="52">
        <f>IF(OR('RPM &amp; Discounts'!$B$3='A0.Support'!$B$3,'RPM &amp; Discounts'!$B$3='A0.Support'!$B$4),BU23,BU14*BU23)</f>
        <v>471.39685714285707</v>
      </c>
      <c r="BV5" s="52">
        <f>IF(OR('RPM &amp; Discounts'!$B$3='A0.Support'!$B$3,'RPM &amp; Discounts'!$B$3='A0.Support'!$B$4),BV23,BV14*BV23)</f>
        <v>556.84542857142844</v>
      </c>
      <c r="BW5" s="52">
        <f>IF(OR('RPM &amp; Discounts'!$B$3='A0.Support'!$B$3,'RPM &amp; Discounts'!$B$3='A0.Support'!$B$4),BW23,BW14*BW23)</f>
        <v>183.96257142857141</v>
      </c>
      <c r="BX5" s="52">
        <f>IF(OR('RPM &amp; Discounts'!$B$3='A0.Support'!$B$3,'RPM &amp; Discounts'!$B$3='A0.Support'!$B$4),BX23,BX14*BX23)</f>
        <v>286.45971428571426</v>
      </c>
      <c r="BY5" s="52">
        <f>IF(OR('RPM &amp; Discounts'!$B$3='A0.Support'!$B$3,'RPM &amp; Discounts'!$B$3='A0.Support'!$B$4),BY23,BY14*BY23)</f>
        <v>350.41114285714281</v>
      </c>
      <c r="BZ5" s="52">
        <f>IF(OR('RPM &amp; Discounts'!$B$3='A0.Support'!$B$3,'RPM &amp; Discounts'!$B$3='A0.Support'!$B$4),BZ23,BZ14*BZ23)</f>
        <v>471.52542857142856</v>
      </c>
      <c r="CA5" s="52">
        <f>IF(OR('RPM &amp; Discounts'!$B$3='A0.Support'!$B$3,'RPM &amp; Discounts'!$B$3='A0.Support'!$B$4),CA23,CA14*CA23)</f>
        <v>499.24542857142853</v>
      </c>
      <c r="CB5" s="52">
        <f>IF(OR('RPM &amp; Discounts'!$B$3='A0.Support'!$B$3,'RPM &amp; Discounts'!$B$3='A0.Support'!$B$4),CB23,CB14*CB23)</f>
        <v>600.89400000000001</v>
      </c>
      <c r="CC5" s="52">
        <f>IF(OR('RPM &amp; Discounts'!$B$3='A0.Support'!$B$3,'RPM &amp; Discounts'!$B$3='A0.Support'!$B$4),CC23,CC14*CC23)</f>
        <v>817.1768571428571</v>
      </c>
      <c r="CD5" s="52">
        <f>IF(OR('RPM &amp; Discounts'!$B$3='A0.Support'!$B$3,'RPM &amp; Discounts'!$B$3='A0.Support'!$B$4),CD23,CD14*CD23)</f>
        <v>841.70828571428569</v>
      </c>
      <c r="CE5" s="52">
        <f>IF(OR('RPM &amp; Discounts'!$B$3='A0.Support'!$B$3,'RPM &amp; Discounts'!$B$3='A0.Support'!$B$4),CE23,CE14*CE23)</f>
        <v>859.81114285714273</v>
      </c>
      <c r="CF5" s="52">
        <f>IF(OR('RPM &amp; Discounts'!$B$3='A0.Support'!$B$3,'RPM &amp; Discounts'!$B$3='A0.Support'!$B$4),CF23,CF14*CF23)</f>
        <v>844.69114285714272</v>
      </c>
      <c r="CG5" s="52">
        <f>IF(OR('RPM &amp; Discounts'!$B$3='A0.Support'!$B$3,'RPM &amp; Discounts'!$B$3='A0.Support'!$B$4),CG23,CG14*CG23)</f>
        <v>797.17114285714285</v>
      </c>
      <c r="CH5" s="52">
        <f>IF(OR('RPM &amp; Discounts'!$B$3='A0.Support'!$B$3,'RPM &amp; Discounts'!$B$3='A0.Support'!$B$4),CH23,CH14*CH23)</f>
        <v>1027.5968571428571</v>
      </c>
      <c r="CI5" s="52">
        <f>IF(OR('RPM &amp; Discounts'!$B$3='A0.Support'!$B$3,'RPM &amp; Discounts'!$B$3='A0.Support'!$B$4),CI23,CI14*CI23)</f>
        <v>1220.1454285714283</v>
      </c>
      <c r="CJ5" s="52">
        <f>IF(OR('RPM &amp; Discounts'!$B$3='A0.Support'!$B$3,'RPM &amp; Discounts'!$B$3='A0.Support'!$B$4),CJ23,CJ14*CJ23)</f>
        <v>1220.1479999999999</v>
      </c>
      <c r="CK5" s="52">
        <f>IF(OR('RPM &amp; Discounts'!$B$3='A0.Support'!$B$3,'RPM &amp; Discounts'!$B$3='A0.Support'!$B$4),CK23,CK14*CK23)</f>
        <v>1223.5422857142855</v>
      </c>
      <c r="CL5" s="52">
        <f>IF(OR('RPM &amp; Discounts'!$B$3='A0.Support'!$B$3,'RPM &amp; Discounts'!$B$3='A0.Support'!$B$4),CL23,CL14*CL23)</f>
        <v>1220.1479999999999</v>
      </c>
      <c r="CM5" s="52">
        <f>IF(OR('RPM &amp; Discounts'!$B$3='A0.Support'!$B$3,'RPM &amp; Discounts'!$B$3='A0.Support'!$B$4),CM23,CM14*CM23)</f>
        <v>1238.376857142857</v>
      </c>
    </row>
    <row r="6" spans="2:91" x14ac:dyDescent="0.3">
      <c r="B6" s="14" t="str">
        <f>'Input capacity'!B8</f>
        <v>CTS Valença do Minho</v>
      </c>
      <c r="C6" s="52">
        <f>IF(OR('RPM &amp; Discounts'!$B$3='A0.Support'!$B$3,'RPM &amp; Discounts'!$B$3='A0.Support'!$B$4),C24,C15*C24)</f>
        <v>508.95100000000002</v>
      </c>
      <c r="D6" s="52">
        <f>IF(OR('RPM &amp; Discounts'!$B$3='A0.Support'!$B$3,'RPM &amp; Discounts'!$B$3='A0.Support'!$B$4),D24,D15*D24)</f>
        <v>0</v>
      </c>
      <c r="E6" s="52">
        <f>IF(OR('RPM &amp; Discounts'!$B$3='A0.Support'!$B$3,'RPM &amp; Discounts'!$B$3='A0.Support'!$B$4),E24,E15*E24)</f>
        <v>549.62099999999998</v>
      </c>
      <c r="F6" s="52">
        <f>IF(OR('RPM &amp; Discounts'!$B$3='A0.Support'!$B$3,'RPM &amp; Discounts'!$B$3='A0.Support'!$B$4),F24,F15*F24)</f>
        <v>307.55099999999999</v>
      </c>
      <c r="G6" s="52">
        <f>IF(OR('RPM &amp; Discounts'!$B$3='A0.Support'!$B$3,'RPM &amp; Discounts'!$B$3='A0.Support'!$B$4),G24,G15*G24)</f>
        <v>1188.7971428571427</v>
      </c>
      <c r="H6" s="52">
        <f>IF(OR('RPM &amp; Discounts'!$B$3='A0.Support'!$B$3,'RPM &amp; Discounts'!$B$3='A0.Support'!$B$4),H24,H15*H24)</f>
        <v>1222.2282857142854</v>
      </c>
      <c r="I6" s="52">
        <f>IF(OR('RPM &amp; Discounts'!$B$3='A0.Support'!$B$3,'RPM &amp; Discounts'!$B$3='A0.Support'!$B$4),I24,I15*I24)</f>
        <v>1200.8571428571427</v>
      </c>
      <c r="J6" s="52">
        <f>IF(OR('RPM &amp; Discounts'!$B$3='A0.Support'!$B$3,'RPM &amp; Discounts'!$B$3='A0.Support'!$B$4),J24,J15*J24)</f>
        <v>1222.2257142857143</v>
      </c>
      <c r="K6" s="52">
        <f>IF(OR('RPM &amp; Discounts'!$B$3='A0.Support'!$B$3,'RPM &amp; Discounts'!$B$3='A0.Support'!$B$4),K24,K15*K24)</f>
        <v>1147.8342857142857</v>
      </c>
      <c r="L6" s="52">
        <f>IF(OR('RPM &amp; Discounts'!$B$3='A0.Support'!$B$3,'RPM &amp; Discounts'!$B$3='A0.Support'!$B$4),L24,L15*L24)</f>
        <v>1115.9742857142855</v>
      </c>
      <c r="M6" s="52">
        <f>IF(OR('RPM &amp; Discounts'!$B$3='A0.Support'!$B$3,'RPM &amp; Discounts'!$B$3='A0.Support'!$B$4),M24,M15*M24)</f>
        <v>1238.3228571428569</v>
      </c>
      <c r="N6" s="52">
        <f>IF(OR('RPM &amp; Discounts'!$B$3='A0.Support'!$B$3,'RPM &amp; Discounts'!$B$3='A0.Support'!$B$4),N24,N15*N24)</f>
        <v>1073.0314285714285</v>
      </c>
      <c r="O6" s="52">
        <f>IF(OR('RPM &amp; Discounts'!$B$3='A0.Support'!$B$3,'RPM &amp; Discounts'!$B$3='A0.Support'!$B$4),O24,O15*O24)</f>
        <v>1040.9914285714285</v>
      </c>
      <c r="P6" s="52">
        <f>IF(OR('RPM &amp; Discounts'!$B$3='A0.Support'!$B$3,'RPM &amp; Discounts'!$B$3='A0.Support'!$B$4),P24,P15*P24)</f>
        <v>1116.2339999999999</v>
      </c>
      <c r="Q6" s="52">
        <f>IF(OR('RPM &amp; Discounts'!$B$3='A0.Support'!$B$3,'RPM &amp; Discounts'!$B$3='A0.Support'!$B$4),Q24,Q15*Q24)</f>
        <v>1031.6571428571426</v>
      </c>
      <c r="R6" s="52">
        <f>IF(OR('RPM &amp; Discounts'!$B$3='A0.Support'!$B$3,'RPM &amp; Discounts'!$B$3='A0.Support'!$B$4),R24,R15*R24)</f>
        <v>1085.0939999999998</v>
      </c>
      <c r="S6" s="52">
        <f>IF(OR('RPM &amp; Discounts'!$B$3='A0.Support'!$B$3,'RPM &amp; Discounts'!$B$3='A0.Support'!$B$4),S24,S15*S24)</f>
        <v>1102.5051428571428</v>
      </c>
      <c r="T6" s="52">
        <f>IF(OR('RPM &amp; Discounts'!$B$3='A0.Support'!$B$3,'RPM &amp; Discounts'!$B$3='A0.Support'!$B$4),T24,T15*T24)</f>
        <v>1025.0485714285712</v>
      </c>
      <c r="U6" s="52">
        <f>IF(OR('RPM &amp; Discounts'!$B$3='A0.Support'!$B$3,'RPM &amp; Discounts'!$B$3='A0.Support'!$B$4),U24,U15*U24)</f>
        <v>1031.6597142857142</v>
      </c>
      <c r="V6" s="52">
        <f>IF(OR('RPM &amp; Discounts'!$B$3='A0.Support'!$B$3,'RPM &amp; Discounts'!$B$3='A0.Support'!$B$4),V24,V15*V24)</f>
        <v>1102.5025714285712</v>
      </c>
      <c r="W6" s="52">
        <f>IF(OR('RPM &amp; Discounts'!$B$3='A0.Support'!$B$3,'RPM &amp; Discounts'!$B$3='A0.Support'!$B$4),W24,W15*W24)</f>
        <v>1019.3657142857143</v>
      </c>
      <c r="X6" s="52">
        <f>IF(OR('RPM &amp; Discounts'!$B$3='A0.Support'!$B$3,'RPM &amp; Discounts'!$B$3='A0.Support'!$B$4),X24,X15*X24)</f>
        <v>989.97428571428566</v>
      </c>
      <c r="Y6" s="52">
        <f>IF(OR('RPM &amp; Discounts'!$B$3='A0.Support'!$B$3,'RPM &amp; Discounts'!$B$3='A0.Support'!$B$4),Y24,Y15*Y24)</f>
        <v>1050.9968571428572</v>
      </c>
      <c r="Z6" s="52">
        <f>IF(OR('RPM &amp; Discounts'!$B$3='A0.Support'!$B$3,'RPM &amp; Discounts'!$B$3='A0.Support'!$B$4),Z24,Z15*Z24)</f>
        <v>1050.9942857142858</v>
      </c>
      <c r="AA6" s="52">
        <f>IF(OR('RPM &amp; Discounts'!$B$3='A0.Support'!$B$3,'RPM &amp; Discounts'!$B$3='A0.Support'!$B$4),AA24,AA15*AA24)</f>
        <v>926.71714285714268</v>
      </c>
      <c r="AB6" s="52">
        <f>IF(OR('RPM &amp; Discounts'!$B$3='A0.Support'!$B$3,'RPM &amp; Discounts'!$B$3='A0.Support'!$B$4),AB24,AB15*AB24)</f>
        <v>839.44285714285706</v>
      </c>
      <c r="AC6" s="52">
        <f>IF(OR('RPM &amp; Discounts'!$B$3='A0.Support'!$B$3,'RPM &amp; Discounts'!$B$3='A0.Support'!$B$4),AC24,AC15*AC24)</f>
        <v>806.83714285714268</v>
      </c>
      <c r="AD6" s="52">
        <f>IF(OR('RPM &amp; Discounts'!$B$3='A0.Support'!$B$3,'RPM &amp; Discounts'!$B$3='A0.Support'!$B$4),AD24,AD15*AD24)</f>
        <v>789.94285714285706</v>
      </c>
      <c r="AE6" s="52">
        <f>IF(OR('RPM &amp; Discounts'!$B$3='A0.Support'!$B$3,'RPM &amp; Discounts'!$B$3='A0.Support'!$B$4),AE24,AE15*AE24)</f>
        <v>790.84285714285704</v>
      </c>
      <c r="AF6" s="52">
        <f>IF(OR('RPM &amp; Discounts'!$B$3='A0.Support'!$B$3,'RPM &amp; Discounts'!$B$3='A0.Support'!$B$4),AF24,AF15*AF24)</f>
        <v>816.32571428571418</v>
      </c>
      <c r="AG6" s="52">
        <f>IF(OR('RPM &amp; Discounts'!$B$3='A0.Support'!$B$3,'RPM &amp; Discounts'!$B$3='A0.Support'!$B$4),AG24,AG15*AG24)</f>
        <v>816.60857142857128</v>
      </c>
      <c r="AH6" s="52">
        <f>IF(OR('RPM &amp; Discounts'!$B$3='A0.Support'!$B$3,'RPM &amp; Discounts'!$B$3='A0.Support'!$B$4),AH24,AH15*AH24)</f>
        <v>850.21714285714279</v>
      </c>
      <c r="AI6" s="52">
        <f>IF(OR('RPM &amp; Discounts'!$B$3='A0.Support'!$B$3,'RPM &amp; Discounts'!$B$3='A0.Support'!$B$4),AI24,AI15*AI24)</f>
        <v>718.07142857142856</v>
      </c>
      <c r="AJ6" s="52">
        <f>IF(OR('RPM &amp; Discounts'!$B$3='A0.Support'!$B$3,'RPM &amp; Discounts'!$B$3='A0.Support'!$B$4),AJ24,AJ15*AJ24)</f>
        <v>850.2197142857143</v>
      </c>
      <c r="AK6" s="52">
        <f>IF(OR('RPM &amp; Discounts'!$B$3='A0.Support'!$B$3,'RPM &amp; Discounts'!$B$3='A0.Support'!$B$4),AK24,AK15*AK24)</f>
        <v>681.73714285714277</v>
      </c>
      <c r="AL6" s="52">
        <f>IF(OR('RPM &amp; Discounts'!$B$3='A0.Support'!$B$3,'RPM &amp; Discounts'!$B$3='A0.Support'!$B$4),AL24,AL15*AL24)</f>
        <v>707.24571428571426</v>
      </c>
      <c r="AM6" s="52">
        <f>IF(OR('RPM &amp; Discounts'!$B$3='A0.Support'!$B$3,'RPM &amp; Discounts'!$B$3='A0.Support'!$B$4),AM24,AM15*AM24)</f>
        <v>643.24285714285713</v>
      </c>
      <c r="AN6" s="52">
        <f>IF(OR('RPM &amp; Discounts'!$B$3='A0.Support'!$B$3,'RPM &amp; Discounts'!$B$3='A0.Support'!$B$4),AN24,AN15*AN24)</f>
        <v>628.71428571428567</v>
      </c>
      <c r="AO6" s="52">
        <f>IF(OR('RPM &amp; Discounts'!$B$3='A0.Support'!$B$3,'RPM &amp; Discounts'!$B$3='A0.Support'!$B$4),AO24,AO15*AO24)</f>
        <v>593.58857142857141</v>
      </c>
      <c r="AP6" s="52">
        <f>IF(OR('RPM &amp; Discounts'!$B$3='A0.Support'!$B$3,'RPM &amp; Discounts'!$B$3='A0.Support'!$B$4),AP24,AP15*AP24)</f>
        <v>575.33142857142855</v>
      </c>
      <c r="AQ6" s="52">
        <f>IF(OR('RPM &amp; Discounts'!$B$3='A0.Support'!$B$3,'RPM &amp; Discounts'!$B$3='A0.Support'!$B$4),AQ24,AQ15*AQ24)</f>
        <v>562.88571428571424</v>
      </c>
      <c r="AR6" s="52">
        <f>IF(OR('RPM &amp; Discounts'!$B$3='A0.Support'!$B$3,'RPM &amp; Discounts'!$B$3='A0.Support'!$B$4),AR24,AR15*AR24)</f>
        <v>550.0542857142857</v>
      </c>
      <c r="AS6" s="52">
        <f>IF(OR('RPM &amp; Discounts'!$B$3='A0.Support'!$B$3,'RPM &amp; Discounts'!$B$3='A0.Support'!$B$4),AS24,AS15*AS24)</f>
        <v>508.06285714285713</v>
      </c>
      <c r="AT6" s="52">
        <f>IF(OR('RPM &amp; Discounts'!$B$3='A0.Support'!$B$3,'RPM &amp; Discounts'!$B$3='A0.Support'!$B$4),AT24,AT15*AT24)</f>
        <v>489.85714285714283</v>
      </c>
      <c r="AU6" s="52">
        <f>IF(OR('RPM &amp; Discounts'!$B$3='A0.Support'!$B$3,'RPM &amp; Discounts'!$B$3='A0.Support'!$B$4),AU24,AU15*AU24)</f>
        <v>493.61399999999998</v>
      </c>
      <c r="AV6" s="52">
        <f>IF(OR('RPM &amp; Discounts'!$B$3='A0.Support'!$B$3,'RPM &amp; Discounts'!$B$3='A0.Support'!$B$4),AV24,AV15*AV24)</f>
        <v>493.61142857142852</v>
      </c>
      <c r="AW6" s="52">
        <f>IF(OR('RPM &amp; Discounts'!$B$3='A0.Support'!$B$3,'RPM &amp; Discounts'!$B$3='A0.Support'!$B$4),AW24,AW15*AW24)</f>
        <v>445.26857142857136</v>
      </c>
      <c r="AX6" s="52">
        <f>IF(OR('RPM &amp; Discounts'!$B$3='A0.Support'!$B$3,'RPM &amp; Discounts'!$B$3='A0.Support'!$B$4),AX24,AX15*AX24)</f>
        <v>422.74542857142853</v>
      </c>
      <c r="AY6" s="52">
        <f>IF(OR('RPM &amp; Discounts'!$B$3='A0.Support'!$B$3,'RPM &amp; Discounts'!$B$3='A0.Support'!$B$4),AY24,AY15*AY24)</f>
        <v>422.74285714285713</v>
      </c>
      <c r="AZ6" s="52">
        <f>IF(OR('RPM &amp; Discounts'!$B$3='A0.Support'!$B$3,'RPM &amp; Discounts'!$B$3='A0.Support'!$B$4),AZ24,AZ15*AZ24)</f>
        <v>388.9028571428571</v>
      </c>
      <c r="BA6" s="52">
        <f>IF(OR('RPM &amp; Discounts'!$B$3='A0.Support'!$B$3,'RPM &amp; Discounts'!$B$3='A0.Support'!$B$4),BA24,BA15*BA24)</f>
        <v>343.74857142857144</v>
      </c>
      <c r="BB6" s="52">
        <f>IF(OR('RPM &amp; Discounts'!$B$3='A0.Support'!$B$3,'RPM &amp; Discounts'!$B$3='A0.Support'!$B$4),BB24,BB15*BB24)</f>
        <v>350.15142857142848</v>
      </c>
      <c r="BC6" s="52">
        <f>IF(OR('RPM &amp; Discounts'!$B$3='A0.Support'!$B$3,'RPM &amp; Discounts'!$B$3='A0.Support'!$B$4),BC24,BC15*BC24)</f>
        <v>343.10571428571427</v>
      </c>
      <c r="BD6" s="52">
        <f>IF(OR('RPM &amp; Discounts'!$B$3='A0.Support'!$B$3,'RPM &amp; Discounts'!$B$3='A0.Support'!$B$4),BD24,BD15*BD24)</f>
        <v>337.78285714285715</v>
      </c>
      <c r="BE6" s="52">
        <f>IF(OR('RPM &amp; Discounts'!$B$3='A0.Support'!$B$3,'RPM &amp; Discounts'!$B$3='A0.Support'!$B$4),BE24,BE15*BE24)</f>
        <v>285.37714285714281</v>
      </c>
      <c r="BF6" s="52">
        <f>IF(OR('RPM &amp; Discounts'!$B$3='A0.Support'!$B$3,'RPM &amp; Discounts'!$B$3='A0.Support'!$B$4),BF24,BF15*BF24)</f>
        <v>260.97428571428566</v>
      </c>
      <c r="BG6" s="52">
        <f>IF(OR('RPM &amp; Discounts'!$B$3='A0.Support'!$B$3,'RPM &amp; Discounts'!$B$3='A0.Support'!$B$4),BG24,BG15*BG24)</f>
        <v>302.5542857142857</v>
      </c>
      <c r="BH6" s="52">
        <f>IF(OR('RPM &amp; Discounts'!$B$3='A0.Support'!$B$3,'RPM &amp; Discounts'!$B$3='A0.Support'!$B$4),BH24,BH15*BH24)</f>
        <v>234.48857142857139</v>
      </c>
      <c r="BI6" s="52">
        <f>IF(OR('RPM &amp; Discounts'!$B$3='A0.Support'!$B$3,'RPM &amp; Discounts'!$B$3='A0.Support'!$B$4),BI24,BI15*BI24)</f>
        <v>211.11428571428567</v>
      </c>
      <c r="BJ6" s="52">
        <f>IF(OR('RPM &amp; Discounts'!$B$3='A0.Support'!$B$3,'RPM &amp; Discounts'!$B$3='A0.Support'!$B$4),BJ24,BJ15*BJ24)</f>
        <v>208.20857142857142</v>
      </c>
      <c r="BK6" s="52">
        <f>IF(OR('RPM &amp; Discounts'!$B$3='A0.Support'!$B$3,'RPM &amp; Discounts'!$B$3='A0.Support'!$B$4),BK24,BK15*BK24)</f>
        <v>154.51714285714286</v>
      </c>
      <c r="BL6" s="52">
        <f>IF(OR('RPM &amp; Discounts'!$B$3='A0.Support'!$B$3,'RPM &amp; Discounts'!$B$3='A0.Support'!$B$4),BL24,BL15*BL24)</f>
        <v>184.32</v>
      </c>
      <c r="BM6" s="52">
        <f>IF(OR('RPM &amp; Discounts'!$B$3='A0.Support'!$B$3,'RPM &amp; Discounts'!$B$3='A0.Support'!$B$4),BM24,BM15*BM24)</f>
        <v>89.022857142857134</v>
      </c>
      <c r="BN6" s="52">
        <f>IF(OR('RPM &amp; Discounts'!$B$3='A0.Support'!$B$3,'RPM &amp; Discounts'!$B$3='A0.Support'!$B$4),BN24,BN15*BN24)</f>
        <v>12.29142857142857</v>
      </c>
      <c r="BO6" s="52">
        <f>IF(OR('RPM &amp; Discounts'!$B$3='A0.Support'!$B$3,'RPM &amp; Discounts'!$B$3='A0.Support'!$B$4),BO24,BO15*BO24)</f>
        <v>1308.1114285714284</v>
      </c>
      <c r="BP6" s="52">
        <f>IF(OR('RPM &amp; Discounts'!$B$3='A0.Support'!$B$3,'RPM &amp; Discounts'!$B$3='A0.Support'!$B$4),BP24,BP15*BP24)</f>
        <v>1042.2771428571427</v>
      </c>
      <c r="BQ6" s="52">
        <f>IF(OR('RPM &amp; Discounts'!$B$3='A0.Support'!$B$3,'RPM &amp; Discounts'!$B$3='A0.Support'!$B$4),BQ24,BQ15*BQ24)</f>
        <v>984.18857142857132</v>
      </c>
      <c r="BR6" s="52">
        <f>IF(OR('RPM &amp; Discounts'!$B$3='A0.Support'!$B$3,'RPM &amp; Discounts'!$B$3='A0.Support'!$B$4),BR24,BR15*BR24)</f>
        <v>997.19999999999993</v>
      </c>
      <c r="BS6" s="52">
        <f>IF(OR('RPM &amp; Discounts'!$B$3='A0.Support'!$B$3,'RPM &amp; Discounts'!$B$3='A0.Support'!$B$4),BS24,BS15*BS24)</f>
        <v>933.04285714285709</v>
      </c>
      <c r="BT6" s="52">
        <f>IF(OR('RPM &amp; Discounts'!$B$3='A0.Support'!$B$3,'RPM &amp; Discounts'!$B$3='A0.Support'!$B$4),BT24,BT15*BT24)</f>
        <v>886.29428571428571</v>
      </c>
      <c r="BU6" s="52">
        <f>IF(OR('RPM &amp; Discounts'!$B$3='A0.Support'!$B$3,'RPM &amp; Discounts'!$B$3='A0.Support'!$B$4),BU24,BU15*BU24)</f>
        <v>837.33428571428567</v>
      </c>
      <c r="BV6" s="52">
        <f>IF(OR('RPM &amp; Discounts'!$B$3='A0.Support'!$B$3,'RPM &amp; Discounts'!$B$3='A0.Support'!$B$4),BV24,BV15*BV24)</f>
        <v>751.88571428571413</v>
      </c>
      <c r="BW6" s="52">
        <f>IF(OR('RPM &amp; Discounts'!$B$3='A0.Support'!$B$3,'RPM &amp; Discounts'!$B$3='A0.Support'!$B$4),BW24,BW15*BW24)</f>
        <v>1237.6028571428571</v>
      </c>
      <c r="BX6" s="52">
        <f>IF(OR('RPM &amp; Discounts'!$B$3='A0.Support'!$B$3,'RPM &amp; Discounts'!$B$3='A0.Support'!$B$4),BX24,BX15*BX24)</f>
        <v>1235.4942857142858</v>
      </c>
      <c r="BY6" s="52">
        <f>IF(OR('RPM &amp; Discounts'!$B$3='A0.Support'!$B$3,'RPM &amp; Discounts'!$B$3='A0.Support'!$B$4),BY24,BY15*BY24)</f>
        <v>1171.542857142857</v>
      </c>
      <c r="BZ6" s="52">
        <f>IF(OR('RPM &amp; Discounts'!$B$3='A0.Support'!$B$3,'RPM &amp; Discounts'!$B$3='A0.Support'!$B$4),BZ24,BZ15*BZ24)</f>
        <v>1050.4285714285713</v>
      </c>
      <c r="CA6" s="52">
        <f>IF(OR('RPM &amp; Discounts'!$B$3='A0.Support'!$B$3,'RPM &amp; Discounts'!$B$3='A0.Support'!$B$4),CA24,CA15*CA24)</f>
        <v>1022.7085714285714</v>
      </c>
      <c r="CB6" s="52">
        <f>IF(OR('RPM &amp; Discounts'!$B$3='A0.Support'!$B$3,'RPM &amp; Discounts'!$B$3='A0.Support'!$B$4),CB24,CB15*CB24)</f>
        <v>921.06</v>
      </c>
      <c r="CC6" s="52">
        <f>IF(OR('RPM &amp; Discounts'!$B$3='A0.Support'!$B$3,'RPM &amp; Discounts'!$B$3='A0.Support'!$B$4),CC24,CC15*CC24)</f>
        <v>608.5542857142857</v>
      </c>
      <c r="CD6" s="52">
        <f>IF(OR('RPM &amp; Discounts'!$B$3='A0.Support'!$B$3,'RPM &amp; Discounts'!$B$3='A0.Support'!$B$4),CD24,CD15*CD24)</f>
        <v>633.08571428571418</v>
      </c>
      <c r="CE6" s="52">
        <f>IF(OR('RPM &amp; Discounts'!$B$3='A0.Support'!$B$3,'RPM &amp; Discounts'!$B$3='A0.Support'!$B$4),CE24,CE15*CE24)</f>
        <v>662.14285714285711</v>
      </c>
      <c r="CF6" s="52">
        <f>IF(OR('RPM &amp; Discounts'!$B$3='A0.Support'!$B$3,'RPM &amp; Discounts'!$B$3='A0.Support'!$B$4),CF24,CF15*CF24)</f>
        <v>719.28</v>
      </c>
      <c r="CG6" s="52">
        <f>IF(OR('RPM &amp; Discounts'!$B$3='A0.Support'!$B$3,'RPM &amp; Discounts'!$B$3='A0.Support'!$B$4),CG24,CG15*CG24)</f>
        <v>724.7828571428571</v>
      </c>
      <c r="CH6" s="52">
        <f>IF(OR('RPM &amp; Discounts'!$B$3='A0.Support'!$B$3,'RPM &amp; Discounts'!$B$3='A0.Support'!$B$4),CH24,CH15*CH24)</f>
        <v>1202.5285714285712</v>
      </c>
      <c r="CI6" s="52">
        <f>IF(OR('RPM &amp; Discounts'!$B$3='A0.Support'!$B$3,'RPM &amp; Discounts'!$B$3='A0.Support'!$B$4),CI24,CI15*CI24)</f>
        <v>1395.0771428571427</v>
      </c>
      <c r="CJ6" s="52">
        <f>IF(OR('RPM &amp; Discounts'!$B$3='A0.Support'!$B$3,'RPM &amp; Discounts'!$B$3='A0.Support'!$B$4),CJ24,CJ15*CJ24)</f>
        <v>1395.0797142857141</v>
      </c>
      <c r="CK6" s="52">
        <f>IF(OR('RPM &amp; Discounts'!$B$3='A0.Support'!$B$3,'RPM &amp; Discounts'!$B$3='A0.Support'!$B$4),CK24,CK15*CK24)</f>
        <v>1398.4739999999999</v>
      </c>
      <c r="CL6" s="52">
        <f>IF(OR('RPM &amp; Discounts'!$B$3='A0.Support'!$B$3,'RPM &amp; Discounts'!$B$3='A0.Support'!$B$4),CL24,CL15*CL24)</f>
        <v>1395.0797142857141</v>
      </c>
      <c r="CM6" s="52">
        <f>IF(OR('RPM &amp; Discounts'!$B$3='A0.Support'!$B$3,'RPM &amp; Discounts'!$B$3='A0.Support'!$B$4),CM24,CM15*CM24)</f>
        <v>1413.3085714285712</v>
      </c>
    </row>
    <row r="7" spans="2:91" x14ac:dyDescent="0.3">
      <c r="B7" s="14" t="str">
        <f>'Input capacity'!B9</f>
        <v>LNG Terminal Sines</v>
      </c>
      <c r="C7" s="52">
        <f>IF(OR('RPM &amp; Discounts'!$B$3='A0.Support'!$B$3,'RPM &amp; Discounts'!$B$3='A0.Support'!$B$4),C25,C16*C25)</f>
        <v>481.59199999999998</v>
      </c>
      <c r="D7" s="52">
        <f>IF(OR('RPM &amp; Discounts'!$B$3='A0.Support'!$B$3,'RPM &amp; Discounts'!$B$3='A0.Support'!$B$4),D25,D16*D25)</f>
        <v>549.62099999999998</v>
      </c>
      <c r="E7" s="52">
        <f>IF(OR('RPM &amp; Discounts'!$B$3='A0.Support'!$B$3,'RPM &amp; Discounts'!$B$3='A0.Support'!$B$4),E25,E16*E25)</f>
        <v>0</v>
      </c>
      <c r="F7" s="52">
        <f>IF(OR('RPM &amp; Discounts'!$B$3='A0.Support'!$B$3,'RPM &amp; Discounts'!$B$3='A0.Support'!$B$4),F25,F16*F25)</f>
        <v>280.19200000000001</v>
      </c>
      <c r="G7" s="52">
        <f>IF(OR('RPM &amp; Discounts'!$B$3='A0.Support'!$B$3,'RPM &amp; Discounts'!$B$3='A0.Support'!$B$4),G25,G16*G25)</f>
        <v>224.51400000000001</v>
      </c>
      <c r="H7" s="52">
        <f>IF(OR('RPM &amp; Discounts'!$B$3='A0.Support'!$B$3,'RPM &amp; Discounts'!$B$3='A0.Support'!$B$4),H25,H16*H25)</f>
        <v>291.8365714285714</v>
      </c>
      <c r="I7" s="52">
        <f>IF(OR('RPM &amp; Discounts'!$B$3='A0.Support'!$B$3,'RPM &amp; Discounts'!$B$3='A0.Support'!$B$4),I25,I16*I25)</f>
        <v>270.46542857142856</v>
      </c>
      <c r="J7" s="52">
        <f>IF(OR('RPM &amp; Discounts'!$B$3='A0.Support'!$B$3,'RPM &amp; Discounts'!$B$3='A0.Support'!$B$4),J25,J16*J25)</f>
        <v>291.83399999999995</v>
      </c>
      <c r="K7" s="52">
        <f>IF(OR('RPM &amp; Discounts'!$B$3='A0.Support'!$B$3,'RPM &amp; Discounts'!$B$3='A0.Support'!$B$4),K25,K16*K25)</f>
        <v>265.47685714285711</v>
      </c>
      <c r="L7" s="52">
        <f>IF(OR('RPM &amp; Discounts'!$B$3='A0.Support'!$B$3,'RPM &amp; Discounts'!$B$3='A0.Support'!$B$4),L25,L16*L25)</f>
        <v>297.33685714285713</v>
      </c>
      <c r="M7" s="52">
        <f>IF(OR('RPM &amp; Discounts'!$B$3='A0.Support'!$B$3,'RPM &amp; Discounts'!$B$3='A0.Support'!$B$4),M25,M16*M25)</f>
        <v>307.93114285714285</v>
      </c>
      <c r="N7" s="52">
        <f>IF(OR('RPM &amp; Discounts'!$B$3='A0.Support'!$B$3,'RPM &amp; Discounts'!$B$3='A0.Support'!$B$4),N25,N16*N25)</f>
        <v>340.27971428571425</v>
      </c>
      <c r="O7" s="52">
        <f>IF(OR('RPM &amp; Discounts'!$B$3='A0.Support'!$B$3,'RPM &amp; Discounts'!$B$3='A0.Support'!$B$4),O25,O16*O25)</f>
        <v>372.31971428571421</v>
      </c>
      <c r="P7" s="52">
        <f>IF(OR('RPM &amp; Discounts'!$B$3='A0.Support'!$B$3,'RPM &amp; Discounts'!$B$3='A0.Support'!$B$4),P25,P16*P25)</f>
        <v>466.9508571428571</v>
      </c>
      <c r="Q7" s="52">
        <f>IF(OR('RPM &amp; Discounts'!$B$3='A0.Support'!$B$3,'RPM &amp; Discounts'!$B$3='A0.Support'!$B$4),Q25,Q16*Q25)</f>
        <v>382.37399999999997</v>
      </c>
      <c r="R7" s="52">
        <f>IF(OR('RPM &amp; Discounts'!$B$3='A0.Support'!$B$3,'RPM &amp; Discounts'!$B$3='A0.Support'!$B$4),R25,R16*R25)</f>
        <v>435.81085714285712</v>
      </c>
      <c r="S7" s="52">
        <f>IF(OR('RPM &amp; Discounts'!$B$3='A0.Support'!$B$3,'RPM &amp; Discounts'!$B$3='A0.Support'!$B$4),S25,S16*S25)</f>
        <v>453.22199999999992</v>
      </c>
      <c r="T7" s="52">
        <f>IF(OR('RPM &amp; Discounts'!$B$3='A0.Support'!$B$3,'RPM &amp; Discounts'!$B$3='A0.Support'!$B$4),T25,T16*T25)</f>
        <v>388.26257142857145</v>
      </c>
      <c r="U7" s="52">
        <f>IF(OR('RPM &amp; Discounts'!$B$3='A0.Support'!$B$3,'RPM &amp; Discounts'!$B$3='A0.Support'!$B$4),U25,U16*U25)</f>
        <v>382.37657142857137</v>
      </c>
      <c r="V7" s="52">
        <f>IF(OR('RPM &amp; Discounts'!$B$3='A0.Support'!$B$3,'RPM &amp; Discounts'!$B$3='A0.Support'!$B$4),V25,V16*V25)</f>
        <v>453.21942857142852</v>
      </c>
      <c r="W7" s="52">
        <f>IF(OR('RPM &amp; Discounts'!$B$3='A0.Support'!$B$3,'RPM &amp; Discounts'!$B$3='A0.Support'!$B$4),W25,W16*W25)</f>
        <v>452.72828571428568</v>
      </c>
      <c r="X7" s="52">
        <f>IF(OR('RPM &amp; Discounts'!$B$3='A0.Support'!$B$3,'RPM &amp; Discounts'!$B$3='A0.Support'!$B$4),X25,X16*X25)</f>
        <v>423.33685714285713</v>
      </c>
      <c r="Y7" s="52">
        <f>IF(OR('RPM &amp; Discounts'!$B$3='A0.Support'!$B$3,'RPM &amp; Discounts'!$B$3='A0.Support'!$B$4),Y25,Y16*Y25)</f>
        <v>484.35942857142851</v>
      </c>
      <c r="Z7" s="52">
        <f>IF(OR('RPM &amp; Discounts'!$B$3='A0.Support'!$B$3,'RPM &amp; Discounts'!$B$3='A0.Support'!$B$4),Z25,Z16*Z25)</f>
        <v>484.35685714285705</v>
      </c>
      <c r="AA7" s="52">
        <f>IF(OR('RPM &amp; Discounts'!$B$3='A0.Support'!$B$3,'RPM &amp; Discounts'!$B$3='A0.Support'!$B$4),AA25,AA16*AA25)</f>
        <v>486.59399999999994</v>
      </c>
      <c r="AB7" s="52">
        <f>IF(OR('RPM &amp; Discounts'!$B$3='A0.Support'!$B$3,'RPM &amp; Discounts'!$B$3='A0.Support'!$B$4),AB25,AB16*AB25)</f>
        <v>573.86828571428566</v>
      </c>
      <c r="AC7" s="52">
        <f>IF(OR('RPM &amp; Discounts'!$B$3='A0.Support'!$B$3,'RPM &amp; Discounts'!$B$3='A0.Support'!$B$4),AC25,AC16*AC25)</f>
        <v>606.47399999999993</v>
      </c>
      <c r="AD7" s="52">
        <f>IF(OR('RPM &amp; Discounts'!$B$3='A0.Support'!$B$3,'RPM &amp; Discounts'!$B$3='A0.Support'!$B$4),AD25,AD16*AD25)</f>
        <v>623.36828571428566</v>
      </c>
      <c r="AE7" s="52">
        <f>IF(OR('RPM &amp; Discounts'!$B$3='A0.Support'!$B$3,'RPM &amp; Discounts'!$B$3='A0.Support'!$B$4),AE25,AE16*AE25)</f>
        <v>720.49114285714268</v>
      </c>
      <c r="AF7" s="52">
        <f>IF(OR('RPM &amp; Discounts'!$B$3='A0.Support'!$B$3,'RPM &amp; Discounts'!$B$3='A0.Support'!$B$4),AF25,AF16*AF25)</f>
        <v>745.97399999999993</v>
      </c>
      <c r="AG7" s="52">
        <f>IF(OR('RPM &amp; Discounts'!$B$3='A0.Support'!$B$3,'RPM &amp; Discounts'!$B$3='A0.Support'!$B$4),AG25,AG16*AG25)</f>
        <v>746.25685714285714</v>
      </c>
      <c r="AH7" s="52">
        <f>IF(OR('RPM &amp; Discounts'!$B$3='A0.Support'!$B$3,'RPM &amp; Discounts'!$B$3='A0.Support'!$B$4),AH25,AH16*AH25)</f>
        <v>779.86542857142854</v>
      </c>
      <c r="AI7" s="52">
        <f>IF(OR('RPM &amp; Discounts'!$B$3='A0.Support'!$B$3,'RPM &amp; Discounts'!$B$3='A0.Support'!$B$4),AI25,AI16*AI25)</f>
        <v>695.23971428571417</v>
      </c>
      <c r="AJ7" s="52">
        <f>IF(OR('RPM &amp; Discounts'!$B$3='A0.Support'!$B$3,'RPM &amp; Discounts'!$B$3='A0.Support'!$B$4),AJ25,AJ16*AJ25)</f>
        <v>779.86799999999982</v>
      </c>
      <c r="AK7" s="52">
        <f>IF(OR('RPM &amp; Discounts'!$B$3='A0.Support'!$B$3,'RPM &amp; Discounts'!$B$3='A0.Support'!$B$4),AK25,AK16*AK25)</f>
        <v>755.07685714285708</v>
      </c>
      <c r="AL7" s="52">
        <f>IF(OR('RPM &amp; Discounts'!$B$3='A0.Support'!$B$3,'RPM &amp; Discounts'!$B$3='A0.Support'!$B$4),AL25,AL16*AL25)</f>
        <v>780.58542857142845</v>
      </c>
      <c r="AM7" s="52">
        <f>IF(OR('RPM &amp; Discounts'!$B$3='A0.Support'!$B$3,'RPM &amp; Discounts'!$B$3='A0.Support'!$B$4),AM25,AM16*AM25)</f>
        <v>770.06828571428559</v>
      </c>
      <c r="AN7" s="52">
        <f>IF(OR('RPM &amp; Discounts'!$B$3='A0.Support'!$B$3,'RPM &amp; Discounts'!$B$3='A0.Support'!$B$4),AN25,AN16*AN25)</f>
        <v>784.59685714285706</v>
      </c>
      <c r="AO7" s="52">
        <f>IF(OR('RPM &amp; Discounts'!$B$3='A0.Support'!$B$3,'RPM &amp; Discounts'!$B$3='A0.Support'!$B$4),AO25,AO16*AO25)</f>
        <v>819.72257142857131</v>
      </c>
      <c r="AP7" s="52">
        <f>IF(OR('RPM &amp; Discounts'!$B$3='A0.Support'!$B$3,'RPM &amp; Discounts'!$B$3='A0.Support'!$B$4),AP25,AP16*AP25)</f>
        <v>837.97971428571418</v>
      </c>
      <c r="AQ7" s="52">
        <f>IF(OR('RPM &amp; Discounts'!$B$3='A0.Support'!$B$3,'RPM &amp; Discounts'!$B$3='A0.Support'!$B$4),AQ25,AQ16*AQ25)</f>
        <v>850.42542857142848</v>
      </c>
      <c r="AR7" s="52">
        <f>IF(OR('RPM &amp; Discounts'!$B$3='A0.Support'!$B$3,'RPM &amp; Discounts'!$B$3='A0.Support'!$B$4),AR25,AR16*AR25)</f>
        <v>863.25685714285714</v>
      </c>
      <c r="AS7" s="52">
        <f>IF(OR('RPM &amp; Discounts'!$B$3='A0.Support'!$B$3,'RPM &amp; Discounts'!$B$3='A0.Support'!$B$4),AS25,AS16*AS25)</f>
        <v>905.24828571428566</v>
      </c>
      <c r="AT7" s="52">
        <f>IF(OR('RPM &amp; Discounts'!$B$3='A0.Support'!$B$3,'RPM &amp; Discounts'!$B$3='A0.Support'!$B$4),AT25,AT16*AT25)</f>
        <v>923.45399999999984</v>
      </c>
      <c r="AU7" s="52">
        <f>IF(OR('RPM &amp; Discounts'!$B$3='A0.Support'!$B$3,'RPM &amp; Discounts'!$B$3='A0.Support'!$B$4),AU25,AU16*AU25)</f>
        <v>956.42228571428564</v>
      </c>
      <c r="AV7" s="52">
        <f>IF(OR('RPM &amp; Discounts'!$B$3='A0.Support'!$B$3,'RPM &amp; Discounts'!$B$3='A0.Support'!$B$4),AV25,AV16*AV25)</f>
        <v>956.41971428571412</v>
      </c>
      <c r="AW7" s="52">
        <f>IF(OR('RPM &amp; Discounts'!$B$3='A0.Support'!$B$3,'RPM &amp; Discounts'!$B$3='A0.Support'!$B$4),AW25,AW16*AW25)</f>
        <v>968.04257142857136</v>
      </c>
      <c r="AX7" s="52">
        <f>IF(OR('RPM &amp; Discounts'!$B$3='A0.Support'!$B$3,'RPM &amp; Discounts'!$B$3='A0.Support'!$B$4),AX25,AX16*AX25)</f>
        <v>990.57085714285699</v>
      </c>
      <c r="AY7" s="52">
        <f>IF(OR('RPM &amp; Discounts'!$B$3='A0.Support'!$B$3,'RPM &amp; Discounts'!$B$3='A0.Support'!$B$4),AY25,AY16*AY25)</f>
        <v>990.56828571428559</v>
      </c>
      <c r="AZ7" s="52">
        <f>IF(OR('RPM &amp; Discounts'!$B$3='A0.Support'!$B$3,'RPM &amp; Discounts'!$B$3='A0.Support'!$B$4),AZ25,AZ16*AZ25)</f>
        <v>1024.4082857142855</v>
      </c>
      <c r="BA7" s="52">
        <f>IF(OR('RPM &amp; Discounts'!$B$3='A0.Support'!$B$3,'RPM &amp; Discounts'!$B$3='A0.Support'!$B$4),BA25,BA16*BA25)</f>
        <v>1069.5625714285713</v>
      </c>
      <c r="BB7" s="52">
        <f>IF(OR('RPM &amp; Discounts'!$B$3='A0.Support'!$B$3,'RPM &amp; Discounts'!$B$3='A0.Support'!$B$4),BB25,BB16*BB25)</f>
        <v>1106.5654285714286</v>
      </c>
      <c r="BC7" s="52">
        <f>IF(OR('RPM &amp; Discounts'!$B$3='A0.Support'!$B$3,'RPM &amp; Discounts'!$B$3='A0.Support'!$B$4),BC25,BC16*BC25)</f>
        <v>1099.5197142857141</v>
      </c>
      <c r="BD7" s="52">
        <f>IF(OR('RPM &amp; Discounts'!$B$3='A0.Support'!$B$3,'RPM &amp; Discounts'!$B$3='A0.Support'!$B$4),BD25,BD16*BD25)</f>
        <v>1111.5797142857141</v>
      </c>
      <c r="BE7" s="52">
        <f>IF(OR('RPM &amp; Discounts'!$B$3='A0.Support'!$B$3,'RPM &amp; Discounts'!$B$3='A0.Support'!$B$4),BE25,BE16*BE25)</f>
        <v>1127.934</v>
      </c>
      <c r="BF7" s="52">
        <f>IF(OR('RPM &amp; Discounts'!$B$3='A0.Support'!$B$3,'RPM &amp; Discounts'!$B$3='A0.Support'!$B$4),BF25,BF16*BF25)</f>
        <v>1152.3368571428568</v>
      </c>
      <c r="BG7" s="52">
        <f>IF(OR('RPM &amp; Discounts'!$B$3='A0.Support'!$B$3,'RPM &amp; Discounts'!$B$3='A0.Support'!$B$4),BG25,BG16*BG25)</f>
        <v>1232.8482857142856</v>
      </c>
      <c r="BH7" s="52">
        <f>IF(OR('RPM &amp; Discounts'!$B$3='A0.Support'!$B$3,'RPM &amp; Discounts'!$B$3='A0.Support'!$B$4),BH25,BH16*BH25)</f>
        <v>1178.8225714285713</v>
      </c>
      <c r="BI7" s="52">
        <f>IF(OR('RPM &amp; Discounts'!$B$3='A0.Support'!$B$3,'RPM &amp; Discounts'!$B$3='A0.Support'!$B$4),BI25,BI16*BI25)</f>
        <v>1202.196857142857</v>
      </c>
      <c r="BJ7" s="52">
        <f>IF(OR('RPM &amp; Discounts'!$B$3='A0.Support'!$B$3,'RPM &amp; Discounts'!$B$3='A0.Support'!$B$4),BJ25,BJ16*BJ25)</f>
        <v>1238.5311428571429</v>
      </c>
      <c r="BK7" s="52">
        <f>IF(OR('RPM &amp; Discounts'!$B$3='A0.Support'!$B$3,'RPM &amp; Discounts'!$B$3='A0.Support'!$B$4),BK25,BK16*BK25)</f>
        <v>1258.7939999999999</v>
      </c>
      <c r="BL7" s="52">
        <f>IF(OR('RPM &amp; Discounts'!$B$3='A0.Support'!$B$3,'RPM &amp; Discounts'!$B$3='A0.Support'!$B$4),BL25,BL16*BL25)</f>
        <v>1329.6882857142855</v>
      </c>
      <c r="BM7" s="52">
        <f>IF(OR('RPM &amp; Discounts'!$B$3='A0.Support'!$B$3,'RPM &amp; Discounts'!$B$3='A0.Support'!$B$4),BM25,BM16*BM25)</f>
        <v>1324.2882857142856</v>
      </c>
      <c r="BN7" s="52">
        <f>IF(OR('RPM &amp; Discounts'!$B$3='A0.Support'!$B$3,'RPM &amp; Discounts'!$B$3='A0.Support'!$B$4),BN25,BN16*BN25)</f>
        <v>1401.0197142857141</v>
      </c>
      <c r="BO7" s="52">
        <f>IF(OR('RPM &amp; Discounts'!$B$3='A0.Support'!$B$3,'RPM &amp; Discounts'!$B$3='A0.Support'!$B$4),BO25,BO16*BO25)</f>
        <v>1237.7597142857142</v>
      </c>
      <c r="BP7" s="52">
        <f>IF(OR('RPM &amp; Discounts'!$B$3='A0.Support'!$B$3,'RPM &amp; Discounts'!$B$3='A0.Support'!$B$4),BP25,BP16*BP25)</f>
        <v>971.92542857142848</v>
      </c>
      <c r="BQ7" s="52">
        <f>IF(OR('RPM &amp; Discounts'!$B$3='A0.Support'!$B$3,'RPM &amp; Discounts'!$B$3='A0.Support'!$B$4),BQ25,BQ16*BQ25)</f>
        <v>913.83685714285696</v>
      </c>
      <c r="BR7" s="52">
        <f>IF(OR('RPM &amp; Discounts'!$B$3='A0.Support'!$B$3,'RPM &amp; Discounts'!$B$3='A0.Support'!$B$4),BR25,BR16*BR25)</f>
        <v>926.84828571428557</v>
      </c>
      <c r="BS7" s="52">
        <f>IF(OR('RPM &amp; Discounts'!$B$3='A0.Support'!$B$3,'RPM &amp; Discounts'!$B$3='A0.Support'!$B$4),BS25,BS16*BS25)</f>
        <v>862.69114285714272</v>
      </c>
      <c r="BT7" s="52">
        <f>IF(OR('RPM &amp; Discounts'!$B$3='A0.Support'!$B$3,'RPM &amp; Discounts'!$B$3='A0.Support'!$B$4),BT25,BT16*BT25)</f>
        <v>815.94257142857134</v>
      </c>
      <c r="BU7" s="52">
        <f>IF(OR('RPM &amp; Discounts'!$B$3='A0.Support'!$B$3,'RPM &amp; Discounts'!$B$3='A0.Support'!$B$4),BU25,BU16*BU25)</f>
        <v>766.98257142857142</v>
      </c>
      <c r="BV7" s="52">
        <f>IF(OR('RPM &amp; Discounts'!$B$3='A0.Support'!$B$3,'RPM &amp; Discounts'!$B$3='A0.Support'!$B$4),BV25,BV16*BV25)</f>
        <v>681.53399999999988</v>
      </c>
      <c r="BW7" s="52">
        <f>IF(OR('RPM &amp; Discounts'!$B$3='A0.Support'!$B$3,'RPM &amp; Discounts'!$B$3='A0.Support'!$B$4),BW25,BW16*BW25)</f>
        <v>1167.2511428571427</v>
      </c>
      <c r="BX7" s="52">
        <f>IF(OR('RPM &amp; Discounts'!$B$3='A0.Support'!$B$3,'RPM &amp; Discounts'!$B$3='A0.Support'!$B$4),BX25,BX16*BX25)</f>
        <v>1269.7482857142857</v>
      </c>
      <c r="BY7" s="52">
        <f>IF(OR('RPM &amp; Discounts'!$B$3='A0.Support'!$B$3,'RPM &amp; Discounts'!$B$3='A0.Support'!$B$4),BY25,BY16*BY25)</f>
        <v>1333.699714285714</v>
      </c>
      <c r="BZ7" s="52">
        <f>IF(OR('RPM &amp; Discounts'!$B$3='A0.Support'!$B$3,'RPM &amp; Discounts'!$B$3='A0.Support'!$B$4),BZ25,BZ16*BZ25)</f>
        <v>1363.6311428571428</v>
      </c>
      <c r="CA7" s="52">
        <f>IF(OR('RPM &amp; Discounts'!$B$3='A0.Support'!$B$3,'RPM &amp; Discounts'!$B$3='A0.Support'!$B$4),CA25,CA16*CA25)</f>
        <v>1335.9111428571425</v>
      </c>
      <c r="CB7" s="52">
        <f>IF(OR('RPM &amp; Discounts'!$B$3='A0.Support'!$B$3,'RPM &amp; Discounts'!$B$3='A0.Support'!$B$4),CB25,CB16*CB25)</f>
        <v>1234.2625714285712</v>
      </c>
      <c r="CC7" s="52">
        <f>IF(OR('RPM &amp; Discounts'!$B$3='A0.Support'!$B$3,'RPM &amp; Discounts'!$B$3='A0.Support'!$B$4),CC25,CC16*CC25)</f>
        <v>921.75685714285703</v>
      </c>
      <c r="CD7" s="52">
        <f>IF(OR('RPM &amp; Discounts'!$B$3='A0.Support'!$B$3,'RPM &amp; Discounts'!$B$3='A0.Support'!$B$4),CD25,CD16*CD25)</f>
        <v>946.28828571428551</v>
      </c>
      <c r="CE7" s="52">
        <f>IF(OR('RPM &amp; Discounts'!$B$3='A0.Support'!$B$3,'RPM &amp; Discounts'!$B$3='A0.Support'!$B$4),CE25,CE16*CE25)</f>
        <v>975.34542857142844</v>
      </c>
      <c r="CF7" s="52">
        <f>IF(OR('RPM &amp; Discounts'!$B$3='A0.Support'!$B$3,'RPM &amp; Discounts'!$B$3='A0.Support'!$B$4),CF25,CF16*CF25)</f>
        <v>1032.4825714285714</v>
      </c>
      <c r="CG7" s="52">
        <f>IF(OR('RPM &amp; Discounts'!$B$3='A0.Support'!$B$3,'RPM &amp; Discounts'!$B$3='A0.Support'!$B$4),CG25,CG16*CG25)</f>
        <v>1037.9854285714284</v>
      </c>
      <c r="CH7" s="52">
        <f>IF(OR('RPM &amp; Discounts'!$B$3='A0.Support'!$B$3,'RPM &amp; Discounts'!$B$3='A0.Support'!$B$4),CH25,CH16*CH25)</f>
        <v>210.78257142857143</v>
      </c>
      <c r="CI7" s="52">
        <f>IF(OR('RPM &amp; Discounts'!$B$3='A0.Support'!$B$3,'RPM &amp; Discounts'!$B$3='A0.Support'!$B$4),CI25,CI16*CI25)</f>
        <v>18.233999999999998</v>
      </c>
      <c r="CJ7" s="52">
        <f>IF(OR('RPM &amp; Discounts'!$B$3='A0.Support'!$B$3,'RPM &amp; Discounts'!$B$3='A0.Support'!$B$4),CJ25,CJ16*CJ25)</f>
        <v>18.236571428571427</v>
      </c>
      <c r="CK7" s="52">
        <f>IF(OR('RPM &amp; Discounts'!$B$3='A0.Support'!$B$3,'RPM &amp; Discounts'!$B$3='A0.Support'!$B$4),CK25,CK16*CK25)</f>
        <v>21.630857142857142</v>
      </c>
      <c r="CL7" s="52">
        <f>IF(OR('RPM &amp; Discounts'!$B$3='A0.Support'!$B$3,'RPM &amp; Discounts'!$B$3='A0.Support'!$B$4),CL25,CL16*CL25)</f>
        <v>18.236571428571427</v>
      </c>
      <c r="CM7" s="52">
        <f>IF(OR('RPM &amp; Discounts'!$B$3='A0.Support'!$B$3,'RPM &amp; Discounts'!$B$3='A0.Support'!$B$4),CM25,CM16*CM25)</f>
        <v>2.5714285714282885E-3</v>
      </c>
    </row>
    <row r="8" spans="2:91" x14ac:dyDescent="0.3">
      <c r="B8" s="14" t="str">
        <f>'Input capacity'!B10</f>
        <v>Underground storage Carriço</v>
      </c>
      <c r="C8" s="52">
        <f>IF(OR('RPM &amp; Discounts'!$B$3='A0.Support'!$B$3,'RPM &amp; Discounts'!$B$3='A0.Support'!$B$4),C26,C17*C26)</f>
        <v>239.52199999999999</v>
      </c>
      <c r="D8" s="52">
        <f>IF(OR('RPM &amp; Discounts'!$B$3='A0.Support'!$B$3,'RPM &amp; Discounts'!$B$3='A0.Support'!$B$4),D26,D17*D26)</f>
        <v>307.55099999999999</v>
      </c>
      <c r="E8" s="52">
        <f>IF(OR('RPM &amp; Discounts'!$B$3='A0.Support'!$B$3,'RPM &amp; Discounts'!$B$3='A0.Support'!$B$4),E26,E17*E26)</f>
        <v>280.19200000000001</v>
      </c>
      <c r="F8" s="52">
        <f>IF(OR('RPM &amp; Discounts'!$B$3='A0.Support'!$B$3,'RPM &amp; Discounts'!$B$3='A0.Support'!$B$4),F26,F17*F26)</f>
        <v>0</v>
      </c>
      <c r="G8" s="52">
        <f>IF(OR('RPM &amp; Discounts'!$B$3='A0.Support'!$B$3,'RPM &amp; Discounts'!$B$3='A0.Support'!$B$4),G26,G17*G26)</f>
        <v>495.97971428571424</v>
      </c>
      <c r="H8" s="52">
        <f>IF(OR('RPM &amp; Discounts'!$B$3='A0.Support'!$B$3,'RPM &amp; Discounts'!$B$3='A0.Support'!$B$4),H26,H17*H26)</f>
        <v>529.41085714285714</v>
      </c>
      <c r="I8" s="52">
        <f>IF(OR('RPM &amp; Discounts'!$B$3='A0.Support'!$B$3,'RPM &amp; Discounts'!$B$3='A0.Support'!$B$4),I26,I17*I26)</f>
        <v>508.03971428571424</v>
      </c>
      <c r="J8" s="52">
        <f>IF(OR('RPM &amp; Discounts'!$B$3='A0.Support'!$B$3,'RPM &amp; Discounts'!$B$3='A0.Support'!$B$4),J26,J17*J26)</f>
        <v>529.40828571428563</v>
      </c>
      <c r="K8" s="52">
        <f>IF(OR('RPM &amp; Discounts'!$B$3='A0.Support'!$B$3,'RPM &amp; Discounts'!$B$3='A0.Support'!$B$4),K26,K17*K26)</f>
        <v>455.01685714285708</v>
      </c>
      <c r="L8" s="52">
        <f>IF(OR('RPM &amp; Discounts'!$B$3='A0.Support'!$B$3,'RPM &amp; Discounts'!$B$3='A0.Support'!$B$4),L26,L17*L26)</f>
        <v>423.15685714285712</v>
      </c>
      <c r="M8" s="52">
        <f>IF(OR('RPM &amp; Discounts'!$B$3='A0.Support'!$B$3,'RPM &amp; Discounts'!$B$3='A0.Support'!$B$4),M26,M17*M26)</f>
        <v>545.50542857142852</v>
      </c>
      <c r="N8" s="52">
        <f>IF(OR('RPM &amp; Discounts'!$B$3='A0.Support'!$B$3,'RPM &amp; Discounts'!$B$3='A0.Support'!$B$4),N26,N17*N26)</f>
        <v>380.21399999999994</v>
      </c>
      <c r="O8" s="52">
        <f>IF(OR('RPM &amp; Discounts'!$B$3='A0.Support'!$B$3,'RPM &amp; Discounts'!$B$3='A0.Support'!$B$4),O26,O17*O26)</f>
        <v>348.17399999999998</v>
      </c>
      <c r="P8" s="52">
        <f>IF(OR('RPM &amp; Discounts'!$B$3='A0.Support'!$B$3,'RPM &amp; Discounts'!$B$3='A0.Support'!$B$4),P26,P17*P26)</f>
        <v>423.41657142857139</v>
      </c>
      <c r="Q8" s="52">
        <f>IF(OR('RPM &amp; Discounts'!$B$3='A0.Support'!$B$3,'RPM &amp; Discounts'!$B$3='A0.Support'!$B$4),Q26,Q17*Q26)</f>
        <v>338.83971428571419</v>
      </c>
      <c r="R8" s="52">
        <f>IF(OR('RPM &amp; Discounts'!$B$3='A0.Support'!$B$3,'RPM &amp; Discounts'!$B$3='A0.Support'!$B$4),R26,R17*R26)</f>
        <v>392.27657142857134</v>
      </c>
      <c r="S8" s="52">
        <f>IF(OR('RPM &amp; Discounts'!$B$3='A0.Support'!$B$3,'RPM &amp; Discounts'!$B$3='A0.Support'!$B$4),S26,S17*S26)</f>
        <v>409.68771428571426</v>
      </c>
      <c r="T8" s="52">
        <f>IF(OR('RPM &amp; Discounts'!$B$3='A0.Support'!$B$3,'RPM &amp; Discounts'!$B$3='A0.Support'!$B$4),T26,T17*T26)</f>
        <v>332.2311428571428</v>
      </c>
      <c r="U8" s="52">
        <f>IF(OR('RPM &amp; Discounts'!$B$3='A0.Support'!$B$3,'RPM &amp; Discounts'!$B$3='A0.Support'!$B$4),U26,U17*U26)</f>
        <v>338.84228571428565</v>
      </c>
      <c r="V8" s="52">
        <f>IF(OR('RPM &amp; Discounts'!$B$3='A0.Support'!$B$3,'RPM &amp; Discounts'!$B$3='A0.Support'!$B$4),V26,V17*V26)</f>
        <v>409.68514285714281</v>
      </c>
      <c r="W8" s="52">
        <f>IF(OR('RPM &amp; Discounts'!$B$3='A0.Support'!$B$3,'RPM &amp; Discounts'!$B$3='A0.Support'!$B$4),W26,W17*W26)</f>
        <v>326.54828571428567</v>
      </c>
      <c r="X8" s="52">
        <f>IF(OR('RPM &amp; Discounts'!$B$3='A0.Support'!$B$3,'RPM &amp; Discounts'!$B$3='A0.Support'!$B$4),X26,X17*X26)</f>
        <v>297.15685714285712</v>
      </c>
      <c r="Y8" s="52">
        <f>IF(OR('RPM &amp; Discounts'!$B$3='A0.Support'!$B$3,'RPM &amp; Discounts'!$B$3='A0.Support'!$B$4),Y26,Y17*Y26)</f>
        <v>358.17942857142856</v>
      </c>
      <c r="Z8" s="52">
        <f>IF(OR('RPM &amp; Discounts'!$B$3='A0.Support'!$B$3,'RPM &amp; Discounts'!$B$3='A0.Support'!$B$4),Z26,Z17*Z26)</f>
        <v>358.1768571428571</v>
      </c>
      <c r="AA8" s="52">
        <f>IF(OR('RPM &amp; Discounts'!$B$3='A0.Support'!$B$3,'RPM &amp; Discounts'!$B$3='A0.Support'!$B$4),AA26,AA17*AA26)</f>
        <v>233.89971428571425</v>
      </c>
      <c r="AB8" s="52">
        <f>IF(OR('RPM &amp; Discounts'!$B$3='A0.Support'!$B$3,'RPM &amp; Discounts'!$B$3='A0.Support'!$B$4),AB26,AB17*AB26)</f>
        <v>146.62542857142856</v>
      </c>
      <c r="AC8" s="52">
        <f>IF(OR('RPM &amp; Discounts'!$B$3='A0.Support'!$B$3,'RPM &amp; Discounts'!$B$3='A0.Support'!$B$4),AC26,AC17*AC26)</f>
        <v>114.01971428571427</v>
      </c>
      <c r="AD8" s="52">
        <f>IF(OR('RPM &amp; Discounts'!$B$3='A0.Support'!$B$3,'RPM &amp; Discounts'!$B$3='A0.Support'!$B$4),AD26,AD17*AD26)</f>
        <v>97.125428571428557</v>
      </c>
      <c r="AE8" s="52">
        <f>IF(OR('RPM &amp; Discounts'!$B$3='A0.Support'!$B$3,'RPM &amp; Discounts'!$B$3='A0.Support'!$B$4),AE26,AE17*AE26)</f>
        <v>2.5714285714282885E-3</v>
      </c>
      <c r="AF8" s="52">
        <f>IF(OR('RPM &amp; Discounts'!$B$3='A0.Support'!$B$3,'RPM &amp; Discounts'!$B$3='A0.Support'!$B$4),AF26,AF17*AF26)</f>
        <v>25.485428571428567</v>
      </c>
      <c r="AG8" s="52">
        <f>IF(OR('RPM &amp; Discounts'!$B$3='A0.Support'!$B$3,'RPM &amp; Discounts'!$B$3='A0.Support'!$B$4),AG26,AG17*AG26)</f>
        <v>25.768285714285714</v>
      </c>
      <c r="AH8" s="52">
        <f>IF(OR('RPM &amp; Discounts'!$B$3='A0.Support'!$B$3,'RPM &amp; Discounts'!$B$3='A0.Support'!$B$4),AH26,AH17*AH26)</f>
        <v>59.376857142857141</v>
      </c>
      <c r="AI8" s="52">
        <f>IF(OR('RPM &amp; Discounts'!$B$3='A0.Support'!$B$3,'RPM &amp; Discounts'!$B$3='A0.Support'!$B$4),AI26,AI17*AI26)</f>
        <v>72.773999999999987</v>
      </c>
      <c r="AJ8" s="52">
        <f>IF(OR('RPM &amp; Discounts'!$B$3='A0.Support'!$B$3,'RPM &amp; Discounts'!$B$3='A0.Support'!$B$4),AJ26,AJ17*AJ26)</f>
        <v>59.379428571428562</v>
      </c>
      <c r="AK8" s="52">
        <f>IF(OR('RPM &amp; Discounts'!$B$3='A0.Support'!$B$3,'RPM &amp; Discounts'!$B$3='A0.Support'!$B$4),AK26,AK17*AK26)</f>
        <v>132.61114285714285</v>
      </c>
      <c r="AL8" s="52">
        <f>IF(OR('RPM &amp; Discounts'!$B$3='A0.Support'!$B$3,'RPM &amp; Discounts'!$B$3='A0.Support'!$B$4),AL26,AL17*AL26)</f>
        <v>158.11971428571428</v>
      </c>
      <c r="AM8" s="52">
        <f>IF(OR('RPM &amp; Discounts'!$B$3='A0.Support'!$B$3,'RPM &amp; Discounts'!$B$3='A0.Support'!$B$4),AM26,AM17*AM26)</f>
        <v>147.60257142857142</v>
      </c>
      <c r="AN8" s="52">
        <f>IF(OR('RPM &amp; Discounts'!$B$3='A0.Support'!$B$3,'RPM &amp; Discounts'!$B$3='A0.Support'!$B$4),AN26,AN17*AN26)</f>
        <v>162.13114285714283</v>
      </c>
      <c r="AO8" s="52">
        <f>IF(OR('RPM &amp; Discounts'!$B$3='A0.Support'!$B$3,'RPM &amp; Discounts'!$B$3='A0.Support'!$B$4),AO26,AO17*AO26)</f>
        <v>197.25685714285711</v>
      </c>
      <c r="AP8" s="52">
        <f>IF(OR('RPM &amp; Discounts'!$B$3='A0.Support'!$B$3,'RPM &amp; Discounts'!$B$3='A0.Support'!$B$4),AP26,AP17*AP26)</f>
        <v>215.51400000000001</v>
      </c>
      <c r="AQ8" s="52">
        <f>IF(OR('RPM &amp; Discounts'!$B$3='A0.Support'!$B$3,'RPM &amp; Discounts'!$B$3='A0.Support'!$B$4),AQ26,AQ17*AQ26)</f>
        <v>227.95971428571426</v>
      </c>
      <c r="AR8" s="52">
        <f>IF(OR('RPM &amp; Discounts'!$B$3='A0.Support'!$B$3,'RPM &amp; Discounts'!$B$3='A0.Support'!$B$4),AR26,AR17*AR26)</f>
        <v>240.79114285714286</v>
      </c>
      <c r="AS8" s="52">
        <f>IF(OR('RPM &amp; Discounts'!$B$3='A0.Support'!$B$3,'RPM &amp; Discounts'!$B$3='A0.Support'!$B$4),AS26,AS17*AS26)</f>
        <v>282.78257142857143</v>
      </c>
      <c r="AT8" s="52">
        <f>IF(OR('RPM &amp; Discounts'!$B$3='A0.Support'!$B$3,'RPM &amp; Discounts'!$B$3='A0.Support'!$B$4),AT26,AT17*AT26)</f>
        <v>300.98828571428567</v>
      </c>
      <c r="AU8" s="52">
        <f>IF(OR('RPM &amp; Discounts'!$B$3='A0.Support'!$B$3,'RPM &amp; Discounts'!$B$3='A0.Support'!$B$4),AU26,AU17*AU26)</f>
        <v>333.95657142857141</v>
      </c>
      <c r="AV8" s="52">
        <f>IF(OR('RPM &amp; Discounts'!$B$3='A0.Support'!$B$3,'RPM &amp; Discounts'!$B$3='A0.Support'!$B$4),AV26,AV17*AV26)</f>
        <v>333.95400000000001</v>
      </c>
      <c r="AW8" s="52">
        <f>IF(OR('RPM &amp; Discounts'!$B$3='A0.Support'!$B$3,'RPM &amp; Discounts'!$B$3='A0.Support'!$B$4),AW26,AW17*AW26)</f>
        <v>345.57685714285708</v>
      </c>
      <c r="AX8" s="52">
        <f>IF(OR('RPM &amp; Discounts'!$B$3='A0.Support'!$B$3,'RPM &amp; Discounts'!$B$3='A0.Support'!$B$4),AX26,AX17*AX26)</f>
        <v>368.10514285714277</v>
      </c>
      <c r="AY8" s="52">
        <f>IF(OR('RPM &amp; Discounts'!$B$3='A0.Support'!$B$3,'RPM &amp; Discounts'!$B$3='A0.Support'!$B$4),AY26,AY17*AY26)</f>
        <v>368.10257142857142</v>
      </c>
      <c r="AZ8" s="52">
        <f>IF(OR('RPM &amp; Discounts'!$B$3='A0.Support'!$B$3,'RPM &amp; Discounts'!$B$3='A0.Support'!$B$4),AZ26,AZ17*AZ26)</f>
        <v>401.9425714285714</v>
      </c>
      <c r="BA8" s="52">
        <f>IF(OR('RPM &amp; Discounts'!$B$3='A0.Support'!$B$3,'RPM &amp; Discounts'!$B$3='A0.Support'!$B$4),BA26,BA17*BA26)</f>
        <v>447.09685714285712</v>
      </c>
      <c r="BB8" s="52">
        <f>IF(OR('RPM &amp; Discounts'!$B$3='A0.Support'!$B$3,'RPM &amp; Discounts'!$B$3='A0.Support'!$B$4),BB26,BB17*BB26)</f>
        <v>484.09971428571424</v>
      </c>
      <c r="BC8" s="52">
        <f>IF(OR('RPM &amp; Discounts'!$B$3='A0.Support'!$B$3,'RPM &amp; Discounts'!$B$3='A0.Support'!$B$4),BC26,BC17*BC26)</f>
        <v>477.05399999999992</v>
      </c>
      <c r="BD8" s="52">
        <f>IF(OR('RPM &amp; Discounts'!$B$3='A0.Support'!$B$3,'RPM &amp; Discounts'!$B$3='A0.Support'!$B$4),BD26,BD17*BD26)</f>
        <v>489.11399999999998</v>
      </c>
      <c r="BE8" s="52">
        <f>IF(OR('RPM &amp; Discounts'!$B$3='A0.Support'!$B$3,'RPM &amp; Discounts'!$B$3='A0.Support'!$B$4),BE26,BE17*BE26)</f>
        <v>505.46828571428568</v>
      </c>
      <c r="BF8" s="52">
        <f>IF(OR('RPM &amp; Discounts'!$B$3='A0.Support'!$B$3,'RPM &amp; Discounts'!$B$3='A0.Support'!$B$4),BF26,BF17*BF26)</f>
        <v>529.87114285714279</v>
      </c>
      <c r="BG8" s="52">
        <f>IF(OR('RPM &amp; Discounts'!$B$3='A0.Support'!$B$3,'RPM &amp; Discounts'!$B$3='A0.Support'!$B$4),BG26,BG17*BG26)</f>
        <v>610.3825714285714</v>
      </c>
      <c r="BH8" s="52">
        <f>IF(OR('RPM &amp; Discounts'!$B$3='A0.Support'!$B$3,'RPM &amp; Discounts'!$B$3='A0.Support'!$B$4),BH26,BH17*BH26)</f>
        <v>556.35685714285705</v>
      </c>
      <c r="BI8" s="52">
        <f>IF(OR('RPM &amp; Discounts'!$B$3='A0.Support'!$B$3,'RPM &amp; Discounts'!$B$3='A0.Support'!$B$4),BI26,BI17*BI26)</f>
        <v>579.7311428571428</v>
      </c>
      <c r="BJ8" s="52">
        <f>IF(OR('RPM &amp; Discounts'!$B$3='A0.Support'!$B$3,'RPM &amp; Discounts'!$B$3='A0.Support'!$B$4),BJ26,BJ17*BJ26)</f>
        <v>616.06542857142847</v>
      </c>
      <c r="BK8" s="52">
        <f>IF(OR('RPM &amp; Discounts'!$B$3='A0.Support'!$B$3,'RPM &amp; Discounts'!$B$3='A0.Support'!$B$4),BK26,BK17*BK26)</f>
        <v>636.3282857142857</v>
      </c>
      <c r="BL8" s="52">
        <f>IF(OR('RPM &amp; Discounts'!$B$3='A0.Support'!$B$3,'RPM &amp; Discounts'!$B$3='A0.Support'!$B$4),BL26,BL17*BL26)</f>
        <v>707.22257142857143</v>
      </c>
      <c r="BM8" s="52">
        <f>IF(OR('RPM &amp; Discounts'!$B$3='A0.Support'!$B$3,'RPM &amp; Discounts'!$B$3='A0.Support'!$B$4),BM26,BM17*BM26)</f>
        <v>701.82257142857134</v>
      </c>
      <c r="BN8" s="52">
        <f>IF(OR('RPM &amp; Discounts'!$B$3='A0.Support'!$B$3,'RPM &amp; Discounts'!$B$3='A0.Support'!$B$4),BN26,BN17*BN26)</f>
        <v>778.55399999999997</v>
      </c>
      <c r="BO8" s="52">
        <f>IF(OR('RPM &amp; Discounts'!$B$3='A0.Support'!$B$3,'RPM &amp; Discounts'!$B$3='A0.Support'!$B$4),BO26,BO17*BO26)</f>
        <v>615.29399999999998</v>
      </c>
      <c r="BP8" s="52">
        <f>IF(OR('RPM &amp; Discounts'!$B$3='A0.Support'!$B$3,'RPM &amp; Discounts'!$B$3='A0.Support'!$B$4),BP26,BP17*BP26)</f>
        <v>349.45971428571426</v>
      </c>
      <c r="BQ8" s="52">
        <f>IF(OR('RPM &amp; Discounts'!$B$3='A0.Support'!$B$3,'RPM &amp; Discounts'!$B$3='A0.Support'!$B$4),BQ26,BQ17*BQ26)</f>
        <v>291.37114285714284</v>
      </c>
      <c r="BR8" s="52">
        <f>IF(OR('RPM &amp; Discounts'!$B$3='A0.Support'!$B$3,'RPM &amp; Discounts'!$B$3='A0.Support'!$B$4),BR26,BR17*BR26)</f>
        <v>304.3825714285714</v>
      </c>
      <c r="BS8" s="52">
        <f>IF(OR('RPM &amp; Discounts'!$B$3='A0.Support'!$B$3,'RPM &amp; Discounts'!$B$3='A0.Support'!$B$4),BS26,BS17*BS26)</f>
        <v>240.22542857142855</v>
      </c>
      <c r="BT8" s="52">
        <f>IF(OR('RPM &amp; Discounts'!$B$3='A0.Support'!$B$3,'RPM &amp; Discounts'!$B$3='A0.Support'!$B$4),BT26,BT17*BT26)</f>
        <v>193.47685714285711</v>
      </c>
      <c r="BU8" s="52">
        <f>IF(OR('RPM &amp; Discounts'!$B$3='A0.Support'!$B$3,'RPM &amp; Discounts'!$B$3='A0.Support'!$B$4),BU26,BU17*BU26)</f>
        <v>144.51685714285713</v>
      </c>
      <c r="BV8" s="52">
        <f>IF(OR('RPM &amp; Discounts'!$B$3='A0.Support'!$B$3,'RPM &amp; Discounts'!$B$3='A0.Support'!$B$4),BV26,BV17*BV26)</f>
        <v>59.068285714285707</v>
      </c>
      <c r="BW8" s="52">
        <f>IF(OR('RPM &amp; Discounts'!$B$3='A0.Support'!$B$3,'RPM &amp; Discounts'!$B$3='A0.Support'!$B$4),BW26,BW17*BW26)</f>
        <v>544.7854285714285</v>
      </c>
      <c r="BX8" s="52">
        <f>IF(OR('RPM &amp; Discounts'!$B$3='A0.Support'!$B$3,'RPM &amp; Discounts'!$B$3='A0.Support'!$B$4),BX26,BX17*BX26)</f>
        <v>647.28257142857137</v>
      </c>
      <c r="BY8" s="52">
        <f>IF(OR('RPM &amp; Discounts'!$B$3='A0.Support'!$B$3,'RPM &amp; Discounts'!$B$3='A0.Support'!$B$4),BY26,BY17*BY26)</f>
        <v>711.23399999999992</v>
      </c>
      <c r="BZ8" s="52">
        <f>IF(OR('RPM &amp; Discounts'!$B$3='A0.Support'!$B$3,'RPM &amp; Discounts'!$B$3='A0.Support'!$B$4),BZ26,BZ17*BZ26)</f>
        <v>741.16542857142849</v>
      </c>
      <c r="CA8" s="52">
        <f>IF(OR('RPM &amp; Discounts'!$B$3='A0.Support'!$B$3,'RPM &amp; Discounts'!$B$3='A0.Support'!$B$4),CA26,CA17*CA26)</f>
        <v>713.44542857142858</v>
      </c>
      <c r="CB8" s="52">
        <f>IF(OR('RPM &amp; Discounts'!$B$3='A0.Support'!$B$3,'RPM &amp; Discounts'!$B$3='A0.Support'!$B$4),CB26,CB17*CB26)</f>
        <v>611.79685714285711</v>
      </c>
      <c r="CC8" s="52">
        <f>IF(OR('RPM &amp; Discounts'!$B$3='A0.Support'!$B$3,'RPM &amp; Discounts'!$B$3='A0.Support'!$B$4),CC26,CC17*CC26)</f>
        <v>299.29114285714286</v>
      </c>
      <c r="CD8" s="52">
        <f>IF(OR('RPM &amp; Discounts'!$B$3='A0.Support'!$B$3,'RPM &amp; Discounts'!$B$3='A0.Support'!$B$4),CD26,CD17*CD26)</f>
        <v>323.82257142857139</v>
      </c>
      <c r="CE8" s="52">
        <f>IF(OR('RPM &amp; Discounts'!$B$3='A0.Support'!$B$3,'RPM &amp; Discounts'!$B$3='A0.Support'!$B$4),CE26,CE17*CE26)</f>
        <v>352.87971428571421</v>
      </c>
      <c r="CF8" s="52">
        <f>IF(OR('RPM &amp; Discounts'!$B$3='A0.Support'!$B$3,'RPM &amp; Discounts'!$B$3='A0.Support'!$B$4),CF26,CF17*CF26)</f>
        <v>410.01685714285708</v>
      </c>
      <c r="CG8" s="52">
        <f>IF(OR('RPM &amp; Discounts'!$B$3='A0.Support'!$B$3,'RPM &amp; Discounts'!$B$3='A0.Support'!$B$4),CG26,CG17*CG26)</f>
        <v>415.51971428571426</v>
      </c>
      <c r="CH8" s="52">
        <f>IF(OR('RPM &amp; Discounts'!$B$3='A0.Support'!$B$3,'RPM &amp; Discounts'!$B$3='A0.Support'!$B$4),CH26,CH17*CH26)</f>
        <v>509.71114285714282</v>
      </c>
      <c r="CI8" s="52">
        <f>IF(OR('RPM &amp; Discounts'!$B$3='A0.Support'!$B$3,'RPM &amp; Discounts'!$B$3='A0.Support'!$B$4),CI26,CI17*CI26)</f>
        <v>702.25971428571427</v>
      </c>
      <c r="CJ8" s="52">
        <f>IF(OR('RPM &amp; Discounts'!$B$3='A0.Support'!$B$3,'RPM &amp; Discounts'!$B$3='A0.Support'!$B$4),CJ26,CJ17*CJ26)</f>
        <v>702.26228571428555</v>
      </c>
      <c r="CK8" s="52">
        <f>IF(OR('RPM &amp; Discounts'!$B$3='A0.Support'!$B$3,'RPM &amp; Discounts'!$B$3='A0.Support'!$B$4),CK26,CK17*CK26)</f>
        <v>705.6565714285714</v>
      </c>
      <c r="CL8" s="52">
        <f>IF(OR('RPM &amp; Discounts'!$B$3='A0.Support'!$B$3,'RPM &amp; Discounts'!$B$3='A0.Support'!$B$4),CL26,CL17*CL26)</f>
        <v>702.26228571428555</v>
      </c>
      <c r="CM8" s="52">
        <f>IF(OR('RPM &amp; Discounts'!$B$3='A0.Support'!$B$3,'RPM &amp; Discounts'!$B$3='A0.Support'!$B$4),CM26,CM17*CM26)</f>
        <v>720.49114285714268</v>
      </c>
    </row>
    <row r="9" spans="2:91" x14ac:dyDescent="0.3">
      <c r="B9" s="14" t="str">
        <f>'Input capacity'!B11</f>
        <v>Gas producers</v>
      </c>
      <c r="C9" s="52">
        <f>IF(OR('RPM &amp; Discounts'!$B$3='A0.Support'!$B$3,'RPM &amp; Discounts'!$B$3='A0.Support'!$B$4),C27,C18*C27)</f>
        <v>239.523</v>
      </c>
      <c r="D9" s="52">
        <f>IF(OR('RPM &amp; Discounts'!$B$3='A0.Support'!$B$3,'RPM &amp; Discounts'!$B$3='A0.Support'!$B$4),D27,D18*D27)</f>
        <v>307.55200000000002</v>
      </c>
      <c r="E9" s="52">
        <f>IF(OR('RPM &amp; Discounts'!$B$3='A0.Support'!$B$3,'RPM &amp; Discounts'!$B$3='A0.Support'!$B$4),E27,E18*E27)</f>
        <v>280.19299999999998</v>
      </c>
      <c r="F9" s="52">
        <f>IF(OR('RPM &amp; Discounts'!$B$3='A0.Support'!$B$3,'RPM &amp; Discounts'!$B$3='A0.Support'!$B$4),F27,F18*F27)</f>
        <v>9.9999999999989008E-4</v>
      </c>
      <c r="G9" s="52">
        <f>IF(OR('RPM &amp; Discounts'!$B$3='A0.Support'!$B$3,'RPM &amp; Discounts'!$B$3='A0.Support'!$B$4),G27,G18*G27)</f>
        <v>495.98228571428569</v>
      </c>
      <c r="H9" s="52">
        <f>IF(OR('RPM &amp; Discounts'!$B$3='A0.Support'!$B$3,'RPM &amp; Discounts'!$B$3='A0.Support'!$B$4),H27,H18*H27)</f>
        <v>529.41342857142854</v>
      </c>
      <c r="I9" s="52">
        <f>IF(OR('RPM &amp; Discounts'!$B$3='A0.Support'!$B$3,'RPM &amp; Discounts'!$B$3='A0.Support'!$B$4),I27,I18*I27)</f>
        <v>508.0422857142857</v>
      </c>
      <c r="J9" s="52">
        <f>IF(OR('RPM &amp; Discounts'!$B$3='A0.Support'!$B$3,'RPM &amp; Discounts'!$B$3='A0.Support'!$B$4),J27,J18*J27)</f>
        <v>529.41085714285714</v>
      </c>
      <c r="K9" s="52">
        <f>IF(OR('RPM &amp; Discounts'!$B$3='A0.Support'!$B$3,'RPM &amp; Discounts'!$B$3='A0.Support'!$B$4),K27,K18*K27)</f>
        <v>455.01942857142853</v>
      </c>
      <c r="L9" s="52">
        <f>IF(OR('RPM &amp; Discounts'!$B$3='A0.Support'!$B$3,'RPM &amp; Discounts'!$B$3='A0.Support'!$B$4),L27,L18*L27)</f>
        <v>423.15942857142858</v>
      </c>
      <c r="M9" s="52">
        <f>IF(OR('RPM &amp; Discounts'!$B$3='A0.Support'!$B$3,'RPM &amp; Discounts'!$B$3='A0.Support'!$B$4),M27,M18*M27)</f>
        <v>545.50799999999992</v>
      </c>
      <c r="N9" s="52">
        <f>IF(OR('RPM &amp; Discounts'!$B$3='A0.Support'!$B$3,'RPM &amp; Discounts'!$B$3='A0.Support'!$B$4),N27,N18*N27)</f>
        <v>380.2165714285714</v>
      </c>
      <c r="O9" s="52">
        <f>IF(OR('RPM &amp; Discounts'!$B$3='A0.Support'!$B$3,'RPM &amp; Discounts'!$B$3='A0.Support'!$B$4),O27,O18*O27)</f>
        <v>348.17657142857138</v>
      </c>
      <c r="P9" s="52">
        <f>IF(OR('RPM &amp; Discounts'!$B$3='A0.Support'!$B$3,'RPM &amp; Discounts'!$B$3='A0.Support'!$B$4),P27,P18*P27)</f>
        <v>423.41914285714284</v>
      </c>
      <c r="Q9" s="52">
        <f>IF(OR('RPM &amp; Discounts'!$B$3='A0.Support'!$B$3,'RPM &amp; Discounts'!$B$3='A0.Support'!$B$4),Q27,Q18*Q27)</f>
        <v>338.84228571428565</v>
      </c>
      <c r="R9" s="52">
        <f>IF(OR('RPM &amp; Discounts'!$B$3='A0.Support'!$B$3,'RPM &amp; Discounts'!$B$3='A0.Support'!$B$4),R27,R18*R27)</f>
        <v>392.2791428571428</v>
      </c>
      <c r="S9" s="52">
        <f>IF(OR('RPM &amp; Discounts'!$B$3='A0.Support'!$B$3,'RPM &amp; Discounts'!$B$3='A0.Support'!$B$4),S27,S18*S27)</f>
        <v>409.69028571428572</v>
      </c>
      <c r="T9" s="52">
        <f>IF(OR('RPM &amp; Discounts'!$B$3='A0.Support'!$B$3,'RPM &amp; Discounts'!$B$3='A0.Support'!$B$4),T27,T18*T27)</f>
        <v>332.23371428571426</v>
      </c>
      <c r="U9" s="52">
        <f>IF(OR('RPM &amp; Discounts'!$B$3='A0.Support'!$B$3,'RPM &amp; Discounts'!$B$3='A0.Support'!$B$4),U27,U18*U27)</f>
        <v>338.84485714285711</v>
      </c>
      <c r="V9" s="52">
        <f>IF(OR('RPM &amp; Discounts'!$B$3='A0.Support'!$B$3,'RPM &amp; Discounts'!$B$3='A0.Support'!$B$4),V27,V18*V27)</f>
        <v>409.68771428571426</v>
      </c>
      <c r="W9" s="52">
        <f>IF(OR('RPM &amp; Discounts'!$B$3='A0.Support'!$B$3,'RPM &amp; Discounts'!$B$3='A0.Support'!$B$4),W27,W18*W27)</f>
        <v>326.55085714285713</v>
      </c>
      <c r="X9" s="52">
        <f>IF(OR('RPM &amp; Discounts'!$B$3='A0.Support'!$B$3,'RPM &amp; Discounts'!$B$3='A0.Support'!$B$4),X27,X18*X27)</f>
        <v>297.15942857142852</v>
      </c>
      <c r="Y9" s="52">
        <f>IF(OR('RPM &amp; Discounts'!$B$3='A0.Support'!$B$3,'RPM &amp; Discounts'!$B$3='A0.Support'!$B$4),Y27,Y18*Y27)</f>
        <v>358.18199999999996</v>
      </c>
      <c r="Z9" s="52">
        <f>IF(OR('RPM &amp; Discounts'!$B$3='A0.Support'!$B$3,'RPM &amp; Discounts'!$B$3='A0.Support'!$B$4),Z27,Z18*Z27)</f>
        <v>358.17942857142856</v>
      </c>
      <c r="AA9" s="52">
        <f>IF(OR('RPM &amp; Discounts'!$B$3='A0.Support'!$B$3,'RPM &amp; Discounts'!$B$3='A0.Support'!$B$4),AA27,AA18*AA27)</f>
        <v>233.90228571428571</v>
      </c>
      <c r="AB9" s="52">
        <f>IF(OR('RPM &amp; Discounts'!$B$3='A0.Support'!$B$3,'RPM &amp; Discounts'!$B$3='A0.Support'!$B$4),AB27,AB18*AB27)</f>
        <v>146.62799999999999</v>
      </c>
      <c r="AC9" s="52">
        <f>IF(OR('RPM &amp; Discounts'!$B$3='A0.Support'!$B$3,'RPM &amp; Discounts'!$B$3='A0.Support'!$B$4),AC27,AC18*AC27)</f>
        <v>114.0222857142857</v>
      </c>
      <c r="AD9" s="52">
        <f>IF(OR('RPM &amp; Discounts'!$B$3='A0.Support'!$B$3,'RPM &amp; Discounts'!$B$3='A0.Support'!$B$4),AD27,AD18*AD27)</f>
        <v>97.127999999999986</v>
      </c>
      <c r="AE9" s="52">
        <f>IF(OR('RPM &amp; Discounts'!$B$3='A0.Support'!$B$3,'RPM &amp; Discounts'!$B$3='A0.Support'!$B$4),AE27,AE18*AE27)</f>
        <v>5.1428571428565771E-3</v>
      </c>
      <c r="AF9" s="52">
        <f>IF(OR('RPM &amp; Discounts'!$B$3='A0.Support'!$B$3,'RPM &amp; Discounts'!$B$3='A0.Support'!$B$4),AF27,AF18*AF27)</f>
        <v>25.488</v>
      </c>
      <c r="AG9" s="52">
        <f>IF(OR('RPM &amp; Discounts'!$B$3='A0.Support'!$B$3,'RPM &amp; Discounts'!$B$3='A0.Support'!$B$4),AG27,AG18*AG27)</f>
        <v>25.770857142857142</v>
      </c>
      <c r="AH9" s="52">
        <f>IF(OR('RPM &amp; Discounts'!$B$3='A0.Support'!$B$3,'RPM &amp; Discounts'!$B$3='A0.Support'!$B$4),AH27,AH18*AH27)</f>
        <v>59.379428571428562</v>
      </c>
      <c r="AI9" s="52">
        <f>IF(OR('RPM &amp; Discounts'!$B$3='A0.Support'!$B$3,'RPM &amp; Discounts'!$B$3='A0.Support'!$B$4),AI27,AI18*AI27)</f>
        <v>72.776571428571415</v>
      </c>
      <c r="AJ9" s="52">
        <f>IF(OR('RPM &amp; Discounts'!$B$3='A0.Support'!$B$3,'RPM &amp; Discounts'!$B$3='A0.Support'!$B$4),AJ27,AJ18*AJ27)</f>
        <v>59.381999999999991</v>
      </c>
      <c r="AK9" s="52">
        <f>IF(OR('RPM &amp; Discounts'!$B$3='A0.Support'!$B$3,'RPM &amp; Discounts'!$B$3='A0.Support'!$B$4),AK27,AK18*AK27)</f>
        <v>132.61371428571428</v>
      </c>
      <c r="AL9" s="52">
        <f>IF(OR('RPM &amp; Discounts'!$B$3='A0.Support'!$B$3,'RPM &amp; Discounts'!$B$3='A0.Support'!$B$4),AL27,AL18*AL27)</f>
        <v>158.12228571428568</v>
      </c>
      <c r="AM9" s="52">
        <f>IF(OR('RPM &amp; Discounts'!$B$3='A0.Support'!$B$3,'RPM &amp; Discounts'!$B$3='A0.Support'!$B$4),AM27,AM18*AM27)</f>
        <v>147.60514285714285</v>
      </c>
      <c r="AN9" s="52">
        <f>IF(OR('RPM &amp; Discounts'!$B$3='A0.Support'!$B$3,'RPM &amp; Discounts'!$B$3='A0.Support'!$B$4),AN27,AN18*AN27)</f>
        <v>162.13371428571426</v>
      </c>
      <c r="AO9" s="52">
        <f>IF(OR('RPM &amp; Discounts'!$B$3='A0.Support'!$B$3,'RPM &amp; Discounts'!$B$3='A0.Support'!$B$4),AO27,AO18*AO27)</f>
        <v>197.25942857142857</v>
      </c>
      <c r="AP9" s="52">
        <f>IF(OR('RPM &amp; Discounts'!$B$3='A0.Support'!$B$3,'RPM &amp; Discounts'!$B$3='A0.Support'!$B$4),AP27,AP18*AP27)</f>
        <v>215.51657142857141</v>
      </c>
      <c r="AQ9" s="52">
        <f>IF(OR('RPM &amp; Discounts'!$B$3='A0.Support'!$B$3,'RPM &amp; Discounts'!$B$3='A0.Support'!$B$4),AQ27,AQ18*AQ27)</f>
        <v>227.96228571428568</v>
      </c>
      <c r="AR9" s="52">
        <f>IF(OR('RPM &amp; Discounts'!$B$3='A0.Support'!$B$3,'RPM &amp; Discounts'!$B$3='A0.Support'!$B$4),AR27,AR18*AR27)</f>
        <v>240.79371428571426</v>
      </c>
      <c r="AS9" s="52">
        <f>IF(OR('RPM &amp; Discounts'!$B$3='A0.Support'!$B$3,'RPM &amp; Discounts'!$B$3='A0.Support'!$B$4),AS27,AS18*AS27)</f>
        <v>282.78514285714283</v>
      </c>
      <c r="AT9" s="52">
        <f>IF(OR('RPM &amp; Discounts'!$B$3='A0.Support'!$B$3,'RPM &amp; Discounts'!$B$3='A0.Support'!$B$4),AT27,AT18*AT27)</f>
        <v>300.99085714285712</v>
      </c>
      <c r="AU9" s="52">
        <f>IF(OR('RPM &amp; Discounts'!$B$3='A0.Support'!$B$3,'RPM &amp; Discounts'!$B$3='A0.Support'!$B$4),AU27,AU18*AU27)</f>
        <v>333.95914285714281</v>
      </c>
      <c r="AV9" s="52">
        <f>IF(OR('RPM &amp; Discounts'!$B$3='A0.Support'!$B$3,'RPM &amp; Discounts'!$B$3='A0.Support'!$B$4),AV27,AV18*AV27)</f>
        <v>333.95657142857141</v>
      </c>
      <c r="AW9" s="52">
        <f>IF(OR('RPM &amp; Discounts'!$B$3='A0.Support'!$B$3,'RPM &amp; Discounts'!$B$3='A0.Support'!$B$4),AW27,AW18*AW27)</f>
        <v>345.57942857142854</v>
      </c>
      <c r="AX9" s="52">
        <f>IF(OR('RPM &amp; Discounts'!$B$3='A0.Support'!$B$3,'RPM &amp; Discounts'!$B$3='A0.Support'!$B$4),AX27,AX18*AX27)</f>
        <v>368.10771428571422</v>
      </c>
      <c r="AY9" s="52">
        <f>IF(OR('RPM &amp; Discounts'!$B$3='A0.Support'!$B$3,'RPM &amp; Discounts'!$B$3='A0.Support'!$B$4),AY27,AY18*AY27)</f>
        <v>368.10514285714277</v>
      </c>
      <c r="AZ9" s="52">
        <f>IF(OR('RPM &amp; Discounts'!$B$3='A0.Support'!$B$3,'RPM &amp; Discounts'!$B$3='A0.Support'!$B$4),AZ27,AZ18*AZ27)</f>
        <v>401.94514285714286</v>
      </c>
      <c r="BA9" s="52">
        <f>IF(OR('RPM &amp; Discounts'!$B$3='A0.Support'!$B$3,'RPM &amp; Discounts'!$B$3='A0.Support'!$B$4),BA27,BA18*BA27)</f>
        <v>447.09942857142858</v>
      </c>
      <c r="BB9" s="52">
        <f>IF(OR('RPM &amp; Discounts'!$B$3='A0.Support'!$B$3,'RPM &amp; Discounts'!$B$3='A0.Support'!$B$4),BB27,BB18*BB27)</f>
        <v>484.10228571428564</v>
      </c>
      <c r="BC9" s="52">
        <f>IF(OR('RPM &amp; Discounts'!$B$3='A0.Support'!$B$3,'RPM &amp; Discounts'!$B$3='A0.Support'!$B$4),BC27,BC18*BC27)</f>
        <v>477.05657142857137</v>
      </c>
      <c r="BD9" s="52">
        <f>IF(OR('RPM &amp; Discounts'!$B$3='A0.Support'!$B$3,'RPM &amp; Discounts'!$B$3='A0.Support'!$B$4),BD27,BD18*BD27)</f>
        <v>489.11657142857138</v>
      </c>
      <c r="BE9" s="52">
        <f>IF(OR('RPM &amp; Discounts'!$B$3='A0.Support'!$B$3,'RPM &amp; Discounts'!$B$3='A0.Support'!$B$4),BE27,BE18*BE27)</f>
        <v>505.47085714285708</v>
      </c>
      <c r="BF9" s="52">
        <f>IF(OR('RPM &amp; Discounts'!$B$3='A0.Support'!$B$3,'RPM &amp; Discounts'!$B$3='A0.Support'!$B$4),BF27,BF18*BF27)</f>
        <v>529.8737142857143</v>
      </c>
      <c r="BG9" s="52">
        <f>IF(OR('RPM &amp; Discounts'!$B$3='A0.Support'!$B$3,'RPM &amp; Discounts'!$B$3='A0.Support'!$B$4),BG27,BG18*BG27)</f>
        <v>610.3851428571428</v>
      </c>
      <c r="BH9" s="52">
        <f>IF(OR('RPM &amp; Discounts'!$B$3='A0.Support'!$B$3,'RPM &amp; Discounts'!$B$3='A0.Support'!$B$4),BH27,BH18*BH27)</f>
        <v>556.35942857142845</v>
      </c>
      <c r="BI9" s="52">
        <f>IF(OR('RPM &amp; Discounts'!$B$3='A0.Support'!$B$3,'RPM &amp; Discounts'!$B$3='A0.Support'!$B$4),BI27,BI18*BI27)</f>
        <v>579.7337142857142</v>
      </c>
      <c r="BJ9" s="52">
        <f>IF(OR('RPM &amp; Discounts'!$B$3='A0.Support'!$B$3,'RPM &amp; Discounts'!$B$3='A0.Support'!$B$4),BJ27,BJ18*BJ27)</f>
        <v>616.06799999999987</v>
      </c>
      <c r="BK9" s="52">
        <f>IF(OR('RPM &amp; Discounts'!$B$3='A0.Support'!$B$3,'RPM &amp; Discounts'!$B$3='A0.Support'!$B$4),BK27,BK18*BK27)</f>
        <v>636.3308571428571</v>
      </c>
      <c r="BL9" s="52">
        <f>IF(OR('RPM &amp; Discounts'!$B$3='A0.Support'!$B$3,'RPM &amp; Discounts'!$B$3='A0.Support'!$B$4),BL27,BL18*BL27)</f>
        <v>707.22514285714271</v>
      </c>
      <c r="BM9" s="52">
        <f>IF(OR('RPM &amp; Discounts'!$B$3='A0.Support'!$B$3,'RPM &amp; Discounts'!$B$3='A0.Support'!$B$4),BM27,BM18*BM27)</f>
        <v>701.82514285714285</v>
      </c>
      <c r="BN9" s="52">
        <f>IF(OR('RPM &amp; Discounts'!$B$3='A0.Support'!$B$3,'RPM &amp; Discounts'!$B$3='A0.Support'!$B$4),BN27,BN18*BN27)</f>
        <v>778.55657142857137</v>
      </c>
      <c r="BO9" s="52">
        <f>IF(OR('RPM &amp; Discounts'!$B$3='A0.Support'!$B$3,'RPM &amp; Discounts'!$B$3='A0.Support'!$B$4),BO27,BO18*BO27)</f>
        <v>615.29657142857138</v>
      </c>
      <c r="BP9" s="52">
        <f>IF(OR('RPM &amp; Discounts'!$B$3='A0.Support'!$B$3,'RPM &amp; Discounts'!$B$3='A0.Support'!$B$4),BP27,BP18*BP27)</f>
        <v>349.46228571428566</v>
      </c>
      <c r="BQ9" s="52">
        <f>IF(OR('RPM &amp; Discounts'!$B$3='A0.Support'!$B$3,'RPM &amp; Discounts'!$B$3='A0.Support'!$B$4),BQ27,BQ18*BQ27)</f>
        <v>291.37371428571424</v>
      </c>
      <c r="BR9" s="52">
        <f>IF(OR('RPM &amp; Discounts'!$B$3='A0.Support'!$B$3,'RPM &amp; Discounts'!$B$3='A0.Support'!$B$4),BR27,BR18*BR27)</f>
        <v>304.38514285714285</v>
      </c>
      <c r="BS9" s="52">
        <f>IF(OR('RPM &amp; Discounts'!$B$3='A0.Support'!$B$3,'RPM &amp; Discounts'!$B$3='A0.Support'!$B$4),BS27,BS18*BS27)</f>
        <v>240.22799999999998</v>
      </c>
      <c r="BT9" s="52">
        <f>IF(OR('RPM &amp; Discounts'!$B$3='A0.Support'!$B$3,'RPM &amp; Discounts'!$B$3='A0.Support'!$B$4),BT27,BT18*BT27)</f>
        <v>193.47942857142857</v>
      </c>
      <c r="BU9" s="52">
        <f>IF(OR('RPM &amp; Discounts'!$B$3='A0.Support'!$B$3,'RPM &amp; Discounts'!$B$3='A0.Support'!$B$4),BU27,BU18*BU27)</f>
        <v>144.51942857142856</v>
      </c>
      <c r="BV9" s="52">
        <f>IF(OR('RPM &amp; Discounts'!$B$3='A0.Support'!$B$3,'RPM &amp; Discounts'!$B$3='A0.Support'!$B$4),BV27,BV18*BV27)</f>
        <v>59.070857142857143</v>
      </c>
      <c r="BW9" s="52">
        <f>IF(OR('RPM &amp; Discounts'!$B$3='A0.Support'!$B$3,'RPM &amp; Discounts'!$B$3='A0.Support'!$B$4),BW27,BW18*BW27)</f>
        <v>544.7879999999999</v>
      </c>
      <c r="BX9" s="52">
        <f>IF(OR('RPM &amp; Discounts'!$B$3='A0.Support'!$B$3,'RPM &amp; Discounts'!$B$3='A0.Support'!$B$4),BX27,BX18*BX27)</f>
        <v>647.28514285714277</v>
      </c>
      <c r="BY9" s="52">
        <f>IF(OR('RPM &amp; Discounts'!$B$3='A0.Support'!$B$3,'RPM &amp; Discounts'!$B$3='A0.Support'!$B$4),BY27,BY18*BY27)</f>
        <v>711.23657142857132</v>
      </c>
      <c r="BZ9" s="52">
        <f>IF(OR('RPM &amp; Discounts'!$B$3='A0.Support'!$B$3,'RPM &amp; Discounts'!$B$3='A0.Support'!$B$4),BZ27,BZ18*BZ27)</f>
        <v>741.16800000000001</v>
      </c>
      <c r="CA9" s="52">
        <f>IF(OR('RPM &amp; Discounts'!$B$3='A0.Support'!$B$3,'RPM &amp; Discounts'!$B$3='A0.Support'!$B$4),CA27,CA18*CA27)</f>
        <v>713.44799999999998</v>
      </c>
      <c r="CB9" s="52">
        <f>IF(OR('RPM &amp; Discounts'!$B$3='A0.Support'!$B$3,'RPM &amp; Discounts'!$B$3='A0.Support'!$B$4),CB27,CB18*CB27)</f>
        <v>611.79942857142851</v>
      </c>
      <c r="CC9" s="52">
        <f>IF(OR('RPM &amp; Discounts'!$B$3='A0.Support'!$B$3,'RPM &amp; Discounts'!$B$3='A0.Support'!$B$4),CC27,CC18*CC27)</f>
        <v>299.29371428571426</v>
      </c>
      <c r="CD9" s="52">
        <f>IF(OR('RPM &amp; Discounts'!$B$3='A0.Support'!$B$3,'RPM &amp; Discounts'!$B$3='A0.Support'!$B$4),CD27,CD18*CD27)</f>
        <v>323.82514285714285</v>
      </c>
      <c r="CE9" s="52">
        <f>IF(OR('RPM &amp; Discounts'!$B$3='A0.Support'!$B$3,'RPM &amp; Discounts'!$B$3='A0.Support'!$B$4),CE27,CE18*CE27)</f>
        <v>352.88228571428567</v>
      </c>
      <c r="CF9" s="52">
        <f>IF(OR('RPM &amp; Discounts'!$B$3='A0.Support'!$B$3,'RPM &amp; Discounts'!$B$3='A0.Support'!$B$4),CF27,CF18*CF27)</f>
        <v>410.01942857142853</v>
      </c>
      <c r="CG9" s="52">
        <f>IF(OR('RPM &amp; Discounts'!$B$3='A0.Support'!$B$3,'RPM &amp; Discounts'!$B$3='A0.Support'!$B$4),CG27,CG18*CG27)</f>
        <v>415.52228571428572</v>
      </c>
      <c r="CH9" s="52">
        <f>IF(OR('RPM &amp; Discounts'!$B$3='A0.Support'!$B$3,'RPM &amp; Discounts'!$B$3='A0.Support'!$B$4),CH27,CH18*CH27)</f>
        <v>509.71371428571427</v>
      </c>
      <c r="CI9" s="52">
        <f>IF(OR('RPM &amp; Discounts'!$B$3='A0.Support'!$B$3,'RPM &amp; Discounts'!$B$3='A0.Support'!$B$4),CI27,CI18*CI27)</f>
        <v>702.26228571428555</v>
      </c>
      <c r="CJ9" s="52">
        <f>IF(OR('RPM &amp; Discounts'!$B$3='A0.Support'!$B$3,'RPM &amp; Discounts'!$B$3='A0.Support'!$B$4),CJ27,CJ18*CJ27)</f>
        <v>702.26485714285707</v>
      </c>
      <c r="CK9" s="52">
        <f>IF(OR('RPM &amp; Discounts'!$B$3='A0.Support'!$B$3,'RPM &amp; Discounts'!$B$3='A0.Support'!$B$4),CK27,CK18*CK27)</f>
        <v>705.6591428571428</v>
      </c>
      <c r="CL9" s="52">
        <f>IF(OR('RPM &amp; Discounts'!$B$3='A0.Support'!$B$3,'RPM &amp; Discounts'!$B$3='A0.Support'!$B$4),CL27,CL18*CL27)</f>
        <v>702.26485714285707</v>
      </c>
      <c r="CM9" s="52">
        <f>IF(OR('RPM &amp; Discounts'!$B$3='A0.Support'!$B$3,'RPM &amp; Discounts'!$B$3='A0.Support'!$B$4),CM27,CM18*CM27)</f>
        <v>720.49371428571419</v>
      </c>
    </row>
    <row r="12" spans="2:91" x14ac:dyDescent="0.3">
      <c r="B12" s="2" t="s">
        <v>5</v>
      </c>
      <c r="C12" s="41" t="str">
        <f>C3</f>
        <v>Exit point</v>
      </c>
      <c r="D12" s="42"/>
      <c r="E12" s="42"/>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4"/>
    </row>
    <row r="13" spans="2:91" x14ac:dyDescent="0.3">
      <c r="B13" s="46" t="str">
        <f>B4</f>
        <v>Entry point</v>
      </c>
      <c r="C13" s="45" t="str">
        <f>C$4</f>
        <v>CTS Campo Maior</v>
      </c>
      <c r="D13" s="45" t="str">
        <f t="shared" ref="D13:BO13" si="0">D$4</f>
        <v>CTS Valença do Minho</v>
      </c>
      <c r="E13" s="45" t="str">
        <f t="shared" si="0"/>
        <v>LNG Terminal Sines</v>
      </c>
      <c r="F13" s="45" t="str">
        <f t="shared" si="0"/>
        <v>Underground storage Carriço</v>
      </c>
      <c r="G13" s="45" t="str">
        <f t="shared" si="0"/>
        <v>GRMS 01059</v>
      </c>
      <c r="H13" s="45" t="str">
        <f t="shared" si="0"/>
        <v>GRMS 01109</v>
      </c>
      <c r="I13" s="45" t="str">
        <f t="shared" si="0"/>
        <v>GRMS 01119</v>
      </c>
      <c r="J13" s="45" t="str">
        <f t="shared" si="0"/>
        <v>GRMS 01129</v>
      </c>
      <c r="K13" s="45" t="str">
        <f t="shared" si="0"/>
        <v>GRMS 01139</v>
      </c>
      <c r="L13" s="45" t="str">
        <f t="shared" si="0"/>
        <v>GRMS 01149</v>
      </c>
      <c r="M13" s="45" t="str">
        <f t="shared" si="0"/>
        <v>GRMS 01159</v>
      </c>
      <c r="N13" s="45" t="str">
        <f t="shared" si="0"/>
        <v>GRMS 01179</v>
      </c>
      <c r="O13" s="45" t="str">
        <f t="shared" si="0"/>
        <v>GRMS 01189</v>
      </c>
      <c r="P13" s="45" t="str">
        <f t="shared" si="0"/>
        <v>GRMS 01209</v>
      </c>
      <c r="Q13" s="45" t="str">
        <f t="shared" si="0"/>
        <v>GRMS 01219</v>
      </c>
      <c r="R13" s="45" t="str">
        <f t="shared" si="0"/>
        <v>GRMS 01229</v>
      </c>
      <c r="S13" s="45" t="str">
        <f t="shared" si="0"/>
        <v>GRMS 01239</v>
      </c>
      <c r="T13" s="45" t="str">
        <f t="shared" si="0"/>
        <v>GRMS 01259</v>
      </c>
      <c r="U13" s="45" t="str">
        <f t="shared" si="0"/>
        <v>GRMS 01269</v>
      </c>
      <c r="V13" s="45" t="str">
        <f t="shared" si="0"/>
        <v>GRMS 01279</v>
      </c>
      <c r="W13" s="45" t="str">
        <f t="shared" si="0"/>
        <v>GRMS 01309</v>
      </c>
      <c r="X13" s="45" t="str">
        <f t="shared" si="0"/>
        <v>GRMS 01319</v>
      </c>
      <c r="Y13" s="45" t="str">
        <f t="shared" si="0"/>
        <v>GRMS 01359</v>
      </c>
      <c r="Z13" s="45" t="str">
        <f t="shared" si="0"/>
        <v>GRMS 01369</v>
      </c>
      <c r="AA13" s="45" t="str">
        <f t="shared" si="0"/>
        <v>GRMS 01409</v>
      </c>
      <c r="AB13" s="45" t="str">
        <f t="shared" si="0"/>
        <v>GRMS 02069</v>
      </c>
      <c r="AC13" s="45" t="str">
        <f t="shared" si="0"/>
        <v>GRMS 02089</v>
      </c>
      <c r="AD13" s="45" t="str">
        <f t="shared" si="0"/>
        <v>GRMS 02159</v>
      </c>
      <c r="AE13" s="45" t="str">
        <f t="shared" si="0"/>
        <v>GRMS 02509</v>
      </c>
      <c r="AF13" s="45" t="str">
        <f t="shared" si="0"/>
        <v>GRMS 02519</v>
      </c>
      <c r="AG13" s="45" t="str">
        <f t="shared" si="0"/>
        <v>GRMS 02539</v>
      </c>
      <c r="AH13" s="45" t="str">
        <f t="shared" si="0"/>
        <v>GRMS 02549</v>
      </c>
      <c r="AI13" s="45" t="str">
        <f t="shared" si="0"/>
        <v>GRMS 02559</v>
      </c>
      <c r="AJ13" s="45" t="str">
        <f t="shared" si="0"/>
        <v>GRMS 02569</v>
      </c>
      <c r="AK13" s="45" t="str">
        <f t="shared" si="0"/>
        <v>GRMS 02709</v>
      </c>
      <c r="AL13" s="45" t="str">
        <f t="shared" si="0"/>
        <v>GRMS 02719</v>
      </c>
      <c r="AM13" s="45" t="str">
        <f t="shared" si="0"/>
        <v>GRMS 02739</v>
      </c>
      <c r="AN13" s="45" t="str">
        <f t="shared" si="0"/>
        <v>GRMS 03009</v>
      </c>
      <c r="AO13" s="45" t="str">
        <f t="shared" si="0"/>
        <v>GRMS 03059</v>
      </c>
      <c r="AP13" s="45" t="str">
        <f t="shared" si="0"/>
        <v>GRMS 03069</v>
      </c>
      <c r="AQ13" s="45" t="str">
        <f t="shared" si="0"/>
        <v>GRMS 03109</v>
      </c>
      <c r="AR13" s="45" t="str">
        <f t="shared" si="0"/>
        <v>GRMS 03169</v>
      </c>
      <c r="AS13" s="45" t="str">
        <f t="shared" si="0"/>
        <v>GRMS 03219</v>
      </c>
      <c r="AT13" s="45" t="str">
        <f t="shared" si="0"/>
        <v>GRMS 03229</v>
      </c>
      <c r="AU13" s="45" t="str">
        <f t="shared" si="0"/>
        <v>GRMS 03259</v>
      </c>
      <c r="AV13" s="45" t="str">
        <f t="shared" si="0"/>
        <v>GRMS 03269</v>
      </c>
      <c r="AW13" s="45" t="str">
        <f t="shared" si="0"/>
        <v>GRMS 03309</v>
      </c>
      <c r="AX13" s="45" t="str">
        <f t="shared" si="0"/>
        <v>GRMS 03359</v>
      </c>
      <c r="AY13" s="45" t="str">
        <f t="shared" si="0"/>
        <v>GRMS 03369</v>
      </c>
      <c r="AZ13" s="45" t="str">
        <f t="shared" si="0"/>
        <v>GRMS 03459</v>
      </c>
      <c r="BA13" s="45" t="str">
        <f t="shared" si="0"/>
        <v>GRMS 03559</v>
      </c>
      <c r="BB13" s="45" t="str">
        <f t="shared" si="0"/>
        <v>GRMS 03609</v>
      </c>
      <c r="BC13" s="45" t="str">
        <f t="shared" si="0"/>
        <v>GRMS 03619</v>
      </c>
      <c r="BD13" s="45" t="str">
        <f t="shared" si="0"/>
        <v>GRMS 03659</v>
      </c>
      <c r="BE13" s="45" t="str">
        <f t="shared" si="0"/>
        <v>GRMS 04059</v>
      </c>
      <c r="BF13" s="45" t="str">
        <f t="shared" si="0"/>
        <v>GRMS 04109</v>
      </c>
      <c r="BG13" s="45" t="str">
        <f t="shared" si="0"/>
        <v>GRMS 04149</v>
      </c>
      <c r="BH13" s="45" t="str">
        <f t="shared" si="0"/>
        <v>GRMS 04159</v>
      </c>
      <c r="BI13" s="45" t="str">
        <f t="shared" si="0"/>
        <v>GRMS 04209</v>
      </c>
      <c r="BJ13" s="45" t="str">
        <f t="shared" si="0"/>
        <v>GRMS 05009</v>
      </c>
      <c r="BK13" s="45" t="str">
        <f t="shared" si="0"/>
        <v>GRMS 05119</v>
      </c>
      <c r="BL13" s="45" t="str">
        <f t="shared" si="0"/>
        <v>GRMS 05179</v>
      </c>
      <c r="BM13" s="45" t="str">
        <f t="shared" si="0"/>
        <v>GRMS 05309</v>
      </c>
      <c r="BN13" s="45" t="str">
        <f t="shared" si="0"/>
        <v>GRMS 05609</v>
      </c>
      <c r="BO13" s="45" t="str">
        <f t="shared" si="0"/>
        <v>GRMS 07009</v>
      </c>
      <c r="BP13" s="45" t="str">
        <f t="shared" ref="BP13:CM13" si="1">BP$4</f>
        <v>GRMS 08009</v>
      </c>
      <c r="BQ13" s="45" t="str">
        <f t="shared" si="1"/>
        <v>GRMS 08109</v>
      </c>
      <c r="BR13" s="45" t="str">
        <f t="shared" si="1"/>
        <v>GRMS 08119</v>
      </c>
      <c r="BS13" s="45" t="str">
        <f t="shared" si="1"/>
        <v>GRMS 08209</v>
      </c>
      <c r="BT13" s="45" t="str">
        <f t="shared" si="1"/>
        <v>GRMS 08309</v>
      </c>
      <c r="BU13" s="45" t="str">
        <f t="shared" si="1"/>
        <v>GRMS 08409</v>
      </c>
      <c r="BV13" s="45" t="str">
        <f t="shared" si="1"/>
        <v>GRMS 08559</v>
      </c>
      <c r="BW13" s="45" t="str">
        <f t="shared" si="1"/>
        <v>GRMS 10079</v>
      </c>
      <c r="BX13" s="45" t="str">
        <f t="shared" si="1"/>
        <v>GRMS 10159</v>
      </c>
      <c r="BY13" s="45" t="str">
        <f t="shared" si="1"/>
        <v>GRMS 10209</v>
      </c>
      <c r="BZ13" s="45" t="str">
        <f t="shared" si="1"/>
        <v>GRMS 10309</v>
      </c>
      <c r="CA13" s="45" t="str">
        <f t="shared" si="1"/>
        <v>GRMS 10359</v>
      </c>
      <c r="CB13" s="45" t="str">
        <f t="shared" si="1"/>
        <v>GRMS 10459</v>
      </c>
      <c r="CC13" s="45" t="str">
        <f t="shared" si="1"/>
        <v>GRMS 11109</v>
      </c>
      <c r="CD13" s="45" t="str">
        <f t="shared" si="1"/>
        <v>GRMS 11159</v>
      </c>
      <c r="CE13" s="45" t="str">
        <f t="shared" si="1"/>
        <v>GRMS 11209</v>
      </c>
      <c r="CF13" s="45" t="str">
        <f t="shared" si="1"/>
        <v>GRMS 11279</v>
      </c>
      <c r="CG13" s="45" t="str">
        <f t="shared" si="1"/>
        <v>GRMS 11309</v>
      </c>
      <c r="CH13" s="45" t="str">
        <f t="shared" si="1"/>
        <v>GRMS 12209</v>
      </c>
      <c r="CI13" s="45" t="str">
        <f t="shared" si="1"/>
        <v>GRMS 12609</v>
      </c>
      <c r="CJ13" s="45" t="str">
        <f t="shared" si="1"/>
        <v>GRMS 12619</v>
      </c>
      <c r="CK13" s="45" t="str">
        <f t="shared" si="1"/>
        <v>GRMS 12619B</v>
      </c>
      <c r="CL13" s="45" t="str">
        <f t="shared" si="1"/>
        <v>GRMS 12629</v>
      </c>
      <c r="CM13" s="45" t="str">
        <f t="shared" si="1"/>
        <v>GRMS 12809</v>
      </c>
    </row>
    <row r="14" spans="2:91" x14ac:dyDescent="0.3">
      <c r="B14" s="14" t="str">
        <f>B5</f>
        <v>CTS Campo Maior</v>
      </c>
      <c r="C14" s="50">
        <f>Input_!$E$198</f>
        <v>1</v>
      </c>
      <c r="D14" s="50">
        <f>Input_!$E$198</f>
        <v>1</v>
      </c>
      <c r="E14" s="50">
        <f>Input_!$E$198</f>
        <v>1</v>
      </c>
      <c r="F14" s="50">
        <f>Input_!$E$198</f>
        <v>1</v>
      </c>
      <c r="G14" s="51">
        <f>Input_!$E$197</f>
        <v>2.5714285714285712</v>
      </c>
      <c r="H14" s="51">
        <f>Input_!$E$197</f>
        <v>2.5714285714285712</v>
      </c>
      <c r="I14" s="51">
        <f>Input_!$E$197</f>
        <v>2.5714285714285712</v>
      </c>
      <c r="J14" s="51">
        <f>Input_!$E$197</f>
        <v>2.5714285714285712</v>
      </c>
      <c r="K14" s="51">
        <f>Input_!$E$197</f>
        <v>2.5714285714285712</v>
      </c>
      <c r="L14" s="51">
        <f>Input_!$E$197</f>
        <v>2.5714285714285712</v>
      </c>
      <c r="M14" s="51">
        <f>Input_!$E$197</f>
        <v>2.5714285714285712</v>
      </c>
      <c r="N14" s="51">
        <f>Input_!$E$197</f>
        <v>2.5714285714285712</v>
      </c>
      <c r="O14" s="51">
        <f>Input_!$E$197</f>
        <v>2.5714285714285712</v>
      </c>
      <c r="P14" s="51">
        <f>Input_!$E$197</f>
        <v>2.5714285714285712</v>
      </c>
      <c r="Q14" s="51">
        <f>Input_!$E$197</f>
        <v>2.5714285714285712</v>
      </c>
      <c r="R14" s="51">
        <f>Input_!$E$197</f>
        <v>2.5714285714285712</v>
      </c>
      <c r="S14" s="51">
        <f>Input_!$E$197</f>
        <v>2.5714285714285712</v>
      </c>
      <c r="T14" s="51">
        <f>Input_!$E$197</f>
        <v>2.5714285714285712</v>
      </c>
      <c r="U14" s="51">
        <f>Input_!$E$197</f>
        <v>2.5714285714285712</v>
      </c>
      <c r="V14" s="51">
        <f>Input_!$E$197</f>
        <v>2.5714285714285712</v>
      </c>
      <c r="W14" s="51">
        <f>Input_!$E$197</f>
        <v>2.5714285714285712</v>
      </c>
      <c r="X14" s="51">
        <f>Input_!$E$197</f>
        <v>2.5714285714285712</v>
      </c>
      <c r="Y14" s="51">
        <f>Input_!$E$197</f>
        <v>2.5714285714285712</v>
      </c>
      <c r="Z14" s="51">
        <f>Input_!$E$197</f>
        <v>2.5714285714285712</v>
      </c>
      <c r="AA14" s="51">
        <f>Input_!$E$197</f>
        <v>2.5714285714285712</v>
      </c>
      <c r="AB14" s="51">
        <f>Input_!$E$197</f>
        <v>2.5714285714285712</v>
      </c>
      <c r="AC14" s="51">
        <f>Input_!$E$197</f>
        <v>2.5714285714285712</v>
      </c>
      <c r="AD14" s="51">
        <f>Input_!$E$197</f>
        <v>2.5714285714285712</v>
      </c>
      <c r="AE14" s="51">
        <f>Input_!$E$197</f>
        <v>2.5714285714285712</v>
      </c>
      <c r="AF14" s="51">
        <f>Input_!$E$197</f>
        <v>2.5714285714285712</v>
      </c>
      <c r="AG14" s="51">
        <f>Input_!$E$197</f>
        <v>2.5714285714285712</v>
      </c>
      <c r="AH14" s="51">
        <f>Input_!$E$197</f>
        <v>2.5714285714285712</v>
      </c>
      <c r="AI14" s="51">
        <f>Input_!$E$197</f>
        <v>2.5714285714285712</v>
      </c>
      <c r="AJ14" s="51">
        <f>Input_!$E$197</f>
        <v>2.5714285714285712</v>
      </c>
      <c r="AK14" s="51">
        <f>Input_!$E$197</f>
        <v>2.5714285714285712</v>
      </c>
      <c r="AL14" s="51">
        <f>Input_!$E$197</f>
        <v>2.5714285714285712</v>
      </c>
      <c r="AM14" s="51">
        <f>Input_!$E$197</f>
        <v>2.5714285714285712</v>
      </c>
      <c r="AN14" s="51">
        <f>Input_!$E$197</f>
        <v>2.5714285714285712</v>
      </c>
      <c r="AO14" s="51">
        <f>Input_!$E$197</f>
        <v>2.5714285714285712</v>
      </c>
      <c r="AP14" s="51">
        <f>Input_!$E$197</f>
        <v>2.5714285714285712</v>
      </c>
      <c r="AQ14" s="51">
        <f>Input_!$E$197</f>
        <v>2.5714285714285712</v>
      </c>
      <c r="AR14" s="51">
        <f>Input_!$E$197</f>
        <v>2.5714285714285712</v>
      </c>
      <c r="AS14" s="51">
        <f>Input_!$E$197</f>
        <v>2.5714285714285712</v>
      </c>
      <c r="AT14" s="51">
        <f>Input_!$E$197</f>
        <v>2.5714285714285712</v>
      </c>
      <c r="AU14" s="51">
        <f>Input_!$E$197</f>
        <v>2.5714285714285712</v>
      </c>
      <c r="AV14" s="51">
        <f>Input_!$E$197</f>
        <v>2.5714285714285712</v>
      </c>
      <c r="AW14" s="51">
        <f>Input_!$E$197</f>
        <v>2.5714285714285712</v>
      </c>
      <c r="AX14" s="51">
        <f>Input_!$E$197</f>
        <v>2.5714285714285712</v>
      </c>
      <c r="AY14" s="51">
        <f>Input_!$E$197</f>
        <v>2.5714285714285712</v>
      </c>
      <c r="AZ14" s="51">
        <f>Input_!$E$197</f>
        <v>2.5714285714285712</v>
      </c>
      <c r="BA14" s="51">
        <f>Input_!$E$197</f>
        <v>2.5714285714285712</v>
      </c>
      <c r="BB14" s="51">
        <f>Input_!$E$197</f>
        <v>2.5714285714285712</v>
      </c>
      <c r="BC14" s="51">
        <f>Input_!$E$197</f>
        <v>2.5714285714285712</v>
      </c>
      <c r="BD14" s="51">
        <f>Input_!$E$197</f>
        <v>2.5714285714285712</v>
      </c>
      <c r="BE14" s="51">
        <f>Input_!$E$197</f>
        <v>2.5714285714285712</v>
      </c>
      <c r="BF14" s="51">
        <f>Input_!$E$197</f>
        <v>2.5714285714285712</v>
      </c>
      <c r="BG14" s="51">
        <f>Input_!$E$197</f>
        <v>2.5714285714285712</v>
      </c>
      <c r="BH14" s="51">
        <f>Input_!$E$197</f>
        <v>2.5714285714285712</v>
      </c>
      <c r="BI14" s="51">
        <f>Input_!$E$197</f>
        <v>2.5714285714285712</v>
      </c>
      <c r="BJ14" s="51">
        <f>Input_!$E$197</f>
        <v>2.5714285714285712</v>
      </c>
      <c r="BK14" s="51">
        <f>Input_!$E$197</f>
        <v>2.5714285714285712</v>
      </c>
      <c r="BL14" s="51">
        <f>Input_!$E$197</f>
        <v>2.5714285714285712</v>
      </c>
      <c r="BM14" s="51">
        <f>Input_!$E$197</f>
        <v>2.5714285714285712</v>
      </c>
      <c r="BN14" s="51">
        <f>Input_!$E$197</f>
        <v>2.5714285714285712</v>
      </c>
      <c r="BO14" s="51">
        <f>Input_!$E$197</f>
        <v>2.5714285714285712</v>
      </c>
      <c r="BP14" s="51">
        <f>Input_!$E$197</f>
        <v>2.5714285714285712</v>
      </c>
      <c r="BQ14" s="51">
        <f>Input_!$E$197</f>
        <v>2.5714285714285712</v>
      </c>
      <c r="BR14" s="51">
        <f>Input_!$E$197</f>
        <v>2.5714285714285712</v>
      </c>
      <c r="BS14" s="51">
        <f>Input_!$E$197</f>
        <v>2.5714285714285712</v>
      </c>
      <c r="BT14" s="51">
        <f>Input_!$E$197</f>
        <v>2.5714285714285712</v>
      </c>
      <c r="BU14" s="51">
        <f>Input_!$E$197</f>
        <v>2.5714285714285712</v>
      </c>
      <c r="BV14" s="51">
        <f>Input_!$E$197</f>
        <v>2.5714285714285712</v>
      </c>
      <c r="BW14" s="51">
        <f>Input_!$E$197</f>
        <v>2.5714285714285712</v>
      </c>
      <c r="BX14" s="51">
        <f>Input_!$E$197</f>
        <v>2.5714285714285712</v>
      </c>
      <c r="BY14" s="51">
        <f>Input_!$E$197</f>
        <v>2.5714285714285712</v>
      </c>
      <c r="BZ14" s="51">
        <f>Input_!$E$197</f>
        <v>2.5714285714285712</v>
      </c>
      <c r="CA14" s="51">
        <f>Input_!$E$197</f>
        <v>2.5714285714285712</v>
      </c>
      <c r="CB14" s="51">
        <f>Input_!$E$197</f>
        <v>2.5714285714285712</v>
      </c>
      <c r="CC14" s="51">
        <f>Input_!$E$197</f>
        <v>2.5714285714285712</v>
      </c>
      <c r="CD14" s="51">
        <f>Input_!$E$197</f>
        <v>2.5714285714285712</v>
      </c>
      <c r="CE14" s="51">
        <f>Input_!$E$197</f>
        <v>2.5714285714285712</v>
      </c>
      <c r="CF14" s="51">
        <f>Input_!$E$197</f>
        <v>2.5714285714285712</v>
      </c>
      <c r="CG14" s="51">
        <f>Input_!$E$197</f>
        <v>2.5714285714285712</v>
      </c>
      <c r="CH14" s="51">
        <f>Input_!$E$197</f>
        <v>2.5714285714285712</v>
      </c>
      <c r="CI14" s="51">
        <f>Input_!$E$197</f>
        <v>2.5714285714285712</v>
      </c>
      <c r="CJ14" s="51">
        <f>Input_!$E$197</f>
        <v>2.5714285714285712</v>
      </c>
      <c r="CK14" s="51">
        <f>Input_!$E$197</f>
        <v>2.5714285714285712</v>
      </c>
      <c r="CL14" s="51">
        <f>Input_!$E$197</f>
        <v>2.5714285714285712</v>
      </c>
      <c r="CM14" s="51">
        <f>Input_!$E$197</f>
        <v>2.5714285714285712</v>
      </c>
    </row>
    <row r="15" spans="2:91" x14ac:dyDescent="0.3">
      <c r="B15" s="14" t="str">
        <f t="shared" ref="B15:B18" si="2">B6</f>
        <v>CTS Valença do Minho</v>
      </c>
      <c r="C15" s="50">
        <f>Input_!$E$198</f>
        <v>1</v>
      </c>
      <c r="D15" s="50">
        <f>Input_!$E$198</f>
        <v>1</v>
      </c>
      <c r="E15" s="50">
        <f>Input_!$E$198</f>
        <v>1</v>
      </c>
      <c r="F15" s="50">
        <f>Input_!$E$198</f>
        <v>1</v>
      </c>
      <c r="G15" s="51">
        <f>Input_!$E$197</f>
        <v>2.5714285714285712</v>
      </c>
      <c r="H15" s="51">
        <f>Input_!$E$197</f>
        <v>2.5714285714285712</v>
      </c>
      <c r="I15" s="51">
        <f>Input_!$E$197</f>
        <v>2.5714285714285712</v>
      </c>
      <c r="J15" s="51">
        <f>Input_!$E$197</f>
        <v>2.5714285714285712</v>
      </c>
      <c r="K15" s="51">
        <f>Input_!$E$197</f>
        <v>2.5714285714285712</v>
      </c>
      <c r="L15" s="51">
        <f>Input_!$E$197</f>
        <v>2.5714285714285712</v>
      </c>
      <c r="M15" s="51">
        <f>Input_!$E$197</f>
        <v>2.5714285714285712</v>
      </c>
      <c r="N15" s="51">
        <f>Input_!$E$197</f>
        <v>2.5714285714285712</v>
      </c>
      <c r="O15" s="51">
        <f>Input_!$E$197</f>
        <v>2.5714285714285712</v>
      </c>
      <c r="P15" s="51">
        <f>Input_!$E$197</f>
        <v>2.5714285714285712</v>
      </c>
      <c r="Q15" s="51">
        <f>Input_!$E$197</f>
        <v>2.5714285714285712</v>
      </c>
      <c r="R15" s="51">
        <f>Input_!$E$197</f>
        <v>2.5714285714285712</v>
      </c>
      <c r="S15" s="51">
        <f>Input_!$E$197</f>
        <v>2.5714285714285712</v>
      </c>
      <c r="T15" s="51">
        <f>Input_!$E$197</f>
        <v>2.5714285714285712</v>
      </c>
      <c r="U15" s="51">
        <f>Input_!$E$197</f>
        <v>2.5714285714285712</v>
      </c>
      <c r="V15" s="51">
        <f>Input_!$E$197</f>
        <v>2.5714285714285712</v>
      </c>
      <c r="W15" s="51">
        <f>Input_!$E$197</f>
        <v>2.5714285714285712</v>
      </c>
      <c r="X15" s="51">
        <f>Input_!$E$197</f>
        <v>2.5714285714285712</v>
      </c>
      <c r="Y15" s="51">
        <f>Input_!$E$197</f>
        <v>2.5714285714285712</v>
      </c>
      <c r="Z15" s="51">
        <f>Input_!$E$197</f>
        <v>2.5714285714285712</v>
      </c>
      <c r="AA15" s="51">
        <f>Input_!$E$197</f>
        <v>2.5714285714285712</v>
      </c>
      <c r="AB15" s="51">
        <f>Input_!$E$197</f>
        <v>2.5714285714285712</v>
      </c>
      <c r="AC15" s="51">
        <f>Input_!$E$197</f>
        <v>2.5714285714285712</v>
      </c>
      <c r="AD15" s="51">
        <f>Input_!$E$197</f>
        <v>2.5714285714285712</v>
      </c>
      <c r="AE15" s="51">
        <f>Input_!$E$197</f>
        <v>2.5714285714285712</v>
      </c>
      <c r="AF15" s="51">
        <f>Input_!$E$197</f>
        <v>2.5714285714285712</v>
      </c>
      <c r="AG15" s="51">
        <f>Input_!$E$197</f>
        <v>2.5714285714285712</v>
      </c>
      <c r="AH15" s="51">
        <f>Input_!$E$197</f>
        <v>2.5714285714285712</v>
      </c>
      <c r="AI15" s="51">
        <f>Input_!$E$197</f>
        <v>2.5714285714285712</v>
      </c>
      <c r="AJ15" s="51">
        <f>Input_!$E$197</f>
        <v>2.5714285714285712</v>
      </c>
      <c r="AK15" s="51">
        <f>Input_!$E$197</f>
        <v>2.5714285714285712</v>
      </c>
      <c r="AL15" s="51">
        <f>Input_!$E$197</f>
        <v>2.5714285714285712</v>
      </c>
      <c r="AM15" s="51">
        <f>Input_!$E$197</f>
        <v>2.5714285714285712</v>
      </c>
      <c r="AN15" s="51">
        <f>Input_!$E$197</f>
        <v>2.5714285714285712</v>
      </c>
      <c r="AO15" s="51">
        <f>Input_!$E$197</f>
        <v>2.5714285714285712</v>
      </c>
      <c r="AP15" s="51">
        <f>Input_!$E$197</f>
        <v>2.5714285714285712</v>
      </c>
      <c r="AQ15" s="51">
        <f>Input_!$E$197</f>
        <v>2.5714285714285712</v>
      </c>
      <c r="AR15" s="51">
        <f>Input_!$E$197</f>
        <v>2.5714285714285712</v>
      </c>
      <c r="AS15" s="51">
        <f>Input_!$E$197</f>
        <v>2.5714285714285712</v>
      </c>
      <c r="AT15" s="51">
        <f>Input_!$E$197</f>
        <v>2.5714285714285712</v>
      </c>
      <c r="AU15" s="51">
        <f>Input_!$E$197</f>
        <v>2.5714285714285712</v>
      </c>
      <c r="AV15" s="51">
        <f>Input_!$E$197</f>
        <v>2.5714285714285712</v>
      </c>
      <c r="AW15" s="51">
        <f>Input_!$E$197</f>
        <v>2.5714285714285712</v>
      </c>
      <c r="AX15" s="51">
        <f>Input_!$E$197</f>
        <v>2.5714285714285712</v>
      </c>
      <c r="AY15" s="51">
        <f>Input_!$E$197</f>
        <v>2.5714285714285712</v>
      </c>
      <c r="AZ15" s="51">
        <f>Input_!$E$197</f>
        <v>2.5714285714285712</v>
      </c>
      <c r="BA15" s="51">
        <f>Input_!$E$197</f>
        <v>2.5714285714285712</v>
      </c>
      <c r="BB15" s="51">
        <f>Input_!$E$197</f>
        <v>2.5714285714285712</v>
      </c>
      <c r="BC15" s="51">
        <f>Input_!$E$197</f>
        <v>2.5714285714285712</v>
      </c>
      <c r="BD15" s="51">
        <f>Input_!$E$197</f>
        <v>2.5714285714285712</v>
      </c>
      <c r="BE15" s="51">
        <f>Input_!$E$197</f>
        <v>2.5714285714285712</v>
      </c>
      <c r="BF15" s="51">
        <f>Input_!$E$197</f>
        <v>2.5714285714285712</v>
      </c>
      <c r="BG15" s="51">
        <f>Input_!$E$197</f>
        <v>2.5714285714285712</v>
      </c>
      <c r="BH15" s="51">
        <f>Input_!$E$197</f>
        <v>2.5714285714285712</v>
      </c>
      <c r="BI15" s="51">
        <f>Input_!$E$197</f>
        <v>2.5714285714285712</v>
      </c>
      <c r="BJ15" s="51">
        <f>Input_!$E$197</f>
        <v>2.5714285714285712</v>
      </c>
      <c r="BK15" s="51">
        <f>Input_!$E$197</f>
        <v>2.5714285714285712</v>
      </c>
      <c r="BL15" s="51">
        <f>Input_!$E$197</f>
        <v>2.5714285714285712</v>
      </c>
      <c r="BM15" s="51">
        <f>Input_!$E$197</f>
        <v>2.5714285714285712</v>
      </c>
      <c r="BN15" s="51">
        <f>Input_!$E$197</f>
        <v>2.5714285714285712</v>
      </c>
      <c r="BO15" s="51">
        <f>Input_!$E$197</f>
        <v>2.5714285714285712</v>
      </c>
      <c r="BP15" s="51">
        <f>Input_!$E$197</f>
        <v>2.5714285714285712</v>
      </c>
      <c r="BQ15" s="51">
        <f>Input_!$E$197</f>
        <v>2.5714285714285712</v>
      </c>
      <c r="BR15" s="51">
        <f>Input_!$E$197</f>
        <v>2.5714285714285712</v>
      </c>
      <c r="BS15" s="51">
        <f>Input_!$E$197</f>
        <v>2.5714285714285712</v>
      </c>
      <c r="BT15" s="51">
        <f>Input_!$E$197</f>
        <v>2.5714285714285712</v>
      </c>
      <c r="BU15" s="51">
        <f>Input_!$E$197</f>
        <v>2.5714285714285712</v>
      </c>
      <c r="BV15" s="51">
        <f>Input_!$E$197</f>
        <v>2.5714285714285712</v>
      </c>
      <c r="BW15" s="51">
        <f>Input_!$E$197</f>
        <v>2.5714285714285712</v>
      </c>
      <c r="BX15" s="51">
        <f>Input_!$E$197</f>
        <v>2.5714285714285712</v>
      </c>
      <c r="BY15" s="51">
        <f>Input_!$E$197</f>
        <v>2.5714285714285712</v>
      </c>
      <c r="BZ15" s="51">
        <f>Input_!$E$197</f>
        <v>2.5714285714285712</v>
      </c>
      <c r="CA15" s="51">
        <f>Input_!$E$197</f>
        <v>2.5714285714285712</v>
      </c>
      <c r="CB15" s="51">
        <f>Input_!$E$197</f>
        <v>2.5714285714285712</v>
      </c>
      <c r="CC15" s="51">
        <f>Input_!$E$197</f>
        <v>2.5714285714285712</v>
      </c>
      <c r="CD15" s="51">
        <f>Input_!$E$197</f>
        <v>2.5714285714285712</v>
      </c>
      <c r="CE15" s="51">
        <f>Input_!$E$197</f>
        <v>2.5714285714285712</v>
      </c>
      <c r="CF15" s="51">
        <f>Input_!$E$197</f>
        <v>2.5714285714285712</v>
      </c>
      <c r="CG15" s="51">
        <f>Input_!$E$197</f>
        <v>2.5714285714285712</v>
      </c>
      <c r="CH15" s="51">
        <f>Input_!$E$197</f>
        <v>2.5714285714285712</v>
      </c>
      <c r="CI15" s="51">
        <f>Input_!$E$197</f>
        <v>2.5714285714285712</v>
      </c>
      <c r="CJ15" s="51">
        <f>Input_!$E$197</f>
        <v>2.5714285714285712</v>
      </c>
      <c r="CK15" s="51">
        <f>Input_!$E$197</f>
        <v>2.5714285714285712</v>
      </c>
      <c r="CL15" s="51">
        <f>Input_!$E$197</f>
        <v>2.5714285714285712</v>
      </c>
      <c r="CM15" s="51">
        <f>Input_!$E$197</f>
        <v>2.5714285714285712</v>
      </c>
    </row>
    <row r="16" spans="2:91" x14ac:dyDescent="0.3">
      <c r="B16" s="14" t="str">
        <f t="shared" si="2"/>
        <v>LNG Terminal Sines</v>
      </c>
      <c r="C16" s="50">
        <f>Input_!$E$198</f>
        <v>1</v>
      </c>
      <c r="D16" s="50">
        <f>Input_!$E$198</f>
        <v>1</v>
      </c>
      <c r="E16" s="50">
        <f>Input_!$E$198</f>
        <v>1</v>
      </c>
      <c r="F16" s="50">
        <f>Input_!$E$198</f>
        <v>1</v>
      </c>
      <c r="G16" s="51">
        <f>Input_!$E$197</f>
        <v>2.5714285714285712</v>
      </c>
      <c r="H16" s="51">
        <f>Input_!$E$197</f>
        <v>2.5714285714285712</v>
      </c>
      <c r="I16" s="51">
        <f>Input_!$E$197</f>
        <v>2.5714285714285712</v>
      </c>
      <c r="J16" s="51">
        <f>Input_!$E$197</f>
        <v>2.5714285714285712</v>
      </c>
      <c r="K16" s="51">
        <f>Input_!$E$197</f>
        <v>2.5714285714285712</v>
      </c>
      <c r="L16" s="51">
        <f>Input_!$E$197</f>
        <v>2.5714285714285712</v>
      </c>
      <c r="M16" s="51">
        <f>Input_!$E$197</f>
        <v>2.5714285714285712</v>
      </c>
      <c r="N16" s="51">
        <f>Input_!$E$197</f>
        <v>2.5714285714285712</v>
      </c>
      <c r="O16" s="51">
        <f>Input_!$E$197</f>
        <v>2.5714285714285712</v>
      </c>
      <c r="P16" s="51">
        <f>Input_!$E$197</f>
        <v>2.5714285714285712</v>
      </c>
      <c r="Q16" s="51">
        <f>Input_!$E$197</f>
        <v>2.5714285714285712</v>
      </c>
      <c r="R16" s="51">
        <f>Input_!$E$197</f>
        <v>2.5714285714285712</v>
      </c>
      <c r="S16" s="51">
        <f>Input_!$E$197</f>
        <v>2.5714285714285712</v>
      </c>
      <c r="T16" s="51">
        <f>Input_!$E$197</f>
        <v>2.5714285714285712</v>
      </c>
      <c r="U16" s="51">
        <f>Input_!$E$197</f>
        <v>2.5714285714285712</v>
      </c>
      <c r="V16" s="51">
        <f>Input_!$E$197</f>
        <v>2.5714285714285712</v>
      </c>
      <c r="W16" s="51">
        <f>Input_!$E$197</f>
        <v>2.5714285714285712</v>
      </c>
      <c r="X16" s="51">
        <f>Input_!$E$197</f>
        <v>2.5714285714285712</v>
      </c>
      <c r="Y16" s="51">
        <f>Input_!$E$197</f>
        <v>2.5714285714285712</v>
      </c>
      <c r="Z16" s="51">
        <f>Input_!$E$197</f>
        <v>2.5714285714285712</v>
      </c>
      <c r="AA16" s="51">
        <f>Input_!$E$197</f>
        <v>2.5714285714285712</v>
      </c>
      <c r="AB16" s="51">
        <f>Input_!$E$197</f>
        <v>2.5714285714285712</v>
      </c>
      <c r="AC16" s="51">
        <f>Input_!$E$197</f>
        <v>2.5714285714285712</v>
      </c>
      <c r="AD16" s="51">
        <f>Input_!$E$197</f>
        <v>2.5714285714285712</v>
      </c>
      <c r="AE16" s="51">
        <f>Input_!$E$197</f>
        <v>2.5714285714285712</v>
      </c>
      <c r="AF16" s="51">
        <f>Input_!$E$197</f>
        <v>2.5714285714285712</v>
      </c>
      <c r="AG16" s="51">
        <f>Input_!$E$197</f>
        <v>2.5714285714285712</v>
      </c>
      <c r="AH16" s="51">
        <f>Input_!$E$197</f>
        <v>2.5714285714285712</v>
      </c>
      <c r="AI16" s="51">
        <f>Input_!$E$197</f>
        <v>2.5714285714285712</v>
      </c>
      <c r="AJ16" s="51">
        <f>Input_!$E$197</f>
        <v>2.5714285714285712</v>
      </c>
      <c r="AK16" s="51">
        <f>Input_!$E$197</f>
        <v>2.5714285714285712</v>
      </c>
      <c r="AL16" s="51">
        <f>Input_!$E$197</f>
        <v>2.5714285714285712</v>
      </c>
      <c r="AM16" s="51">
        <f>Input_!$E$197</f>
        <v>2.5714285714285712</v>
      </c>
      <c r="AN16" s="51">
        <f>Input_!$E$197</f>
        <v>2.5714285714285712</v>
      </c>
      <c r="AO16" s="51">
        <f>Input_!$E$197</f>
        <v>2.5714285714285712</v>
      </c>
      <c r="AP16" s="51">
        <f>Input_!$E$197</f>
        <v>2.5714285714285712</v>
      </c>
      <c r="AQ16" s="51">
        <f>Input_!$E$197</f>
        <v>2.5714285714285712</v>
      </c>
      <c r="AR16" s="51">
        <f>Input_!$E$197</f>
        <v>2.5714285714285712</v>
      </c>
      <c r="AS16" s="51">
        <f>Input_!$E$197</f>
        <v>2.5714285714285712</v>
      </c>
      <c r="AT16" s="51">
        <f>Input_!$E$197</f>
        <v>2.5714285714285712</v>
      </c>
      <c r="AU16" s="51">
        <f>Input_!$E$197</f>
        <v>2.5714285714285712</v>
      </c>
      <c r="AV16" s="51">
        <f>Input_!$E$197</f>
        <v>2.5714285714285712</v>
      </c>
      <c r="AW16" s="51">
        <f>Input_!$E$197</f>
        <v>2.5714285714285712</v>
      </c>
      <c r="AX16" s="51">
        <f>Input_!$E$197</f>
        <v>2.5714285714285712</v>
      </c>
      <c r="AY16" s="51">
        <f>Input_!$E$197</f>
        <v>2.5714285714285712</v>
      </c>
      <c r="AZ16" s="51">
        <f>Input_!$E$197</f>
        <v>2.5714285714285712</v>
      </c>
      <c r="BA16" s="51">
        <f>Input_!$E$197</f>
        <v>2.5714285714285712</v>
      </c>
      <c r="BB16" s="51">
        <f>Input_!$E$197</f>
        <v>2.5714285714285712</v>
      </c>
      <c r="BC16" s="51">
        <f>Input_!$E$197</f>
        <v>2.5714285714285712</v>
      </c>
      <c r="BD16" s="51">
        <f>Input_!$E$197</f>
        <v>2.5714285714285712</v>
      </c>
      <c r="BE16" s="51">
        <f>Input_!$E$197</f>
        <v>2.5714285714285712</v>
      </c>
      <c r="BF16" s="51">
        <f>Input_!$E$197</f>
        <v>2.5714285714285712</v>
      </c>
      <c r="BG16" s="51">
        <f>Input_!$E$197</f>
        <v>2.5714285714285712</v>
      </c>
      <c r="BH16" s="51">
        <f>Input_!$E$197</f>
        <v>2.5714285714285712</v>
      </c>
      <c r="BI16" s="51">
        <f>Input_!$E$197</f>
        <v>2.5714285714285712</v>
      </c>
      <c r="BJ16" s="51">
        <f>Input_!$E$197</f>
        <v>2.5714285714285712</v>
      </c>
      <c r="BK16" s="51">
        <f>Input_!$E$197</f>
        <v>2.5714285714285712</v>
      </c>
      <c r="BL16" s="51">
        <f>Input_!$E$197</f>
        <v>2.5714285714285712</v>
      </c>
      <c r="BM16" s="51">
        <f>Input_!$E$197</f>
        <v>2.5714285714285712</v>
      </c>
      <c r="BN16" s="51">
        <f>Input_!$E$197</f>
        <v>2.5714285714285712</v>
      </c>
      <c r="BO16" s="51">
        <f>Input_!$E$197</f>
        <v>2.5714285714285712</v>
      </c>
      <c r="BP16" s="51">
        <f>Input_!$E$197</f>
        <v>2.5714285714285712</v>
      </c>
      <c r="BQ16" s="51">
        <f>Input_!$E$197</f>
        <v>2.5714285714285712</v>
      </c>
      <c r="BR16" s="51">
        <f>Input_!$E$197</f>
        <v>2.5714285714285712</v>
      </c>
      <c r="BS16" s="51">
        <f>Input_!$E$197</f>
        <v>2.5714285714285712</v>
      </c>
      <c r="BT16" s="51">
        <f>Input_!$E$197</f>
        <v>2.5714285714285712</v>
      </c>
      <c r="BU16" s="51">
        <f>Input_!$E$197</f>
        <v>2.5714285714285712</v>
      </c>
      <c r="BV16" s="51">
        <f>Input_!$E$197</f>
        <v>2.5714285714285712</v>
      </c>
      <c r="BW16" s="51">
        <f>Input_!$E$197</f>
        <v>2.5714285714285712</v>
      </c>
      <c r="BX16" s="51">
        <f>Input_!$E$197</f>
        <v>2.5714285714285712</v>
      </c>
      <c r="BY16" s="51">
        <f>Input_!$E$197</f>
        <v>2.5714285714285712</v>
      </c>
      <c r="BZ16" s="51">
        <f>Input_!$E$197</f>
        <v>2.5714285714285712</v>
      </c>
      <c r="CA16" s="51">
        <f>Input_!$E$197</f>
        <v>2.5714285714285712</v>
      </c>
      <c r="CB16" s="51">
        <f>Input_!$E$197</f>
        <v>2.5714285714285712</v>
      </c>
      <c r="CC16" s="51">
        <f>Input_!$E$197</f>
        <v>2.5714285714285712</v>
      </c>
      <c r="CD16" s="51">
        <f>Input_!$E$197</f>
        <v>2.5714285714285712</v>
      </c>
      <c r="CE16" s="51">
        <f>Input_!$E$197</f>
        <v>2.5714285714285712</v>
      </c>
      <c r="CF16" s="51">
        <f>Input_!$E$197</f>
        <v>2.5714285714285712</v>
      </c>
      <c r="CG16" s="51">
        <f>Input_!$E$197</f>
        <v>2.5714285714285712</v>
      </c>
      <c r="CH16" s="51">
        <f>Input_!$E$197</f>
        <v>2.5714285714285712</v>
      </c>
      <c r="CI16" s="51">
        <f>Input_!$E$197</f>
        <v>2.5714285714285712</v>
      </c>
      <c r="CJ16" s="51">
        <f>Input_!$E$197</f>
        <v>2.5714285714285712</v>
      </c>
      <c r="CK16" s="51">
        <f>Input_!$E$197</f>
        <v>2.5714285714285712</v>
      </c>
      <c r="CL16" s="51">
        <f>Input_!$E$197</f>
        <v>2.5714285714285712</v>
      </c>
      <c r="CM16" s="51">
        <f>Input_!$E$197</f>
        <v>2.5714285714285712</v>
      </c>
    </row>
    <row r="17" spans="2:91" x14ac:dyDescent="0.3">
      <c r="B17" s="14" t="str">
        <f t="shared" si="2"/>
        <v>Underground storage Carriço</v>
      </c>
      <c r="C17" s="50">
        <f>Input_!$E$198</f>
        <v>1</v>
      </c>
      <c r="D17" s="50">
        <f>Input_!$E$198</f>
        <v>1</v>
      </c>
      <c r="E17" s="50">
        <f>Input_!$E$198</f>
        <v>1</v>
      </c>
      <c r="F17" s="50">
        <f>Input_!$E$198</f>
        <v>1</v>
      </c>
      <c r="G17" s="51">
        <f>Input_!$E$197</f>
        <v>2.5714285714285712</v>
      </c>
      <c r="H17" s="51">
        <f>Input_!$E$197</f>
        <v>2.5714285714285712</v>
      </c>
      <c r="I17" s="51">
        <f>Input_!$E$197</f>
        <v>2.5714285714285712</v>
      </c>
      <c r="J17" s="51">
        <f>Input_!$E$197</f>
        <v>2.5714285714285712</v>
      </c>
      <c r="K17" s="51">
        <f>Input_!$E$197</f>
        <v>2.5714285714285712</v>
      </c>
      <c r="L17" s="51">
        <f>Input_!$E$197</f>
        <v>2.5714285714285712</v>
      </c>
      <c r="M17" s="51">
        <f>Input_!$E$197</f>
        <v>2.5714285714285712</v>
      </c>
      <c r="N17" s="51">
        <f>Input_!$E$197</f>
        <v>2.5714285714285712</v>
      </c>
      <c r="O17" s="51">
        <f>Input_!$E$197</f>
        <v>2.5714285714285712</v>
      </c>
      <c r="P17" s="51">
        <f>Input_!$E$197</f>
        <v>2.5714285714285712</v>
      </c>
      <c r="Q17" s="51">
        <f>Input_!$E$197</f>
        <v>2.5714285714285712</v>
      </c>
      <c r="R17" s="51">
        <f>Input_!$E$197</f>
        <v>2.5714285714285712</v>
      </c>
      <c r="S17" s="51">
        <f>Input_!$E$197</f>
        <v>2.5714285714285712</v>
      </c>
      <c r="T17" s="51">
        <f>Input_!$E$197</f>
        <v>2.5714285714285712</v>
      </c>
      <c r="U17" s="51">
        <f>Input_!$E$197</f>
        <v>2.5714285714285712</v>
      </c>
      <c r="V17" s="51">
        <f>Input_!$E$197</f>
        <v>2.5714285714285712</v>
      </c>
      <c r="W17" s="51">
        <f>Input_!$E$197</f>
        <v>2.5714285714285712</v>
      </c>
      <c r="X17" s="51">
        <f>Input_!$E$197</f>
        <v>2.5714285714285712</v>
      </c>
      <c r="Y17" s="51">
        <f>Input_!$E$197</f>
        <v>2.5714285714285712</v>
      </c>
      <c r="Z17" s="51">
        <f>Input_!$E$197</f>
        <v>2.5714285714285712</v>
      </c>
      <c r="AA17" s="51">
        <f>Input_!$E$197</f>
        <v>2.5714285714285712</v>
      </c>
      <c r="AB17" s="51">
        <f>Input_!$E$197</f>
        <v>2.5714285714285712</v>
      </c>
      <c r="AC17" s="51">
        <f>Input_!$E$197</f>
        <v>2.5714285714285712</v>
      </c>
      <c r="AD17" s="51">
        <f>Input_!$E$197</f>
        <v>2.5714285714285712</v>
      </c>
      <c r="AE17" s="51">
        <f>Input_!$E$197</f>
        <v>2.5714285714285712</v>
      </c>
      <c r="AF17" s="51">
        <f>Input_!$E$197</f>
        <v>2.5714285714285712</v>
      </c>
      <c r="AG17" s="51">
        <f>Input_!$E$197</f>
        <v>2.5714285714285712</v>
      </c>
      <c r="AH17" s="51">
        <f>Input_!$E$197</f>
        <v>2.5714285714285712</v>
      </c>
      <c r="AI17" s="51">
        <f>Input_!$E$197</f>
        <v>2.5714285714285712</v>
      </c>
      <c r="AJ17" s="51">
        <f>Input_!$E$197</f>
        <v>2.5714285714285712</v>
      </c>
      <c r="AK17" s="51">
        <f>Input_!$E$197</f>
        <v>2.5714285714285712</v>
      </c>
      <c r="AL17" s="51">
        <f>Input_!$E$197</f>
        <v>2.5714285714285712</v>
      </c>
      <c r="AM17" s="51">
        <f>Input_!$E$197</f>
        <v>2.5714285714285712</v>
      </c>
      <c r="AN17" s="51">
        <f>Input_!$E$197</f>
        <v>2.5714285714285712</v>
      </c>
      <c r="AO17" s="51">
        <f>Input_!$E$197</f>
        <v>2.5714285714285712</v>
      </c>
      <c r="AP17" s="51">
        <f>Input_!$E$197</f>
        <v>2.5714285714285712</v>
      </c>
      <c r="AQ17" s="51">
        <f>Input_!$E$197</f>
        <v>2.5714285714285712</v>
      </c>
      <c r="AR17" s="51">
        <f>Input_!$E$197</f>
        <v>2.5714285714285712</v>
      </c>
      <c r="AS17" s="51">
        <f>Input_!$E$197</f>
        <v>2.5714285714285712</v>
      </c>
      <c r="AT17" s="51">
        <f>Input_!$E$197</f>
        <v>2.5714285714285712</v>
      </c>
      <c r="AU17" s="51">
        <f>Input_!$E$197</f>
        <v>2.5714285714285712</v>
      </c>
      <c r="AV17" s="51">
        <f>Input_!$E$197</f>
        <v>2.5714285714285712</v>
      </c>
      <c r="AW17" s="51">
        <f>Input_!$E$197</f>
        <v>2.5714285714285712</v>
      </c>
      <c r="AX17" s="51">
        <f>Input_!$E$197</f>
        <v>2.5714285714285712</v>
      </c>
      <c r="AY17" s="51">
        <f>Input_!$E$197</f>
        <v>2.5714285714285712</v>
      </c>
      <c r="AZ17" s="51">
        <f>Input_!$E$197</f>
        <v>2.5714285714285712</v>
      </c>
      <c r="BA17" s="51">
        <f>Input_!$E$197</f>
        <v>2.5714285714285712</v>
      </c>
      <c r="BB17" s="51">
        <f>Input_!$E$197</f>
        <v>2.5714285714285712</v>
      </c>
      <c r="BC17" s="51">
        <f>Input_!$E$197</f>
        <v>2.5714285714285712</v>
      </c>
      <c r="BD17" s="51">
        <f>Input_!$E$197</f>
        <v>2.5714285714285712</v>
      </c>
      <c r="BE17" s="51">
        <f>Input_!$E$197</f>
        <v>2.5714285714285712</v>
      </c>
      <c r="BF17" s="51">
        <f>Input_!$E$197</f>
        <v>2.5714285714285712</v>
      </c>
      <c r="BG17" s="51">
        <f>Input_!$E$197</f>
        <v>2.5714285714285712</v>
      </c>
      <c r="BH17" s="51">
        <f>Input_!$E$197</f>
        <v>2.5714285714285712</v>
      </c>
      <c r="BI17" s="51">
        <f>Input_!$E$197</f>
        <v>2.5714285714285712</v>
      </c>
      <c r="BJ17" s="51">
        <f>Input_!$E$197</f>
        <v>2.5714285714285712</v>
      </c>
      <c r="BK17" s="51">
        <f>Input_!$E$197</f>
        <v>2.5714285714285712</v>
      </c>
      <c r="BL17" s="51">
        <f>Input_!$E$197</f>
        <v>2.5714285714285712</v>
      </c>
      <c r="BM17" s="51">
        <f>Input_!$E$197</f>
        <v>2.5714285714285712</v>
      </c>
      <c r="BN17" s="51">
        <f>Input_!$E$197</f>
        <v>2.5714285714285712</v>
      </c>
      <c r="BO17" s="51">
        <f>Input_!$E$197</f>
        <v>2.5714285714285712</v>
      </c>
      <c r="BP17" s="51">
        <f>Input_!$E$197</f>
        <v>2.5714285714285712</v>
      </c>
      <c r="BQ17" s="51">
        <f>Input_!$E$197</f>
        <v>2.5714285714285712</v>
      </c>
      <c r="BR17" s="51">
        <f>Input_!$E$197</f>
        <v>2.5714285714285712</v>
      </c>
      <c r="BS17" s="51">
        <f>Input_!$E$197</f>
        <v>2.5714285714285712</v>
      </c>
      <c r="BT17" s="51">
        <f>Input_!$E$197</f>
        <v>2.5714285714285712</v>
      </c>
      <c r="BU17" s="51">
        <f>Input_!$E$197</f>
        <v>2.5714285714285712</v>
      </c>
      <c r="BV17" s="51">
        <f>Input_!$E$197</f>
        <v>2.5714285714285712</v>
      </c>
      <c r="BW17" s="51">
        <f>Input_!$E$197</f>
        <v>2.5714285714285712</v>
      </c>
      <c r="BX17" s="51">
        <f>Input_!$E$197</f>
        <v>2.5714285714285712</v>
      </c>
      <c r="BY17" s="51">
        <f>Input_!$E$197</f>
        <v>2.5714285714285712</v>
      </c>
      <c r="BZ17" s="51">
        <f>Input_!$E$197</f>
        <v>2.5714285714285712</v>
      </c>
      <c r="CA17" s="51">
        <f>Input_!$E$197</f>
        <v>2.5714285714285712</v>
      </c>
      <c r="CB17" s="51">
        <f>Input_!$E$197</f>
        <v>2.5714285714285712</v>
      </c>
      <c r="CC17" s="51">
        <f>Input_!$E$197</f>
        <v>2.5714285714285712</v>
      </c>
      <c r="CD17" s="51">
        <f>Input_!$E$197</f>
        <v>2.5714285714285712</v>
      </c>
      <c r="CE17" s="51">
        <f>Input_!$E$197</f>
        <v>2.5714285714285712</v>
      </c>
      <c r="CF17" s="51">
        <f>Input_!$E$197</f>
        <v>2.5714285714285712</v>
      </c>
      <c r="CG17" s="51">
        <f>Input_!$E$197</f>
        <v>2.5714285714285712</v>
      </c>
      <c r="CH17" s="51">
        <f>Input_!$E$197</f>
        <v>2.5714285714285712</v>
      </c>
      <c r="CI17" s="51">
        <f>Input_!$E$197</f>
        <v>2.5714285714285712</v>
      </c>
      <c r="CJ17" s="51">
        <f>Input_!$E$197</f>
        <v>2.5714285714285712</v>
      </c>
      <c r="CK17" s="51">
        <f>Input_!$E$197</f>
        <v>2.5714285714285712</v>
      </c>
      <c r="CL17" s="51">
        <f>Input_!$E$197</f>
        <v>2.5714285714285712</v>
      </c>
      <c r="CM17" s="51">
        <f>Input_!$E$197</f>
        <v>2.5714285714285712</v>
      </c>
    </row>
    <row r="18" spans="2:91" x14ac:dyDescent="0.3">
      <c r="B18" s="14" t="str">
        <f t="shared" si="2"/>
        <v>Gas producers</v>
      </c>
      <c r="C18" s="50">
        <f>Input_!$E$198</f>
        <v>1</v>
      </c>
      <c r="D18" s="50">
        <f>Input_!$E$198</f>
        <v>1</v>
      </c>
      <c r="E18" s="50">
        <f>Input_!$E$198</f>
        <v>1</v>
      </c>
      <c r="F18" s="50">
        <f>Input_!$E$198</f>
        <v>1</v>
      </c>
      <c r="G18" s="51">
        <f>Input_!$E$197</f>
        <v>2.5714285714285712</v>
      </c>
      <c r="H18" s="51">
        <f>Input_!$E$197</f>
        <v>2.5714285714285712</v>
      </c>
      <c r="I18" s="51">
        <f>Input_!$E$197</f>
        <v>2.5714285714285712</v>
      </c>
      <c r="J18" s="51">
        <f>Input_!$E$197</f>
        <v>2.5714285714285712</v>
      </c>
      <c r="K18" s="51">
        <f>Input_!$E$197</f>
        <v>2.5714285714285712</v>
      </c>
      <c r="L18" s="51">
        <f>Input_!$E$197</f>
        <v>2.5714285714285712</v>
      </c>
      <c r="M18" s="51">
        <f>Input_!$E$197</f>
        <v>2.5714285714285712</v>
      </c>
      <c r="N18" s="51">
        <f>Input_!$E$197</f>
        <v>2.5714285714285712</v>
      </c>
      <c r="O18" s="51">
        <f>Input_!$E$197</f>
        <v>2.5714285714285712</v>
      </c>
      <c r="P18" s="51">
        <f>Input_!$E$197</f>
        <v>2.5714285714285712</v>
      </c>
      <c r="Q18" s="51">
        <f>Input_!$E$197</f>
        <v>2.5714285714285712</v>
      </c>
      <c r="R18" s="51">
        <f>Input_!$E$197</f>
        <v>2.5714285714285712</v>
      </c>
      <c r="S18" s="51">
        <f>Input_!$E$197</f>
        <v>2.5714285714285712</v>
      </c>
      <c r="T18" s="51">
        <f>Input_!$E$197</f>
        <v>2.5714285714285712</v>
      </c>
      <c r="U18" s="51">
        <f>Input_!$E$197</f>
        <v>2.5714285714285712</v>
      </c>
      <c r="V18" s="51">
        <f>Input_!$E$197</f>
        <v>2.5714285714285712</v>
      </c>
      <c r="W18" s="51">
        <f>Input_!$E$197</f>
        <v>2.5714285714285712</v>
      </c>
      <c r="X18" s="51">
        <f>Input_!$E$197</f>
        <v>2.5714285714285712</v>
      </c>
      <c r="Y18" s="51">
        <f>Input_!$E$197</f>
        <v>2.5714285714285712</v>
      </c>
      <c r="Z18" s="51">
        <f>Input_!$E$197</f>
        <v>2.5714285714285712</v>
      </c>
      <c r="AA18" s="51">
        <f>Input_!$E$197</f>
        <v>2.5714285714285712</v>
      </c>
      <c r="AB18" s="51">
        <f>Input_!$E$197</f>
        <v>2.5714285714285712</v>
      </c>
      <c r="AC18" s="51">
        <f>Input_!$E$197</f>
        <v>2.5714285714285712</v>
      </c>
      <c r="AD18" s="51">
        <f>Input_!$E$197</f>
        <v>2.5714285714285712</v>
      </c>
      <c r="AE18" s="51">
        <f>Input_!$E$197</f>
        <v>2.5714285714285712</v>
      </c>
      <c r="AF18" s="51">
        <f>Input_!$E$197</f>
        <v>2.5714285714285712</v>
      </c>
      <c r="AG18" s="51">
        <f>Input_!$E$197</f>
        <v>2.5714285714285712</v>
      </c>
      <c r="AH18" s="51">
        <f>Input_!$E$197</f>
        <v>2.5714285714285712</v>
      </c>
      <c r="AI18" s="51">
        <f>Input_!$E$197</f>
        <v>2.5714285714285712</v>
      </c>
      <c r="AJ18" s="51">
        <f>Input_!$E$197</f>
        <v>2.5714285714285712</v>
      </c>
      <c r="AK18" s="51">
        <f>Input_!$E$197</f>
        <v>2.5714285714285712</v>
      </c>
      <c r="AL18" s="51">
        <f>Input_!$E$197</f>
        <v>2.5714285714285712</v>
      </c>
      <c r="AM18" s="51">
        <f>Input_!$E$197</f>
        <v>2.5714285714285712</v>
      </c>
      <c r="AN18" s="51">
        <f>Input_!$E$197</f>
        <v>2.5714285714285712</v>
      </c>
      <c r="AO18" s="51">
        <f>Input_!$E$197</f>
        <v>2.5714285714285712</v>
      </c>
      <c r="AP18" s="51">
        <f>Input_!$E$197</f>
        <v>2.5714285714285712</v>
      </c>
      <c r="AQ18" s="51">
        <f>Input_!$E$197</f>
        <v>2.5714285714285712</v>
      </c>
      <c r="AR18" s="51">
        <f>Input_!$E$197</f>
        <v>2.5714285714285712</v>
      </c>
      <c r="AS18" s="51">
        <f>Input_!$E$197</f>
        <v>2.5714285714285712</v>
      </c>
      <c r="AT18" s="51">
        <f>Input_!$E$197</f>
        <v>2.5714285714285712</v>
      </c>
      <c r="AU18" s="51">
        <f>Input_!$E$197</f>
        <v>2.5714285714285712</v>
      </c>
      <c r="AV18" s="51">
        <f>Input_!$E$197</f>
        <v>2.5714285714285712</v>
      </c>
      <c r="AW18" s="51">
        <f>Input_!$E$197</f>
        <v>2.5714285714285712</v>
      </c>
      <c r="AX18" s="51">
        <f>Input_!$E$197</f>
        <v>2.5714285714285712</v>
      </c>
      <c r="AY18" s="51">
        <f>Input_!$E$197</f>
        <v>2.5714285714285712</v>
      </c>
      <c r="AZ18" s="51">
        <f>Input_!$E$197</f>
        <v>2.5714285714285712</v>
      </c>
      <c r="BA18" s="51">
        <f>Input_!$E$197</f>
        <v>2.5714285714285712</v>
      </c>
      <c r="BB18" s="51">
        <f>Input_!$E$197</f>
        <v>2.5714285714285712</v>
      </c>
      <c r="BC18" s="51">
        <f>Input_!$E$197</f>
        <v>2.5714285714285712</v>
      </c>
      <c r="BD18" s="51">
        <f>Input_!$E$197</f>
        <v>2.5714285714285712</v>
      </c>
      <c r="BE18" s="51">
        <f>Input_!$E$197</f>
        <v>2.5714285714285712</v>
      </c>
      <c r="BF18" s="51">
        <f>Input_!$E$197</f>
        <v>2.5714285714285712</v>
      </c>
      <c r="BG18" s="51">
        <f>Input_!$E$197</f>
        <v>2.5714285714285712</v>
      </c>
      <c r="BH18" s="51">
        <f>Input_!$E$197</f>
        <v>2.5714285714285712</v>
      </c>
      <c r="BI18" s="51">
        <f>Input_!$E$197</f>
        <v>2.5714285714285712</v>
      </c>
      <c r="BJ18" s="51">
        <f>Input_!$E$197</f>
        <v>2.5714285714285712</v>
      </c>
      <c r="BK18" s="51">
        <f>Input_!$E$197</f>
        <v>2.5714285714285712</v>
      </c>
      <c r="BL18" s="51">
        <f>Input_!$E$197</f>
        <v>2.5714285714285712</v>
      </c>
      <c r="BM18" s="51">
        <f>Input_!$E$197</f>
        <v>2.5714285714285712</v>
      </c>
      <c r="BN18" s="51">
        <f>Input_!$E$197</f>
        <v>2.5714285714285712</v>
      </c>
      <c r="BO18" s="51">
        <f>Input_!$E$197</f>
        <v>2.5714285714285712</v>
      </c>
      <c r="BP18" s="51">
        <f>Input_!$E$197</f>
        <v>2.5714285714285712</v>
      </c>
      <c r="BQ18" s="51">
        <f>Input_!$E$197</f>
        <v>2.5714285714285712</v>
      </c>
      <c r="BR18" s="51">
        <f>Input_!$E$197</f>
        <v>2.5714285714285712</v>
      </c>
      <c r="BS18" s="51">
        <f>Input_!$E$197</f>
        <v>2.5714285714285712</v>
      </c>
      <c r="BT18" s="51">
        <f>Input_!$E$197</f>
        <v>2.5714285714285712</v>
      </c>
      <c r="BU18" s="51">
        <f>Input_!$E$197</f>
        <v>2.5714285714285712</v>
      </c>
      <c r="BV18" s="51">
        <f>Input_!$E$197</f>
        <v>2.5714285714285712</v>
      </c>
      <c r="BW18" s="51">
        <f>Input_!$E$197</f>
        <v>2.5714285714285712</v>
      </c>
      <c r="BX18" s="51">
        <f>Input_!$E$197</f>
        <v>2.5714285714285712</v>
      </c>
      <c r="BY18" s="51">
        <f>Input_!$E$197</f>
        <v>2.5714285714285712</v>
      </c>
      <c r="BZ18" s="51">
        <f>Input_!$E$197</f>
        <v>2.5714285714285712</v>
      </c>
      <c r="CA18" s="51">
        <f>Input_!$E$197</f>
        <v>2.5714285714285712</v>
      </c>
      <c r="CB18" s="51">
        <f>Input_!$E$197</f>
        <v>2.5714285714285712</v>
      </c>
      <c r="CC18" s="51">
        <f>Input_!$E$197</f>
        <v>2.5714285714285712</v>
      </c>
      <c r="CD18" s="51">
        <f>Input_!$E$197</f>
        <v>2.5714285714285712</v>
      </c>
      <c r="CE18" s="51">
        <f>Input_!$E$197</f>
        <v>2.5714285714285712</v>
      </c>
      <c r="CF18" s="51">
        <f>Input_!$E$197</f>
        <v>2.5714285714285712</v>
      </c>
      <c r="CG18" s="51">
        <f>Input_!$E$197</f>
        <v>2.5714285714285712</v>
      </c>
      <c r="CH18" s="51">
        <f>Input_!$E$197</f>
        <v>2.5714285714285712</v>
      </c>
      <c r="CI18" s="51">
        <f>Input_!$E$197</f>
        <v>2.5714285714285712</v>
      </c>
      <c r="CJ18" s="51">
        <f>Input_!$E$197</f>
        <v>2.5714285714285712</v>
      </c>
      <c r="CK18" s="51">
        <f>Input_!$E$197</f>
        <v>2.5714285714285712</v>
      </c>
      <c r="CL18" s="51">
        <f>Input_!$E$197</f>
        <v>2.5714285714285712</v>
      </c>
      <c r="CM18" s="51">
        <f>Input_!$E$197</f>
        <v>2.5714285714285712</v>
      </c>
    </row>
    <row r="21" spans="2:91" x14ac:dyDescent="0.3">
      <c r="B21" s="2" t="s">
        <v>4</v>
      </c>
      <c r="C21" s="41" t="str">
        <f>C3</f>
        <v>Exit point</v>
      </c>
      <c r="D21" s="42"/>
      <c r="E21" s="42"/>
      <c r="F21" s="4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4"/>
    </row>
    <row r="22" spans="2:91" x14ac:dyDescent="0.3">
      <c r="B22" s="46" t="str">
        <f>B4</f>
        <v>Entry point</v>
      </c>
      <c r="C22" s="48" t="str">
        <f>C$4</f>
        <v>CTS Campo Maior</v>
      </c>
      <c r="D22" s="48" t="str">
        <f t="shared" ref="D22:BO22" si="3">D$4</f>
        <v>CTS Valença do Minho</v>
      </c>
      <c r="E22" s="48" t="str">
        <f t="shared" si="3"/>
        <v>LNG Terminal Sines</v>
      </c>
      <c r="F22" s="48" t="str">
        <f t="shared" si="3"/>
        <v>Underground storage Carriço</v>
      </c>
      <c r="G22" s="48" t="str">
        <f t="shared" si="3"/>
        <v>GRMS 01059</v>
      </c>
      <c r="H22" s="48" t="str">
        <f t="shared" si="3"/>
        <v>GRMS 01109</v>
      </c>
      <c r="I22" s="48" t="str">
        <f t="shared" si="3"/>
        <v>GRMS 01119</v>
      </c>
      <c r="J22" s="48" t="str">
        <f t="shared" si="3"/>
        <v>GRMS 01129</v>
      </c>
      <c r="K22" s="48" t="str">
        <f t="shared" si="3"/>
        <v>GRMS 01139</v>
      </c>
      <c r="L22" s="48" t="str">
        <f t="shared" si="3"/>
        <v>GRMS 01149</v>
      </c>
      <c r="M22" s="48" t="str">
        <f t="shared" si="3"/>
        <v>GRMS 01159</v>
      </c>
      <c r="N22" s="48" t="str">
        <f t="shared" si="3"/>
        <v>GRMS 01179</v>
      </c>
      <c r="O22" s="48" t="str">
        <f t="shared" si="3"/>
        <v>GRMS 01189</v>
      </c>
      <c r="P22" s="48" t="str">
        <f t="shared" si="3"/>
        <v>GRMS 01209</v>
      </c>
      <c r="Q22" s="48" t="str">
        <f t="shared" si="3"/>
        <v>GRMS 01219</v>
      </c>
      <c r="R22" s="48" t="str">
        <f t="shared" si="3"/>
        <v>GRMS 01229</v>
      </c>
      <c r="S22" s="48" t="str">
        <f t="shared" si="3"/>
        <v>GRMS 01239</v>
      </c>
      <c r="T22" s="48" t="str">
        <f t="shared" si="3"/>
        <v>GRMS 01259</v>
      </c>
      <c r="U22" s="48" t="str">
        <f t="shared" si="3"/>
        <v>GRMS 01269</v>
      </c>
      <c r="V22" s="48" t="str">
        <f t="shared" si="3"/>
        <v>GRMS 01279</v>
      </c>
      <c r="W22" s="48" t="str">
        <f t="shared" si="3"/>
        <v>GRMS 01309</v>
      </c>
      <c r="X22" s="48" t="str">
        <f t="shared" si="3"/>
        <v>GRMS 01319</v>
      </c>
      <c r="Y22" s="48" t="str">
        <f t="shared" si="3"/>
        <v>GRMS 01359</v>
      </c>
      <c r="Z22" s="48" t="str">
        <f t="shared" si="3"/>
        <v>GRMS 01369</v>
      </c>
      <c r="AA22" s="48" t="str">
        <f t="shared" si="3"/>
        <v>GRMS 01409</v>
      </c>
      <c r="AB22" s="48" t="str">
        <f t="shared" si="3"/>
        <v>GRMS 02069</v>
      </c>
      <c r="AC22" s="48" t="str">
        <f t="shared" si="3"/>
        <v>GRMS 02089</v>
      </c>
      <c r="AD22" s="48" t="str">
        <f t="shared" si="3"/>
        <v>GRMS 02159</v>
      </c>
      <c r="AE22" s="48" t="str">
        <f t="shared" si="3"/>
        <v>GRMS 02509</v>
      </c>
      <c r="AF22" s="48" t="str">
        <f t="shared" si="3"/>
        <v>GRMS 02519</v>
      </c>
      <c r="AG22" s="48" t="str">
        <f t="shared" si="3"/>
        <v>GRMS 02539</v>
      </c>
      <c r="AH22" s="48" t="str">
        <f t="shared" si="3"/>
        <v>GRMS 02549</v>
      </c>
      <c r="AI22" s="48" t="str">
        <f t="shared" si="3"/>
        <v>GRMS 02559</v>
      </c>
      <c r="AJ22" s="48" t="str">
        <f t="shared" si="3"/>
        <v>GRMS 02569</v>
      </c>
      <c r="AK22" s="48" t="str">
        <f t="shared" si="3"/>
        <v>GRMS 02709</v>
      </c>
      <c r="AL22" s="48" t="str">
        <f t="shared" si="3"/>
        <v>GRMS 02719</v>
      </c>
      <c r="AM22" s="48" t="str">
        <f t="shared" si="3"/>
        <v>GRMS 02739</v>
      </c>
      <c r="AN22" s="48" t="str">
        <f t="shared" si="3"/>
        <v>GRMS 03009</v>
      </c>
      <c r="AO22" s="48" t="str">
        <f t="shared" si="3"/>
        <v>GRMS 03059</v>
      </c>
      <c r="AP22" s="48" t="str">
        <f t="shared" si="3"/>
        <v>GRMS 03069</v>
      </c>
      <c r="AQ22" s="48" t="str">
        <f t="shared" si="3"/>
        <v>GRMS 03109</v>
      </c>
      <c r="AR22" s="48" t="str">
        <f t="shared" si="3"/>
        <v>GRMS 03169</v>
      </c>
      <c r="AS22" s="48" t="str">
        <f t="shared" si="3"/>
        <v>GRMS 03219</v>
      </c>
      <c r="AT22" s="48" t="str">
        <f t="shared" si="3"/>
        <v>GRMS 03229</v>
      </c>
      <c r="AU22" s="48" t="str">
        <f t="shared" si="3"/>
        <v>GRMS 03259</v>
      </c>
      <c r="AV22" s="48" t="str">
        <f t="shared" si="3"/>
        <v>GRMS 03269</v>
      </c>
      <c r="AW22" s="48" t="str">
        <f t="shared" si="3"/>
        <v>GRMS 03309</v>
      </c>
      <c r="AX22" s="48" t="str">
        <f t="shared" si="3"/>
        <v>GRMS 03359</v>
      </c>
      <c r="AY22" s="48" t="str">
        <f t="shared" si="3"/>
        <v>GRMS 03369</v>
      </c>
      <c r="AZ22" s="48" t="str">
        <f t="shared" si="3"/>
        <v>GRMS 03459</v>
      </c>
      <c r="BA22" s="48" t="str">
        <f t="shared" si="3"/>
        <v>GRMS 03559</v>
      </c>
      <c r="BB22" s="48" t="str">
        <f t="shared" si="3"/>
        <v>GRMS 03609</v>
      </c>
      <c r="BC22" s="48" t="str">
        <f t="shared" si="3"/>
        <v>GRMS 03619</v>
      </c>
      <c r="BD22" s="48" t="str">
        <f t="shared" si="3"/>
        <v>GRMS 03659</v>
      </c>
      <c r="BE22" s="48" t="str">
        <f t="shared" si="3"/>
        <v>GRMS 04059</v>
      </c>
      <c r="BF22" s="48" t="str">
        <f t="shared" si="3"/>
        <v>GRMS 04109</v>
      </c>
      <c r="BG22" s="48" t="str">
        <f t="shared" si="3"/>
        <v>GRMS 04149</v>
      </c>
      <c r="BH22" s="48" t="str">
        <f t="shared" si="3"/>
        <v>GRMS 04159</v>
      </c>
      <c r="BI22" s="48" t="str">
        <f t="shared" si="3"/>
        <v>GRMS 04209</v>
      </c>
      <c r="BJ22" s="48" t="str">
        <f t="shared" si="3"/>
        <v>GRMS 05009</v>
      </c>
      <c r="BK22" s="48" t="str">
        <f t="shared" si="3"/>
        <v>GRMS 05119</v>
      </c>
      <c r="BL22" s="48" t="str">
        <f t="shared" si="3"/>
        <v>GRMS 05179</v>
      </c>
      <c r="BM22" s="48" t="str">
        <f t="shared" si="3"/>
        <v>GRMS 05309</v>
      </c>
      <c r="BN22" s="48" t="str">
        <f t="shared" si="3"/>
        <v>GRMS 05609</v>
      </c>
      <c r="BO22" s="48" t="str">
        <f t="shared" si="3"/>
        <v>GRMS 07009</v>
      </c>
      <c r="BP22" s="48" t="str">
        <f t="shared" ref="BP22:CM22" si="4">BP$4</f>
        <v>GRMS 08009</v>
      </c>
      <c r="BQ22" s="48" t="str">
        <f t="shared" si="4"/>
        <v>GRMS 08109</v>
      </c>
      <c r="BR22" s="48" t="str">
        <f t="shared" si="4"/>
        <v>GRMS 08119</v>
      </c>
      <c r="BS22" s="48" t="str">
        <f t="shared" si="4"/>
        <v>GRMS 08209</v>
      </c>
      <c r="BT22" s="48" t="str">
        <f t="shared" si="4"/>
        <v>GRMS 08309</v>
      </c>
      <c r="BU22" s="48" t="str">
        <f t="shared" si="4"/>
        <v>GRMS 08409</v>
      </c>
      <c r="BV22" s="48" t="str">
        <f t="shared" si="4"/>
        <v>GRMS 08559</v>
      </c>
      <c r="BW22" s="48" t="str">
        <f t="shared" si="4"/>
        <v>GRMS 10079</v>
      </c>
      <c r="BX22" s="48" t="str">
        <f t="shared" si="4"/>
        <v>GRMS 10159</v>
      </c>
      <c r="BY22" s="48" t="str">
        <f t="shared" si="4"/>
        <v>GRMS 10209</v>
      </c>
      <c r="BZ22" s="48" t="str">
        <f t="shared" si="4"/>
        <v>GRMS 10309</v>
      </c>
      <c r="CA22" s="48" t="str">
        <f t="shared" si="4"/>
        <v>GRMS 10359</v>
      </c>
      <c r="CB22" s="48" t="str">
        <f t="shared" si="4"/>
        <v>GRMS 10459</v>
      </c>
      <c r="CC22" s="48" t="str">
        <f t="shared" si="4"/>
        <v>GRMS 11109</v>
      </c>
      <c r="CD22" s="48" t="str">
        <f t="shared" si="4"/>
        <v>GRMS 11159</v>
      </c>
      <c r="CE22" s="48" t="str">
        <f t="shared" si="4"/>
        <v>GRMS 11209</v>
      </c>
      <c r="CF22" s="48" t="str">
        <f t="shared" si="4"/>
        <v>GRMS 11279</v>
      </c>
      <c r="CG22" s="48" t="str">
        <f t="shared" si="4"/>
        <v>GRMS 11309</v>
      </c>
      <c r="CH22" s="48" t="str">
        <f t="shared" si="4"/>
        <v>GRMS 12209</v>
      </c>
      <c r="CI22" s="48" t="str">
        <f t="shared" si="4"/>
        <v>GRMS 12609</v>
      </c>
      <c r="CJ22" s="48" t="str">
        <f t="shared" si="4"/>
        <v>GRMS 12619</v>
      </c>
      <c r="CK22" s="48" t="str">
        <f t="shared" si="4"/>
        <v>GRMS 12619B</v>
      </c>
      <c r="CL22" s="48" t="str">
        <f t="shared" si="4"/>
        <v>GRMS 12629</v>
      </c>
      <c r="CM22" s="48" t="str">
        <f t="shared" si="4"/>
        <v>GRMS 12809</v>
      </c>
    </row>
    <row r="23" spans="2:91" x14ac:dyDescent="0.3">
      <c r="B23" s="47" t="str">
        <f>B5</f>
        <v>CTS Campo Maior</v>
      </c>
      <c r="C23" s="49">
        <f>IF('RPM &amp; Discounts'!$B$3='A0.Support'!$B$8,'A3.Distance matrix'!D14,'A3.Distance matrix'!D5)</f>
        <v>0</v>
      </c>
      <c r="D23" s="49">
        <f>IF('RPM &amp; Discounts'!$B$3='A0.Support'!$B$8,'A3.Distance matrix'!E14,'A3.Distance matrix'!E5)</f>
        <v>508.95100000000002</v>
      </c>
      <c r="E23" s="49">
        <f>IF('RPM &amp; Discounts'!$B$3='A0.Support'!$B$8,'A3.Distance matrix'!F14,'A3.Distance matrix'!F5)</f>
        <v>481.59199999999998</v>
      </c>
      <c r="F23" s="49">
        <f>IF('RPM &amp; Discounts'!$B$3='A0.Support'!$B$8,'A3.Distance matrix'!G14,'A3.Distance matrix'!G5)</f>
        <v>239.52199999999999</v>
      </c>
      <c r="G23" s="49">
        <f>IF('RPM &amp; Discounts'!$B$3='A0.Support'!$B$8,'A3.Distance matrix'!H14,'A3.Distance matrix'!H5)</f>
        <v>394.28100000000001</v>
      </c>
      <c r="H23" s="49">
        <f>IF('RPM &amp; Discounts'!$B$3='A0.Support'!$B$8,'A3.Distance matrix'!I14,'A3.Distance matrix'!I5)</f>
        <v>407.28199999999998</v>
      </c>
      <c r="I23" s="49">
        <f>IF('RPM &amp; Discounts'!$B$3='A0.Support'!$B$8,'A3.Distance matrix'!J14,'A3.Distance matrix'!J5)</f>
        <v>398.971</v>
      </c>
      <c r="J23" s="49">
        <f>IF('RPM &amp; Discounts'!$B$3='A0.Support'!$B$8,'A3.Distance matrix'!K14,'A3.Distance matrix'!K5)</f>
        <v>407.28100000000001</v>
      </c>
      <c r="K23" s="49">
        <f>IF('RPM &amp; Discounts'!$B$3='A0.Support'!$B$8,'A3.Distance matrix'!L14,'A3.Distance matrix'!L5)</f>
        <v>378.351</v>
      </c>
      <c r="L23" s="49">
        <f>IF('RPM &amp; Discounts'!$B$3='A0.Support'!$B$8,'A3.Distance matrix'!M14,'A3.Distance matrix'!M5)</f>
        <v>365.96100000000001</v>
      </c>
      <c r="M23" s="49">
        <f>IF('RPM &amp; Discounts'!$B$3='A0.Support'!$B$8,'A3.Distance matrix'!N14,'A3.Distance matrix'!N5)</f>
        <v>413.541</v>
      </c>
      <c r="N23" s="49">
        <f>IF('RPM &amp; Discounts'!$B$3='A0.Support'!$B$8,'A3.Distance matrix'!O14,'A3.Distance matrix'!O5)</f>
        <v>349.26100000000002</v>
      </c>
      <c r="O23" s="49">
        <f>IF('RPM &amp; Discounts'!$B$3='A0.Support'!$B$8,'A3.Distance matrix'!P14,'A3.Distance matrix'!P5)</f>
        <v>336.80099999999999</v>
      </c>
      <c r="P23" s="49">
        <f>IF('RPM &amp; Discounts'!$B$3='A0.Support'!$B$8,'A3.Distance matrix'!Q14,'A3.Distance matrix'!Q5)</f>
        <v>366.06200000000001</v>
      </c>
      <c r="Q23" s="49">
        <f>IF('RPM &amp; Discounts'!$B$3='A0.Support'!$B$8,'A3.Distance matrix'!R14,'A3.Distance matrix'!R5)</f>
        <v>333.17099999999999</v>
      </c>
      <c r="R23" s="49">
        <f>IF('RPM &amp; Discounts'!$B$3='A0.Support'!$B$8,'A3.Distance matrix'!S14,'A3.Distance matrix'!S5)</f>
        <v>353.952</v>
      </c>
      <c r="S23" s="49">
        <f>IF('RPM &amp; Discounts'!$B$3='A0.Support'!$B$8,'A3.Distance matrix'!T14,'A3.Distance matrix'!T5)</f>
        <v>360.72300000000001</v>
      </c>
      <c r="T23" s="49">
        <f>IF('RPM &amp; Discounts'!$B$3='A0.Support'!$B$8,'A3.Distance matrix'!U14,'A3.Distance matrix'!U5)</f>
        <v>330.601</v>
      </c>
      <c r="U23" s="49">
        <f>IF('RPM &amp; Discounts'!$B$3='A0.Support'!$B$8,'A3.Distance matrix'!V14,'A3.Distance matrix'!V5)</f>
        <v>333.17200000000003</v>
      </c>
      <c r="V23" s="49">
        <f>IF('RPM &amp; Discounts'!$B$3='A0.Support'!$B$8,'A3.Distance matrix'!W14,'A3.Distance matrix'!W5)</f>
        <v>360.72199999999998</v>
      </c>
      <c r="W23" s="49">
        <f>IF('RPM &amp; Discounts'!$B$3='A0.Support'!$B$8,'A3.Distance matrix'!X14,'A3.Distance matrix'!X5)</f>
        <v>328.39100000000002</v>
      </c>
      <c r="X23" s="49">
        <f>IF('RPM &amp; Discounts'!$B$3='A0.Support'!$B$8,'A3.Distance matrix'!Y14,'A3.Distance matrix'!Y5)</f>
        <v>316.96100000000001</v>
      </c>
      <c r="Y23" s="49">
        <f>IF('RPM &amp; Discounts'!$B$3='A0.Support'!$B$8,'A3.Distance matrix'!Z14,'A3.Distance matrix'!Z5)</f>
        <v>340.69200000000001</v>
      </c>
      <c r="Z23" s="49">
        <f>IF('RPM &amp; Discounts'!$B$3='A0.Support'!$B$8,'A3.Distance matrix'!AA14,'A3.Distance matrix'!AA5)</f>
        <v>340.69099999999997</v>
      </c>
      <c r="AA23" s="49">
        <f>IF('RPM &amp; Discounts'!$B$3='A0.Support'!$B$8,'A3.Distance matrix'!AB14,'A3.Distance matrix'!AB5)</f>
        <v>292.36099999999999</v>
      </c>
      <c r="AB23" s="49">
        <f>IF('RPM &amp; Discounts'!$B$3='A0.Support'!$B$8,'A3.Distance matrix'!AC14,'A3.Distance matrix'!AC5)</f>
        <v>258.42099999999999</v>
      </c>
      <c r="AC23" s="49">
        <f>IF('RPM &amp; Discounts'!$B$3='A0.Support'!$B$8,'A3.Distance matrix'!AD14,'A3.Distance matrix'!AD5)</f>
        <v>245.74100000000001</v>
      </c>
      <c r="AD23" s="49">
        <f>IF('RPM &amp; Discounts'!$B$3='A0.Support'!$B$8,'A3.Distance matrix'!AE14,'A3.Distance matrix'!AE5)</f>
        <v>239.17099999999999</v>
      </c>
      <c r="AE23" s="49">
        <f>IF('RPM &amp; Discounts'!$B$3='A0.Support'!$B$8,'A3.Distance matrix'!AF14,'A3.Distance matrix'!AF5)</f>
        <v>239.52099999999999</v>
      </c>
      <c r="AF23" s="49">
        <f>IF('RPM &amp; Discounts'!$B$3='A0.Support'!$B$8,'A3.Distance matrix'!AG14,'A3.Distance matrix'!AG5)</f>
        <v>249.43100000000001</v>
      </c>
      <c r="AG23" s="49">
        <f>IF('RPM &amp; Discounts'!$B$3='A0.Support'!$B$8,'A3.Distance matrix'!AH14,'A3.Distance matrix'!AH5)</f>
        <v>249.541</v>
      </c>
      <c r="AH23" s="49">
        <f>IF('RPM &amp; Discounts'!$B$3='A0.Support'!$B$8,'A3.Distance matrix'!AI14,'A3.Distance matrix'!AI5)</f>
        <v>262.61099999999999</v>
      </c>
      <c r="AI23" s="49">
        <f>IF('RPM &amp; Discounts'!$B$3='A0.Support'!$B$8,'A3.Distance matrix'!AJ14,'A3.Distance matrix'!AJ5)</f>
        <v>229.70099999999999</v>
      </c>
      <c r="AJ23" s="49">
        <f>IF('RPM &amp; Discounts'!$B$3='A0.Support'!$B$8,'A3.Distance matrix'!AK14,'A3.Distance matrix'!AK5)</f>
        <v>262.61200000000002</v>
      </c>
      <c r="AK23" s="49">
        <f>IF('RPM &amp; Discounts'!$B$3='A0.Support'!$B$8,'A3.Distance matrix'!AL14,'A3.Distance matrix'!AL5)</f>
        <v>252.971</v>
      </c>
      <c r="AL23" s="49">
        <f>IF('RPM &amp; Discounts'!$B$3='A0.Support'!$B$8,'A3.Distance matrix'!AM14,'A3.Distance matrix'!AM5)</f>
        <v>262.89100000000002</v>
      </c>
      <c r="AM23" s="49">
        <f>IF('RPM &amp; Discounts'!$B$3='A0.Support'!$B$8,'A3.Distance matrix'!AN14,'A3.Distance matrix'!AN5)</f>
        <v>258.80099999999999</v>
      </c>
      <c r="AN23" s="49">
        <f>IF('RPM &amp; Discounts'!$B$3='A0.Support'!$B$8,'A3.Distance matrix'!AO14,'A3.Distance matrix'!AO5)</f>
        <v>264.45100000000002</v>
      </c>
      <c r="AO23" s="49">
        <f>IF('RPM &amp; Discounts'!$B$3='A0.Support'!$B$8,'A3.Distance matrix'!AP14,'A3.Distance matrix'!AP5)</f>
        <v>278.11099999999999</v>
      </c>
      <c r="AP23" s="49">
        <f>IF('RPM &amp; Discounts'!$B$3='A0.Support'!$B$8,'A3.Distance matrix'!AQ14,'A3.Distance matrix'!AQ5)</f>
        <v>285.21100000000001</v>
      </c>
      <c r="AQ23" s="49">
        <f>IF('RPM &amp; Discounts'!$B$3='A0.Support'!$B$8,'A3.Distance matrix'!AR14,'A3.Distance matrix'!AR5)</f>
        <v>290.05099999999999</v>
      </c>
      <c r="AR23" s="49">
        <f>IF('RPM &amp; Discounts'!$B$3='A0.Support'!$B$8,'A3.Distance matrix'!AS14,'A3.Distance matrix'!AS5)</f>
        <v>295.041</v>
      </c>
      <c r="AS23" s="49">
        <f>IF('RPM &amp; Discounts'!$B$3='A0.Support'!$B$8,'A3.Distance matrix'!AT14,'A3.Distance matrix'!AT5)</f>
        <v>311.37099999999998</v>
      </c>
      <c r="AT23" s="49">
        <f>IF('RPM &amp; Discounts'!$B$3='A0.Support'!$B$8,'A3.Distance matrix'!AU14,'A3.Distance matrix'!AU5)</f>
        <v>318.45100000000002</v>
      </c>
      <c r="AU23" s="49">
        <f>IF('RPM &amp; Discounts'!$B$3='A0.Support'!$B$8,'A3.Distance matrix'!AV14,'A3.Distance matrix'!AV5)</f>
        <v>331.27199999999999</v>
      </c>
      <c r="AV23" s="49">
        <f>IF('RPM &amp; Discounts'!$B$3='A0.Support'!$B$8,'A3.Distance matrix'!AW14,'A3.Distance matrix'!AW5)</f>
        <v>331.27100000000002</v>
      </c>
      <c r="AW23" s="49">
        <f>IF('RPM &amp; Discounts'!$B$3='A0.Support'!$B$8,'A3.Distance matrix'!AX14,'A3.Distance matrix'!AX5)</f>
        <v>335.791</v>
      </c>
      <c r="AX23" s="49">
        <f>IF('RPM &amp; Discounts'!$B$3='A0.Support'!$B$8,'A3.Distance matrix'!AY14,'A3.Distance matrix'!AY5)</f>
        <v>344.55200000000002</v>
      </c>
      <c r="AY23" s="49">
        <f>IF('RPM &amp; Discounts'!$B$3='A0.Support'!$B$8,'A3.Distance matrix'!AZ14,'A3.Distance matrix'!AZ5)</f>
        <v>344.55099999999999</v>
      </c>
      <c r="AZ23" s="49">
        <f>IF('RPM &amp; Discounts'!$B$3='A0.Support'!$B$8,'A3.Distance matrix'!BA14,'A3.Distance matrix'!BA5)</f>
        <v>357.71100000000001</v>
      </c>
      <c r="BA23" s="49">
        <f>IF('RPM &amp; Discounts'!$B$3='A0.Support'!$B$8,'A3.Distance matrix'!BB14,'A3.Distance matrix'!BB5)</f>
        <v>375.27100000000002</v>
      </c>
      <c r="BB23" s="49">
        <f>IF('RPM &amp; Discounts'!$B$3='A0.Support'!$B$8,'A3.Distance matrix'!BC14,'A3.Distance matrix'!BC5)</f>
        <v>389.661</v>
      </c>
      <c r="BC23" s="49">
        <f>IF('RPM &amp; Discounts'!$B$3='A0.Support'!$B$8,'A3.Distance matrix'!BD14,'A3.Distance matrix'!BD5)</f>
        <v>386.92099999999999</v>
      </c>
      <c r="BD23" s="49">
        <f>IF('RPM &amp; Discounts'!$B$3='A0.Support'!$B$8,'A3.Distance matrix'!BE14,'A3.Distance matrix'!BE5)</f>
        <v>391.61099999999999</v>
      </c>
      <c r="BE23" s="49">
        <f>IF('RPM &amp; Discounts'!$B$3='A0.Support'!$B$8,'A3.Distance matrix'!BF14,'A3.Distance matrix'!BF5)</f>
        <v>397.971</v>
      </c>
      <c r="BF23" s="49">
        <f>IF('RPM &amp; Discounts'!$B$3='A0.Support'!$B$8,'A3.Distance matrix'!BG14,'A3.Distance matrix'!BG5)</f>
        <v>407.46100000000001</v>
      </c>
      <c r="BG23" s="49">
        <f>IF('RPM &amp; Discounts'!$B$3='A0.Support'!$B$8,'A3.Distance matrix'!BH14,'A3.Distance matrix'!BH5)</f>
        <v>438.77100000000002</v>
      </c>
      <c r="BH23" s="49">
        <f>IF('RPM &amp; Discounts'!$B$3='A0.Support'!$B$8,'A3.Distance matrix'!BI14,'A3.Distance matrix'!BI5)</f>
        <v>417.76100000000002</v>
      </c>
      <c r="BI23" s="49">
        <f>IF('RPM &amp; Discounts'!$B$3='A0.Support'!$B$8,'A3.Distance matrix'!BJ14,'A3.Distance matrix'!BJ5)</f>
        <v>426.851</v>
      </c>
      <c r="BJ23" s="49">
        <f>IF('RPM &amp; Discounts'!$B$3='A0.Support'!$B$8,'A3.Distance matrix'!BK14,'A3.Distance matrix'!BK5)</f>
        <v>440.98099999999999</v>
      </c>
      <c r="BK23" s="49">
        <f>IF('RPM &amp; Discounts'!$B$3='A0.Support'!$B$8,'A3.Distance matrix'!BL14,'A3.Distance matrix'!BL5)</f>
        <v>448.86099999999999</v>
      </c>
      <c r="BL23" s="49">
        <f>IF('RPM &amp; Discounts'!$B$3='A0.Support'!$B$8,'A3.Distance matrix'!BM14,'A3.Distance matrix'!BM5)</f>
        <v>476.43099999999998</v>
      </c>
      <c r="BM23" s="49">
        <f>IF('RPM &amp; Discounts'!$B$3='A0.Support'!$B$8,'A3.Distance matrix'!BN14,'A3.Distance matrix'!BN5)</f>
        <v>474.33100000000002</v>
      </c>
      <c r="BN23" s="49">
        <f>IF('RPM &amp; Discounts'!$B$3='A0.Support'!$B$8,'A3.Distance matrix'!BO14,'A3.Distance matrix'!BO5)</f>
        <v>504.17099999999999</v>
      </c>
      <c r="BO23" s="49">
        <f>IF('RPM &amp; Discounts'!$B$3='A0.Support'!$B$8,'A3.Distance matrix'!BP14,'A3.Distance matrix'!BP5)</f>
        <v>0.24099999999999999</v>
      </c>
      <c r="BP23" s="49">
        <f>IF('RPM &amp; Discounts'!$B$3='A0.Support'!$B$8,'A3.Distance matrix'!BQ14,'A3.Distance matrix'!BQ5)</f>
        <v>103.621</v>
      </c>
      <c r="BQ23" s="49">
        <f>IF('RPM &amp; Discounts'!$B$3='A0.Support'!$B$8,'A3.Distance matrix'!BR14,'A3.Distance matrix'!BR5)</f>
        <v>126.211</v>
      </c>
      <c r="BR23" s="49">
        <f>IF('RPM &amp; Discounts'!$B$3='A0.Support'!$B$8,'A3.Distance matrix'!BS14,'A3.Distance matrix'!BS5)</f>
        <v>131.27099999999999</v>
      </c>
      <c r="BS23" s="49">
        <f>IF('RPM &amp; Discounts'!$B$3='A0.Support'!$B$8,'A3.Distance matrix'!BT14,'A3.Distance matrix'!BT5)</f>
        <v>146.101</v>
      </c>
      <c r="BT23" s="49">
        <f>IF('RPM &amp; Discounts'!$B$3='A0.Support'!$B$8,'A3.Distance matrix'!BU14,'A3.Distance matrix'!BU5)</f>
        <v>164.28100000000001</v>
      </c>
      <c r="BU23" s="49">
        <f>IF('RPM &amp; Discounts'!$B$3='A0.Support'!$B$8,'A3.Distance matrix'!BV14,'A3.Distance matrix'!BV5)</f>
        <v>183.321</v>
      </c>
      <c r="BV23" s="49">
        <f>IF('RPM &amp; Discounts'!$B$3='A0.Support'!$B$8,'A3.Distance matrix'!BW14,'A3.Distance matrix'!BW5)</f>
        <v>216.55099999999999</v>
      </c>
      <c r="BW23" s="49">
        <f>IF('RPM &amp; Discounts'!$B$3='A0.Support'!$B$8,'A3.Distance matrix'!BX14,'A3.Distance matrix'!BX5)</f>
        <v>71.540999999999997</v>
      </c>
      <c r="BX23" s="49">
        <f>IF('RPM &amp; Discounts'!$B$3='A0.Support'!$B$8,'A3.Distance matrix'!BY14,'A3.Distance matrix'!BY5)</f>
        <v>111.401</v>
      </c>
      <c r="BY23" s="49">
        <f>IF('RPM &amp; Discounts'!$B$3='A0.Support'!$B$8,'A3.Distance matrix'!BZ14,'A3.Distance matrix'!BZ5)</f>
        <v>136.27099999999999</v>
      </c>
      <c r="BZ23" s="49">
        <f>IF('RPM &amp; Discounts'!$B$3='A0.Support'!$B$8,'A3.Distance matrix'!CA14,'A3.Distance matrix'!CA5)</f>
        <v>183.37100000000001</v>
      </c>
      <c r="CA23" s="49">
        <f>IF('RPM &amp; Discounts'!$B$3='A0.Support'!$B$8,'A3.Distance matrix'!CB14,'A3.Distance matrix'!CB5)</f>
        <v>194.15100000000001</v>
      </c>
      <c r="CB23" s="49">
        <f>IF('RPM &amp; Discounts'!$B$3='A0.Support'!$B$8,'A3.Distance matrix'!CC14,'A3.Distance matrix'!CC5)</f>
        <v>233.68100000000001</v>
      </c>
      <c r="CC23" s="49">
        <f>IF('RPM &amp; Discounts'!$B$3='A0.Support'!$B$8,'A3.Distance matrix'!CD14,'A3.Distance matrix'!CD5)</f>
        <v>317.791</v>
      </c>
      <c r="CD23" s="49">
        <f>IF('RPM &amp; Discounts'!$B$3='A0.Support'!$B$8,'A3.Distance matrix'!CE14,'A3.Distance matrix'!CE5)</f>
        <v>327.33100000000002</v>
      </c>
      <c r="CE23" s="49">
        <f>IF('RPM &amp; Discounts'!$B$3='A0.Support'!$B$8,'A3.Distance matrix'!CF14,'A3.Distance matrix'!CF5)</f>
        <v>334.37099999999998</v>
      </c>
      <c r="CF23" s="49">
        <f>IF('RPM &amp; Discounts'!$B$3='A0.Support'!$B$8,'A3.Distance matrix'!CG14,'A3.Distance matrix'!CG5)</f>
        <v>328.49099999999999</v>
      </c>
      <c r="CG23" s="49">
        <f>IF('RPM &amp; Discounts'!$B$3='A0.Support'!$B$8,'A3.Distance matrix'!CH14,'A3.Distance matrix'!CH5)</f>
        <v>310.01100000000002</v>
      </c>
      <c r="CH23" s="49">
        <f>IF('RPM &amp; Discounts'!$B$3='A0.Support'!$B$8,'A3.Distance matrix'!CI14,'A3.Distance matrix'!CI5)</f>
        <v>399.62099999999998</v>
      </c>
      <c r="CI23" s="49">
        <f>IF('RPM &amp; Discounts'!$B$3='A0.Support'!$B$8,'A3.Distance matrix'!CJ14,'A3.Distance matrix'!CJ5)</f>
        <v>474.50099999999998</v>
      </c>
      <c r="CJ23" s="49">
        <f>IF('RPM &amp; Discounts'!$B$3='A0.Support'!$B$8,'A3.Distance matrix'!CK14,'A3.Distance matrix'!CK5)</f>
        <v>474.50200000000001</v>
      </c>
      <c r="CK23" s="49">
        <f>IF('RPM &amp; Discounts'!$B$3='A0.Support'!$B$8,'A3.Distance matrix'!CL14,'A3.Distance matrix'!CL5)</f>
        <v>475.822</v>
      </c>
      <c r="CL23" s="49">
        <f>IF('RPM &amp; Discounts'!$B$3='A0.Support'!$B$8,'A3.Distance matrix'!CM14,'A3.Distance matrix'!CM5)</f>
        <v>474.50200000000001</v>
      </c>
      <c r="CM23" s="49">
        <f>IF('RPM &amp; Discounts'!$B$3='A0.Support'!$B$8,'A3.Distance matrix'!CN14,'A3.Distance matrix'!CN5)</f>
        <v>481.59100000000001</v>
      </c>
    </row>
    <row r="24" spans="2:91" x14ac:dyDescent="0.3">
      <c r="B24" s="47" t="str">
        <f t="shared" ref="B24:B27" si="5">B6</f>
        <v>CTS Valença do Minho</v>
      </c>
      <c r="C24" s="49">
        <f>IF('RPM &amp; Discounts'!$B$3='A0.Support'!$B$8,'A3.Distance matrix'!D15,'A3.Distance matrix'!D6)</f>
        <v>508.95100000000002</v>
      </c>
      <c r="D24" s="49">
        <f>IF('RPM &amp; Discounts'!$B$3='A0.Support'!$B$8,'A3.Distance matrix'!E15,'A3.Distance matrix'!E6)</f>
        <v>0</v>
      </c>
      <c r="E24" s="49">
        <f>IF('RPM &amp; Discounts'!$B$3='A0.Support'!$B$8,'A3.Distance matrix'!F15,'A3.Distance matrix'!F6)</f>
        <v>549.62099999999998</v>
      </c>
      <c r="F24" s="49">
        <f>IF('RPM &amp; Discounts'!$B$3='A0.Support'!$B$8,'A3.Distance matrix'!G15,'A3.Distance matrix'!G6)</f>
        <v>307.55099999999999</v>
      </c>
      <c r="G24" s="49">
        <f>IF('RPM &amp; Discounts'!$B$3='A0.Support'!$B$8,'A3.Distance matrix'!H15,'A3.Distance matrix'!H6)</f>
        <v>462.31</v>
      </c>
      <c r="H24" s="49">
        <f>IF('RPM &amp; Discounts'!$B$3='A0.Support'!$B$8,'A3.Distance matrix'!I15,'A3.Distance matrix'!I6)</f>
        <v>475.31099999999998</v>
      </c>
      <c r="I24" s="49">
        <f>IF('RPM &amp; Discounts'!$B$3='A0.Support'!$B$8,'A3.Distance matrix'!J15,'A3.Distance matrix'!J6)</f>
        <v>467</v>
      </c>
      <c r="J24" s="49">
        <f>IF('RPM &amp; Discounts'!$B$3='A0.Support'!$B$8,'A3.Distance matrix'!K15,'A3.Distance matrix'!K6)</f>
        <v>475.31</v>
      </c>
      <c r="K24" s="49">
        <f>IF('RPM &amp; Discounts'!$B$3='A0.Support'!$B$8,'A3.Distance matrix'!L15,'A3.Distance matrix'!L6)</f>
        <v>446.38</v>
      </c>
      <c r="L24" s="49">
        <f>IF('RPM &amp; Discounts'!$B$3='A0.Support'!$B$8,'A3.Distance matrix'!M15,'A3.Distance matrix'!M6)</f>
        <v>433.99</v>
      </c>
      <c r="M24" s="49">
        <f>IF('RPM &amp; Discounts'!$B$3='A0.Support'!$B$8,'A3.Distance matrix'!N15,'A3.Distance matrix'!N6)</f>
        <v>481.57</v>
      </c>
      <c r="N24" s="49">
        <f>IF('RPM &amp; Discounts'!$B$3='A0.Support'!$B$8,'A3.Distance matrix'!O15,'A3.Distance matrix'!O6)</f>
        <v>417.29</v>
      </c>
      <c r="O24" s="49">
        <f>IF('RPM &amp; Discounts'!$B$3='A0.Support'!$B$8,'A3.Distance matrix'!P15,'A3.Distance matrix'!P6)</f>
        <v>404.83</v>
      </c>
      <c r="P24" s="49">
        <f>IF('RPM &amp; Discounts'!$B$3='A0.Support'!$B$8,'A3.Distance matrix'!Q15,'A3.Distance matrix'!Q6)</f>
        <v>434.09100000000001</v>
      </c>
      <c r="Q24" s="49">
        <f>IF('RPM &amp; Discounts'!$B$3='A0.Support'!$B$8,'A3.Distance matrix'!R15,'A3.Distance matrix'!R6)</f>
        <v>401.2</v>
      </c>
      <c r="R24" s="49">
        <f>IF('RPM &amp; Discounts'!$B$3='A0.Support'!$B$8,'A3.Distance matrix'!S15,'A3.Distance matrix'!S6)</f>
        <v>421.98099999999999</v>
      </c>
      <c r="S24" s="49">
        <f>IF('RPM &amp; Discounts'!$B$3='A0.Support'!$B$8,'A3.Distance matrix'!T15,'A3.Distance matrix'!T6)</f>
        <v>428.75200000000001</v>
      </c>
      <c r="T24" s="49">
        <f>IF('RPM &amp; Discounts'!$B$3='A0.Support'!$B$8,'A3.Distance matrix'!U15,'A3.Distance matrix'!U6)</f>
        <v>398.63</v>
      </c>
      <c r="U24" s="49">
        <f>IF('RPM &amp; Discounts'!$B$3='A0.Support'!$B$8,'A3.Distance matrix'!V15,'A3.Distance matrix'!V6)</f>
        <v>401.20100000000002</v>
      </c>
      <c r="V24" s="49">
        <f>IF('RPM &amp; Discounts'!$B$3='A0.Support'!$B$8,'A3.Distance matrix'!W15,'A3.Distance matrix'!W6)</f>
        <v>428.75099999999998</v>
      </c>
      <c r="W24" s="49">
        <f>IF('RPM &amp; Discounts'!$B$3='A0.Support'!$B$8,'A3.Distance matrix'!X15,'A3.Distance matrix'!X6)</f>
        <v>396.42</v>
      </c>
      <c r="X24" s="49">
        <f>IF('RPM &amp; Discounts'!$B$3='A0.Support'!$B$8,'A3.Distance matrix'!Y15,'A3.Distance matrix'!Y6)</f>
        <v>384.99</v>
      </c>
      <c r="Y24" s="49">
        <f>IF('RPM &amp; Discounts'!$B$3='A0.Support'!$B$8,'A3.Distance matrix'!Z15,'A3.Distance matrix'!Z6)</f>
        <v>408.721</v>
      </c>
      <c r="Z24" s="49">
        <f>IF('RPM &amp; Discounts'!$B$3='A0.Support'!$B$8,'A3.Distance matrix'!AA15,'A3.Distance matrix'!AA6)</f>
        <v>408.72</v>
      </c>
      <c r="AA24" s="49">
        <f>IF('RPM &amp; Discounts'!$B$3='A0.Support'!$B$8,'A3.Distance matrix'!AB15,'A3.Distance matrix'!AB6)</f>
        <v>360.39</v>
      </c>
      <c r="AB24" s="49">
        <f>IF('RPM &amp; Discounts'!$B$3='A0.Support'!$B$8,'A3.Distance matrix'!AC15,'A3.Distance matrix'!AC6)</f>
        <v>326.45</v>
      </c>
      <c r="AC24" s="49">
        <f>IF('RPM &amp; Discounts'!$B$3='A0.Support'!$B$8,'A3.Distance matrix'!AD15,'A3.Distance matrix'!AD6)</f>
        <v>313.77</v>
      </c>
      <c r="AD24" s="49">
        <f>IF('RPM &amp; Discounts'!$B$3='A0.Support'!$B$8,'A3.Distance matrix'!AE15,'A3.Distance matrix'!AE6)</f>
        <v>307.2</v>
      </c>
      <c r="AE24" s="49">
        <f>IF('RPM &amp; Discounts'!$B$3='A0.Support'!$B$8,'A3.Distance matrix'!AF15,'A3.Distance matrix'!AF6)</f>
        <v>307.55</v>
      </c>
      <c r="AF24" s="49">
        <f>IF('RPM &amp; Discounts'!$B$3='A0.Support'!$B$8,'A3.Distance matrix'!AG15,'A3.Distance matrix'!AG6)</f>
        <v>317.45999999999998</v>
      </c>
      <c r="AG24" s="49">
        <f>IF('RPM &amp; Discounts'!$B$3='A0.Support'!$B$8,'A3.Distance matrix'!AH15,'A3.Distance matrix'!AH6)</f>
        <v>317.57</v>
      </c>
      <c r="AH24" s="49">
        <f>IF('RPM &amp; Discounts'!$B$3='A0.Support'!$B$8,'A3.Distance matrix'!AI15,'A3.Distance matrix'!AI6)</f>
        <v>330.64</v>
      </c>
      <c r="AI24" s="49">
        <f>IF('RPM &amp; Discounts'!$B$3='A0.Support'!$B$8,'A3.Distance matrix'!AJ15,'A3.Distance matrix'!AJ6)</f>
        <v>279.25</v>
      </c>
      <c r="AJ24" s="49">
        <f>IF('RPM &amp; Discounts'!$B$3='A0.Support'!$B$8,'A3.Distance matrix'!AK15,'A3.Distance matrix'!AK6)</f>
        <v>330.64100000000002</v>
      </c>
      <c r="AK24" s="49">
        <f>IF('RPM &amp; Discounts'!$B$3='A0.Support'!$B$8,'A3.Distance matrix'!AL15,'A3.Distance matrix'!AL6)</f>
        <v>265.12</v>
      </c>
      <c r="AL24" s="49">
        <f>IF('RPM &amp; Discounts'!$B$3='A0.Support'!$B$8,'A3.Distance matrix'!AM15,'A3.Distance matrix'!AM6)</f>
        <v>275.04000000000002</v>
      </c>
      <c r="AM24" s="49">
        <f>IF('RPM &amp; Discounts'!$B$3='A0.Support'!$B$8,'A3.Distance matrix'!AN15,'A3.Distance matrix'!AN6)</f>
        <v>250.15</v>
      </c>
      <c r="AN24" s="49">
        <f>IF('RPM &amp; Discounts'!$B$3='A0.Support'!$B$8,'A3.Distance matrix'!AO15,'A3.Distance matrix'!AO6)</f>
        <v>244.5</v>
      </c>
      <c r="AO24" s="49">
        <f>IF('RPM &amp; Discounts'!$B$3='A0.Support'!$B$8,'A3.Distance matrix'!AP15,'A3.Distance matrix'!AP6)</f>
        <v>230.84</v>
      </c>
      <c r="AP24" s="49">
        <f>IF('RPM &amp; Discounts'!$B$3='A0.Support'!$B$8,'A3.Distance matrix'!AQ15,'A3.Distance matrix'!AQ6)</f>
        <v>223.74</v>
      </c>
      <c r="AQ24" s="49">
        <f>IF('RPM &amp; Discounts'!$B$3='A0.Support'!$B$8,'A3.Distance matrix'!AR15,'A3.Distance matrix'!AR6)</f>
        <v>218.9</v>
      </c>
      <c r="AR24" s="49">
        <f>IF('RPM &amp; Discounts'!$B$3='A0.Support'!$B$8,'A3.Distance matrix'!AS15,'A3.Distance matrix'!AS6)</f>
        <v>213.91</v>
      </c>
      <c r="AS24" s="49">
        <f>IF('RPM &amp; Discounts'!$B$3='A0.Support'!$B$8,'A3.Distance matrix'!AT15,'A3.Distance matrix'!AT6)</f>
        <v>197.58</v>
      </c>
      <c r="AT24" s="49">
        <f>IF('RPM &amp; Discounts'!$B$3='A0.Support'!$B$8,'A3.Distance matrix'!AU15,'A3.Distance matrix'!AU6)</f>
        <v>190.5</v>
      </c>
      <c r="AU24" s="49">
        <f>IF('RPM &amp; Discounts'!$B$3='A0.Support'!$B$8,'A3.Distance matrix'!AV15,'A3.Distance matrix'!AV6)</f>
        <v>191.96100000000001</v>
      </c>
      <c r="AV24" s="49">
        <f>IF('RPM &amp; Discounts'!$B$3='A0.Support'!$B$8,'A3.Distance matrix'!AW15,'A3.Distance matrix'!AW6)</f>
        <v>191.96</v>
      </c>
      <c r="AW24" s="49">
        <f>IF('RPM &amp; Discounts'!$B$3='A0.Support'!$B$8,'A3.Distance matrix'!AX15,'A3.Distance matrix'!AX6)</f>
        <v>173.16</v>
      </c>
      <c r="AX24" s="49">
        <f>IF('RPM &amp; Discounts'!$B$3='A0.Support'!$B$8,'A3.Distance matrix'!AY15,'A3.Distance matrix'!AY6)</f>
        <v>164.40100000000001</v>
      </c>
      <c r="AY24" s="49">
        <f>IF('RPM &amp; Discounts'!$B$3='A0.Support'!$B$8,'A3.Distance matrix'!AZ15,'A3.Distance matrix'!AZ6)</f>
        <v>164.4</v>
      </c>
      <c r="AZ24" s="49">
        <f>IF('RPM &amp; Discounts'!$B$3='A0.Support'!$B$8,'A3.Distance matrix'!BA15,'A3.Distance matrix'!BA6)</f>
        <v>151.24</v>
      </c>
      <c r="BA24" s="49">
        <f>IF('RPM &amp; Discounts'!$B$3='A0.Support'!$B$8,'A3.Distance matrix'!BB15,'A3.Distance matrix'!BB6)</f>
        <v>133.68</v>
      </c>
      <c r="BB24" s="49">
        <f>IF('RPM &amp; Discounts'!$B$3='A0.Support'!$B$8,'A3.Distance matrix'!BC15,'A3.Distance matrix'!BC6)</f>
        <v>136.16999999999999</v>
      </c>
      <c r="BC24" s="49">
        <f>IF('RPM &amp; Discounts'!$B$3='A0.Support'!$B$8,'A3.Distance matrix'!BD15,'A3.Distance matrix'!BD6)</f>
        <v>133.43</v>
      </c>
      <c r="BD24" s="49">
        <f>IF('RPM &amp; Discounts'!$B$3='A0.Support'!$B$8,'A3.Distance matrix'!BE15,'A3.Distance matrix'!BE6)</f>
        <v>131.36000000000001</v>
      </c>
      <c r="BE24" s="49">
        <f>IF('RPM &amp; Discounts'!$B$3='A0.Support'!$B$8,'A3.Distance matrix'!BF15,'A3.Distance matrix'!BF6)</f>
        <v>110.98</v>
      </c>
      <c r="BF24" s="49">
        <f>IF('RPM &amp; Discounts'!$B$3='A0.Support'!$B$8,'A3.Distance matrix'!BG15,'A3.Distance matrix'!BG6)</f>
        <v>101.49</v>
      </c>
      <c r="BG24" s="49">
        <f>IF('RPM &amp; Discounts'!$B$3='A0.Support'!$B$8,'A3.Distance matrix'!BH15,'A3.Distance matrix'!BH6)</f>
        <v>117.66</v>
      </c>
      <c r="BH24" s="49">
        <f>IF('RPM &amp; Discounts'!$B$3='A0.Support'!$B$8,'A3.Distance matrix'!BI15,'A3.Distance matrix'!BI6)</f>
        <v>91.19</v>
      </c>
      <c r="BI24" s="49">
        <f>IF('RPM &amp; Discounts'!$B$3='A0.Support'!$B$8,'A3.Distance matrix'!BJ15,'A3.Distance matrix'!BJ6)</f>
        <v>82.1</v>
      </c>
      <c r="BJ24" s="49">
        <f>IF('RPM &amp; Discounts'!$B$3='A0.Support'!$B$8,'A3.Distance matrix'!BK15,'A3.Distance matrix'!BK6)</f>
        <v>80.97</v>
      </c>
      <c r="BK24" s="49">
        <f>IF('RPM &amp; Discounts'!$B$3='A0.Support'!$B$8,'A3.Distance matrix'!BL15,'A3.Distance matrix'!BL6)</f>
        <v>60.09</v>
      </c>
      <c r="BL24" s="49">
        <f>IF('RPM &amp; Discounts'!$B$3='A0.Support'!$B$8,'A3.Distance matrix'!BM15,'A3.Distance matrix'!BM6)</f>
        <v>71.680000000000007</v>
      </c>
      <c r="BM24" s="49">
        <f>IF('RPM &amp; Discounts'!$B$3='A0.Support'!$B$8,'A3.Distance matrix'!BN15,'A3.Distance matrix'!BN6)</f>
        <v>34.619999999999997</v>
      </c>
      <c r="BN24" s="49">
        <f>IF('RPM &amp; Discounts'!$B$3='A0.Support'!$B$8,'A3.Distance matrix'!BO15,'A3.Distance matrix'!BO6)</f>
        <v>4.78</v>
      </c>
      <c r="BO24" s="49">
        <f>IF('RPM &amp; Discounts'!$B$3='A0.Support'!$B$8,'A3.Distance matrix'!BP15,'A3.Distance matrix'!BP6)</f>
        <v>508.71</v>
      </c>
      <c r="BP24" s="49">
        <f>IF('RPM &amp; Discounts'!$B$3='A0.Support'!$B$8,'A3.Distance matrix'!BQ15,'A3.Distance matrix'!BQ6)</f>
        <v>405.33</v>
      </c>
      <c r="BQ24" s="49">
        <f>IF('RPM &amp; Discounts'!$B$3='A0.Support'!$B$8,'A3.Distance matrix'!BR15,'A3.Distance matrix'!BR6)</f>
        <v>382.74</v>
      </c>
      <c r="BR24" s="49">
        <f>IF('RPM &amp; Discounts'!$B$3='A0.Support'!$B$8,'A3.Distance matrix'!BS15,'A3.Distance matrix'!BS6)</f>
        <v>387.8</v>
      </c>
      <c r="BS24" s="49">
        <f>IF('RPM &amp; Discounts'!$B$3='A0.Support'!$B$8,'A3.Distance matrix'!BT15,'A3.Distance matrix'!BT6)</f>
        <v>362.85</v>
      </c>
      <c r="BT24" s="49">
        <f>IF('RPM &amp; Discounts'!$B$3='A0.Support'!$B$8,'A3.Distance matrix'!BU15,'A3.Distance matrix'!BU6)</f>
        <v>344.67</v>
      </c>
      <c r="BU24" s="49">
        <f>IF('RPM &amp; Discounts'!$B$3='A0.Support'!$B$8,'A3.Distance matrix'!BV15,'A3.Distance matrix'!BV6)</f>
        <v>325.63</v>
      </c>
      <c r="BV24" s="49">
        <f>IF('RPM &amp; Discounts'!$B$3='A0.Support'!$B$8,'A3.Distance matrix'!BW15,'A3.Distance matrix'!BW6)</f>
        <v>292.39999999999998</v>
      </c>
      <c r="BW24" s="49">
        <f>IF('RPM &amp; Discounts'!$B$3='A0.Support'!$B$8,'A3.Distance matrix'!BX15,'A3.Distance matrix'!BX6)</f>
        <v>481.29</v>
      </c>
      <c r="BX24" s="49">
        <f>IF('RPM &amp; Discounts'!$B$3='A0.Support'!$B$8,'A3.Distance matrix'!BY15,'A3.Distance matrix'!BY6)</f>
        <v>480.47</v>
      </c>
      <c r="BY24" s="49">
        <f>IF('RPM &amp; Discounts'!$B$3='A0.Support'!$B$8,'A3.Distance matrix'!BZ15,'A3.Distance matrix'!BZ6)</f>
        <v>455.6</v>
      </c>
      <c r="BZ24" s="49">
        <f>IF('RPM &amp; Discounts'!$B$3='A0.Support'!$B$8,'A3.Distance matrix'!CA15,'A3.Distance matrix'!CA6)</f>
        <v>408.5</v>
      </c>
      <c r="CA24" s="49">
        <f>IF('RPM &amp; Discounts'!$B$3='A0.Support'!$B$8,'A3.Distance matrix'!CB15,'A3.Distance matrix'!CB6)</f>
        <v>397.72</v>
      </c>
      <c r="CB24" s="49">
        <f>IF('RPM &amp; Discounts'!$B$3='A0.Support'!$B$8,'A3.Distance matrix'!CC15,'A3.Distance matrix'!CC6)</f>
        <v>358.19</v>
      </c>
      <c r="CC24" s="49">
        <f>IF('RPM &amp; Discounts'!$B$3='A0.Support'!$B$8,'A3.Distance matrix'!CD15,'A3.Distance matrix'!CD6)</f>
        <v>236.66</v>
      </c>
      <c r="CD24" s="49">
        <f>IF('RPM &amp; Discounts'!$B$3='A0.Support'!$B$8,'A3.Distance matrix'!CE15,'A3.Distance matrix'!CE6)</f>
        <v>246.2</v>
      </c>
      <c r="CE24" s="49">
        <f>IF('RPM &amp; Discounts'!$B$3='A0.Support'!$B$8,'A3.Distance matrix'!CF15,'A3.Distance matrix'!CF6)</f>
        <v>257.5</v>
      </c>
      <c r="CF24" s="49">
        <f>IF('RPM &amp; Discounts'!$B$3='A0.Support'!$B$8,'A3.Distance matrix'!CG15,'A3.Distance matrix'!CG6)</f>
        <v>279.72000000000003</v>
      </c>
      <c r="CG24" s="49">
        <f>IF('RPM &amp; Discounts'!$B$3='A0.Support'!$B$8,'A3.Distance matrix'!CH15,'A3.Distance matrix'!CH6)</f>
        <v>281.86</v>
      </c>
      <c r="CH24" s="49">
        <f>IF('RPM &amp; Discounts'!$B$3='A0.Support'!$B$8,'A3.Distance matrix'!CI15,'A3.Distance matrix'!CI6)</f>
        <v>467.65</v>
      </c>
      <c r="CI24" s="49">
        <f>IF('RPM &amp; Discounts'!$B$3='A0.Support'!$B$8,'A3.Distance matrix'!CJ15,'A3.Distance matrix'!CJ6)</f>
        <v>542.53</v>
      </c>
      <c r="CJ24" s="49">
        <f>IF('RPM &amp; Discounts'!$B$3='A0.Support'!$B$8,'A3.Distance matrix'!CK15,'A3.Distance matrix'!CK6)</f>
        <v>542.53099999999995</v>
      </c>
      <c r="CK24" s="49">
        <f>IF('RPM &amp; Discounts'!$B$3='A0.Support'!$B$8,'A3.Distance matrix'!CL15,'A3.Distance matrix'!CL6)</f>
        <v>543.851</v>
      </c>
      <c r="CL24" s="49">
        <f>IF('RPM &amp; Discounts'!$B$3='A0.Support'!$B$8,'A3.Distance matrix'!CM15,'A3.Distance matrix'!CM6)</f>
        <v>542.53099999999995</v>
      </c>
      <c r="CM24" s="49">
        <f>IF('RPM &amp; Discounts'!$B$3='A0.Support'!$B$8,'A3.Distance matrix'!CN15,'A3.Distance matrix'!CN6)</f>
        <v>549.62</v>
      </c>
    </row>
    <row r="25" spans="2:91" x14ac:dyDescent="0.3">
      <c r="B25" s="47" t="str">
        <f t="shared" si="5"/>
        <v>LNG Terminal Sines</v>
      </c>
      <c r="C25" s="49">
        <f>IF('RPM &amp; Discounts'!$B$3='A0.Support'!$B$8,'A3.Distance matrix'!D16,'A3.Distance matrix'!D7)</f>
        <v>481.59199999999998</v>
      </c>
      <c r="D25" s="49">
        <f>IF('RPM &amp; Discounts'!$B$3='A0.Support'!$B$8,'A3.Distance matrix'!E16,'A3.Distance matrix'!E7)</f>
        <v>549.62099999999998</v>
      </c>
      <c r="E25" s="49">
        <f>IF('RPM &amp; Discounts'!$B$3='A0.Support'!$B$8,'A3.Distance matrix'!F16,'A3.Distance matrix'!F7)</f>
        <v>0</v>
      </c>
      <c r="F25" s="49">
        <f>IF('RPM &amp; Discounts'!$B$3='A0.Support'!$B$8,'A3.Distance matrix'!G16,'A3.Distance matrix'!G7)</f>
        <v>280.19200000000001</v>
      </c>
      <c r="G25" s="49">
        <f>IF('RPM &amp; Discounts'!$B$3='A0.Support'!$B$8,'A3.Distance matrix'!H16,'A3.Distance matrix'!H7)</f>
        <v>87.311000000000007</v>
      </c>
      <c r="H25" s="49">
        <f>IF('RPM &amp; Discounts'!$B$3='A0.Support'!$B$8,'A3.Distance matrix'!I16,'A3.Distance matrix'!I7)</f>
        <v>113.492</v>
      </c>
      <c r="I25" s="49">
        <f>IF('RPM &amp; Discounts'!$B$3='A0.Support'!$B$8,'A3.Distance matrix'!J16,'A3.Distance matrix'!J7)</f>
        <v>105.181</v>
      </c>
      <c r="J25" s="49">
        <f>IF('RPM &amp; Discounts'!$B$3='A0.Support'!$B$8,'A3.Distance matrix'!K16,'A3.Distance matrix'!K7)</f>
        <v>113.491</v>
      </c>
      <c r="K25" s="49">
        <f>IF('RPM &amp; Discounts'!$B$3='A0.Support'!$B$8,'A3.Distance matrix'!L16,'A3.Distance matrix'!L7)</f>
        <v>103.241</v>
      </c>
      <c r="L25" s="49">
        <f>IF('RPM &amp; Discounts'!$B$3='A0.Support'!$B$8,'A3.Distance matrix'!M16,'A3.Distance matrix'!M7)</f>
        <v>115.631</v>
      </c>
      <c r="M25" s="49">
        <f>IF('RPM &amp; Discounts'!$B$3='A0.Support'!$B$8,'A3.Distance matrix'!N16,'A3.Distance matrix'!N7)</f>
        <v>119.751</v>
      </c>
      <c r="N25" s="49">
        <f>IF('RPM &amp; Discounts'!$B$3='A0.Support'!$B$8,'A3.Distance matrix'!O16,'A3.Distance matrix'!O7)</f>
        <v>132.33099999999999</v>
      </c>
      <c r="O25" s="49">
        <f>IF('RPM &amp; Discounts'!$B$3='A0.Support'!$B$8,'A3.Distance matrix'!P16,'A3.Distance matrix'!P7)</f>
        <v>144.791</v>
      </c>
      <c r="P25" s="49">
        <f>IF('RPM &amp; Discounts'!$B$3='A0.Support'!$B$8,'A3.Distance matrix'!Q16,'A3.Distance matrix'!Q7)</f>
        <v>181.59200000000001</v>
      </c>
      <c r="Q25" s="49">
        <f>IF('RPM &amp; Discounts'!$B$3='A0.Support'!$B$8,'A3.Distance matrix'!R16,'A3.Distance matrix'!R7)</f>
        <v>148.70099999999999</v>
      </c>
      <c r="R25" s="49">
        <f>IF('RPM &amp; Discounts'!$B$3='A0.Support'!$B$8,'A3.Distance matrix'!S16,'A3.Distance matrix'!S7)</f>
        <v>169.482</v>
      </c>
      <c r="S25" s="49">
        <f>IF('RPM &amp; Discounts'!$B$3='A0.Support'!$B$8,'A3.Distance matrix'!T16,'A3.Distance matrix'!T7)</f>
        <v>176.25299999999999</v>
      </c>
      <c r="T25" s="49">
        <f>IF('RPM &amp; Discounts'!$B$3='A0.Support'!$B$8,'A3.Distance matrix'!U16,'A3.Distance matrix'!U7)</f>
        <v>150.99100000000001</v>
      </c>
      <c r="U25" s="49">
        <f>IF('RPM &amp; Discounts'!$B$3='A0.Support'!$B$8,'A3.Distance matrix'!V16,'A3.Distance matrix'!V7)</f>
        <v>148.702</v>
      </c>
      <c r="V25" s="49">
        <f>IF('RPM &amp; Discounts'!$B$3='A0.Support'!$B$8,'A3.Distance matrix'!W16,'A3.Distance matrix'!W7)</f>
        <v>176.25200000000001</v>
      </c>
      <c r="W25" s="49">
        <f>IF('RPM &amp; Discounts'!$B$3='A0.Support'!$B$8,'A3.Distance matrix'!X16,'A3.Distance matrix'!X7)</f>
        <v>176.06100000000001</v>
      </c>
      <c r="X25" s="49">
        <f>IF('RPM &amp; Discounts'!$B$3='A0.Support'!$B$8,'A3.Distance matrix'!Y16,'A3.Distance matrix'!Y7)</f>
        <v>164.631</v>
      </c>
      <c r="Y25" s="49">
        <f>IF('RPM &amp; Discounts'!$B$3='A0.Support'!$B$8,'A3.Distance matrix'!Z16,'A3.Distance matrix'!Z7)</f>
        <v>188.36199999999999</v>
      </c>
      <c r="Z25" s="49">
        <f>IF('RPM &amp; Discounts'!$B$3='A0.Support'!$B$8,'A3.Distance matrix'!AA16,'A3.Distance matrix'!AA7)</f>
        <v>188.36099999999999</v>
      </c>
      <c r="AA25" s="49">
        <f>IF('RPM &amp; Discounts'!$B$3='A0.Support'!$B$8,'A3.Distance matrix'!AB16,'A3.Distance matrix'!AB7)</f>
        <v>189.23099999999999</v>
      </c>
      <c r="AB25" s="49">
        <f>IF('RPM &amp; Discounts'!$B$3='A0.Support'!$B$8,'A3.Distance matrix'!AC16,'A3.Distance matrix'!AC7)</f>
        <v>223.17099999999999</v>
      </c>
      <c r="AC25" s="49">
        <f>IF('RPM &amp; Discounts'!$B$3='A0.Support'!$B$8,'A3.Distance matrix'!AD16,'A3.Distance matrix'!AD7)</f>
        <v>235.851</v>
      </c>
      <c r="AD25" s="49">
        <f>IF('RPM &amp; Discounts'!$B$3='A0.Support'!$B$8,'A3.Distance matrix'!AE16,'A3.Distance matrix'!AE7)</f>
        <v>242.42099999999999</v>
      </c>
      <c r="AE25" s="49">
        <f>IF('RPM &amp; Discounts'!$B$3='A0.Support'!$B$8,'A3.Distance matrix'!AF16,'A3.Distance matrix'!AF7)</f>
        <v>280.19099999999997</v>
      </c>
      <c r="AF25" s="49">
        <f>IF('RPM &amp; Discounts'!$B$3='A0.Support'!$B$8,'A3.Distance matrix'!AG16,'A3.Distance matrix'!AG7)</f>
        <v>290.101</v>
      </c>
      <c r="AG25" s="49">
        <f>IF('RPM &amp; Discounts'!$B$3='A0.Support'!$B$8,'A3.Distance matrix'!AH16,'A3.Distance matrix'!AH7)</f>
        <v>290.21100000000001</v>
      </c>
      <c r="AH25" s="49">
        <f>IF('RPM &amp; Discounts'!$B$3='A0.Support'!$B$8,'A3.Distance matrix'!AI16,'A3.Distance matrix'!AI7)</f>
        <v>303.28100000000001</v>
      </c>
      <c r="AI25" s="49">
        <f>IF('RPM &amp; Discounts'!$B$3='A0.Support'!$B$8,'A3.Distance matrix'!AJ16,'A3.Distance matrix'!AJ7)</f>
        <v>270.37099999999998</v>
      </c>
      <c r="AJ25" s="49">
        <f>IF('RPM &amp; Discounts'!$B$3='A0.Support'!$B$8,'A3.Distance matrix'!AK16,'A3.Distance matrix'!AK7)</f>
        <v>303.28199999999998</v>
      </c>
      <c r="AK25" s="49">
        <f>IF('RPM &amp; Discounts'!$B$3='A0.Support'!$B$8,'A3.Distance matrix'!AL16,'A3.Distance matrix'!AL7)</f>
        <v>293.64100000000002</v>
      </c>
      <c r="AL25" s="49">
        <f>IF('RPM &amp; Discounts'!$B$3='A0.Support'!$B$8,'A3.Distance matrix'!AM16,'A3.Distance matrix'!AM7)</f>
        <v>303.56099999999998</v>
      </c>
      <c r="AM25" s="49">
        <f>IF('RPM &amp; Discounts'!$B$3='A0.Support'!$B$8,'A3.Distance matrix'!AN16,'A3.Distance matrix'!AN7)</f>
        <v>299.471</v>
      </c>
      <c r="AN25" s="49">
        <f>IF('RPM &amp; Discounts'!$B$3='A0.Support'!$B$8,'A3.Distance matrix'!AO16,'A3.Distance matrix'!AO7)</f>
        <v>305.12099999999998</v>
      </c>
      <c r="AO25" s="49">
        <f>IF('RPM &amp; Discounts'!$B$3='A0.Support'!$B$8,'A3.Distance matrix'!AP16,'A3.Distance matrix'!AP7)</f>
        <v>318.78100000000001</v>
      </c>
      <c r="AP25" s="49">
        <f>IF('RPM &amp; Discounts'!$B$3='A0.Support'!$B$8,'A3.Distance matrix'!AQ16,'A3.Distance matrix'!AQ7)</f>
        <v>325.88099999999997</v>
      </c>
      <c r="AQ25" s="49">
        <f>IF('RPM &amp; Discounts'!$B$3='A0.Support'!$B$8,'A3.Distance matrix'!AR16,'A3.Distance matrix'!AR7)</f>
        <v>330.721</v>
      </c>
      <c r="AR25" s="49">
        <f>IF('RPM &amp; Discounts'!$B$3='A0.Support'!$B$8,'A3.Distance matrix'!AS16,'A3.Distance matrix'!AS7)</f>
        <v>335.71100000000001</v>
      </c>
      <c r="AS25" s="49">
        <f>IF('RPM &amp; Discounts'!$B$3='A0.Support'!$B$8,'A3.Distance matrix'!AT16,'A3.Distance matrix'!AT7)</f>
        <v>352.041</v>
      </c>
      <c r="AT25" s="49">
        <f>IF('RPM &amp; Discounts'!$B$3='A0.Support'!$B$8,'A3.Distance matrix'!AU16,'A3.Distance matrix'!AU7)</f>
        <v>359.12099999999998</v>
      </c>
      <c r="AU25" s="49">
        <f>IF('RPM &amp; Discounts'!$B$3='A0.Support'!$B$8,'A3.Distance matrix'!AV16,'A3.Distance matrix'!AV7)</f>
        <v>371.94200000000001</v>
      </c>
      <c r="AV25" s="49">
        <f>IF('RPM &amp; Discounts'!$B$3='A0.Support'!$B$8,'A3.Distance matrix'!AW16,'A3.Distance matrix'!AW7)</f>
        <v>371.94099999999997</v>
      </c>
      <c r="AW25" s="49">
        <f>IF('RPM &amp; Discounts'!$B$3='A0.Support'!$B$8,'A3.Distance matrix'!AX16,'A3.Distance matrix'!AX7)</f>
        <v>376.46100000000001</v>
      </c>
      <c r="AX25" s="49">
        <f>IF('RPM &amp; Discounts'!$B$3='A0.Support'!$B$8,'A3.Distance matrix'!AY16,'A3.Distance matrix'!AY7)</f>
        <v>385.22199999999998</v>
      </c>
      <c r="AY25" s="49">
        <f>IF('RPM &amp; Discounts'!$B$3='A0.Support'!$B$8,'A3.Distance matrix'!AZ16,'A3.Distance matrix'!AZ7)</f>
        <v>385.221</v>
      </c>
      <c r="AZ25" s="49">
        <f>IF('RPM &amp; Discounts'!$B$3='A0.Support'!$B$8,'A3.Distance matrix'!BA16,'A3.Distance matrix'!BA7)</f>
        <v>398.38099999999997</v>
      </c>
      <c r="BA25" s="49">
        <f>IF('RPM &amp; Discounts'!$B$3='A0.Support'!$B$8,'A3.Distance matrix'!BB16,'A3.Distance matrix'!BB7)</f>
        <v>415.94099999999997</v>
      </c>
      <c r="BB25" s="49">
        <f>IF('RPM &amp; Discounts'!$B$3='A0.Support'!$B$8,'A3.Distance matrix'!BC16,'A3.Distance matrix'!BC7)</f>
        <v>430.33100000000002</v>
      </c>
      <c r="BC25" s="49">
        <f>IF('RPM &amp; Discounts'!$B$3='A0.Support'!$B$8,'A3.Distance matrix'!BD16,'A3.Distance matrix'!BD7)</f>
        <v>427.59100000000001</v>
      </c>
      <c r="BD25" s="49">
        <f>IF('RPM &amp; Discounts'!$B$3='A0.Support'!$B$8,'A3.Distance matrix'!BE16,'A3.Distance matrix'!BE7)</f>
        <v>432.28100000000001</v>
      </c>
      <c r="BE25" s="49">
        <f>IF('RPM &amp; Discounts'!$B$3='A0.Support'!$B$8,'A3.Distance matrix'!BF16,'A3.Distance matrix'!BF7)</f>
        <v>438.64100000000002</v>
      </c>
      <c r="BF25" s="49">
        <f>IF('RPM &amp; Discounts'!$B$3='A0.Support'!$B$8,'A3.Distance matrix'!BG16,'A3.Distance matrix'!BG7)</f>
        <v>448.13099999999997</v>
      </c>
      <c r="BG25" s="49">
        <f>IF('RPM &amp; Discounts'!$B$3='A0.Support'!$B$8,'A3.Distance matrix'!BH16,'A3.Distance matrix'!BH7)</f>
        <v>479.44099999999997</v>
      </c>
      <c r="BH25" s="49">
        <f>IF('RPM &amp; Discounts'!$B$3='A0.Support'!$B$8,'A3.Distance matrix'!BI16,'A3.Distance matrix'!BI7)</f>
        <v>458.43099999999998</v>
      </c>
      <c r="BI25" s="49">
        <f>IF('RPM &amp; Discounts'!$B$3='A0.Support'!$B$8,'A3.Distance matrix'!BJ16,'A3.Distance matrix'!BJ7)</f>
        <v>467.52100000000002</v>
      </c>
      <c r="BJ25" s="49">
        <f>IF('RPM &amp; Discounts'!$B$3='A0.Support'!$B$8,'A3.Distance matrix'!BK16,'A3.Distance matrix'!BK7)</f>
        <v>481.65100000000001</v>
      </c>
      <c r="BK25" s="49">
        <f>IF('RPM &amp; Discounts'!$B$3='A0.Support'!$B$8,'A3.Distance matrix'!BL16,'A3.Distance matrix'!BL7)</f>
        <v>489.53100000000001</v>
      </c>
      <c r="BL25" s="49">
        <f>IF('RPM &amp; Discounts'!$B$3='A0.Support'!$B$8,'A3.Distance matrix'!BM16,'A3.Distance matrix'!BM7)</f>
        <v>517.101</v>
      </c>
      <c r="BM25" s="49">
        <f>IF('RPM &amp; Discounts'!$B$3='A0.Support'!$B$8,'A3.Distance matrix'!BN16,'A3.Distance matrix'!BN7)</f>
        <v>515.00099999999998</v>
      </c>
      <c r="BN25" s="49">
        <f>IF('RPM &amp; Discounts'!$B$3='A0.Support'!$B$8,'A3.Distance matrix'!BO16,'A3.Distance matrix'!BO7)</f>
        <v>544.84100000000001</v>
      </c>
      <c r="BO25" s="49">
        <f>IF('RPM &amp; Discounts'!$B$3='A0.Support'!$B$8,'A3.Distance matrix'!BP16,'A3.Distance matrix'!BP7)</f>
        <v>481.351</v>
      </c>
      <c r="BP25" s="49">
        <f>IF('RPM &amp; Discounts'!$B$3='A0.Support'!$B$8,'A3.Distance matrix'!BQ16,'A3.Distance matrix'!BQ7)</f>
        <v>377.971</v>
      </c>
      <c r="BQ25" s="49">
        <f>IF('RPM &amp; Discounts'!$B$3='A0.Support'!$B$8,'A3.Distance matrix'!BR16,'A3.Distance matrix'!BR7)</f>
        <v>355.38099999999997</v>
      </c>
      <c r="BR25" s="49">
        <f>IF('RPM &amp; Discounts'!$B$3='A0.Support'!$B$8,'A3.Distance matrix'!BS16,'A3.Distance matrix'!BS7)</f>
        <v>360.44099999999997</v>
      </c>
      <c r="BS25" s="49">
        <f>IF('RPM &amp; Discounts'!$B$3='A0.Support'!$B$8,'A3.Distance matrix'!BT16,'A3.Distance matrix'!BT7)</f>
        <v>335.49099999999999</v>
      </c>
      <c r="BT25" s="49">
        <f>IF('RPM &amp; Discounts'!$B$3='A0.Support'!$B$8,'A3.Distance matrix'!BU16,'A3.Distance matrix'!BU7)</f>
        <v>317.31099999999998</v>
      </c>
      <c r="BU25" s="49">
        <f>IF('RPM &amp; Discounts'!$B$3='A0.Support'!$B$8,'A3.Distance matrix'!BV16,'A3.Distance matrix'!BV7)</f>
        <v>298.27100000000002</v>
      </c>
      <c r="BV25" s="49">
        <f>IF('RPM &amp; Discounts'!$B$3='A0.Support'!$B$8,'A3.Distance matrix'!BW16,'A3.Distance matrix'!BW7)</f>
        <v>265.041</v>
      </c>
      <c r="BW25" s="49">
        <f>IF('RPM &amp; Discounts'!$B$3='A0.Support'!$B$8,'A3.Distance matrix'!BX16,'A3.Distance matrix'!BX7)</f>
        <v>453.93099999999998</v>
      </c>
      <c r="BX25" s="49">
        <f>IF('RPM &amp; Discounts'!$B$3='A0.Support'!$B$8,'A3.Distance matrix'!BY16,'A3.Distance matrix'!BY7)</f>
        <v>493.791</v>
      </c>
      <c r="BY25" s="49">
        <f>IF('RPM &amp; Discounts'!$B$3='A0.Support'!$B$8,'A3.Distance matrix'!BZ16,'A3.Distance matrix'!BZ7)</f>
        <v>518.66099999999994</v>
      </c>
      <c r="BZ25" s="49">
        <f>IF('RPM &amp; Discounts'!$B$3='A0.Support'!$B$8,'A3.Distance matrix'!CA16,'A3.Distance matrix'!CA7)</f>
        <v>530.30100000000004</v>
      </c>
      <c r="CA25" s="49">
        <f>IF('RPM &amp; Discounts'!$B$3='A0.Support'!$B$8,'A3.Distance matrix'!CB16,'A3.Distance matrix'!CB7)</f>
        <v>519.52099999999996</v>
      </c>
      <c r="CB25" s="49">
        <f>IF('RPM &amp; Discounts'!$B$3='A0.Support'!$B$8,'A3.Distance matrix'!CC16,'A3.Distance matrix'!CC7)</f>
        <v>479.99099999999999</v>
      </c>
      <c r="CC25" s="49">
        <f>IF('RPM &amp; Discounts'!$B$3='A0.Support'!$B$8,'A3.Distance matrix'!CD16,'A3.Distance matrix'!CD7)</f>
        <v>358.46100000000001</v>
      </c>
      <c r="CD25" s="49">
        <f>IF('RPM &amp; Discounts'!$B$3='A0.Support'!$B$8,'A3.Distance matrix'!CE16,'A3.Distance matrix'!CE7)</f>
        <v>368.00099999999998</v>
      </c>
      <c r="CE25" s="49">
        <f>IF('RPM &amp; Discounts'!$B$3='A0.Support'!$B$8,'A3.Distance matrix'!CF16,'A3.Distance matrix'!CF7)</f>
        <v>379.30099999999999</v>
      </c>
      <c r="CF25" s="49">
        <f>IF('RPM &amp; Discounts'!$B$3='A0.Support'!$B$8,'A3.Distance matrix'!CG16,'A3.Distance matrix'!CG7)</f>
        <v>401.52100000000002</v>
      </c>
      <c r="CG25" s="49">
        <f>IF('RPM &amp; Discounts'!$B$3='A0.Support'!$B$8,'A3.Distance matrix'!CH16,'A3.Distance matrix'!CH7)</f>
        <v>403.661</v>
      </c>
      <c r="CH25" s="49">
        <f>IF('RPM &amp; Discounts'!$B$3='A0.Support'!$B$8,'A3.Distance matrix'!CI16,'A3.Distance matrix'!CI7)</f>
        <v>81.971000000000004</v>
      </c>
      <c r="CI25" s="49">
        <f>IF('RPM &amp; Discounts'!$B$3='A0.Support'!$B$8,'A3.Distance matrix'!CJ16,'A3.Distance matrix'!CJ7)</f>
        <v>7.0910000000000002</v>
      </c>
      <c r="CJ25" s="49">
        <f>IF('RPM &amp; Discounts'!$B$3='A0.Support'!$B$8,'A3.Distance matrix'!CK16,'A3.Distance matrix'!CK7)</f>
        <v>7.0919999999999996</v>
      </c>
      <c r="CK25" s="49">
        <f>IF('RPM &amp; Discounts'!$B$3='A0.Support'!$B$8,'A3.Distance matrix'!CL16,'A3.Distance matrix'!CL7)</f>
        <v>8.4120000000000008</v>
      </c>
      <c r="CL25" s="49">
        <f>IF('RPM &amp; Discounts'!$B$3='A0.Support'!$B$8,'A3.Distance matrix'!CM16,'A3.Distance matrix'!CM7)</f>
        <v>7.0919999999999996</v>
      </c>
      <c r="CM25" s="49">
        <f>IF('RPM &amp; Discounts'!$B$3='A0.Support'!$B$8,'A3.Distance matrix'!CN16,'A3.Distance matrix'!CN7)</f>
        <v>9.9999999999989008E-4</v>
      </c>
    </row>
    <row r="26" spans="2:91" x14ac:dyDescent="0.3">
      <c r="B26" s="47" t="str">
        <f t="shared" si="5"/>
        <v>Underground storage Carriço</v>
      </c>
      <c r="C26" s="49">
        <f>IF('RPM &amp; Discounts'!$B$3='A0.Support'!$B$8,'A3.Distance matrix'!D17,'A3.Distance matrix'!D8)</f>
        <v>239.52199999999999</v>
      </c>
      <c r="D26" s="49">
        <f>IF('RPM &amp; Discounts'!$B$3='A0.Support'!$B$8,'A3.Distance matrix'!E17,'A3.Distance matrix'!E8)</f>
        <v>307.55099999999999</v>
      </c>
      <c r="E26" s="49">
        <f>IF('RPM &amp; Discounts'!$B$3='A0.Support'!$B$8,'A3.Distance matrix'!F17,'A3.Distance matrix'!F8)</f>
        <v>280.19200000000001</v>
      </c>
      <c r="F26" s="49">
        <f>IF('RPM &amp; Discounts'!$B$3='A0.Support'!$B$8,'A3.Distance matrix'!G17,'A3.Distance matrix'!G8)</f>
        <v>0</v>
      </c>
      <c r="G26" s="49">
        <f>IF('RPM &amp; Discounts'!$B$3='A0.Support'!$B$8,'A3.Distance matrix'!H17,'A3.Distance matrix'!H8)</f>
        <v>192.881</v>
      </c>
      <c r="H26" s="49">
        <f>IF('RPM &amp; Discounts'!$B$3='A0.Support'!$B$8,'A3.Distance matrix'!I17,'A3.Distance matrix'!I8)</f>
        <v>205.88200000000001</v>
      </c>
      <c r="I26" s="49">
        <f>IF('RPM &amp; Discounts'!$B$3='A0.Support'!$B$8,'A3.Distance matrix'!J17,'A3.Distance matrix'!J8)</f>
        <v>197.571</v>
      </c>
      <c r="J26" s="49">
        <f>IF('RPM &amp; Discounts'!$B$3='A0.Support'!$B$8,'A3.Distance matrix'!K17,'A3.Distance matrix'!K8)</f>
        <v>205.881</v>
      </c>
      <c r="K26" s="49">
        <f>IF('RPM &amp; Discounts'!$B$3='A0.Support'!$B$8,'A3.Distance matrix'!L17,'A3.Distance matrix'!L8)</f>
        <v>176.95099999999999</v>
      </c>
      <c r="L26" s="49">
        <f>IF('RPM &amp; Discounts'!$B$3='A0.Support'!$B$8,'A3.Distance matrix'!M17,'A3.Distance matrix'!M8)</f>
        <v>164.56100000000001</v>
      </c>
      <c r="M26" s="49">
        <f>IF('RPM &amp; Discounts'!$B$3='A0.Support'!$B$8,'A3.Distance matrix'!N17,'A3.Distance matrix'!N8)</f>
        <v>212.14099999999999</v>
      </c>
      <c r="N26" s="49">
        <f>IF('RPM &amp; Discounts'!$B$3='A0.Support'!$B$8,'A3.Distance matrix'!O17,'A3.Distance matrix'!O8)</f>
        <v>147.86099999999999</v>
      </c>
      <c r="O26" s="49">
        <f>IF('RPM &amp; Discounts'!$B$3='A0.Support'!$B$8,'A3.Distance matrix'!P17,'A3.Distance matrix'!P8)</f>
        <v>135.40100000000001</v>
      </c>
      <c r="P26" s="49">
        <f>IF('RPM &amp; Discounts'!$B$3='A0.Support'!$B$8,'A3.Distance matrix'!Q17,'A3.Distance matrix'!Q8)</f>
        <v>164.66200000000001</v>
      </c>
      <c r="Q26" s="49">
        <f>IF('RPM &amp; Discounts'!$B$3='A0.Support'!$B$8,'A3.Distance matrix'!R17,'A3.Distance matrix'!R8)</f>
        <v>131.77099999999999</v>
      </c>
      <c r="R26" s="49">
        <f>IF('RPM &amp; Discounts'!$B$3='A0.Support'!$B$8,'A3.Distance matrix'!S17,'A3.Distance matrix'!S8)</f>
        <v>152.55199999999999</v>
      </c>
      <c r="S26" s="49">
        <f>IF('RPM &amp; Discounts'!$B$3='A0.Support'!$B$8,'A3.Distance matrix'!T17,'A3.Distance matrix'!T8)</f>
        <v>159.32300000000001</v>
      </c>
      <c r="T26" s="49">
        <f>IF('RPM &amp; Discounts'!$B$3='A0.Support'!$B$8,'A3.Distance matrix'!U17,'A3.Distance matrix'!U8)</f>
        <v>129.20099999999999</v>
      </c>
      <c r="U26" s="49">
        <f>IF('RPM &amp; Discounts'!$B$3='A0.Support'!$B$8,'A3.Distance matrix'!V17,'A3.Distance matrix'!V8)</f>
        <v>131.77199999999999</v>
      </c>
      <c r="V26" s="49">
        <f>IF('RPM &amp; Discounts'!$B$3='A0.Support'!$B$8,'A3.Distance matrix'!W17,'A3.Distance matrix'!W8)</f>
        <v>159.322</v>
      </c>
      <c r="W26" s="49">
        <f>IF('RPM &amp; Discounts'!$B$3='A0.Support'!$B$8,'A3.Distance matrix'!X17,'A3.Distance matrix'!X8)</f>
        <v>126.991</v>
      </c>
      <c r="X26" s="49">
        <f>IF('RPM &amp; Discounts'!$B$3='A0.Support'!$B$8,'A3.Distance matrix'!Y17,'A3.Distance matrix'!Y8)</f>
        <v>115.56100000000001</v>
      </c>
      <c r="Y26" s="49">
        <f>IF('RPM &amp; Discounts'!$B$3='A0.Support'!$B$8,'A3.Distance matrix'!Z17,'A3.Distance matrix'!Z8)</f>
        <v>139.292</v>
      </c>
      <c r="Z26" s="49">
        <f>IF('RPM &amp; Discounts'!$B$3='A0.Support'!$B$8,'A3.Distance matrix'!AA17,'A3.Distance matrix'!AA8)</f>
        <v>139.291</v>
      </c>
      <c r="AA26" s="49">
        <f>IF('RPM &amp; Discounts'!$B$3='A0.Support'!$B$8,'A3.Distance matrix'!AB17,'A3.Distance matrix'!AB8)</f>
        <v>90.960999999999999</v>
      </c>
      <c r="AB26" s="49">
        <f>IF('RPM &amp; Discounts'!$B$3='A0.Support'!$B$8,'A3.Distance matrix'!AC17,'A3.Distance matrix'!AC8)</f>
        <v>57.021000000000001</v>
      </c>
      <c r="AC26" s="49">
        <f>IF('RPM &amp; Discounts'!$B$3='A0.Support'!$B$8,'A3.Distance matrix'!AD17,'A3.Distance matrix'!AD8)</f>
        <v>44.341000000000001</v>
      </c>
      <c r="AD26" s="49">
        <f>IF('RPM &amp; Discounts'!$B$3='A0.Support'!$B$8,'A3.Distance matrix'!AE17,'A3.Distance matrix'!AE8)</f>
        <v>37.771000000000001</v>
      </c>
      <c r="AE26" s="49">
        <f>IF('RPM &amp; Discounts'!$B$3='A0.Support'!$B$8,'A3.Distance matrix'!AF17,'A3.Distance matrix'!AF8)</f>
        <v>9.9999999999989008E-4</v>
      </c>
      <c r="AF26" s="49">
        <f>IF('RPM &amp; Discounts'!$B$3='A0.Support'!$B$8,'A3.Distance matrix'!AG17,'A3.Distance matrix'!AG8)</f>
        <v>9.9109999999999996</v>
      </c>
      <c r="AG26" s="49">
        <f>IF('RPM &amp; Discounts'!$B$3='A0.Support'!$B$8,'A3.Distance matrix'!AH17,'A3.Distance matrix'!AH8)</f>
        <v>10.021000000000001</v>
      </c>
      <c r="AH26" s="49">
        <f>IF('RPM &amp; Discounts'!$B$3='A0.Support'!$B$8,'A3.Distance matrix'!AI17,'A3.Distance matrix'!AI8)</f>
        <v>23.091000000000001</v>
      </c>
      <c r="AI26" s="49">
        <f>IF('RPM &amp; Discounts'!$B$3='A0.Support'!$B$8,'A3.Distance matrix'!AJ17,'A3.Distance matrix'!AJ8)</f>
        <v>28.300999999999998</v>
      </c>
      <c r="AJ26" s="49">
        <f>IF('RPM &amp; Discounts'!$B$3='A0.Support'!$B$8,'A3.Distance matrix'!AK17,'A3.Distance matrix'!AK8)</f>
        <v>23.091999999999999</v>
      </c>
      <c r="AK26" s="49">
        <f>IF('RPM &amp; Discounts'!$B$3='A0.Support'!$B$8,'A3.Distance matrix'!AL17,'A3.Distance matrix'!AL8)</f>
        <v>51.570999999999998</v>
      </c>
      <c r="AL26" s="49">
        <f>IF('RPM &amp; Discounts'!$B$3='A0.Support'!$B$8,'A3.Distance matrix'!AM17,'A3.Distance matrix'!AM8)</f>
        <v>61.491</v>
      </c>
      <c r="AM26" s="49">
        <f>IF('RPM &amp; Discounts'!$B$3='A0.Support'!$B$8,'A3.Distance matrix'!AN17,'A3.Distance matrix'!AN8)</f>
        <v>57.401000000000003</v>
      </c>
      <c r="AN26" s="49">
        <f>IF('RPM &amp; Discounts'!$B$3='A0.Support'!$B$8,'A3.Distance matrix'!AO17,'A3.Distance matrix'!AO8)</f>
        <v>63.051000000000002</v>
      </c>
      <c r="AO26" s="49">
        <f>IF('RPM &amp; Discounts'!$B$3='A0.Support'!$B$8,'A3.Distance matrix'!AP17,'A3.Distance matrix'!AP8)</f>
        <v>76.710999999999999</v>
      </c>
      <c r="AP26" s="49">
        <f>IF('RPM &amp; Discounts'!$B$3='A0.Support'!$B$8,'A3.Distance matrix'!AQ17,'A3.Distance matrix'!AQ8)</f>
        <v>83.811000000000007</v>
      </c>
      <c r="AQ26" s="49">
        <f>IF('RPM &amp; Discounts'!$B$3='A0.Support'!$B$8,'A3.Distance matrix'!AR17,'A3.Distance matrix'!AR8)</f>
        <v>88.650999999999996</v>
      </c>
      <c r="AR26" s="49">
        <f>IF('RPM &amp; Discounts'!$B$3='A0.Support'!$B$8,'A3.Distance matrix'!AS17,'A3.Distance matrix'!AS8)</f>
        <v>93.641000000000005</v>
      </c>
      <c r="AS26" s="49">
        <f>IF('RPM &amp; Discounts'!$B$3='A0.Support'!$B$8,'A3.Distance matrix'!AT17,'A3.Distance matrix'!AT8)</f>
        <v>109.971</v>
      </c>
      <c r="AT26" s="49">
        <f>IF('RPM &amp; Discounts'!$B$3='A0.Support'!$B$8,'A3.Distance matrix'!AU17,'A3.Distance matrix'!AU8)</f>
        <v>117.051</v>
      </c>
      <c r="AU26" s="49">
        <f>IF('RPM &amp; Discounts'!$B$3='A0.Support'!$B$8,'A3.Distance matrix'!AV17,'A3.Distance matrix'!AV8)</f>
        <v>129.87200000000001</v>
      </c>
      <c r="AV26" s="49">
        <f>IF('RPM &amp; Discounts'!$B$3='A0.Support'!$B$8,'A3.Distance matrix'!AW17,'A3.Distance matrix'!AW8)</f>
        <v>129.87100000000001</v>
      </c>
      <c r="AW26" s="49">
        <f>IF('RPM &amp; Discounts'!$B$3='A0.Support'!$B$8,'A3.Distance matrix'!AX17,'A3.Distance matrix'!AX8)</f>
        <v>134.39099999999999</v>
      </c>
      <c r="AX26" s="49">
        <f>IF('RPM &amp; Discounts'!$B$3='A0.Support'!$B$8,'A3.Distance matrix'!AY17,'A3.Distance matrix'!AY8)</f>
        <v>143.15199999999999</v>
      </c>
      <c r="AY26" s="49">
        <f>IF('RPM &amp; Discounts'!$B$3='A0.Support'!$B$8,'A3.Distance matrix'!AZ17,'A3.Distance matrix'!AZ8)</f>
        <v>143.15100000000001</v>
      </c>
      <c r="AZ26" s="49">
        <f>IF('RPM &amp; Discounts'!$B$3='A0.Support'!$B$8,'A3.Distance matrix'!BA17,'A3.Distance matrix'!BA8)</f>
        <v>156.31100000000001</v>
      </c>
      <c r="BA26" s="49">
        <f>IF('RPM &amp; Discounts'!$B$3='A0.Support'!$B$8,'A3.Distance matrix'!BB17,'A3.Distance matrix'!BB8)</f>
        <v>173.87100000000001</v>
      </c>
      <c r="BB26" s="49">
        <f>IF('RPM &amp; Discounts'!$B$3='A0.Support'!$B$8,'A3.Distance matrix'!BC17,'A3.Distance matrix'!BC8)</f>
        <v>188.261</v>
      </c>
      <c r="BC26" s="49">
        <f>IF('RPM &amp; Discounts'!$B$3='A0.Support'!$B$8,'A3.Distance matrix'!BD17,'A3.Distance matrix'!BD8)</f>
        <v>185.52099999999999</v>
      </c>
      <c r="BD26" s="49">
        <f>IF('RPM &amp; Discounts'!$B$3='A0.Support'!$B$8,'A3.Distance matrix'!BE17,'A3.Distance matrix'!BE8)</f>
        <v>190.21100000000001</v>
      </c>
      <c r="BE26" s="49">
        <f>IF('RPM &amp; Discounts'!$B$3='A0.Support'!$B$8,'A3.Distance matrix'!BF17,'A3.Distance matrix'!BF8)</f>
        <v>196.571</v>
      </c>
      <c r="BF26" s="49">
        <f>IF('RPM &amp; Discounts'!$B$3='A0.Support'!$B$8,'A3.Distance matrix'!BG17,'A3.Distance matrix'!BG8)</f>
        <v>206.06100000000001</v>
      </c>
      <c r="BG26" s="49">
        <f>IF('RPM &amp; Discounts'!$B$3='A0.Support'!$B$8,'A3.Distance matrix'!BH17,'A3.Distance matrix'!BH8)</f>
        <v>237.37100000000001</v>
      </c>
      <c r="BH26" s="49">
        <f>IF('RPM &amp; Discounts'!$B$3='A0.Support'!$B$8,'A3.Distance matrix'!BI17,'A3.Distance matrix'!BI8)</f>
        <v>216.36099999999999</v>
      </c>
      <c r="BI26" s="49">
        <f>IF('RPM &amp; Discounts'!$B$3='A0.Support'!$B$8,'A3.Distance matrix'!BJ17,'A3.Distance matrix'!BJ8)</f>
        <v>225.45099999999999</v>
      </c>
      <c r="BJ26" s="49">
        <f>IF('RPM &amp; Discounts'!$B$3='A0.Support'!$B$8,'A3.Distance matrix'!BK17,'A3.Distance matrix'!BK8)</f>
        <v>239.58099999999999</v>
      </c>
      <c r="BK26" s="49">
        <f>IF('RPM &amp; Discounts'!$B$3='A0.Support'!$B$8,'A3.Distance matrix'!BL17,'A3.Distance matrix'!BL8)</f>
        <v>247.46100000000001</v>
      </c>
      <c r="BL26" s="49">
        <f>IF('RPM &amp; Discounts'!$B$3='A0.Support'!$B$8,'A3.Distance matrix'!BM17,'A3.Distance matrix'!BM8)</f>
        <v>275.03100000000001</v>
      </c>
      <c r="BM26" s="49">
        <f>IF('RPM &amp; Discounts'!$B$3='A0.Support'!$B$8,'A3.Distance matrix'!BN17,'A3.Distance matrix'!BN8)</f>
        <v>272.93099999999998</v>
      </c>
      <c r="BN26" s="49">
        <f>IF('RPM &amp; Discounts'!$B$3='A0.Support'!$B$8,'A3.Distance matrix'!BO17,'A3.Distance matrix'!BO8)</f>
        <v>302.77100000000002</v>
      </c>
      <c r="BO26" s="49">
        <f>IF('RPM &amp; Discounts'!$B$3='A0.Support'!$B$8,'A3.Distance matrix'!BP17,'A3.Distance matrix'!BP8)</f>
        <v>239.28100000000001</v>
      </c>
      <c r="BP26" s="49">
        <f>IF('RPM &amp; Discounts'!$B$3='A0.Support'!$B$8,'A3.Distance matrix'!BQ17,'A3.Distance matrix'!BQ8)</f>
        <v>135.90100000000001</v>
      </c>
      <c r="BQ26" s="49">
        <f>IF('RPM &amp; Discounts'!$B$3='A0.Support'!$B$8,'A3.Distance matrix'!BR17,'A3.Distance matrix'!BR8)</f>
        <v>113.31100000000001</v>
      </c>
      <c r="BR26" s="49">
        <f>IF('RPM &amp; Discounts'!$B$3='A0.Support'!$B$8,'A3.Distance matrix'!BS17,'A3.Distance matrix'!BS8)</f>
        <v>118.371</v>
      </c>
      <c r="BS26" s="49">
        <f>IF('RPM &amp; Discounts'!$B$3='A0.Support'!$B$8,'A3.Distance matrix'!BT17,'A3.Distance matrix'!BT8)</f>
        <v>93.421000000000006</v>
      </c>
      <c r="BT26" s="49">
        <f>IF('RPM &amp; Discounts'!$B$3='A0.Support'!$B$8,'A3.Distance matrix'!BU17,'A3.Distance matrix'!BU8)</f>
        <v>75.241</v>
      </c>
      <c r="BU26" s="49">
        <f>IF('RPM &amp; Discounts'!$B$3='A0.Support'!$B$8,'A3.Distance matrix'!BV17,'A3.Distance matrix'!BV8)</f>
        <v>56.201000000000001</v>
      </c>
      <c r="BV26" s="49">
        <f>IF('RPM &amp; Discounts'!$B$3='A0.Support'!$B$8,'A3.Distance matrix'!BW17,'A3.Distance matrix'!BW8)</f>
        <v>22.971</v>
      </c>
      <c r="BW26" s="49">
        <f>IF('RPM &amp; Discounts'!$B$3='A0.Support'!$B$8,'A3.Distance matrix'!BX17,'A3.Distance matrix'!BX8)</f>
        <v>211.86099999999999</v>
      </c>
      <c r="BX26" s="49">
        <f>IF('RPM &amp; Discounts'!$B$3='A0.Support'!$B$8,'A3.Distance matrix'!BY17,'A3.Distance matrix'!BY8)</f>
        <v>251.721</v>
      </c>
      <c r="BY26" s="49">
        <f>IF('RPM &amp; Discounts'!$B$3='A0.Support'!$B$8,'A3.Distance matrix'!BZ17,'A3.Distance matrix'!BZ8)</f>
        <v>276.59100000000001</v>
      </c>
      <c r="BZ26" s="49">
        <f>IF('RPM &amp; Discounts'!$B$3='A0.Support'!$B$8,'A3.Distance matrix'!CA17,'A3.Distance matrix'!CA8)</f>
        <v>288.23099999999999</v>
      </c>
      <c r="CA26" s="49">
        <f>IF('RPM &amp; Discounts'!$B$3='A0.Support'!$B$8,'A3.Distance matrix'!CB17,'A3.Distance matrix'!CB8)</f>
        <v>277.45100000000002</v>
      </c>
      <c r="CB26" s="49">
        <f>IF('RPM &amp; Discounts'!$B$3='A0.Support'!$B$8,'A3.Distance matrix'!CC17,'A3.Distance matrix'!CC8)</f>
        <v>237.92099999999999</v>
      </c>
      <c r="CC26" s="49">
        <f>IF('RPM &amp; Discounts'!$B$3='A0.Support'!$B$8,'A3.Distance matrix'!CD17,'A3.Distance matrix'!CD8)</f>
        <v>116.39100000000001</v>
      </c>
      <c r="CD26" s="49">
        <f>IF('RPM &amp; Discounts'!$B$3='A0.Support'!$B$8,'A3.Distance matrix'!CE17,'A3.Distance matrix'!CE8)</f>
        <v>125.931</v>
      </c>
      <c r="CE26" s="49">
        <f>IF('RPM &amp; Discounts'!$B$3='A0.Support'!$B$8,'A3.Distance matrix'!CF17,'A3.Distance matrix'!CF8)</f>
        <v>137.23099999999999</v>
      </c>
      <c r="CF26" s="49">
        <f>IF('RPM &amp; Discounts'!$B$3='A0.Support'!$B$8,'A3.Distance matrix'!CG17,'A3.Distance matrix'!CG8)</f>
        <v>159.45099999999999</v>
      </c>
      <c r="CG26" s="49">
        <f>IF('RPM &amp; Discounts'!$B$3='A0.Support'!$B$8,'A3.Distance matrix'!CH17,'A3.Distance matrix'!CH8)</f>
        <v>161.59100000000001</v>
      </c>
      <c r="CH26" s="49">
        <f>IF('RPM &amp; Discounts'!$B$3='A0.Support'!$B$8,'A3.Distance matrix'!CI17,'A3.Distance matrix'!CI8)</f>
        <v>198.221</v>
      </c>
      <c r="CI26" s="49">
        <f>IF('RPM &amp; Discounts'!$B$3='A0.Support'!$B$8,'A3.Distance matrix'!CJ17,'A3.Distance matrix'!CJ8)</f>
        <v>273.101</v>
      </c>
      <c r="CJ26" s="49">
        <f>IF('RPM &amp; Discounts'!$B$3='A0.Support'!$B$8,'A3.Distance matrix'!CK17,'A3.Distance matrix'!CK8)</f>
        <v>273.10199999999998</v>
      </c>
      <c r="CK26" s="49">
        <f>IF('RPM &amp; Discounts'!$B$3='A0.Support'!$B$8,'A3.Distance matrix'!CL17,'A3.Distance matrix'!CL8)</f>
        <v>274.42200000000003</v>
      </c>
      <c r="CL26" s="49">
        <f>IF('RPM &amp; Discounts'!$B$3='A0.Support'!$B$8,'A3.Distance matrix'!CM17,'A3.Distance matrix'!CM8)</f>
        <v>273.10199999999998</v>
      </c>
      <c r="CM26" s="49">
        <f>IF('RPM &amp; Discounts'!$B$3='A0.Support'!$B$8,'A3.Distance matrix'!CN17,'A3.Distance matrix'!CN8)</f>
        <v>280.19099999999997</v>
      </c>
    </row>
    <row r="27" spans="2:91" x14ac:dyDescent="0.3">
      <c r="B27" s="47" t="str">
        <f t="shared" si="5"/>
        <v>Gas producers</v>
      </c>
      <c r="C27" s="49">
        <f>IF('RPM &amp; Discounts'!$B$3='A0.Support'!$B$8,'A3.Distance matrix'!D18,'A3.Distance matrix'!D9)</f>
        <v>239.523</v>
      </c>
      <c r="D27" s="49">
        <f>IF('RPM &amp; Discounts'!$B$3='A0.Support'!$B$8,'A3.Distance matrix'!E18,'A3.Distance matrix'!E9)</f>
        <v>307.55200000000002</v>
      </c>
      <c r="E27" s="49">
        <f>IF('RPM &amp; Discounts'!$B$3='A0.Support'!$B$8,'A3.Distance matrix'!F18,'A3.Distance matrix'!F9)</f>
        <v>280.19299999999998</v>
      </c>
      <c r="F27" s="49">
        <f>IF('RPM &amp; Discounts'!$B$3='A0.Support'!$B$8,'A3.Distance matrix'!G18,'A3.Distance matrix'!G9)</f>
        <v>9.9999999999989008E-4</v>
      </c>
      <c r="G27" s="49">
        <f>IF('RPM &amp; Discounts'!$B$3='A0.Support'!$B$8,'A3.Distance matrix'!H18,'A3.Distance matrix'!H9)</f>
        <v>192.88200000000001</v>
      </c>
      <c r="H27" s="49">
        <f>IF('RPM &amp; Discounts'!$B$3='A0.Support'!$B$8,'A3.Distance matrix'!I18,'A3.Distance matrix'!I9)</f>
        <v>205.88300000000001</v>
      </c>
      <c r="I27" s="49">
        <f>IF('RPM &amp; Discounts'!$B$3='A0.Support'!$B$8,'A3.Distance matrix'!J18,'A3.Distance matrix'!J9)</f>
        <v>197.572</v>
      </c>
      <c r="J27" s="49">
        <f>IF('RPM &amp; Discounts'!$B$3='A0.Support'!$B$8,'A3.Distance matrix'!K18,'A3.Distance matrix'!K9)</f>
        <v>205.88200000000001</v>
      </c>
      <c r="K27" s="49">
        <f>IF('RPM &amp; Discounts'!$B$3='A0.Support'!$B$8,'A3.Distance matrix'!L18,'A3.Distance matrix'!L9)</f>
        <v>176.952</v>
      </c>
      <c r="L27" s="49">
        <f>IF('RPM &amp; Discounts'!$B$3='A0.Support'!$B$8,'A3.Distance matrix'!M18,'A3.Distance matrix'!M9)</f>
        <v>164.56200000000001</v>
      </c>
      <c r="M27" s="49">
        <f>IF('RPM &amp; Discounts'!$B$3='A0.Support'!$B$8,'A3.Distance matrix'!N18,'A3.Distance matrix'!N9)</f>
        <v>212.142</v>
      </c>
      <c r="N27" s="49">
        <f>IF('RPM &amp; Discounts'!$B$3='A0.Support'!$B$8,'A3.Distance matrix'!O18,'A3.Distance matrix'!O9)</f>
        <v>147.86199999999999</v>
      </c>
      <c r="O27" s="49">
        <f>IF('RPM &amp; Discounts'!$B$3='A0.Support'!$B$8,'A3.Distance matrix'!P18,'A3.Distance matrix'!P9)</f>
        <v>135.40199999999999</v>
      </c>
      <c r="P27" s="49">
        <f>IF('RPM &amp; Discounts'!$B$3='A0.Support'!$B$8,'A3.Distance matrix'!Q18,'A3.Distance matrix'!Q9)</f>
        <v>164.66300000000001</v>
      </c>
      <c r="Q27" s="49">
        <f>IF('RPM &amp; Discounts'!$B$3='A0.Support'!$B$8,'A3.Distance matrix'!R18,'A3.Distance matrix'!R9)</f>
        <v>131.77199999999999</v>
      </c>
      <c r="R27" s="49">
        <f>IF('RPM &amp; Discounts'!$B$3='A0.Support'!$B$8,'A3.Distance matrix'!S18,'A3.Distance matrix'!S9)</f>
        <v>152.553</v>
      </c>
      <c r="S27" s="49">
        <f>IF('RPM &amp; Discounts'!$B$3='A0.Support'!$B$8,'A3.Distance matrix'!T18,'A3.Distance matrix'!T9)</f>
        <v>159.32400000000001</v>
      </c>
      <c r="T27" s="49">
        <f>IF('RPM &amp; Discounts'!$B$3='A0.Support'!$B$8,'A3.Distance matrix'!U18,'A3.Distance matrix'!U9)</f>
        <v>129.202</v>
      </c>
      <c r="U27" s="49">
        <f>IF('RPM &amp; Discounts'!$B$3='A0.Support'!$B$8,'A3.Distance matrix'!V18,'A3.Distance matrix'!V9)</f>
        <v>131.773</v>
      </c>
      <c r="V27" s="49">
        <f>IF('RPM &amp; Discounts'!$B$3='A0.Support'!$B$8,'A3.Distance matrix'!W18,'A3.Distance matrix'!W9)</f>
        <v>159.32300000000001</v>
      </c>
      <c r="W27" s="49">
        <f>IF('RPM &amp; Discounts'!$B$3='A0.Support'!$B$8,'A3.Distance matrix'!X18,'A3.Distance matrix'!X9)</f>
        <v>126.992</v>
      </c>
      <c r="X27" s="49">
        <f>IF('RPM &amp; Discounts'!$B$3='A0.Support'!$B$8,'A3.Distance matrix'!Y18,'A3.Distance matrix'!Y9)</f>
        <v>115.562</v>
      </c>
      <c r="Y27" s="49">
        <f>IF('RPM &amp; Discounts'!$B$3='A0.Support'!$B$8,'A3.Distance matrix'!Z18,'A3.Distance matrix'!Z9)</f>
        <v>139.29300000000001</v>
      </c>
      <c r="Z27" s="49">
        <f>IF('RPM &amp; Discounts'!$B$3='A0.Support'!$B$8,'A3.Distance matrix'!AA18,'A3.Distance matrix'!AA9)</f>
        <v>139.292</v>
      </c>
      <c r="AA27" s="49">
        <f>IF('RPM &amp; Discounts'!$B$3='A0.Support'!$B$8,'A3.Distance matrix'!AB18,'A3.Distance matrix'!AB9)</f>
        <v>90.962000000000003</v>
      </c>
      <c r="AB27" s="49">
        <f>IF('RPM &amp; Discounts'!$B$3='A0.Support'!$B$8,'A3.Distance matrix'!AC18,'A3.Distance matrix'!AC9)</f>
        <v>57.021999999999998</v>
      </c>
      <c r="AC27" s="49">
        <f>IF('RPM &amp; Discounts'!$B$3='A0.Support'!$B$8,'A3.Distance matrix'!AD18,'A3.Distance matrix'!AD9)</f>
        <v>44.341999999999999</v>
      </c>
      <c r="AD27" s="49">
        <f>IF('RPM &amp; Discounts'!$B$3='A0.Support'!$B$8,'A3.Distance matrix'!AE18,'A3.Distance matrix'!AE9)</f>
        <v>37.771999999999998</v>
      </c>
      <c r="AE27" s="49">
        <f>IF('RPM &amp; Discounts'!$B$3='A0.Support'!$B$8,'A3.Distance matrix'!AF18,'A3.Distance matrix'!AF9)</f>
        <v>1.9999999999997802E-3</v>
      </c>
      <c r="AF27" s="49">
        <f>IF('RPM &amp; Discounts'!$B$3='A0.Support'!$B$8,'A3.Distance matrix'!AG18,'A3.Distance matrix'!AG9)</f>
        <v>9.9120000000000008</v>
      </c>
      <c r="AG27" s="49">
        <f>IF('RPM &amp; Discounts'!$B$3='A0.Support'!$B$8,'A3.Distance matrix'!AH18,'A3.Distance matrix'!AH9)</f>
        <v>10.022</v>
      </c>
      <c r="AH27" s="49">
        <f>IF('RPM &amp; Discounts'!$B$3='A0.Support'!$B$8,'A3.Distance matrix'!AI18,'A3.Distance matrix'!AI9)</f>
        <v>23.091999999999999</v>
      </c>
      <c r="AI27" s="49">
        <f>IF('RPM &amp; Discounts'!$B$3='A0.Support'!$B$8,'A3.Distance matrix'!AJ18,'A3.Distance matrix'!AJ9)</f>
        <v>28.302</v>
      </c>
      <c r="AJ27" s="49">
        <f>IF('RPM &amp; Discounts'!$B$3='A0.Support'!$B$8,'A3.Distance matrix'!AK18,'A3.Distance matrix'!AK9)</f>
        <v>23.093</v>
      </c>
      <c r="AK27" s="49">
        <f>IF('RPM &amp; Discounts'!$B$3='A0.Support'!$B$8,'A3.Distance matrix'!AL18,'A3.Distance matrix'!AL9)</f>
        <v>51.572000000000003</v>
      </c>
      <c r="AL27" s="49">
        <f>IF('RPM &amp; Discounts'!$B$3='A0.Support'!$B$8,'A3.Distance matrix'!AM18,'A3.Distance matrix'!AM9)</f>
        <v>61.491999999999997</v>
      </c>
      <c r="AM27" s="49">
        <f>IF('RPM &amp; Discounts'!$B$3='A0.Support'!$B$8,'A3.Distance matrix'!AN18,'A3.Distance matrix'!AN9)</f>
        <v>57.402000000000001</v>
      </c>
      <c r="AN27" s="49">
        <f>IF('RPM &amp; Discounts'!$B$3='A0.Support'!$B$8,'A3.Distance matrix'!AO18,'A3.Distance matrix'!AO9)</f>
        <v>63.052</v>
      </c>
      <c r="AO27" s="49">
        <f>IF('RPM &amp; Discounts'!$B$3='A0.Support'!$B$8,'A3.Distance matrix'!AP18,'A3.Distance matrix'!AP9)</f>
        <v>76.712000000000003</v>
      </c>
      <c r="AP27" s="49">
        <f>IF('RPM &amp; Discounts'!$B$3='A0.Support'!$B$8,'A3.Distance matrix'!AQ18,'A3.Distance matrix'!AQ9)</f>
        <v>83.811999999999998</v>
      </c>
      <c r="AQ27" s="49">
        <f>IF('RPM &amp; Discounts'!$B$3='A0.Support'!$B$8,'A3.Distance matrix'!AR18,'A3.Distance matrix'!AR9)</f>
        <v>88.652000000000001</v>
      </c>
      <c r="AR27" s="49">
        <f>IF('RPM &amp; Discounts'!$B$3='A0.Support'!$B$8,'A3.Distance matrix'!AS18,'A3.Distance matrix'!AS9)</f>
        <v>93.641999999999996</v>
      </c>
      <c r="AS27" s="49">
        <f>IF('RPM &amp; Discounts'!$B$3='A0.Support'!$B$8,'A3.Distance matrix'!AT18,'A3.Distance matrix'!AT9)</f>
        <v>109.97199999999999</v>
      </c>
      <c r="AT27" s="49">
        <f>IF('RPM &amp; Discounts'!$B$3='A0.Support'!$B$8,'A3.Distance matrix'!AU18,'A3.Distance matrix'!AU9)</f>
        <v>117.05200000000001</v>
      </c>
      <c r="AU27" s="49">
        <f>IF('RPM &amp; Discounts'!$B$3='A0.Support'!$B$8,'A3.Distance matrix'!AV18,'A3.Distance matrix'!AV9)</f>
        <v>129.87299999999999</v>
      </c>
      <c r="AV27" s="49">
        <f>IF('RPM &amp; Discounts'!$B$3='A0.Support'!$B$8,'A3.Distance matrix'!AW18,'A3.Distance matrix'!AW9)</f>
        <v>129.87200000000001</v>
      </c>
      <c r="AW27" s="49">
        <f>IF('RPM &amp; Discounts'!$B$3='A0.Support'!$B$8,'A3.Distance matrix'!AX18,'A3.Distance matrix'!AX9)</f>
        <v>134.392</v>
      </c>
      <c r="AX27" s="49">
        <f>IF('RPM &amp; Discounts'!$B$3='A0.Support'!$B$8,'A3.Distance matrix'!AY18,'A3.Distance matrix'!AY9)</f>
        <v>143.15299999999999</v>
      </c>
      <c r="AY27" s="49">
        <f>IF('RPM &amp; Discounts'!$B$3='A0.Support'!$B$8,'A3.Distance matrix'!AZ18,'A3.Distance matrix'!AZ9)</f>
        <v>143.15199999999999</v>
      </c>
      <c r="AZ27" s="49">
        <f>IF('RPM &amp; Discounts'!$B$3='A0.Support'!$B$8,'A3.Distance matrix'!BA18,'A3.Distance matrix'!BA9)</f>
        <v>156.31200000000001</v>
      </c>
      <c r="BA27" s="49">
        <f>IF('RPM &amp; Discounts'!$B$3='A0.Support'!$B$8,'A3.Distance matrix'!BB18,'A3.Distance matrix'!BB9)</f>
        <v>173.87200000000001</v>
      </c>
      <c r="BB27" s="49">
        <f>IF('RPM &amp; Discounts'!$B$3='A0.Support'!$B$8,'A3.Distance matrix'!BC18,'A3.Distance matrix'!BC9)</f>
        <v>188.262</v>
      </c>
      <c r="BC27" s="49">
        <f>IF('RPM &amp; Discounts'!$B$3='A0.Support'!$B$8,'A3.Distance matrix'!BD18,'A3.Distance matrix'!BD9)</f>
        <v>185.52199999999999</v>
      </c>
      <c r="BD27" s="49">
        <f>IF('RPM &amp; Discounts'!$B$3='A0.Support'!$B$8,'A3.Distance matrix'!BE18,'A3.Distance matrix'!BE9)</f>
        <v>190.21199999999999</v>
      </c>
      <c r="BE27" s="49">
        <f>IF('RPM &amp; Discounts'!$B$3='A0.Support'!$B$8,'A3.Distance matrix'!BF18,'A3.Distance matrix'!BF9)</f>
        <v>196.572</v>
      </c>
      <c r="BF27" s="49">
        <f>IF('RPM &amp; Discounts'!$B$3='A0.Support'!$B$8,'A3.Distance matrix'!BG18,'A3.Distance matrix'!BG9)</f>
        <v>206.06200000000001</v>
      </c>
      <c r="BG27" s="49">
        <f>IF('RPM &amp; Discounts'!$B$3='A0.Support'!$B$8,'A3.Distance matrix'!BH18,'A3.Distance matrix'!BH9)</f>
        <v>237.37200000000001</v>
      </c>
      <c r="BH27" s="49">
        <f>IF('RPM &amp; Discounts'!$B$3='A0.Support'!$B$8,'A3.Distance matrix'!BI18,'A3.Distance matrix'!BI9)</f>
        <v>216.36199999999999</v>
      </c>
      <c r="BI27" s="49">
        <f>IF('RPM &amp; Discounts'!$B$3='A0.Support'!$B$8,'A3.Distance matrix'!BJ18,'A3.Distance matrix'!BJ9)</f>
        <v>225.452</v>
      </c>
      <c r="BJ27" s="49">
        <f>IF('RPM &amp; Discounts'!$B$3='A0.Support'!$B$8,'A3.Distance matrix'!BK18,'A3.Distance matrix'!BK9)</f>
        <v>239.58199999999999</v>
      </c>
      <c r="BK27" s="49">
        <f>IF('RPM &amp; Discounts'!$B$3='A0.Support'!$B$8,'A3.Distance matrix'!BL18,'A3.Distance matrix'!BL9)</f>
        <v>247.46199999999999</v>
      </c>
      <c r="BL27" s="49">
        <f>IF('RPM &amp; Discounts'!$B$3='A0.Support'!$B$8,'A3.Distance matrix'!BM18,'A3.Distance matrix'!BM9)</f>
        <v>275.03199999999998</v>
      </c>
      <c r="BM27" s="49">
        <f>IF('RPM &amp; Discounts'!$B$3='A0.Support'!$B$8,'A3.Distance matrix'!BN18,'A3.Distance matrix'!BN9)</f>
        <v>272.93200000000002</v>
      </c>
      <c r="BN27" s="49">
        <f>IF('RPM &amp; Discounts'!$B$3='A0.Support'!$B$8,'A3.Distance matrix'!BO18,'A3.Distance matrix'!BO9)</f>
        <v>302.77199999999999</v>
      </c>
      <c r="BO27" s="49">
        <f>IF('RPM &amp; Discounts'!$B$3='A0.Support'!$B$8,'A3.Distance matrix'!BP18,'A3.Distance matrix'!BP9)</f>
        <v>239.28200000000001</v>
      </c>
      <c r="BP27" s="49">
        <f>IF('RPM &amp; Discounts'!$B$3='A0.Support'!$B$8,'A3.Distance matrix'!BQ18,'A3.Distance matrix'!BQ9)</f>
        <v>135.90199999999999</v>
      </c>
      <c r="BQ27" s="49">
        <f>IF('RPM &amp; Discounts'!$B$3='A0.Support'!$B$8,'A3.Distance matrix'!BR18,'A3.Distance matrix'!BR9)</f>
        <v>113.312</v>
      </c>
      <c r="BR27" s="49">
        <f>IF('RPM &amp; Discounts'!$B$3='A0.Support'!$B$8,'A3.Distance matrix'!BS18,'A3.Distance matrix'!BS9)</f>
        <v>118.372</v>
      </c>
      <c r="BS27" s="49">
        <f>IF('RPM &amp; Discounts'!$B$3='A0.Support'!$B$8,'A3.Distance matrix'!BT18,'A3.Distance matrix'!BT9)</f>
        <v>93.421999999999997</v>
      </c>
      <c r="BT27" s="49">
        <f>IF('RPM &amp; Discounts'!$B$3='A0.Support'!$B$8,'A3.Distance matrix'!BU18,'A3.Distance matrix'!BU9)</f>
        <v>75.242000000000004</v>
      </c>
      <c r="BU27" s="49">
        <f>IF('RPM &amp; Discounts'!$B$3='A0.Support'!$B$8,'A3.Distance matrix'!BV18,'A3.Distance matrix'!BV9)</f>
        <v>56.201999999999998</v>
      </c>
      <c r="BV27" s="49">
        <f>IF('RPM &amp; Discounts'!$B$3='A0.Support'!$B$8,'A3.Distance matrix'!BW18,'A3.Distance matrix'!BW9)</f>
        <v>22.972000000000001</v>
      </c>
      <c r="BW27" s="49">
        <f>IF('RPM &amp; Discounts'!$B$3='A0.Support'!$B$8,'A3.Distance matrix'!BX18,'A3.Distance matrix'!BX9)</f>
        <v>211.86199999999999</v>
      </c>
      <c r="BX27" s="49">
        <f>IF('RPM &amp; Discounts'!$B$3='A0.Support'!$B$8,'A3.Distance matrix'!BY18,'A3.Distance matrix'!BY9)</f>
        <v>251.72200000000001</v>
      </c>
      <c r="BY27" s="49">
        <f>IF('RPM &amp; Discounts'!$B$3='A0.Support'!$B$8,'A3.Distance matrix'!BZ18,'A3.Distance matrix'!BZ9)</f>
        <v>276.59199999999998</v>
      </c>
      <c r="BZ27" s="49">
        <f>IF('RPM &amp; Discounts'!$B$3='A0.Support'!$B$8,'A3.Distance matrix'!CA18,'A3.Distance matrix'!CA9)</f>
        <v>288.23200000000003</v>
      </c>
      <c r="CA27" s="49">
        <f>IF('RPM &amp; Discounts'!$B$3='A0.Support'!$B$8,'A3.Distance matrix'!CB18,'A3.Distance matrix'!CB9)</f>
        <v>277.452</v>
      </c>
      <c r="CB27" s="49">
        <f>IF('RPM &amp; Discounts'!$B$3='A0.Support'!$B$8,'A3.Distance matrix'!CC18,'A3.Distance matrix'!CC9)</f>
        <v>237.922</v>
      </c>
      <c r="CC27" s="49">
        <f>IF('RPM &amp; Discounts'!$B$3='A0.Support'!$B$8,'A3.Distance matrix'!CD18,'A3.Distance matrix'!CD9)</f>
        <v>116.392</v>
      </c>
      <c r="CD27" s="49">
        <f>IF('RPM &amp; Discounts'!$B$3='A0.Support'!$B$8,'A3.Distance matrix'!CE18,'A3.Distance matrix'!CE9)</f>
        <v>125.932</v>
      </c>
      <c r="CE27" s="49">
        <f>IF('RPM &amp; Discounts'!$B$3='A0.Support'!$B$8,'A3.Distance matrix'!CF18,'A3.Distance matrix'!CF9)</f>
        <v>137.232</v>
      </c>
      <c r="CF27" s="49">
        <f>IF('RPM &amp; Discounts'!$B$3='A0.Support'!$B$8,'A3.Distance matrix'!CG18,'A3.Distance matrix'!CG9)</f>
        <v>159.452</v>
      </c>
      <c r="CG27" s="49">
        <f>IF('RPM &amp; Discounts'!$B$3='A0.Support'!$B$8,'A3.Distance matrix'!CH18,'A3.Distance matrix'!CH9)</f>
        <v>161.59200000000001</v>
      </c>
      <c r="CH27" s="49">
        <f>IF('RPM &amp; Discounts'!$B$3='A0.Support'!$B$8,'A3.Distance matrix'!CI18,'A3.Distance matrix'!CI9)</f>
        <v>198.22200000000001</v>
      </c>
      <c r="CI27" s="49">
        <f>IF('RPM &amp; Discounts'!$B$3='A0.Support'!$B$8,'A3.Distance matrix'!CJ18,'A3.Distance matrix'!CJ9)</f>
        <v>273.10199999999998</v>
      </c>
      <c r="CJ27" s="49">
        <f>IF('RPM &amp; Discounts'!$B$3='A0.Support'!$B$8,'A3.Distance matrix'!CK18,'A3.Distance matrix'!CK9)</f>
        <v>273.10300000000001</v>
      </c>
      <c r="CK27" s="49">
        <f>IF('RPM &amp; Discounts'!$B$3='A0.Support'!$B$8,'A3.Distance matrix'!CL18,'A3.Distance matrix'!CL9)</f>
        <v>274.423</v>
      </c>
      <c r="CL27" s="49">
        <f>IF('RPM &amp; Discounts'!$B$3='A0.Support'!$B$8,'A3.Distance matrix'!CM18,'A3.Distance matrix'!CM9)</f>
        <v>273.10300000000001</v>
      </c>
      <c r="CM27" s="49">
        <f>IF('RPM &amp; Discounts'!$B$3='A0.Support'!$B$8,'A3.Distance matrix'!CN18,'A3.Distance matrix'!CN9)</f>
        <v>280.19200000000001</v>
      </c>
    </row>
    <row r="30" spans="2:91" x14ac:dyDescent="0.3">
      <c r="C30"/>
      <c r="D30"/>
      <c r="E30"/>
      <c r="F30"/>
      <c r="G30"/>
    </row>
    <row r="31" spans="2:91" x14ac:dyDescent="0.3">
      <c r="C31"/>
      <c r="D31"/>
      <c r="E31"/>
      <c r="F31"/>
      <c r="G31"/>
    </row>
    <row r="32" spans="2:91" x14ac:dyDescent="0.3">
      <c r="C32"/>
      <c r="D32"/>
      <c r="E32"/>
      <c r="F32"/>
      <c r="G3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G279"/>
  <sheetViews>
    <sheetView showGridLines="0" topLeftCell="A94" workbookViewId="0">
      <selection activeCell="D8" sqref="D8"/>
    </sheetView>
  </sheetViews>
  <sheetFormatPr defaultRowHeight="14.4" x14ac:dyDescent="0.3"/>
  <cols>
    <col min="2" max="2" width="26.88671875" bestFit="1" customWidth="1"/>
    <col min="3" max="5" width="28.6640625" customWidth="1"/>
    <col min="6" max="6" width="28.6640625" style="1" customWidth="1"/>
    <col min="7" max="7" width="28.6640625" customWidth="1"/>
  </cols>
  <sheetData>
    <row r="1" spans="2:7" s="1" customFormat="1" x14ac:dyDescent="0.3"/>
    <row r="3" spans="2:7" x14ac:dyDescent="0.3">
      <c r="B3" s="2" t="s">
        <v>3</v>
      </c>
      <c r="C3" s="41" t="s">
        <v>2</v>
      </c>
      <c r="D3" s="42"/>
      <c r="E3" s="42"/>
      <c r="F3" s="42"/>
      <c r="G3" s="44"/>
    </row>
    <row r="4" spans="2:7" x14ac:dyDescent="0.3">
      <c r="B4" s="46" t="s">
        <v>1</v>
      </c>
      <c r="C4" s="45" t="str">
        <f t="array" ref="C4:G4">TRANSPOSE('Input capacity'!B7:B11)</f>
        <v>CTS Campo Maior</v>
      </c>
      <c r="D4" s="14" t="str">
        <v>CTS Valença do Minho</v>
      </c>
      <c r="E4" s="14" t="str">
        <v>LNG Terminal Sines</v>
      </c>
      <c r="F4" s="14" t="str">
        <v>Underground storage Carriço</v>
      </c>
      <c r="G4" s="14" t="str">
        <v>Gas producers</v>
      </c>
    </row>
    <row r="5" spans="2:7" x14ac:dyDescent="0.3">
      <c r="B5" s="14" t="str">
        <f>'Input capacity'!B19</f>
        <v>CTS Campo Maior</v>
      </c>
      <c r="C5" s="53">
        <f t="array" ref="C5:C93">TRANSPOSE('Distance Matrix_Entry'!C5:CM5)</f>
        <v>0</v>
      </c>
      <c r="D5" s="53">
        <f t="array" ref="D5:D93">TRANSPOSE('Distance Matrix_Entry'!C6:CM6)</f>
        <v>508.95100000000002</v>
      </c>
      <c r="E5" s="53">
        <f t="array" ref="E5:E93">TRANSPOSE('Distance Matrix_Entry'!C7:CM7)</f>
        <v>481.59199999999998</v>
      </c>
      <c r="F5" s="53">
        <f t="array" ref="F5:F93">TRANSPOSE('Distance Matrix_Entry'!C8:CM8)</f>
        <v>239.52199999999999</v>
      </c>
      <c r="G5" s="53">
        <f t="array" ref="G5:G93">TRANSPOSE('Distance Matrix_Entry'!C9:CM9)</f>
        <v>239.523</v>
      </c>
    </row>
    <row r="6" spans="2:7" x14ac:dyDescent="0.3">
      <c r="B6" s="14" t="str">
        <f>'Input capacity'!B20</f>
        <v>CTS Valença do Minho</v>
      </c>
      <c r="C6" s="53">
        <v>508.95100000000002</v>
      </c>
      <c r="D6" s="53">
        <v>0</v>
      </c>
      <c r="E6" s="53">
        <v>549.62099999999998</v>
      </c>
      <c r="F6" s="53">
        <v>307.55099999999999</v>
      </c>
      <c r="G6" s="53">
        <v>307.55200000000002</v>
      </c>
    </row>
    <row r="7" spans="2:7" x14ac:dyDescent="0.3">
      <c r="B7" s="14" t="str">
        <f>'Input capacity'!B21</f>
        <v>LNG Terminal Sines</v>
      </c>
      <c r="C7" s="53">
        <v>481.59199999999998</v>
      </c>
      <c r="D7" s="53">
        <v>549.62099999999998</v>
      </c>
      <c r="E7" s="53">
        <v>0</v>
      </c>
      <c r="F7" s="53">
        <v>280.19200000000001</v>
      </c>
      <c r="G7" s="53">
        <v>280.19299999999998</v>
      </c>
    </row>
    <row r="8" spans="2:7" x14ac:dyDescent="0.3">
      <c r="B8" s="14" t="str">
        <f>'Input capacity'!B22</f>
        <v>Underground storage Carriço</v>
      </c>
      <c r="C8" s="53">
        <v>239.52199999999999</v>
      </c>
      <c r="D8" s="53">
        <v>307.55099999999999</v>
      </c>
      <c r="E8" s="53">
        <v>280.19200000000001</v>
      </c>
      <c r="F8" s="53">
        <v>0</v>
      </c>
      <c r="G8" s="53">
        <v>9.9999999999989008E-4</v>
      </c>
    </row>
    <row r="9" spans="2:7" x14ac:dyDescent="0.3">
      <c r="B9" s="14" t="str">
        <f>'Input capacity'!B23</f>
        <v>GRMS 01059</v>
      </c>
      <c r="C9" s="53">
        <v>1013.8654285714285</v>
      </c>
      <c r="D9" s="53">
        <v>1188.7971428571427</v>
      </c>
      <c r="E9" s="53">
        <v>224.51400000000001</v>
      </c>
      <c r="F9" s="53">
        <v>495.97971428571424</v>
      </c>
      <c r="G9" s="53">
        <v>495.98228571428569</v>
      </c>
    </row>
    <row r="10" spans="2:7" x14ac:dyDescent="0.3">
      <c r="B10" s="14" t="str">
        <f>'Input capacity'!B24</f>
        <v>GRMS 01109</v>
      </c>
      <c r="C10" s="53">
        <v>1047.2965714285713</v>
      </c>
      <c r="D10" s="53">
        <v>1222.2282857142854</v>
      </c>
      <c r="E10" s="53">
        <v>291.8365714285714</v>
      </c>
      <c r="F10" s="53">
        <v>529.41085714285714</v>
      </c>
      <c r="G10" s="53">
        <v>529.41342857142854</v>
      </c>
    </row>
    <row r="11" spans="2:7" x14ac:dyDescent="0.3">
      <c r="B11" s="14" t="str">
        <f>'Input capacity'!B25</f>
        <v>GRMS 01119</v>
      </c>
      <c r="C11" s="53">
        <v>1025.9254285714285</v>
      </c>
      <c r="D11" s="53">
        <v>1200.8571428571427</v>
      </c>
      <c r="E11" s="53">
        <v>270.46542857142856</v>
      </c>
      <c r="F11" s="53">
        <v>508.03971428571424</v>
      </c>
      <c r="G11" s="53">
        <v>508.0422857142857</v>
      </c>
    </row>
    <row r="12" spans="2:7" x14ac:dyDescent="0.3">
      <c r="B12" s="14" t="str">
        <f>'Input capacity'!B26</f>
        <v>GRMS 01129</v>
      </c>
      <c r="C12" s="53">
        <v>1047.2939999999999</v>
      </c>
      <c r="D12" s="53">
        <v>1222.2257142857143</v>
      </c>
      <c r="E12" s="53">
        <v>291.83399999999995</v>
      </c>
      <c r="F12" s="53">
        <v>529.40828571428563</v>
      </c>
      <c r="G12" s="53">
        <v>529.41085714285714</v>
      </c>
    </row>
    <row r="13" spans="2:7" x14ac:dyDescent="0.3">
      <c r="B13" s="14" t="str">
        <f>'Input capacity'!B27</f>
        <v>GRMS 01139</v>
      </c>
      <c r="C13" s="53">
        <v>972.90257142857138</v>
      </c>
      <c r="D13" s="53">
        <v>1147.8342857142857</v>
      </c>
      <c r="E13" s="53">
        <v>265.47685714285711</v>
      </c>
      <c r="F13" s="53">
        <v>455.01685714285708</v>
      </c>
      <c r="G13" s="53">
        <v>455.01942857142853</v>
      </c>
    </row>
    <row r="14" spans="2:7" x14ac:dyDescent="0.3">
      <c r="B14" s="14" t="str">
        <f>'Input capacity'!B28</f>
        <v>GRMS 01149</v>
      </c>
      <c r="C14" s="53">
        <v>941.04257142857136</v>
      </c>
      <c r="D14" s="53">
        <v>1115.9742857142855</v>
      </c>
      <c r="E14" s="53">
        <v>297.33685714285713</v>
      </c>
      <c r="F14" s="53">
        <v>423.15685714285712</v>
      </c>
      <c r="G14" s="53">
        <v>423.15942857142858</v>
      </c>
    </row>
    <row r="15" spans="2:7" x14ac:dyDescent="0.3">
      <c r="B15" s="14" t="str">
        <f>'Input capacity'!B29</f>
        <v>GRMS 01159</v>
      </c>
      <c r="C15" s="53">
        <v>1063.3911428571428</v>
      </c>
      <c r="D15" s="53">
        <v>1238.3228571428569</v>
      </c>
      <c r="E15" s="53">
        <v>307.93114285714285</v>
      </c>
      <c r="F15" s="53">
        <v>545.50542857142852</v>
      </c>
      <c r="G15" s="53">
        <v>545.50799999999992</v>
      </c>
    </row>
    <row r="16" spans="2:7" x14ac:dyDescent="0.3">
      <c r="B16" s="14" t="str">
        <f>'Input capacity'!B30</f>
        <v>GRMS 01179</v>
      </c>
      <c r="C16" s="53">
        <v>898.0997142857143</v>
      </c>
      <c r="D16" s="53">
        <v>1073.0314285714285</v>
      </c>
      <c r="E16" s="53">
        <v>340.27971428571425</v>
      </c>
      <c r="F16" s="53">
        <v>380.21399999999994</v>
      </c>
      <c r="G16" s="53">
        <v>380.2165714285714</v>
      </c>
    </row>
    <row r="17" spans="2:7" x14ac:dyDescent="0.3">
      <c r="B17" s="14" t="str">
        <f>'Input capacity'!B31</f>
        <v>GRMS 01189</v>
      </c>
      <c r="C17" s="53">
        <v>866.05971428571422</v>
      </c>
      <c r="D17" s="53">
        <v>1040.9914285714285</v>
      </c>
      <c r="E17" s="53">
        <v>372.31971428571421</v>
      </c>
      <c r="F17" s="53">
        <v>348.17399999999998</v>
      </c>
      <c r="G17" s="53">
        <v>348.17657142857138</v>
      </c>
    </row>
    <row r="18" spans="2:7" x14ac:dyDescent="0.3">
      <c r="B18" s="14" t="str">
        <f>'Input capacity'!B32</f>
        <v>GRMS 01209</v>
      </c>
      <c r="C18" s="53">
        <v>941.30228571428563</v>
      </c>
      <c r="D18" s="53">
        <v>1116.2339999999999</v>
      </c>
      <c r="E18" s="53">
        <v>466.9508571428571</v>
      </c>
      <c r="F18" s="53">
        <v>423.41657142857139</v>
      </c>
      <c r="G18" s="53">
        <v>423.41914285714284</v>
      </c>
    </row>
    <row r="19" spans="2:7" x14ac:dyDescent="0.3">
      <c r="B19" s="14" t="str">
        <f>'Input capacity'!B33</f>
        <v>GRMS 01219</v>
      </c>
      <c r="C19" s="53">
        <v>856.72542857142844</v>
      </c>
      <c r="D19" s="53">
        <v>1031.6571428571426</v>
      </c>
      <c r="E19" s="53">
        <v>382.37399999999997</v>
      </c>
      <c r="F19" s="53">
        <v>338.83971428571419</v>
      </c>
      <c r="G19" s="53">
        <v>338.84228571428565</v>
      </c>
    </row>
    <row r="20" spans="2:7" x14ac:dyDescent="0.3">
      <c r="B20" s="14" t="str">
        <f>'Input capacity'!B34</f>
        <v>GRMS 01229</v>
      </c>
      <c r="C20" s="53">
        <v>910.16228571428564</v>
      </c>
      <c r="D20" s="53">
        <v>1085.0939999999998</v>
      </c>
      <c r="E20" s="53">
        <v>435.81085714285712</v>
      </c>
      <c r="F20" s="53">
        <v>392.27657142857134</v>
      </c>
      <c r="G20" s="53">
        <v>392.2791428571428</v>
      </c>
    </row>
    <row r="21" spans="2:7" x14ac:dyDescent="0.3">
      <c r="B21" s="14" t="str">
        <f>'Input capacity'!B35</f>
        <v>GRMS 01239</v>
      </c>
      <c r="C21" s="53">
        <v>927.57342857142851</v>
      </c>
      <c r="D21" s="53">
        <v>1102.5051428571428</v>
      </c>
      <c r="E21" s="53">
        <v>453.22199999999992</v>
      </c>
      <c r="F21" s="53">
        <v>409.68771428571426</v>
      </c>
      <c r="G21" s="53">
        <v>409.69028571428572</v>
      </c>
    </row>
    <row r="22" spans="2:7" x14ac:dyDescent="0.3">
      <c r="B22" s="14" t="str">
        <f>'Input capacity'!B36</f>
        <v>GRMS 01259</v>
      </c>
      <c r="C22" s="53">
        <v>850.11685714285704</v>
      </c>
      <c r="D22" s="53">
        <v>1025.0485714285712</v>
      </c>
      <c r="E22" s="53">
        <v>388.26257142857145</v>
      </c>
      <c r="F22" s="53">
        <v>332.2311428571428</v>
      </c>
      <c r="G22" s="53">
        <v>332.23371428571426</v>
      </c>
    </row>
    <row r="23" spans="2:7" x14ac:dyDescent="0.3">
      <c r="B23" s="14" t="str">
        <f>'Input capacity'!B37</f>
        <v>GRMS 01269</v>
      </c>
      <c r="C23" s="53">
        <v>856.72799999999995</v>
      </c>
      <c r="D23" s="53">
        <v>1031.6597142857142</v>
      </c>
      <c r="E23" s="53">
        <v>382.37657142857137</v>
      </c>
      <c r="F23" s="53">
        <v>338.84228571428565</v>
      </c>
      <c r="G23" s="53">
        <v>338.84485714285711</v>
      </c>
    </row>
    <row r="24" spans="2:7" x14ac:dyDescent="0.3">
      <c r="B24" s="14" t="str">
        <f>'Input capacity'!B38</f>
        <v>GRMS 01279</v>
      </c>
      <c r="C24" s="53">
        <v>927.57085714285699</v>
      </c>
      <c r="D24" s="53">
        <v>1102.5025714285712</v>
      </c>
      <c r="E24" s="53">
        <v>453.21942857142852</v>
      </c>
      <c r="F24" s="53">
        <v>409.68514285714281</v>
      </c>
      <c r="G24" s="53">
        <v>409.68771428571426</v>
      </c>
    </row>
    <row r="25" spans="2:7" x14ac:dyDescent="0.3">
      <c r="B25" s="14" t="str">
        <f>'Input capacity'!B39</f>
        <v>GRMS 01309</v>
      </c>
      <c r="C25" s="53">
        <v>844.43399999999997</v>
      </c>
      <c r="D25" s="53">
        <v>1019.3657142857143</v>
      </c>
      <c r="E25" s="53">
        <v>452.72828571428568</v>
      </c>
      <c r="F25" s="53">
        <v>326.54828571428567</v>
      </c>
      <c r="G25" s="53">
        <v>326.55085714285713</v>
      </c>
    </row>
    <row r="26" spans="2:7" x14ac:dyDescent="0.3">
      <c r="B26" s="14" t="str">
        <f>'Input capacity'!B40</f>
        <v>GRMS 01319</v>
      </c>
      <c r="C26" s="53">
        <v>815.04257142857136</v>
      </c>
      <c r="D26" s="53">
        <v>989.97428571428566</v>
      </c>
      <c r="E26" s="53">
        <v>423.33685714285713</v>
      </c>
      <c r="F26" s="53">
        <v>297.15685714285712</v>
      </c>
      <c r="G26" s="53">
        <v>297.15942857142852</v>
      </c>
    </row>
    <row r="27" spans="2:7" x14ac:dyDescent="0.3">
      <c r="B27" s="14" t="str">
        <f>'Input capacity'!B41</f>
        <v>GRMS 01359</v>
      </c>
      <c r="C27" s="53">
        <v>876.06514285714275</v>
      </c>
      <c r="D27" s="53">
        <v>1050.9968571428572</v>
      </c>
      <c r="E27" s="53">
        <v>484.35942857142851</v>
      </c>
      <c r="F27" s="53">
        <v>358.17942857142856</v>
      </c>
      <c r="G27" s="53">
        <v>358.18199999999996</v>
      </c>
    </row>
    <row r="28" spans="2:7" x14ac:dyDescent="0.3">
      <c r="B28" s="14" t="str">
        <f>'Input capacity'!B42</f>
        <v>GRMS 01369</v>
      </c>
      <c r="C28" s="53">
        <v>876.06257142857123</v>
      </c>
      <c r="D28" s="53">
        <v>1050.9942857142858</v>
      </c>
      <c r="E28" s="53">
        <v>484.35685714285705</v>
      </c>
      <c r="F28" s="53">
        <v>358.1768571428571</v>
      </c>
      <c r="G28" s="53">
        <v>358.17942857142856</v>
      </c>
    </row>
    <row r="29" spans="2:7" x14ac:dyDescent="0.3">
      <c r="B29" s="14" t="str">
        <f>'Input capacity'!B43</f>
        <v>GRMS 01409</v>
      </c>
      <c r="C29" s="53">
        <v>751.7854285714285</v>
      </c>
      <c r="D29" s="53">
        <v>926.71714285714268</v>
      </c>
      <c r="E29" s="53">
        <v>486.59399999999994</v>
      </c>
      <c r="F29" s="53">
        <v>233.89971428571425</v>
      </c>
      <c r="G29" s="53">
        <v>233.90228571428571</v>
      </c>
    </row>
    <row r="30" spans="2:7" x14ac:dyDescent="0.3">
      <c r="B30" s="14" t="str">
        <f>'Input capacity'!B44</f>
        <v>GRMS 02069</v>
      </c>
      <c r="C30" s="53">
        <v>664.51114285714277</v>
      </c>
      <c r="D30" s="53">
        <v>839.44285714285706</v>
      </c>
      <c r="E30" s="53">
        <v>573.86828571428566</v>
      </c>
      <c r="F30" s="53">
        <v>146.62542857142856</v>
      </c>
      <c r="G30" s="53">
        <v>146.62799999999999</v>
      </c>
    </row>
    <row r="31" spans="2:7" x14ac:dyDescent="0.3">
      <c r="B31" s="14" t="str">
        <f>'Input capacity'!B45</f>
        <v>GRMS 02089</v>
      </c>
      <c r="C31" s="53">
        <v>631.9054285714285</v>
      </c>
      <c r="D31" s="53">
        <v>806.83714285714268</v>
      </c>
      <c r="E31" s="53">
        <v>606.47399999999993</v>
      </c>
      <c r="F31" s="53">
        <v>114.01971428571427</v>
      </c>
      <c r="G31" s="53">
        <v>114.0222857142857</v>
      </c>
    </row>
    <row r="32" spans="2:7" x14ac:dyDescent="0.3">
      <c r="B32" s="14" t="str">
        <f>'Input capacity'!B46</f>
        <v>GRMS 02159</v>
      </c>
      <c r="C32" s="53">
        <v>615.01114285714277</v>
      </c>
      <c r="D32" s="53">
        <v>789.94285714285706</v>
      </c>
      <c r="E32" s="53">
        <v>623.36828571428566</v>
      </c>
      <c r="F32" s="53">
        <v>97.125428571428557</v>
      </c>
      <c r="G32" s="53">
        <v>97.127999999999986</v>
      </c>
    </row>
    <row r="33" spans="2:7" x14ac:dyDescent="0.3">
      <c r="B33" s="14" t="str">
        <f>'Input capacity'!B47</f>
        <v>GRMS 02509</v>
      </c>
      <c r="C33" s="53">
        <v>615.91114285714275</v>
      </c>
      <c r="D33" s="53">
        <v>790.84285714285704</v>
      </c>
      <c r="E33" s="53">
        <v>720.49114285714268</v>
      </c>
      <c r="F33" s="53">
        <v>2.5714285714282885E-3</v>
      </c>
      <c r="G33" s="53">
        <v>5.1428571428565771E-3</v>
      </c>
    </row>
    <row r="34" spans="2:7" x14ac:dyDescent="0.3">
      <c r="B34" s="14" t="str">
        <f>'Input capacity'!B48</f>
        <v>GRMS 02519</v>
      </c>
      <c r="C34" s="53">
        <v>641.39400000000001</v>
      </c>
      <c r="D34" s="53">
        <v>816.32571428571418</v>
      </c>
      <c r="E34" s="53">
        <v>745.97399999999993</v>
      </c>
      <c r="F34" s="53">
        <v>25.485428571428567</v>
      </c>
      <c r="G34" s="53">
        <v>25.488</v>
      </c>
    </row>
    <row r="35" spans="2:7" x14ac:dyDescent="0.3">
      <c r="B35" s="14" t="str">
        <f>'Input capacity'!B49</f>
        <v>GRMS 02539</v>
      </c>
      <c r="C35" s="53">
        <v>641.6768571428571</v>
      </c>
      <c r="D35" s="53">
        <v>816.60857142857128</v>
      </c>
      <c r="E35" s="53">
        <v>746.25685714285714</v>
      </c>
      <c r="F35" s="53">
        <v>25.768285714285714</v>
      </c>
      <c r="G35" s="53">
        <v>25.770857142857142</v>
      </c>
    </row>
    <row r="36" spans="2:7" x14ac:dyDescent="0.3">
      <c r="B36" s="14" t="str">
        <f>'Input capacity'!B50</f>
        <v>GRMS 02549</v>
      </c>
      <c r="C36" s="53">
        <v>675.2854285714285</v>
      </c>
      <c r="D36" s="53">
        <v>850.21714285714279</v>
      </c>
      <c r="E36" s="53">
        <v>779.86542857142854</v>
      </c>
      <c r="F36" s="53">
        <v>59.376857142857141</v>
      </c>
      <c r="G36" s="53">
        <v>59.379428571428562</v>
      </c>
    </row>
    <row r="37" spans="2:7" x14ac:dyDescent="0.3">
      <c r="B37" s="14" t="str">
        <f>'Input capacity'!B51</f>
        <v>GRMS 02559</v>
      </c>
      <c r="C37" s="53">
        <v>590.65971428571424</v>
      </c>
      <c r="D37" s="53">
        <v>718.07142857142856</v>
      </c>
      <c r="E37" s="53">
        <v>695.23971428571417</v>
      </c>
      <c r="F37" s="53">
        <v>72.773999999999987</v>
      </c>
      <c r="G37" s="53">
        <v>72.776571428571415</v>
      </c>
    </row>
    <row r="38" spans="2:7" x14ac:dyDescent="0.3">
      <c r="B38" s="14" t="str">
        <f>'Input capacity'!B52</f>
        <v>GRMS 02569</v>
      </c>
      <c r="C38" s="53">
        <v>675.28800000000001</v>
      </c>
      <c r="D38" s="53">
        <v>850.2197142857143</v>
      </c>
      <c r="E38" s="53">
        <v>779.86799999999982</v>
      </c>
      <c r="F38" s="53">
        <v>59.379428571428562</v>
      </c>
      <c r="G38" s="53">
        <v>59.381999999999991</v>
      </c>
    </row>
    <row r="39" spans="2:7" x14ac:dyDescent="0.3">
      <c r="B39" s="14" t="str">
        <f>'Input capacity'!B53</f>
        <v>GRMS 02709</v>
      </c>
      <c r="C39" s="53">
        <v>650.49685714285704</v>
      </c>
      <c r="D39" s="53">
        <v>681.73714285714277</v>
      </c>
      <c r="E39" s="53">
        <v>755.07685714285708</v>
      </c>
      <c r="F39" s="53">
        <v>132.61114285714285</v>
      </c>
      <c r="G39" s="53">
        <v>132.61371428571428</v>
      </c>
    </row>
    <row r="40" spans="2:7" x14ac:dyDescent="0.3">
      <c r="B40" s="14" t="str">
        <f>'Input capacity'!B54</f>
        <v>GRMS 02719</v>
      </c>
      <c r="C40" s="53">
        <v>676.00542857142852</v>
      </c>
      <c r="D40" s="53">
        <v>707.24571428571426</v>
      </c>
      <c r="E40" s="53">
        <v>780.58542857142845</v>
      </c>
      <c r="F40" s="53">
        <v>158.11971428571428</v>
      </c>
      <c r="G40" s="53">
        <v>158.12228571428568</v>
      </c>
    </row>
    <row r="41" spans="2:7" x14ac:dyDescent="0.3">
      <c r="B41" s="14" t="str">
        <f>'Input capacity'!B55</f>
        <v>GRMS 02739</v>
      </c>
      <c r="C41" s="53">
        <v>665.48828571428567</v>
      </c>
      <c r="D41" s="53">
        <v>643.24285714285713</v>
      </c>
      <c r="E41" s="53">
        <v>770.06828571428559</v>
      </c>
      <c r="F41" s="53">
        <v>147.60257142857142</v>
      </c>
      <c r="G41" s="53">
        <v>147.60514285714285</v>
      </c>
    </row>
    <row r="42" spans="2:7" x14ac:dyDescent="0.3">
      <c r="B42" s="14" t="str">
        <f>'Input capacity'!B56</f>
        <v>GRMS 03009</v>
      </c>
      <c r="C42" s="53">
        <v>680.01685714285713</v>
      </c>
      <c r="D42" s="53">
        <v>628.71428571428567</v>
      </c>
      <c r="E42" s="53">
        <v>784.59685714285706</v>
      </c>
      <c r="F42" s="53">
        <v>162.13114285714283</v>
      </c>
      <c r="G42" s="53">
        <v>162.13371428571426</v>
      </c>
    </row>
    <row r="43" spans="2:7" x14ac:dyDescent="0.3">
      <c r="B43" s="14" t="str">
        <f>'Input capacity'!B57</f>
        <v>GRMS 03059</v>
      </c>
      <c r="C43" s="53">
        <v>715.14257142857139</v>
      </c>
      <c r="D43" s="53">
        <v>593.58857142857141</v>
      </c>
      <c r="E43" s="53">
        <v>819.72257142857131</v>
      </c>
      <c r="F43" s="53">
        <v>197.25685714285711</v>
      </c>
      <c r="G43" s="53">
        <v>197.25942857142857</v>
      </c>
    </row>
    <row r="44" spans="2:7" x14ac:dyDescent="0.3">
      <c r="B44" s="14" t="str">
        <f>'Input capacity'!B58</f>
        <v>GRMS 03069</v>
      </c>
      <c r="C44" s="53">
        <v>733.39971428571425</v>
      </c>
      <c r="D44" s="53">
        <v>575.33142857142855</v>
      </c>
      <c r="E44" s="53">
        <v>837.97971428571418</v>
      </c>
      <c r="F44" s="53">
        <v>215.51400000000001</v>
      </c>
      <c r="G44" s="53">
        <v>215.51657142857141</v>
      </c>
    </row>
    <row r="45" spans="2:7" x14ac:dyDescent="0.3">
      <c r="B45" s="14" t="str">
        <f>'Input capacity'!B59</f>
        <v>GRMS 03109</v>
      </c>
      <c r="C45" s="53">
        <v>745.84542857142844</v>
      </c>
      <c r="D45" s="53">
        <v>562.88571428571424</v>
      </c>
      <c r="E45" s="53">
        <v>850.42542857142848</v>
      </c>
      <c r="F45" s="53">
        <v>227.95971428571426</v>
      </c>
      <c r="G45" s="53">
        <v>227.96228571428568</v>
      </c>
    </row>
    <row r="46" spans="2:7" x14ac:dyDescent="0.3">
      <c r="B46" s="14" t="str">
        <f>'Input capacity'!B60</f>
        <v>GRMS 03169</v>
      </c>
      <c r="C46" s="53">
        <v>758.6768571428571</v>
      </c>
      <c r="D46" s="53">
        <v>550.0542857142857</v>
      </c>
      <c r="E46" s="53">
        <v>863.25685714285714</v>
      </c>
      <c r="F46" s="53">
        <v>240.79114285714286</v>
      </c>
      <c r="G46" s="53">
        <v>240.79371428571426</v>
      </c>
    </row>
    <row r="47" spans="2:7" x14ac:dyDescent="0.3">
      <c r="B47" s="14" t="str">
        <f>'Input capacity'!B61</f>
        <v>GRMS 03219</v>
      </c>
      <c r="C47" s="53">
        <v>800.66828571428562</v>
      </c>
      <c r="D47" s="53">
        <v>508.06285714285713</v>
      </c>
      <c r="E47" s="53">
        <v>905.24828571428566</v>
      </c>
      <c r="F47" s="53">
        <v>282.78257142857143</v>
      </c>
      <c r="G47" s="53">
        <v>282.78514285714283</v>
      </c>
    </row>
    <row r="48" spans="2:7" x14ac:dyDescent="0.3">
      <c r="B48" s="14" t="str">
        <f>'Input capacity'!B62</f>
        <v>GRMS 03229</v>
      </c>
      <c r="C48" s="53">
        <v>818.87400000000002</v>
      </c>
      <c r="D48" s="53">
        <v>489.85714285714283</v>
      </c>
      <c r="E48" s="53">
        <v>923.45399999999984</v>
      </c>
      <c r="F48" s="53">
        <v>300.98828571428567</v>
      </c>
      <c r="G48" s="53">
        <v>300.99085714285712</v>
      </c>
    </row>
    <row r="49" spans="2:7" x14ac:dyDescent="0.3">
      <c r="B49" s="14" t="str">
        <f>'Input capacity'!B63</f>
        <v>GRMS 03259</v>
      </c>
      <c r="C49" s="53">
        <v>851.84228571428559</v>
      </c>
      <c r="D49" s="53">
        <v>493.61399999999998</v>
      </c>
      <c r="E49" s="53">
        <v>956.42228571428564</v>
      </c>
      <c r="F49" s="53">
        <v>333.95657142857141</v>
      </c>
      <c r="G49" s="53">
        <v>333.95914285714281</v>
      </c>
    </row>
    <row r="50" spans="2:7" x14ac:dyDescent="0.3">
      <c r="B50" s="14" t="str">
        <f>'Input capacity'!B64</f>
        <v>GRMS 03269</v>
      </c>
      <c r="C50" s="53">
        <v>851.83971428571419</v>
      </c>
      <c r="D50" s="53">
        <v>493.61142857142852</v>
      </c>
      <c r="E50" s="53">
        <v>956.41971428571412</v>
      </c>
      <c r="F50" s="53">
        <v>333.95400000000001</v>
      </c>
      <c r="G50" s="53">
        <v>333.95657142857141</v>
      </c>
    </row>
    <row r="51" spans="2:7" x14ac:dyDescent="0.3">
      <c r="B51" s="14" t="str">
        <f>'Input capacity'!B65</f>
        <v>GRMS 03309</v>
      </c>
      <c r="C51" s="53">
        <v>863.46257142857132</v>
      </c>
      <c r="D51" s="53">
        <v>445.26857142857136</v>
      </c>
      <c r="E51" s="53">
        <v>968.04257142857136</v>
      </c>
      <c r="F51" s="53">
        <v>345.57685714285708</v>
      </c>
      <c r="G51" s="53">
        <v>345.57942857142854</v>
      </c>
    </row>
    <row r="52" spans="2:7" x14ac:dyDescent="0.3">
      <c r="B52" s="14" t="str">
        <f>'Input capacity'!B66</f>
        <v>GRMS 03359</v>
      </c>
      <c r="C52" s="53">
        <v>885.99085714285707</v>
      </c>
      <c r="D52" s="53">
        <v>422.74542857142853</v>
      </c>
      <c r="E52" s="53">
        <v>990.57085714285699</v>
      </c>
      <c r="F52" s="53">
        <v>368.10514285714277</v>
      </c>
      <c r="G52" s="53">
        <v>368.10771428571422</v>
      </c>
    </row>
    <row r="53" spans="2:7" x14ac:dyDescent="0.3">
      <c r="B53" s="14" t="str">
        <f>'Input capacity'!B67</f>
        <v>GRMS 03369</v>
      </c>
      <c r="C53" s="53">
        <v>885.98828571428555</v>
      </c>
      <c r="D53" s="53">
        <v>422.74285714285713</v>
      </c>
      <c r="E53" s="53">
        <v>990.56828571428559</v>
      </c>
      <c r="F53" s="53">
        <v>368.10257142857142</v>
      </c>
      <c r="G53" s="53">
        <v>368.10514285714277</v>
      </c>
    </row>
    <row r="54" spans="2:7" x14ac:dyDescent="0.3">
      <c r="B54" s="14" t="str">
        <f>'Input capacity'!B68</f>
        <v>GRMS 03459</v>
      </c>
      <c r="C54" s="53">
        <v>919.8282857142857</v>
      </c>
      <c r="D54" s="53">
        <v>388.9028571428571</v>
      </c>
      <c r="E54" s="53">
        <v>1024.4082857142855</v>
      </c>
      <c r="F54" s="53">
        <v>401.9425714285714</v>
      </c>
      <c r="G54" s="53">
        <v>401.94514285714286</v>
      </c>
    </row>
    <row r="55" spans="2:7" x14ac:dyDescent="0.3">
      <c r="B55" s="14" t="str">
        <f>'Input capacity'!B69</f>
        <v>GRMS 03559</v>
      </c>
      <c r="C55" s="53">
        <v>964.98257142857142</v>
      </c>
      <c r="D55" s="53">
        <v>343.74857142857144</v>
      </c>
      <c r="E55" s="53">
        <v>1069.5625714285713</v>
      </c>
      <c r="F55" s="53">
        <v>447.09685714285712</v>
      </c>
      <c r="G55" s="53">
        <v>447.09942857142858</v>
      </c>
    </row>
    <row r="56" spans="2:7" x14ac:dyDescent="0.3">
      <c r="B56" s="14" t="str">
        <f>'Input capacity'!B70</f>
        <v>GRMS 03609</v>
      </c>
      <c r="C56" s="53">
        <v>1001.9854285714284</v>
      </c>
      <c r="D56" s="53">
        <v>350.15142857142848</v>
      </c>
      <c r="E56" s="53">
        <v>1106.5654285714286</v>
      </c>
      <c r="F56" s="53">
        <v>484.09971428571424</v>
      </c>
      <c r="G56" s="53">
        <v>484.10228571428564</v>
      </c>
    </row>
    <row r="57" spans="2:7" x14ac:dyDescent="0.3">
      <c r="B57" s="14" t="str">
        <f>'Input capacity'!B71</f>
        <v>GRMS 03619</v>
      </c>
      <c r="C57" s="53">
        <v>994.93971428571422</v>
      </c>
      <c r="D57" s="53">
        <v>343.10571428571427</v>
      </c>
      <c r="E57" s="53">
        <v>1099.5197142857141</v>
      </c>
      <c r="F57" s="53">
        <v>477.05399999999992</v>
      </c>
      <c r="G57" s="53">
        <v>477.05657142857137</v>
      </c>
    </row>
    <row r="58" spans="2:7" x14ac:dyDescent="0.3">
      <c r="B58" s="14" t="str">
        <f>'Input capacity'!B72</f>
        <v>GRMS 03659</v>
      </c>
      <c r="C58" s="53">
        <v>1006.9997142857142</v>
      </c>
      <c r="D58" s="53">
        <v>337.78285714285715</v>
      </c>
      <c r="E58" s="53">
        <v>1111.5797142857141</v>
      </c>
      <c r="F58" s="53">
        <v>489.11399999999998</v>
      </c>
      <c r="G58" s="53">
        <v>489.11657142857138</v>
      </c>
    </row>
    <row r="59" spans="2:7" x14ac:dyDescent="0.3">
      <c r="B59" s="14" t="str">
        <f>'Input capacity'!B73</f>
        <v>GRMS 04059</v>
      </c>
      <c r="C59" s="53">
        <v>1023.3539999999999</v>
      </c>
      <c r="D59" s="53">
        <v>285.37714285714281</v>
      </c>
      <c r="E59" s="53">
        <v>1127.934</v>
      </c>
      <c r="F59" s="53">
        <v>505.46828571428568</v>
      </c>
      <c r="G59" s="53">
        <v>505.47085714285708</v>
      </c>
    </row>
    <row r="60" spans="2:7" x14ac:dyDescent="0.3">
      <c r="B60" s="14" t="str">
        <f>'Input capacity'!B74</f>
        <v>GRMS 04109</v>
      </c>
      <c r="C60" s="53">
        <v>1047.7568571428571</v>
      </c>
      <c r="D60" s="53">
        <v>260.97428571428566</v>
      </c>
      <c r="E60" s="53">
        <v>1152.3368571428568</v>
      </c>
      <c r="F60" s="53">
        <v>529.87114285714279</v>
      </c>
      <c r="G60" s="53">
        <v>529.8737142857143</v>
      </c>
    </row>
    <row r="61" spans="2:7" x14ac:dyDescent="0.3">
      <c r="B61" s="14" t="str">
        <f>'Input capacity'!B75</f>
        <v>GRMS 04149</v>
      </c>
      <c r="C61" s="53">
        <v>1128.2682857142856</v>
      </c>
      <c r="D61" s="53">
        <v>302.5542857142857</v>
      </c>
      <c r="E61" s="53">
        <v>1232.8482857142856</v>
      </c>
      <c r="F61" s="53">
        <v>610.3825714285714</v>
      </c>
      <c r="G61" s="53">
        <v>610.3851428571428</v>
      </c>
    </row>
    <row r="62" spans="2:7" x14ac:dyDescent="0.3">
      <c r="B62" s="14" t="str">
        <f>'Input capacity'!B76</f>
        <v>GRMS 04159</v>
      </c>
      <c r="C62" s="53">
        <v>1074.2425714285714</v>
      </c>
      <c r="D62" s="53">
        <v>234.48857142857139</v>
      </c>
      <c r="E62" s="53">
        <v>1178.8225714285713</v>
      </c>
      <c r="F62" s="53">
        <v>556.35685714285705</v>
      </c>
      <c r="G62" s="53">
        <v>556.35942857142845</v>
      </c>
    </row>
    <row r="63" spans="2:7" x14ac:dyDescent="0.3">
      <c r="B63" s="14" t="str">
        <f>'Input capacity'!B77</f>
        <v>GRMS 04209</v>
      </c>
      <c r="C63" s="53">
        <v>1097.616857142857</v>
      </c>
      <c r="D63" s="53">
        <v>211.11428571428567</v>
      </c>
      <c r="E63" s="53">
        <v>1202.196857142857</v>
      </c>
      <c r="F63" s="53">
        <v>579.7311428571428</v>
      </c>
      <c r="G63" s="53">
        <v>579.7337142857142</v>
      </c>
    </row>
    <row r="64" spans="2:7" x14ac:dyDescent="0.3">
      <c r="B64" s="14" t="str">
        <f>'Input capacity'!B78</f>
        <v>GRMS 05009</v>
      </c>
      <c r="C64" s="53">
        <v>1133.9511428571427</v>
      </c>
      <c r="D64" s="53">
        <v>208.20857142857142</v>
      </c>
      <c r="E64" s="53">
        <v>1238.5311428571429</v>
      </c>
      <c r="F64" s="53">
        <v>616.06542857142847</v>
      </c>
      <c r="G64" s="53">
        <v>616.06799999999987</v>
      </c>
    </row>
    <row r="65" spans="2:7" x14ac:dyDescent="0.3">
      <c r="B65" s="14" t="str">
        <f>'Input capacity'!B79</f>
        <v>GRMS 05119</v>
      </c>
      <c r="C65" s="53">
        <v>1154.2139999999999</v>
      </c>
      <c r="D65" s="53">
        <v>154.51714285714286</v>
      </c>
      <c r="E65" s="53">
        <v>1258.7939999999999</v>
      </c>
      <c r="F65" s="53">
        <v>636.3282857142857</v>
      </c>
      <c r="G65" s="53">
        <v>636.3308571428571</v>
      </c>
    </row>
    <row r="66" spans="2:7" x14ac:dyDescent="0.3">
      <c r="B66" s="14" t="str">
        <f>'Input capacity'!B80</f>
        <v>GRMS 05179</v>
      </c>
      <c r="C66" s="53">
        <v>1225.1082857142856</v>
      </c>
      <c r="D66" s="53">
        <v>184.32</v>
      </c>
      <c r="E66" s="53">
        <v>1329.6882857142855</v>
      </c>
      <c r="F66" s="53">
        <v>707.22257142857143</v>
      </c>
      <c r="G66" s="53">
        <v>707.22514285714271</v>
      </c>
    </row>
    <row r="67" spans="2:7" x14ac:dyDescent="0.3">
      <c r="B67" s="14" t="str">
        <f>'Input capacity'!B81</f>
        <v>GRMS 05309</v>
      </c>
      <c r="C67" s="53">
        <v>1219.7082857142857</v>
      </c>
      <c r="D67" s="53">
        <v>89.022857142857134</v>
      </c>
      <c r="E67" s="53">
        <v>1324.2882857142856</v>
      </c>
      <c r="F67" s="53">
        <v>701.82257142857134</v>
      </c>
      <c r="G67" s="53">
        <v>701.82514285714285</v>
      </c>
    </row>
    <row r="68" spans="2:7" x14ac:dyDescent="0.3">
      <c r="B68" s="14" t="str">
        <f>'Input capacity'!B82</f>
        <v>GRMS 05609</v>
      </c>
      <c r="C68" s="53">
        <v>1296.4397142857142</v>
      </c>
      <c r="D68" s="53">
        <v>12.29142857142857</v>
      </c>
      <c r="E68" s="53">
        <v>1401.0197142857141</v>
      </c>
      <c r="F68" s="53">
        <v>778.55399999999997</v>
      </c>
      <c r="G68" s="53">
        <v>778.55657142857137</v>
      </c>
    </row>
    <row r="69" spans="2:7" x14ac:dyDescent="0.3">
      <c r="B69" s="14" t="str">
        <f>'Input capacity'!B83</f>
        <v>GRMS 07009</v>
      </c>
      <c r="C69" s="53">
        <v>0.61971428571428566</v>
      </c>
      <c r="D69" s="53">
        <v>1308.1114285714284</v>
      </c>
      <c r="E69" s="53">
        <v>1237.7597142857142</v>
      </c>
      <c r="F69" s="53">
        <v>615.29399999999998</v>
      </c>
      <c r="G69" s="53">
        <v>615.29657142857138</v>
      </c>
    </row>
    <row r="70" spans="2:7" x14ac:dyDescent="0.3">
      <c r="B70" s="14" t="str">
        <f>'Input capacity'!B84</f>
        <v>GRMS 08009</v>
      </c>
      <c r="C70" s="53">
        <v>266.45399999999995</v>
      </c>
      <c r="D70" s="53">
        <v>1042.2771428571427</v>
      </c>
      <c r="E70" s="53">
        <v>971.92542857142848</v>
      </c>
      <c r="F70" s="53">
        <v>349.45971428571426</v>
      </c>
      <c r="G70" s="53">
        <v>349.46228571428566</v>
      </c>
    </row>
    <row r="71" spans="2:7" x14ac:dyDescent="0.3">
      <c r="B71" s="14" t="str">
        <f>'Input capacity'!B85</f>
        <v>GRMS 08109</v>
      </c>
      <c r="C71" s="53">
        <v>324.54257142857142</v>
      </c>
      <c r="D71" s="53">
        <v>984.18857142857132</v>
      </c>
      <c r="E71" s="53">
        <v>913.83685714285696</v>
      </c>
      <c r="F71" s="53">
        <v>291.37114285714284</v>
      </c>
      <c r="G71" s="53">
        <v>291.37371428571424</v>
      </c>
    </row>
    <row r="72" spans="2:7" x14ac:dyDescent="0.3">
      <c r="B72" s="14" t="str">
        <f>'Input capacity'!B86</f>
        <v>GRMS 08119</v>
      </c>
      <c r="C72" s="53">
        <v>337.55399999999992</v>
      </c>
      <c r="D72" s="53">
        <v>997.19999999999993</v>
      </c>
      <c r="E72" s="53">
        <v>926.84828571428557</v>
      </c>
      <c r="F72" s="53">
        <v>304.3825714285714</v>
      </c>
      <c r="G72" s="53">
        <v>304.38514285714285</v>
      </c>
    </row>
    <row r="73" spans="2:7" x14ac:dyDescent="0.3">
      <c r="B73" s="14" t="str">
        <f>'Input capacity'!B87</f>
        <v>GRMS 08209</v>
      </c>
      <c r="C73" s="53">
        <v>375.68828571428566</v>
      </c>
      <c r="D73" s="53">
        <v>933.04285714285709</v>
      </c>
      <c r="E73" s="53">
        <v>862.69114285714272</v>
      </c>
      <c r="F73" s="53">
        <v>240.22542857142855</v>
      </c>
      <c r="G73" s="53">
        <v>240.22799999999998</v>
      </c>
    </row>
    <row r="74" spans="2:7" x14ac:dyDescent="0.3">
      <c r="B74" s="14" t="str">
        <f>'Input capacity'!B88</f>
        <v>GRMS 08309</v>
      </c>
      <c r="C74" s="53">
        <v>422.43685714285709</v>
      </c>
      <c r="D74" s="53">
        <v>886.29428571428571</v>
      </c>
      <c r="E74" s="53">
        <v>815.94257142857134</v>
      </c>
      <c r="F74" s="53">
        <v>193.47685714285711</v>
      </c>
      <c r="G74" s="53">
        <v>193.47942857142857</v>
      </c>
    </row>
    <row r="75" spans="2:7" x14ac:dyDescent="0.3">
      <c r="B75" s="14" t="str">
        <f>'Input capacity'!B89</f>
        <v>GRMS 08409</v>
      </c>
      <c r="C75" s="53">
        <v>471.39685714285707</v>
      </c>
      <c r="D75" s="53">
        <v>837.33428571428567</v>
      </c>
      <c r="E75" s="53">
        <v>766.98257142857142</v>
      </c>
      <c r="F75" s="53">
        <v>144.51685714285713</v>
      </c>
      <c r="G75" s="53">
        <v>144.51942857142856</v>
      </c>
    </row>
    <row r="76" spans="2:7" x14ac:dyDescent="0.3">
      <c r="B76" s="14" t="str">
        <f>'Input capacity'!B90</f>
        <v>GRMS 08559</v>
      </c>
      <c r="C76" s="53">
        <v>556.84542857142844</v>
      </c>
      <c r="D76" s="53">
        <v>751.88571428571413</v>
      </c>
      <c r="E76" s="53">
        <v>681.53399999999988</v>
      </c>
      <c r="F76" s="53">
        <v>59.068285714285707</v>
      </c>
      <c r="G76" s="53">
        <v>59.070857142857143</v>
      </c>
    </row>
    <row r="77" spans="2:7" x14ac:dyDescent="0.3">
      <c r="B77" s="14" t="str">
        <f>'Input capacity'!B91</f>
        <v>GRMS 10079</v>
      </c>
      <c r="C77" s="53">
        <v>183.96257142857141</v>
      </c>
      <c r="D77" s="53">
        <v>1237.6028571428571</v>
      </c>
      <c r="E77" s="53">
        <v>1167.2511428571427</v>
      </c>
      <c r="F77" s="53">
        <v>544.7854285714285</v>
      </c>
      <c r="G77" s="53">
        <v>544.7879999999999</v>
      </c>
    </row>
    <row r="78" spans="2:7" x14ac:dyDescent="0.3">
      <c r="B78" s="14" t="str">
        <f>'Input capacity'!B92</f>
        <v>GRMS 10159</v>
      </c>
      <c r="C78" s="53">
        <v>286.45971428571426</v>
      </c>
      <c r="D78" s="53">
        <v>1235.4942857142858</v>
      </c>
      <c r="E78" s="53">
        <v>1269.7482857142857</v>
      </c>
      <c r="F78" s="53">
        <v>647.28257142857137</v>
      </c>
      <c r="G78" s="53">
        <v>647.28514285714277</v>
      </c>
    </row>
    <row r="79" spans="2:7" x14ac:dyDescent="0.3">
      <c r="B79" s="14" t="str">
        <f>'Input capacity'!B93</f>
        <v>GRMS 10209</v>
      </c>
      <c r="C79" s="53">
        <v>350.41114285714281</v>
      </c>
      <c r="D79" s="53">
        <v>1171.542857142857</v>
      </c>
      <c r="E79" s="53">
        <v>1333.699714285714</v>
      </c>
      <c r="F79" s="53">
        <v>711.23399999999992</v>
      </c>
      <c r="G79" s="53">
        <v>711.23657142857132</v>
      </c>
    </row>
    <row r="80" spans="2:7" x14ac:dyDescent="0.3">
      <c r="B80" s="14" t="str">
        <f>'Input capacity'!B94</f>
        <v>GRMS 10309</v>
      </c>
      <c r="C80" s="53">
        <v>471.52542857142856</v>
      </c>
      <c r="D80" s="53">
        <v>1050.4285714285713</v>
      </c>
      <c r="E80" s="53">
        <v>1363.6311428571428</v>
      </c>
      <c r="F80" s="53">
        <v>741.16542857142849</v>
      </c>
      <c r="G80" s="53">
        <v>741.16800000000001</v>
      </c>
    </row>
    <row r="81" spans="2:7" x14ac:dyDescent="0.3">
      <c r="B81" s="14" t="str">
        <f>'Input capacity'!B95</f>
        <v>GRMS 10359</v>
      </c>
      <c r="C81" s="53">
        <v>499.24542857142853</v>
      </c>
      <c r="D81" s="53">
        <v>1022.7085714285714</v>
      </c>
      <c r="E81" s="53">
        <v>1335.9111428571425</v>
      </c>
      <c r="F81" s="53">
        <v>713.44542857142858</v>
      </c>
      <c r="G81" s="53">
        <v>713.44799999999998</v>
      </c>
    </row>
    <row r="82" spans="2:7" x14ac:dyDescent="0.3">
      <c r="B82" s="14" t="str">
        <f>'Input capacity'!B96</f>
        <v>GRMS 10459</v>
      </c>
      <c r="C82" s="53">
        <v>600.89400000000001</v>
      </c>
      <c r="D82" s="53">
        <v>921.06</v>
      </c>
      <c r="E82" s="53">
        <v>1234.2625714285712</v>
      </c>
      <c r="F82" s="53">
        <v>611.79685714285711</v>
      </c>
      <c r="G82" s="53">
        <v>611.79942857142851</v>
      </c>
    </row>
    <row r="83" spans="2:7" x14ac:dyDescent="0.3">
      <c r="B83" s="14" t="str">
        <f>'Input capacity'!B97</f>
        <v>GRMS 11109</v>
      </c>
      <c r="C83" s="53">
        <v>817.1768571428571</v>
      </c>
      <c r="D83" s="53">
        <v>608.5542857142857</v>
      </c>
      <c r="E83" s="53">
        <v>921.75685714285703</v>
      </c>
      <c r="F83" s="53">
        <v>299.29114285714286</v>
      </c>
      <c r="G83" s="53">
        <v>299.29371428571426</v>
      </c>
    </row>
    <row r="84" spans="2:7" x14ac:dyDescent="0.3">
      <c r="B84" s="14" t="str">
        <f>'Input capacity'!B98</f>
        <v>GRMS 11159</v>
      </c>
      <c r="C84" s="53">
        <v>841.70828571428569</v>
      </c>
      <c r="D84" s="53">
        <v>633.08571428571418</v>
      </c>
      <c r="E84" s="53">
        <v>946.28828571428551</v>
      </c>
      <c r="F84" s="53">
        <v>323.82257142857139</v>
      </c>
      <c r="G84" s="53">
        <v>323.82514285714285</v>
      </c>
    </row>
    <row r="85" spans="2:7" x14ac:dyDescent="0.3">
      <c r="B85" s="14" t="str">
        <f>'Input capacity'!B99</f>
        <v>GRMS 11209</v>
      </c>
      <c r="C85" s="53">
        <v>859.81114285714273</v>
      </c>
      <c r="D85" s="53">
        <v>662.14285714285711</v>
      </c>
      <c r="E85" s="53">
        <v>975.34542857142844</v>
      </c>
      <c r="F85" s="53">
        <v>352.87971428571421</v>
      </c>
      <c r="G85" s="53">
        <v>352.88228571428567</v>
      </c>
    </row>
    <row r="86" spans="2:7" x14ac:dyDescent="0.3">
      <c r="B86" s="14" t="str">
        <f>'Input capacity'!B100</f>
        <v>GRMS 11279</v>
      </c>
      <c r="C86" s="53">
        <v>844.69114285714272</v>
      </c>
      <c r="D86" s="53">
        <v>719.28</v>
      </c>
      <c r="E86" s="53">
        <v>1032.4825714285714</v>
      </c>
      <c r="F86" s="53">
        <v>410.01685714285708</v>
      </c>
      <c r="G86" s="53">
        <v>410.01942857142853</v>
      </c>
    </row>
    <row r="87" spans="2:7" x14ac:dyDescent="0.3">
      <c r="B87" s="14" t="str">
        <f>'Input capacity'!B101</f>
        <v>GRMS 11309</v>
      </c>
      <c r="C87" s="53">
        <v>797.17114285714285</v>
      </c>
      <c r="D87" s="53">
        <v>724.7828571428571</v>
      </c>
      <c r="E87" s="53">
        <v>1037.9854285714284</v>
      </c>
      <c r="F87" s="53">
        <v>415.51971428571426</v>
      </c>
      <c r="G87" s="53">
        <v>415.52228571428572</v>
      </c>
    </row>
    <row r="88" spans="2:7" x14ac:dyDescent="0.3">
      <c r="B88" s="14" t="str">
        <f>'Input capacity'!B102</f>
        <v>GRMS 12209</v>
      </c>
      <c r="C88" s="53">
        <v>1027.5968571428571</v>
      </c>
      <c r="D88" s="53">
        <v>1202.5285714285712</v>
      </c>
      <c r="E88" s="53">
        <v>210.78257142857143</v>
      </c>
      <c r="F88" s="53">
        <v>509.71114285714282</v>
      </c>
      <c r="G88" s="53">
        <v>509.71371428571427</v>
      </c>
    </row>
    <row r="89" spans="2:7" x14ac:dyDescent="0.3">
      <c r="B89" s="14" t="str">
        <f>'Input capacity'!B103</f>
        <v>GRMS 12609</v>
      </c>
      <c r="C89" s="53">
        <v>1220.1454285714283</v>
      </c>
      <c r="D89" s="53">
        <v>1395.0771428571427</v>
      </c>
      <c r="E89" s="53">
        <v>18.233999999999998</v>
      </c>
      <c r="F89" s="53">
        <v>702.25971428571427</v>
      </c>
      <c r="G89" s="53">
        <v>702.26228571428555</v>
      </c>
    </row>
    <row r="90" spans="2:7" x14ac:dyDescent="0.3">
      <c r="B90" s="14" t="str">
        <f>'Input capacity'!B104</f>
        <v>GRMS 12619</v>
      </c>
      <c r="C90" s="53">
        <v>1220.1479999999999</v>
      </c>
      <c r="D90" s="53">
        <v>1395.0797142857141</v>
      </c>
      <c r="E90" s="53">
        <v>18.236571428571427</v>
      </c>
      <c r="F90" s="53">
        <v>702.26228571428555</v>
      </c>
      <c r="G90" s="53">
        <v>702.26485714285707</v>
      </c>
    </row>
    <row r="91" spans="2:7" x14ac:dyDescent="0.3">
      <c r="B91" s="14" t="str">
        <f>'Input capacity'!B105</f>
        <v>GRMS 12619B</v>
      </c>
      <c r="C91" s="53">
        <v>1223.5422857142855</v>
      </c>
      <c r="D91" s="53">
        <v>1398.4739999999999</v>
      </c>
      <c r="E91" s="53">
        <v>21.630857142857142</v>
      </c>
      <c r="F91" s="53">
        <v>705.6565714285714</v>
      </c>
      <c r="G91" s="53">
        <v>705.6591428571428</v>
      </c>
    </row>
    <row r="92" spans="2:7" x14ac:dyDescent="0.3">
      <c r="B92" s="14" t="str">
        <f>'Input capacity'!B106</f>
        <v>GRMS 12629</v>
      </c>
      <c r="C92" s="53">
        <v>1220.1479999999999</v>
      </c>
      <c r="D92" s="53">
        <v>1395.0797142857141</v>
      </c>
      <c r="E92" s="53">
        <v>18.236571428571427</v>
      </c>
      <c r="F92" s="53">
        <v>702.26228571428555</v>
      </c>
      <c r="G92" s="53">
        <v>702.26485714285707</v>
      </c>
    </row>
    <row r="93" spans="2:7" x14ac:dyDescent="0.3">
      <c r="B93" s="14" t="str">
        <f>'Input capacity'!B107</f>
        <v>GRMS 12809</v>
      </c>
      <c r="C93" s="53">
        <v>1238.376857142857</v>
      </c>
      <c r="D93" s="53">
        <v>1413.3085714285712</v>
      </c>
      <c r="E93" s="53">
        <v>2.5714285714282885E-3</v>
      </c>
      <c r="F93" s="53">
        <v>720.49114285714268</v>
      </c>
      <c r="G93" s="53">
        <v>720.49371428571419</v>
      </c>
    </row>
    <row r="96" spans="2:7" x14ac:dyDescent="0.3">
      <c r="B96" s="2" t="str">
        <f>'Distance Matrix_Entry'!B12</f>
        <v>Economic value</v>
      </c>
      <c r="C96" s="41" t="s">
        <v>2</v>
      </c>
      <c r="D96" s="42"/>
      <c r="E96" s="42"/>
      <c r="F96" s="42"/>
      <c r="G96" s="44"/>
    </row>
    <row r="97" spans="2:7" x14ac:dyDescent="0.3">
      <c r="B97" s="46" t="s">
        <v>1</v>
      </c>
      <c r="C97" s="14" t="str">
        <f t="shared" ref="C97:G97" si="0">C4</f>
        <v>CTS Campo Maior</v>
      </c>
      <c r="D97" s="14" t="str">
        <f t="shared" si="0"/>
        <v>CTS Valença do Minho</v>
      </c>
      <c r="E97" s="14" t="str">
        <f t="shared" si="0"/>
        <v>LNG Terminal Sines</v>
      </c>
      <c r="F97" s="14" t="str">
        <f t="shared" si="0"/>
        <v>Underground storage Carriço</v>
      </c>
      <c r="G97" s="14" t="str">
        <f t="shared" si="0"/>
        <v>Gas producers</v>
      </c>
    </row>
    <row r="98" spans="2:7" x14ac:dyDescent="0.3">
      <c r="B98" s="14" t="str">
        <f>B5</f>
        <v>CTS Campo Maior</v>
      </c>
      <c r="C98" s="71">
        <f t="array" ref="C98:C186">TRANSPOSE('Distance Matrix_Entry'!C14:CM14)</f>
        <v>1</v>
      </c>
      <c r="D98" s="71">
        <f t="array" ref="D98:D186">TRANSPOSE('Distance Matrix_Entry'!C15:CM15)</f>
        <v>1</v>
      </c>
      <c r="E98" s="71">
        <f t="array" ref="E98:E186">TRANSPOSE('Distance Matrix_Entry'!C16:CM16)</f>
        <v>1</v>
      </c>
      <c r="F98" s="71">
        <f t="array" ref="F98:F186">TRANSPOSE('Distance Matrix_Entry'!C17:CM17)</f>
        <v>1</v>
      </c>
      <c r="G98" s="71">
        <f t="array" ref="G98:G186">TRANSPOSE('Distance Matrix_Entry'!C18:CM18)</f>
        <v>1</v>
      </c>
    </row>
    <row r="99" spans="2:7" x14ac:dyDescent="0.3">
      <c r="B99" s="14" t="str">
        <f t="shared" ref="B99:B162" si="1">B6</f>
        <v>CTS Valença do Minho</v>
      </c>
      <c r="C99" s="71">
        <v>1</v>
      </c>
      <c r="D99" s="71">
        <v>1</v>
      </c>
      <c r="E99" s="71">
        <v>1</v>
      </c>
      <c r="F99" s="71">
        <v>1</v>
      </c>
      <c r="G99" s="71">
        <v>1</v>
      </c>
    </row>
    <row r="100" spans="2:7" x14ac:dyDescent="0.3">
      <c r="B100" s="14" t="str">
        <f t="shared" si="1"/>
        <v>LNG Terminal Sines</v>
      </c>
      <c r="C100" s="71">
        <v>1</v>
      </c>
      <c r="D100" s="71">
        <v>1</v>
      </c>
      <c r="E100" s="71">
        <v>1</v>
      </c>
      <c r="F100" s="71">
        <v>1</v>
      </c>
      <c r="G100" s="71">
        <v>1</v>
      </c>
    </row>
    <row r="101" spans="2:7" x14ac:dyDescent="0.3">
      <c r="B101" s="14" t="str">
        <f t="shared" si="1"/>
        <v>Underground storage Carriço</v>
      </c>
      <c r="C101" s="71">
        <v>1</v>
      </c>
      <c r="D101" s="71">
        <v>1</v>
      </c>
      <c r="E101" s="71">
        <v>1</v>
      </c>
      <c r="F101" s="71">
        <v>1</v>
      </c>
      <c r="G101" s="71">
        <v>1</v>
      </c>
    </row>
    <row r="102" spans="2:7" x14ac:dyDescent="0.3">
      <c r="B102" s="14" t="str">
        <f t="shared" si="1"/>
        <v>GRMS 01059</v>
      </c>
      <c r="C102" s="71">
        <v>2.5714285714285712</v>
      </c>
      <c r="D102" s="71">
        <v>2.5714285714285712</v>
      </c>
      <c r="E102" s="71">
        <v>2.5714285714285712</v>
      </c>
      <c r="F102" s="71">
        <v>2.5714285714285712</v>
      </c>
      <c r="G102" s="71">
        <v>2.5714285714285712</v>
      </c>
    </row>
    <row r="103" spans="2:7" x14ac:dyDescent="0.3">
      <c r="B103" s="14" t="str">
        <f t="shared" si="1"/>
        <v>GRMS 01109</v>
      </c>
      <c r="C103" s="71">
        <v>2.5714285714285712</v>
      </c>
      <c r="D103" s="71">
        <v>2.5714285714285712</v>
      </c>
      <c r="E103" s="71">
        <v>2.5714285714285712</v>
      </c>
      <c r="F103" s="71">
        <v>2.5714285714285712</v>
      </c>
      <c r="G103" s="71">
        <v>2.5714285714285712</v>
      </c>
    </row>
    <row r="104" spans="2:7" x14ac:dyDescent="0.3">
      <c r="B104" s="14" t="str">
        <f t="shared" si="1"/>
        <v>GRMS 01119</v>
      </c>
      <c r="C104" s="71">
        <v>2.5714285714285712</v>
      </c>
      <c r="D104" s="71">
        <v>2.5714285714285712</v>
      </c>
      <c r="E104" s="71">
        <v>2.5714285714285712</v>
      </c>
      <c r="F104" s="71">
        <v>2.5714285714285712</v>
      </c>
      <c r="G104" s="71">
        <v>2.5714285714285712</v>
      </c>
    </row>
    <row r="105" spans="2:7" x14ac:dyDescent="0.3">
      <c r="B105" s="14" t="str">
        <f t="shared" si="1"/>
        <v>GRMS 01129</v>
      </c>
      <c r="C105" s="71">
        <v>2.5714285714285712</v>
      </c>
      <c r="D105" s="71">
        <v>2.5714285714285712</v>
      </c>
      <c r="E105" s="71">
        <v>2.5714285714285712</v>
      </c>
      <c r="F105" s="71">
        <v>2.5714285714285712</v>
      </c>
      <c r="G105" s="71">
        <v>2.5714285714285712</v>
      </c>
    </row>
    <row r="106" spans="2:7" x14ac:dyDescent="0.3">
      <c r="B106" s="14" t="str">
        <f t="shared" si="1"/>
        <v>GRMS 01139</v>
      </c>
      <c r="C106" s="71">
        <v>2.5714285714285712</v>
      </c>
      <c r="D106" s="71">
        <v>2.5714285714285712</v>
      </c>
      <c r="E106" s="71">
        <v>2.5714285714285712</v>
      </c>
      <c r="F106" s="71">
        <v>2.5714285714285712</v>
      </c>
      <c r="G106" s="71">
        <v>2.5714285714285712</v>
      </c>
    </row>
    <row r="107" spans="2:7" x14ac:dyDescent="0.3">
      <c r="B107" s="14" t="str">
        <f t="shared" si="1"/>
        <v>GRMS 01149</v>
      </c>
      <c r="C107" s="71">
        <v>2.5714285714285712</v>
      </c>
      <c r="D107" s="71">
        <v>2.5714285714285712</v>
      </c>
      <c r="E107" s="71">
        <v>2.5714285714285712</v>
      </c>
      <c r="F107" s="71">
        <v>2.5714285714285712</v>
      </c>
      <c r="G107" s="71">
        <v>2.5714285714285712</v>
      </c>
    </row>
    <row r="108" spans="2:7" x14ac:dyDescent="0.3">
      <c r="B108" s="14" t="str">
        <f t="shared" si="1"/>
        <v>GRMS 01159</v>
      </c>
      <c r="C108" s="71">
        <v>2.5714285714285712</v>
      </c>
      <c r="D108" s="71">
        <v>2.5714285714285712</v>
      </c>
      <c r="E108" s="71">
        <v>2.5714285714285712</v>
      </c>
      <c r="F108" s="71">
        <v>2.5714285714285712</v>
      </c>
      <c r="G108" s="71">
        <v>2.5714285714285712</v>
      </c>
    </row>
    <row r="109" spans="2:7" x14ac:dyDescent="0.3">
      <c r="B109" s="14" t="str">
        <f t="shared" si="1"/>
        <v>GRMS 01179</v>
      </c>
      <c r="C109" s="71">
        <v>2.5714285714285712</v>
      </c>
      <c r="D109" s="71">
        <v>2.5714285714285712</v>
      </c>
      <c r="E109" s="71">
        <v>2.5714285714285712</v>
      </c>
      <c r="F109" s="71">
        <v>2.5714285714285712</v>
      </c>
      <c r="G109" s="71">
        <v>2.5714285714285712</v>
      </c>
    </row>
    <row r="110" spans="2:7" x14ac:dyDescent="0.3">
      <c r="B110" s="14" t="str">
        <f t="shared" si="1"/>
        <v>GRMS 01189</v>
      </c>
      <c r="C110" s="71">
        <v>2.5714285714285712</v>
      </c>
      <c r="D110" s="71">
        <v>2.5714285714285712</v>
      </c>
      <c r="E110" s="71">
        <v>2.5714285714285712</v>
      </c>
      <c r="F110" s="71">
        <v>2.5714285714285712</v>
      </c>
      <c r="G110" s="71">
        <v>2.5714285714285712</v>
      </c>
    </row>
    <row r="111" spans="2:7" x14ac:dyDescent="0.3">
      <c r="B111" s="14" t="str">
        <f t="shared" si="1"/>
        <v>GRMS 01209</v>
      </c>
      <c r="C111" s="71">
        <v>2.5714285714285712</v>
      </c>
      <c r="D111" s="71">
        <v>2.5714285714285712</v>
      </c>
      <c r="E111" s="71">
        <v>2.5714285714285712</v>
      </c>
      <c r="F111" s="71">
        <v>2.5714285714285712</v>
      </c>
      <c r="G111" s="71">
        <v>2.5714285714285712</v>
      </c>
    </row>
    <row r="112" spans="2:7" x14ac:dyDescent="0.3">
      <c r="B112" s="14" t="str">
        <f t="shared" si="1"/>
        <v>GRMS 01219</v>
      </c>
      <c r="C112" s="71">
        <v>2.5714285714285712</v>
      </c>
      <c r="D112" s="71">
        <v>2.5714285714285712</v>
      </c>
      <c r="E112" s="71">
        <v>2.5714285714285712</v>
      </c>
      <c r="F112" s="71">
        <v>2.5714285714285712</v>
      </c>
      <c r="G112" s="71">
        <v>2.5714285714285712</v>
      </c>
    </row>
    <row r="113" spans="2:7" x14ac:dyDescent="0.3">
      <c r="B113" s="14" t="str">
        <f t="shared" si="1"/>
        <v>GRMS 01229</v>
      </c>
      <c r="C113" s="71">
        <v>2.5714285714285712</v>
      </c>
      <c r="D113" s="71">
        <v>2.5714285714285712</v>
      </c>
      <c r="E113" s="71">
        <v>2.5714285714285712</v>
      </c>
      <c r="F113" s="71">
        <v>2.5714285714285712</v>
      </c>
      <c r="G113" s="71">
        <v>2.5714285714285712</v>
      </c>
    </row>
    <row r="114" spans="2:7" x14ac:dyDescent="0.3">
      <c r="B114" s="14" t="str">
        <f t="shared" si="1"/>
        <v>GRMS 01239</v>
      </c>
      <c r="C114" s="71">
        <v>2.5714285714285712</v>
      </c>
      <c r="D114" s="71">
        <v>2.5714285714285712</v>
      </c>
      <c r="E114" s="71">
        <v>2.5714285714285712</v>
      </c>
      <c r="F114" s="71">
        <v>2.5714285714285712</v>
      </c>
      <c r="G114" s="71">
        <v>2.5714285714285712</v>
      </c>
    </row>
    <row r="115" spans="2:7" x14ac:dyDescent="0.3">
      <c r="B115" s="14" t="str">
        <f t="shared" si="1"/>
        <v>GRMS 01259</v>
      </c>
      <c r="C115" s="71">
        <v>2.5714285714285712</v>
      </c>
      <c r="D115" s="71">
        <v>2.5714285714285712</v>
      </c>
      <c r="E115" s="71">
        <v>2.5714285714285712</v>
      </c>
      <c r="F115" s="71">
        <v>2.5714285714285712</v>
      </c>
      <c r="G115" s="71">
        <v>2.5714285714285712</v>
      </c>
    </row>
    <row r="116" spans="2:7" x14ac:dyDescent="0.3">
      <c r="B116" s="14" t="str">
        <f t="shared" si="1"/>
        <v>GRMS 01269</v>
      </c>
      <c r="C116" s="71">
        <v>2.5714285714285712</v>
      </c>
      <c r="D116" s="71">
        <v>2.5714285714285712</v>
      </c>
      <c r="E116" s="71">
        <v>2.5714285714285712</v>
      </c>
      <c r="F116" s="71">
        <v>2.5714285714285712</v>
      </c>
      <c r="G116" s="71">
        <v>2.5714285714285712</v>
      </c>
    </row>
    <row r="117" spans="2:7" x14ac:dyDescent="0.3">
      <c r="B117" s="14" t="str">
        <f t="shared" si="1"/>
        <v>GRMS 01279</v>
      </c>
      <c r="C117" s="71">
        <v>2.5714285714285712</v>
      </c>
      <c r="D117" s="71">
        <v>2.5714285714285712</v>
      </c>
      <c r="E117" s="71">
        <v>2.5714285714285712</v>
      </c>
      <c r="F117" s="71">
        <v>2.5714285714285712</v>
      </c>
      <c r="G117" s="71">
        <v>2.5714285714285712</v>
      </c>
    </row>
    <row r="118" spans="2:7" x14ac:dyDescent="0.3">
      <c r="B118" s="14" t="str">
        <f t="shared" si="1"/>
        <v>GRMS 01309</v>
      </c>
      <c r="C118" s="71">
        <v>2.5714285714285712</v>
      </c>
      <c r="D118" s="71">
        <v>2.5714285714285712</v>
      </c>
      <c r="E118" s="71">
        <v>2.5714285714285712</v>
      </c>
      <c r="F118" s="71">
        <v>2.5714285714285712</v>
      </c>
      <c r="G118" s="71">
        <v>2.5714285714285712</v>
      </c>
    </row>
    <row r="119" spans="2:7" x14ac:dyDescent="0.3">
      <c r="B119" s="14" t="str">
        <f t="shared" si="1"/>
        <v>GRMS 01319</v>
      </c>
      <c r="C119" s="71">
        <v>2.5714285714285712</v>
      </c>
      <c r="D119" s="71">
        <v>2.5714285714285712</v>
      </c>
      <c r="E119" s="71">
        <v>2.5714285714285712</v>
      </c>
      <c r="F119" s="71">
        <v>2.5714285714285712</v>
      </c>
      <c r="G119" s="71">
        <v>2.5714285714285712</v>
      </c>
    </row>
    <row r="120" spans="2:7" x14ac:dyDescent="0.3">
      <c r="B120" s="14" t="str">
        <f t="shared" si="1"/>
        <v>GRMS 01359</v>
      </c>
      <c r="C120" s="71">
        <v>2.5714285714285712</v>
      </c>
      <c r="D120" s="71">
        <v>2.5714285714285712</v>
      </c>
      <c r="E120" s="71">
        <v>2.5714285714285712</v>
      </c>
      <c r="F120" s="71">
        <v>2.5714285714285712</v>
      </c>
      <c r="G120" s="71">
        <v>2.5714285714285712</v>
      </c>
    </row>
    <row r="121" spans="2:7" x14ac:dyDescent="0.3">
      <c r="B121" s="14" t="str">
        <f t="shared" si="1"/>
        <v>GRMS 01369</v>
      </c>
      <c r="C121" s="71">
        <v>2.5714285714285712</v>
      </c>
      <c r="D121" s="71">
        <v>2.5714285714285712</v>
      </c>
      <c r="E121" s="71">
        <v>2.5714285714285712</v>
      </c>
      <c r="F121" s="71">
        <v>2.5714285714285712</v>
      </c>
      <c r="G121" s="71">
        <v>2.5714285714285712</v>
      </c>
    </row>
    <row r="122" spans="2:7" x14ac:dyDescent="0.3">
      <c r="B122" s="14" t="str">
        <f t="shared" si="1"/>
        <v>GRMS 01409</v>
      </c>
      <c r="C122" s="71">
        <v>2.5714285714285712</v>
      </c>
      <c r="D122" s="71">
        <v>2.5714285714285712</v>
      </c>
      <c r="E122" s="71">
        <v>2.5714285714285712</v>
      </c>
      <c r="F122" s="71">
        <v>2.5714285714285712</v>
      </c>
      <c r="G122" s="71">
        <v>2.5714285714285712</v>
      </c>
    </row>
    <row r="123" spans="2:7" x14ac:dyDescent="0.3">
      <c r="B123" s="14" t="str">
        <f t="shared" si="1"/>
        <v>GRMS 02069</v>
      </c>
      <c r="C123" s="71">
        <v>2.5714285714285712</v>
      </c>
      <c r="D123" s="71">
        <v>2.5714285714285712</v>
      </c>
      <c r="E123" s="71">
        <v>2.5714285714285712</v>
      </c>
      <c r="F123" s="71">
        <v>2.5714285714285712</v>
      </c>
      <c r="G123" s="71">
        <v>2.5714285714285712</v>
      </c>
    </row>
    <row r="124" spans="2:7" x14ac:dyDescent="0.3">
      <c r="B124" s="14" t="str">
        <f t="shared" si="1"/>
        <v>GRMS 02089</v>
      </c>
      <c r="C124" s="71">
        <v>2.5714285714285712</v>
      </c>
      <c r="D124" s="71">
        <v>2.5714285714285712</v>
      </c>
      <c r="E124" s="71">
        <v>2.5714285714285712</v>
      </c>
      <c r="F124" s="71">
        <v>2.5714285714285712</v>
      </c>
      <c r="G124" s="71">
        <v>2.5714285714285712</v>
      </c>
    </row>
    <row r="125" spans="2:7" x14ac:dyDescent="0.3">
      <c r="B125" s="14" t="str">
        <f t="shared" si="1"/>
        <v>GRMS 02159</v>
      </c>
      <c r="C125" s="71">
        <v>2.5714285714285712</v>
      </c>
      <c r="D125" s="71">
        <v>2.5714285714285712</v>
      </c>
      <c r="E125" s="71">
        <v>2.5714285714285712</v>
      </c>
      <c r="F125" s="71">
        <v>2.5714285714285712</v>
      </c>
      <c r="G125" s="71">
        <v>2.5714285714285712</v>
      </c>
    </row>
    <row r="126" spans="2:7" x14ac:dyDescent="0.3">
      <c r="B126" s="14" t="str">
        <f t="shared" si="1"/>
        <v>GRMS 02509</v>
      </c>
      <c r="C126" s="71">
        <v>2.5714285714285712</v>
      </c>
      <c r="D126" s="71">
        <v>2.5714285714285712</v>
      </c>
      <c r="E126" s="71">
        <v>2.5714285714285712</v>
      </c>
      <c r="F126" s="71">
        <v>2.5714285714285712</v>
      </c>
      <c r="G126" s="71">
        <v>2.5714285714285712</v>
      </c>
    </row>
    <row r="127" spans="2:7" x14ac:dyDescent="0.3">
      <c r="B127" s="14" t="str">
        <f t="shared" si="1"/>
        <v>GRMS 02519</v>
      </c>
      <c r="C127" s="71">
        <v>2.5714285714285712</v>
      </c>
      <c r="D127" s="71">
        <v>2.5714285714285712</v>
      </c>
      <c r="E127" s="71">
        <v>2.5714285714285712</v>
      </c>
      <c r="F127" s="71">
        <v>2.5714285714285712</v>
      </c>
      <c r="G127" s="71">
        <v>2.5714285714285712</v>
      </c>
    </row>
    <row r="128" spans="2:7" x14ac:dyDescent="0.3">
      <c r="B128" s="14" t="str">
        <f t="shared" si="1"/>
        <v>GRMS 02539</v>
      </c>
      <c r="C128" s="71">
        <v>2.5714285714285712</v>
      </c>
      <c r="D128" s="71">
        <v>2.5714285714285712</v>
      </c>
      <c r="E128" s="71">
        <v>2.5714285714285712</v>
      </c>
      <c r="F128" s="71">
        <v>2.5714285714285712</v>
      </c>
      <c r="G128" s="71">
        <v>2.5714285714285712</v>
      </c>
    </row>
    <row r="129" spans="2:7" x14ac:dyDescent="0.3">
      <c r="B129" s="14" t="str">
        <f t="shared" si="1"/>
        <v>GRMS 02549</v>
      </c>
      <c r="C129" s="71">
        <v>2.5714285714285712</v>
      </c>
      <c r="D129" s="71">
        <v>2.5714285714285712</v>
      </c>
      <c r="E129" s="71">
        <v>2.5714285714285712</v>
      </c>
      <c r="F129" s="71">
        <v>2.5714285714285712</v>
      </c>
      <c r="G129" s="71">
        <v>2.5714285714285712</v>
      </c>
    </row>
    <row r="130" spans="2:7" x14ac:dyDescent="0.3">
      <c r="B130" s="14" t="str">
        <f t="shared" si="1"/>
        <v>GRMS 02559</v>
      </c>
      <c r="C130" s="71">
        <v>2.5714285714285712</v>
      </c>
      <c r="D130" s="71">
        <v>2.5714285714285712</v>
      </c>
      <c r="E130" s="71">
        <v>2.5714285714285712</v>
      </c>
      <c r="F130" s="71">
        <v>2.5714285714285712</v>
      </c>
      <c r="G130" s="71">
        <v>2.5714285714285712</v>
      </c>
    </row>
    <row r="131" spans="2:7" x14ac:dyDescent="0.3">
      <c r="B131" s="14" t="str">
        <f t="shared" si="1"/>
        <v>GRMS 02569</v>
      </c>
      <c r="C131" s="71">
        <v>2.5714285714285712</v>
      </c>
      <c r="D131" s="71">
        <v>2.5714285714285712</v>
      </c>
      <c r="E131" s="71">
        <v>2.5714285714285712</v>
      </c>
      <c r="F131" s="71">
        <v>2.5714285714285712</v>
      </c>
      <c r="G131" s="71">
        <v>2.5714285714285712</v>
      </c>
    </row>
    <row r="132" spans="2:7" x14ac:dyDescent="0.3">
      <c r="B132" s="14" t="str">
        <f t="shared" si="1"/>
        <v>GRMS 02709</v>
      </c>
      <c r="C132" s="71">
        <v>2.5714285714285712</v>
      </c>
      <c r="D132" s="71">
        <v>2.5714285714285712</v>
      </c>
      <c r="E132" s="71">
        <v>2.5714285714285712</v>
      </c>
      <c r="F132" s="71">
        <v>2.5714285714285712</v>
      </c>
      <c r="G132" s="71">
        <v>2.5714285714285712</v>
      </c>
    </row>
    <row r="133" spans="2:7" x14ac:dyDescent="0.3">
      <c r="B133" s="14" t="str">
        <f t="shared" si="1"/>
        <v>GRMS 02719</v>
      </c>
      <c r="C133" s="71">
        <v>2.5714285714285712</v>
      </c>
      <c r="D133" s="71">
        <v>2.5714285714285712</v>
      </c>
      <c r="E133" s="71">
        <v>2.5714285714285712</v>
      </c>
      <c r="F133" s="71">
        <v>2.5714285714285712</v>
      </c>
      <c r="G133" s="71">
        <v>2.5714285714285712</v>
      </c>
    </row>
    <row r="134" spans="2:7" x14ac:dyDescent="0.3">
      <c r="B134" s="14" t="str">
        <f t="shared" si="1"/>
        <v>GRMS 02739</v>
      </c>
      <c r="C134" s="71">
        <v>2.5714285714285712</v>
      </c>
      <c r="D134" s="71">
        <v>2.5714285714285712</v>
      </c>
      <c r="E134" s="71">
        <v>2.5714285714285712</v>
      </c>
      <c r="F134" s="71">
        <v>2.5714285714285712</v>
      </c>
      <c r="G134" s="71">
        <v>2.5714285714285712</v>
      </c>
    </row>
    <row r="135" spans="2:7" x14ac:dyDescent="0.3">
      <c r="B135" s="14" t="str">
        <f t="shared" si="1"/>
        <v>GRMS 03009</v>
      </c>
      <c r="C135" s="71">
        <v>2.5714285714285712</v>
      </c>
      <c r="D135" s="71">
        <v>2.5714285714285712</v>
      </c>
      <c r="E135" s="71">
        <v>2.5714285714285712</v>
      </c>
      <c r="F135" s="71">
        <v>2.5714285714285712</v>
      </c>
      <c r="G135" s="71">
        <v>2.5714285714285712</v>
      </c>
    </row>
    <row r="136" spans="2:7" x14ac:dyDescent="0.3">
      <c r="B136" s="14" t="str">
        <f t="shared" si="1"/>
        <v>GRMS 03059</v>
      </c>
      <c r="C136" s="71">
        <v>2.5714285714285712</v>
      </c>
      <c r="D136" s="71">
        <v>2.5714285714285712</v>
      </c>
      <c r="E136" s="71">
        <v>2.5714285714285712</v>
      </c>
      <c r="F136" s="71">
        <v>2.5714285714285712</v>
      </c>
      <c r="G136" s="71">
        <v>2.5714285714285712</v>
      </c>
    </row>
    <row r="137" spans="2:7" x14ac:dyDescent="0.3">
      <c r="B137" s="14" t="str">
        <f t="shared" si="1"/>
        <v>GRMS 03069</v>
      </c>
      <c r="C137" s="71">
        <v>2.5714285714285712</v>
      </c>
      <c r="D137" s="71">
        <v>2.5714285714285712</v>
      </c>
      <c r="E137" s="71">
        <v>2.5714285714285712</v>
      </c>
      <c r="F137" s="71">
        <v>2.5714285714285712</v>
      </c>
      <c r="G137" s="71">
        <v>2.5714285714285712</v>
      </c>
    </row>
    <row r="138" spans="2:7" x14ac:dyDescent="0.3">
      <c r="B138" s="14" t="str">
        <f t="shared" si="1"/>
        <v>GRMS 03109</v>
      </c>
      <c r="C138" s="71">
        <v>2.5714285714285712</v>
      </c>
      <c r="D138" s="71">
        <v>2.5714285714285712</v>
      </c>
      <c r="E138" s="71">
        <v>2.5714285714285712</v>
      </c>
      <c r="F138" s="71">
        <v>2.5714285714285712</v>
      </c>
      <c r="G138" s="71">
        <v>2.5714285714285712</v>
      </c>
    </row>
    <row r="139" spans="2:7" x14ac:dyDescent="0.3">
      <c r="B139" s="14" t="str">
        <f t="shared" si="1"/>
        <v>GRMS 03169</v>
      </c>
      <c r="C139" s="71">
        <v>2.5714285714285712</v>
      </c>
      <c r="D139" s="71">
        <v>2.5714285714285712</v>
      </c>
      <c r="E139" s="71">
        <v>2.5714285714285712</v>
      </c>
      <c r="F139" s="71">
        <v>2.5714285714285712</v>
      </c>
      <c r="G139" s="71">
        <v>2.5714285714285712</v>
      </c>
    </row>
    <row r="140" spans="2:7" x14ac:dyDescent="0.3">
      <c r="B140" s="14" t="str">
        <f t="shared" si="1"/>
        <v>GRMS 03219</v>
      </c>
      <c r="C140" s="71">
        <v>2.5714285714285712</v>
      </c>
      <c r="D140" s="71">
        <v>2.5714285714285712</v>
      </c>
      <c r="E140" s="71">
        <v>2.5714285714285712</v>
      </c>
      <c r="F140" s="71">
        <v>2.5714285714285712</v>
      </c>
      <c r="G140" s="71">
        <v>2.5714285714285712</v>
      </c>
    </row>
    <row r="141" spans="2:7" x14ac:dyDescent="0.3">
      <c r="B141" s="14" t="str">
        <f t="shared" si="1"/>
        <v>GRMS 03229</v>
      </c>
      <c r="C141" s="71">
        <v>2.5714285714285712</v>
      </c>
      <c r="D141" s="71">
        <v>2.5714285714285712</v>
      </c>
      <c r="E141" s="71">
        <v>2.5714285714285712</v>
      </c>
      <c r="F141" s="71">
        <v>2.5714285714285712</v>
      </c>
      <c r="G141" s="71">
        <v>2.5714285714285712</v>
      </c>
    </row>
    <row r="142" spans="2:7" x14ac:dyDescent="0.3">
      <c r="B142" s="14" t="str">
        <f t="shared" si="1"/>
        <v>GRMS 03259</v>
      </c>
      <c r="C142" s="71">
        <v>2.5714285714285712</v>
      </c>
      <c r="D142" s="71">
        <v>2.5714285714285712</v>
      </c>
      <c r="E142" s="71">
        <v>2.5714285714285712</v>
      </c>
      <c r="F142" s="71">
        <v>2.5714285714285712</v>
      </c>
      <c r="G142" s="71">
        <v>2.5714285714285712</v>
      </c>
    </row>
    <row r="143" spans="2:7" x14ac:dyDescent="0.3">
      <c r="B143" s="14" t="str">
        <f t="shared" si="1"/>
        <v>GRMS 03269</v>
      </c>
      <c r="C143" s="71">
        <v>2.5714285714285712</v>
      </c>
      <c r="D143" s="71">
        <v>2.5714285714285712</v>
      </c>
      <c r="E143" s="71">
        <v>2.5714285714285712</v>
      </c>
      <c r="F143" s="71">
        <v>2.5714285714285712</v>
      </c>
      <c r="G143" s="71">
        <v>2.5714285714285712</v>
      </c>
    </row>
    <row r="144" spans="2:7" x14ac:dyDescent="0.3">
      <c r="B144" s="14" t="str">
        <f t="shared" si="1"/>
        <v>GRMS 03309</v>
      </c>
      <c r="C144" s="71">
        <v>2.5714285714285712</v>
      </c>
      <c r="D144" s="71">
        <v>2.5714285714285712</v>
      </c>
      <c r="E144" s="71">
        <v>2.5714285714285712</v>
      </c>
      <c r="F144" s="71">
        <v>2.5714285714285712</v>
      </c>
      <c r="G144" s="71">
        <v>2.5714285714285712</v>
      </c>
    </row>
    <row r="145" spans="2:7" x14ac:dyDescent="0.3">
      <c r="B145" s="14" t="str">
        <f t="shared" si="1"/>
        <v>GRMS 03359</v>
      </c>
      <c r="C145" s="71">
        <v>2.5714285714285712</v>
      </c>
      <c r="D145" s="71">
        <v>2.5714285714285712</v>
      </c>
      <c r="E145" s="71">
        <v>2.5714285714285712</v>
      </c>
      <c r="F145" s="71">
        <v>2.5714285714285712</v>
      </c>
      <c r="G145" s="71">
        <v>2.5714285714285712</v>
      </c>
    </row>
    <row r="146" spans="2:7" x14ac:dyDescent="0.3">
      <c r="B146" s="14" t="str">
        <f t="shared" si="1"/>
        <v>GRMS 03369</v>
      </c>
      <c r="C146" s="71">
        <v>2.5714285714285712</v>
      </c>
      <c r="D146" s="71">
        <v>2.5714285714285712</v>
      </c>
      <c r="E146" s="71">
        <v>2.5714285714285712</v>
      </c>
      <c r="F146" s="71">
        <v>2.5714285714285712</v>
      </c>
      <c r="G146" s="71">
        <v>2.5714285714285712</v>
      </c>
    </row>
    <row r="147" spans="2:7" x14ac:dyDescent="0.3">
      <c r="B147" s="14" t="str">
        <f t="shared" si="1"/>
        <v>GRMS 03459</v>
      </c>
      <c r="C147" s="71">
        <v>2.5714285714285712</v>
      </c>
      <c r="D147" s="71">
        <v>2.5714285714285712</v>
      </c>
      <c r="E147" s="71">
        <v>2.5714285714285712</v>
      </c>
      <c r="F147" s="71">
        <v>2.5714285714285712</v>
      </c>
      <c r="G147" s="71">
        <v>2.5714285714285712</v>
      </c>
    </row>
    <row r="148" spans="2:7" x14ac:dyDescent="0.3">
      <c r="B148" s="14" t="str">
        <f t="shared" si="1"/>
        <v>GRMS 03559</v>
      </c>
      <c r="C148" s="71">
        <v>2.5714285714285712</v>
      </c>
      <c r="D148" s="71">
        <v>2.5714285714285712</v>
      </c>
      <c r="E148" s="71">
        <v>2.5714285714285712</v>
      </c>
      <c r="F148" s="71">
        <v>2.5714285714285712</v>
      </c>
      <c r="G148" s="71">
        <v>2.5714285714285712</v>
      </c>
    </row>
    <row r="149" spans="2:7" x14ac:dyDescent="0.3">
      <c r="B149" s="14" t="str">
        <f t="shared" si="1"/>
        <v>GRMS 03609</v>
      </c>
      <c r="C149" s="71">
        <v>2.5714285714285712</v>
      </c>
      <c r="D149" s="71">
        <v>2.5714285714285712</v>
      </c>
      <c r="E149" s="71">
        <v>2.5714285714285712</v>
      </c>
      <c r="F149" s="71">
        <v>2.5714285714285712</v>
      </c>
      <c r="G149" s="71">
        <v>2.5714285714285712</v>
      </c>
    </row>
    <row r="150" spans="2:7" x14ac:dyDescent="0.3">
      <c r="B150" s="14" t="str">
        <f t="shared" si="1"/>
        <v>GRMS 03619</v>
      </c>
      <c r="C150" s="71">
        <v>2.5714285714285712</v>
      </c>
      <c r="D150" s="71">
        <v>2.5714285714285712</v>
      </c>
      <c r="E150" s="71">
        <v>2.5714285714285712</v>
      </c>
      <c r="F150" s="71">
        <v>2.5714285714285712</v>
      </c>
      <c r="G150" s="71">
        <v>2.5714285714285712</v>
      </c>
    </row>
    <row r="151" spans="2:7" x14ac:dyDescent="0.3">
      <c r="B151" s="14" t="str">
        <f t="shared" si="1"/>
        <v>GRMS 03659</v>
      </c>
      <c r="C151" s="71">
        <v>2.5714285714285712</v>
      </c>
      <c r="D151" s="71">
        <v>2.5714285714285712</v>
      </c>
      <c r="E151" s="71">
        <v>2.5714285714285712</v>
      </c>
      <c r="F151" s="71">
        <v>2.5714285714285712</v>
      </c>
      <c r="G151" s="71">
        <v>2.5714285714285712</v>
      </c>
    </row>
    <row r="152" spans="2:7" x14ac:dyDescent="0.3">
      <c r="B152" s="14" t="str">
        <f t="shared" si="1"/>
        <v>GRMS 04059</v>
      </c>
      <c r="C152" s="71">
        <v>2.5714285714285712</v>
      </c>
      <c r="D152" s="71">
        <v>2.5714285714285712</v>
      </c>
      <c r="E152" s="71">
        <v>2.5714285714285712</v>
      </c>
      <c r="F152" s="71">
        <v>2.5714285714285712</v>
      </c>
      <c r="G152" s="71">
        <v>2.5714285714285712</v>
      </c>
    </row>
    <row r="153" spans="2:7" x14ac:dyDescent="0.3">
      <c r="B153" s="14" t="str">
        <f t="shared" si="1"/>
        <v>GRMS 04109</v>
      </c>
      <c r="C153" s="71">
        <v>2.5714285714285712</v>
      </c>
      <c r="D153" s="71">
        <v>2.5714285714285712</v>
      </c>
      <c r="E153" s="71">
        <v>2.5714285714285712</v>
      </c>
      <c r="F153" s="71">
        <v>2.5714285714285712</v>
      </c>
      <c r="G153" s="71">
        <v>2.5714285714285712</v>
      </c>
    </row>
    <row r="154" spans="2:7" x14ac:dyDescent="0.3">
      <c r="B154" s="14" t="str">
        <f t="shared" si="1"/>
        <v>GRMS 04149</v>
      </c>
      <c r="C154" s="71">
        <v>2.5714285714285712</v>
      </c>
      <c r="D154" s="71">
        <v>2.5714285714285712</v>
      </c>
      <c r="E154" s="71">
        <v>2.5714285714285712</v>
      </c>
      <c r="F154" s="71">
        <v>2.5714285714285712</v>
      </c>
      <c r="G154" s="71">
        <v>2.5714285714285712</v>
      </c>
    </row>
    <row r="155" spans="2:7" x14ac:dyDescent="0.3">
      <c r="B155" s="14" t="str">
        <f t="shared" si="1"/>
        <v>GRMS 04159</v>
      </c>
      <c r="C155" s="71">
        <v>2.5714285714285712</v>
      </c>
      <c r="D155" s="71">
        <v>2.5714285714285712</v>
      </c>
      <c r="E155" s="71">
        <v>2.5714285714285712</v>
      </c>
      <c r="F155" s="71">
        <v>2.5714285714285712</v>
      </c>
      <c r="G155" s="71">
        <v>2.5714285714285712</v>
      </c>
    </row>
    <row r="156" spans="2:7" x14ac:dyDescent="0.3">
      <c r="B156" s="14" t="str">
        <f t="shared" si="1"/>
        <v>GRMS 04209</v>
      </c>
      <c r="C156" s="71">
        <v>2.5714285714285712</v>
      </c>
      <c r="D156" s="71">
        <v>2.5714285714285712</v>
      </c>
      <c r="E156" s="71">
        <v>2.5714285714285712</v>
      </c>
      <c r="F156" s="71">
        <v>2.5714285714285712</v>
      </c>
      <c r="G156" s="71">
        <v>2.5714285714285712</v>
      </c>
    </row>
    <row r="157" spans="2:7" x14ac:dyDescent="0.3">
      <c r="B157" s="14" t="str">
        <f t="shared" si="1"/>
        <v>GRMS 05009</v>
      </c>
      <c r="C157" s="71">
        <v>2.5714285714285712</v>
      </c>
      <c r="D157" s="71">
        <v>2.5714285714285712</v>
      </c>
      <c r="E157" s="71">
        <v>2.5714285714285712</v>
      </c>
      <c r="F157" s="71">
        <v>2.5714285714285712</v>
      </c>
      <c r="G157" s="71">
        <v>2.5714285714285712</v>
      </c>
    </row>
    <row r="158" spans="2:7" x14ac:dyDescent="0.3">
      <c r="B158" s="14" t="str">
        <f t="shared" si="1"/>
        <v>GRMS 05119</v>
      </c>
      <c r="C158" s="71">
        <v>2.5714285714285712</v>
      </c>
      <c r="D158" s="71">
        <v>2.5714285714285712</v>
      </c>
      <c r="E158" s="71">
        <v>2.5714285714285712</v>
      </c>
      <c r="F158" s="71">
        <v>2.5714285714285712</v>
      </c>
      <c r="G158" s="71">
        <v>2.5714285714285712</v>
      </c>
    </row>
    <row r="159" spans="2:7" x14ac:dyDescent="0.3">
      <c r="B159" s="14" t="str">
        <f t="shared" si="1"/>
        <v>GRMS 05179</v>
      </c>
      <c r="C159" s="71">
        <v>2.5714285714285712</v>
      </c>
      <c r="D159" s="71">
        <v>2.5714285714285712</v>
      </c>
      <c r="E159" s="71">
        <v>2.5714285714285712</v>
      </c>
      <c r="F159" s="71">
        <v>2.5714285714285712</v>
      </c>
      <c r="G159" s="71">
        <v>2.5714285714285712</v>
      </c>
    </row>
    <row r="160" spans="2:7" x14ac:dyDescent="0.3">
      <c r="B160" s="14" t="str">
        <f t="shared" si="1"/>
        <v>GRMS 05309</v>
      </c>
      <c r="C160" s="71">
        <v>2.5714285714285712</v>
      </c>
      <c r="D160" s="71">
        <v>2.5714285714285712</v>
      </c>
      <c r="E160" s="71">
        <v>2.5714285714285712</v>
      </c>
      <c r="F160" s="71">
        <v>2.5714285714285712</v>
      </c>
      <c r="G160" s="71">
        <v>2.5714285714285712</v>
      </c>
    </row>
    <row r="161" spans="2:7" x14ac:dyDescent="0.3">
      <c r="B161" s="14" t="str">
        <f t="shared" si="1"/>
        <v>GRMS 05609</v>
      </c>
      <c r="C161" s="71">
        <v>2.5714285714285712</v>
      </c>
      <c r="D161" s="71">
        <v>2.5714285714285712</v>
      </c>
      <c r="E161" s="71">
        <v>2.5714285714285712</v>
      </c>
      <c r="F161" s="71">
        <v>2.5714285714285712</v>
      </c>
      <c r="G161" s="71">
        <v>2.5714285714285712</v>
      </c>
    </row>
    <row r="162" spans="2:7" x14ac:dyDescent="0.3">
      <c r="B162" s="14" t="str">
        <f t="shared" si="1"/>
        <v>GRMS 07009</v>
      </c>
      <c r="C162" s="71">
        <v>2.5714285714285712</v>
      </c>
      <c r="D162" s="71">
        <v>2.5714285714285712</v>
      </c>
      <c r="E162" s="71">
        <v>2.5714285714285712</v>
      </c>
      <c r="F162" s="71">
        <v>2.5714285714285712</v>
      </c>
      <c r="G162" s="71">
        <v>2.5714285714285712</v>
      </c>
    </row>
    <row r="163" spans="2:7" x14ac:dyDescent="0.3">
      <c r="B163" s="14" t="str">
        <f t="shared" ref="B163:B186" si="2">B70</f>
        <v>GRMS 08009</v>
      </c>
      <c r="C163" s="71">
        <v>2.5714285714285712</v>
      </c>
      <c r="D163" s="71">
        <v>2.5714285714285712</v>
      </c>
      <c r="E163" s="71">
        <v>2.5714285714285712</v>
      </c>
      <c r="F163" s="71">
        <v>2.5714285714285712</v>
      </c>
      <c r="G163" s="71">
        <v>2.5714285714285712</v>
      </c>
    </row>
    <row r="164" spans="2:7" x14ac:dyDescent="0.3">
      <c r="B164" s="14" t="str">
        <f t="shared" si="2"/>
        <v>GRMS 08109</v>
      </c>
      <c r="C164" s="71">
        <v>2.5714285714285712</v>
      </c>
      <c r="D164" s="71">
        <v>2.5714285714285712</v>
      </c>
      <c r="E164" s="71">
        <v>2.5714285714285712</v>
      </c>
      <c r="F164" s="71">
        <v>2.5714285714285712</v>
      </c>
      <c r="G164" s="71">
        <v>2.5714285714285712</v>
      </c>
    </row>
    <row r="165" spans="2:7" x14ac:dyDescent="0.3">
      <c r="B165" s="14" t="str">
        <f t="shared" si="2"/>
        <v>GRMS 08119</v>
      </c>
      <c r="C165" s="71">
        <v>2.5714285714285712</v>
      </c>
      <c r="D165" s="71">
        <v>2.5714285714285712</v>
      </c>
      <c r="E165" s="71">
        <v>2.5714285714285712</v>
      </c>
      <c r="F165" s="71">
        <v>2.5714285714285712</v>
      </c>
      <c r="G165" s="71">
        <v>2.5714285714285712</v>
      </c>
    </row>
    <row r="166" spans="2:7" x14ac:dyDescent="0.3">
      <c r="B166" s="14" t="str">
        <f t="shared" si="2"/>
        <v>GRMS 08209</v>
      </c>
      <c r="C166" s="71">
        <v>2.5714285714285712</v>
      </c>
      <c r="D166" s="71">
        <v>2.5714285714285712</v>
      </c>
      <c r="E166" s="71">
        <v>2.5714285714285712</v>
      </c>
      <c r="F166" s="71">
        <v>2.5714285714285712</v>
      </c>
      <c r="G166" s="71">
        <v>2.5714285714285712</v>
      </c>
    </row>
    <row r="167" spans="2:7" x14ac:dyDescent="0.3">
      <c r="B167" s="14" t="str">
        <f t="shared" si="2"/>
        <v>GRMS 08309</v>
      </c>
      <c r="C167" s="71">
        <v>2.5714285714285712</v>
      </c>
      <c r="D167" s="71">
        <v>2.5714285714285712</v>
      </c>
      <c r="E167" s="71">
        <v>2.5714285714285712</v>
      </c>
      <c r="F167" s="71">
        <v>2.5714285714285712</v>
      </c>
      <c r="G167" s="71">
        <v>2.5714285714285712</v>
      </c>
    </row>
    <row r="168" spans="2:7" x14ac:dyDescent="0.3">
      <c r="B168" s="14" t="str">
        <f t="shared" si="2"/>
        <v>GRMS 08409</v>
      </c>
      <c r="C168" s="71">
        <v>2.5714285714285712</v>
      </c>
      <c r="D168" s="71">
        <v>2.5714285714285712</v>
      </c>
      <c r="E168" s="71">
        <v>2.5714285714285712</v>
      </c>
      <c r="F168" s="71">
        <v>2.5714285714285712</v>
      </c>
      <c r="G168" s="71">
        <v>2.5714285714285712</v>
      </c>
    </row>
    <row r="169" spans="2:7" x14ac:dyDescent="0.3">
      <c r="B169" s="14" t="str">
        <f t="shared" si="2"/>
        <v>GRMS 08559</v>
      </c>
      <c r="C169" s="71">
        <v>2.5714285714285712</v>
      </c>
      <c r="D169" s="71">
        <v>2.5714285714285712</v>
      </c>
      <c r="E169" s="71">
        <v>2.5714285714285712</v>
      </c>
      <c r="F169" s="71">
        <v>2.5714285714285712</v>
      </c>
      <c r="G169" s="71">
        <v>2.5714285714285712</v>
      </c>
    </row>
    <row r="170" spans="2:7" x14ac:dyDescent="0.3">
      <c r="B170" s="14" t="str">
        <f t="shared" si="2"/>
        <v>GRMS 10079</v>
      </c>
      <c r="C170" s="71">
        <v>2.5714285714285712</v>
      </c>
      <c r="D170" s="71">
        <v>2.5714285714285712</v>
      </c>
      <c r="E170" s="71">
        <v>2.5714285714285712</v>
      </c>
      <c r="F170" s="71">
        <v>2.5714285714285712</v>
      </c>
      <c r="G170" s="71">
        <v>2.5714285714285712</v>
      </c>
    </row>
    <row r="171" spans="2:7" x14ac:dyDescent="0.3">
      <c r="B171" s="14" t="str">
        <f t="shared" si="2"/>
        <v>GRMS 10159</v>
      </c>
      <c r="C171" s="71">
        <v>2.5714285714285712</v>
      </c>
      <c r="D171" s="71">
        <v>2.5714285714285712</v>
      </c>
      <c r="E171" s="71">
        <v>2.5714285714285712</v>
      </c>
      <c r="F171" s="71">
        <v>2.5714285714285712</v>
      </c>
      <c r="G171" s="71">
        <v>2.5714285714285712</v>
      </c>
    </row>
    <row r="172" spans="2:7" x14ac:dyDescent="0.3">
      <c r="B172" s="14" t="str">
        <f t="shared" si="2"/>
        <v>GRMS 10209</v>
      </c>
      <c r="C172" s="71">
        <v>2.5714285714285712</v>
      </c>
      <c r="D172" s="71">
        <v>2.5714285714285712</v>
      </c>
      <c r="E172" s="71">
        <v>2.5714285714285712</v>
      </c>
      <c r="F172" s="71">
        <v>2.5714285714285712</v>
      </c>
      <c r="G172" s="71">
        <v>2.5714285714285712</v>
      </c>
    </row>
    <row r="173" spans="2:7" x14ac:dyDescent="0.3">
      <c r="B173" s="14" t="str">
        <f t="shared" si="2"/>
        <v>GRMS 10309</v>
      </c>
      <c r="C173" s="71">
        <v>2.5714285714285712</v>
      </c>
      <c r="D173" s="71">
        <v>2.5714285714285712</v>
      </c>
      <c r="E173" s="71">
        <v>2.5714285714285712</v>
      </c>
      <c r="F173" s="71">
        <v>2.5714285714285712</v>
      </c>
      <c r="G173" s="71">
        <v>2.5714285714285712</v>
      </c>
    </row>
    <row r="174" spans="2:7" x14ac:dyDescent="0.3">
      <c r="B174" s="14" t="str">
        <f t="shared" si="2"/>
        <v>GRMS 10359</v>
      </c>
      <c r="C174" s="71">
        <v>2.5714285714285712</v>
      </c>
      <c r="D174" s="71">
        <v>2.5714285714285712</v>
      </c>
      <c r="E174" s="71">
        <v>2.5714285714285712</v>
      </c>
      <c r="F174" s="71">
        <v>2.5714285714285712</v>
      </c>
      <c r="G174" s="71">
        <v>2.5714285714285712</v>
      </c>
    </row>
    <row r="175" spans="2:7" x14ac:dyDescent="0.3">
      <c r="B175" s="14" t="str">
        <f t="shared" si="2"/>
        <v>GRMS 10459</v>
      </c>
      <c r="C175" s="71">
        <v>2.5714285714285712</v>
      </c>
      <c r="D175" s="71">
        <v>2.5714285714285712</v>
      </c>
      <c r="E175" s="71">
        <v>2.5714285714285712</v>
      </c>
      <c r="F175" s="71">
        <v>2.5714285714285712</v>
      </c>
      <c r="G175" s="71">
        <v>2.5714285714285712</v>
      </c>
    </row>
    <row r="176" spans="2:7" x14ac:dyDescent="0.3">
      <c r="B176" s="14" t="str">
        <f t="shared" si="2"/>
        <v>GRMS 11109</v>
      </c>
      <c r="C176" s="71">
        <v>2.5714285714285712</v>
      </c>
      <c r="D176" s="71">
        <v>2.5714285714285712</v>
      </c>
      <c r="E176" s="71">
        <v>2.5714285714285712</v>
      </c>
      <c r="F176" s="71">
        <v>2.5714285714285712</v>
      </c>
      <c r="G176" s="71">
        <v>2.5714285714285712</v>
      </c>
    </row>
    <row r="177" spans="2:7" x14ac:dyDescent="0.3">
      <c r="B177" s="14" t="str">
        <f t="shared" si="2"/>
        <v>GRMS 11159</v>
      </c>
      <c r="C177" s="71">
        <v>2.5714285714285712</v>
      </c>
      <c r="D177" s="71">
        <v>2.5714285714285712</v>
      </c>
      <c r="E177" s="71">
        <v>2.5714285714285712</v>
      </c>
      <c r="F177" s="71">
        <v>2.5714285714285712</v>
      </c>
      <c r="G177" s="71">
        <v>2.5714285714285712</v>
      </c>
    </row>
    <row r="178" spans="2:7" x14ac:dyDescent="0.3">
      <c r="B178" s="14" t="str">
        <f t="shared" si="2"/>
        <v>GRMS 11209</v>
      </c>
      <c r="C178" s="71">
        <v>2.5714285714285712</v>
      </c>
      <c r="D178" s="71">
        <v>2.5714285714285712</v>
      </c>
      <c r="E178" s="71">
        <v>2.5714285714285712</v>
      </c>
      <c r="F178" s="71">
        <v>2.5714285714285712</v>
      </c>
      <c r="G178" s="71">
        <v>2.5714285714285712</v>
      </c>
    </row>
    <row r="179" spans="2:7" x14ac:dyDescent="0.3">
      <c r="B179" s="14" t="str">
        <f t="shared" si="2"/>
        <v>GRMS 11279</v>
      </c>
      <c r="C179" s="71">
        <v>2.5714285714285712</v>
      </c>
      <c r="D179" s="71">
        <v>2.5714285714285712</v>
      </c>
      <c r="E179" s="71">
        <v>2.5714285714285712</v>
      </c>
      <c r="F179" s="71">
        <v>2.5714285714285712</v>
      </c>
      <c r="G179" s="71">
        <v>2.5714285714285712</v>
      </c>
    </row>
    <row r="180" spans="2:7" x14ac:dyDescent="0.3">
      <c r="B180" s="14" t="str">
        <f t="shared" si="2"/>
        <v>GRMS 11309</v>
      </c>
      <c r="C180" s="71">
        <v>2.5714285714285712</v>
      </c>
      <c r="D180" s="71">
        <v>2.5714285714285712</v>
      </c>
      <c r="E180" s="71">
        <v>2.5714285714285712</v>
      </c>
      <c r="F180" s="71">
        <v>2.5714285714285712</v>
      </c>
      <c r="G180" s="71">
        <v>2.5714285714285712</v>
      </c>
    </row>
    <row r="181" spans="2:7" x14ac:dyDescent="0.3">
      <c r="B181" s="14" t="str">
        <f t="shared" si="2"/>
        <v>GRMS 12209</v>
      </c>
      <c r="C181" s="71">
        <v>2.5714285714285712</v>
      </c>
      <c r="D181" s="71">
        <v>2.5714285714285712</v>
      </c>
      <c r="E181" s="71">
        <v>2.5714285714285712</v>
      </c>
      <c r="F181" s="71">
        <v>2.5714285714285712</v>
      </c>
      <c r="G181" s="71">
        <v>2.5714285714285712</v>
      </c>
    </row>
    <row r="182" spans="2:7" x14ac:dyDescent="0.3">
      <c r="B182" s="14" t="str">
        <f t="shared" si="2"/>
        <v>GRMS 12609</v>
      </c>
      <c r="C182" s="71">
        <v>2.5714285714285712</v>
      </c>
      <c r="D182" s="71">
        <v>2.5714285714285712</v>
      </c>
      <c r="E182" s="71">
        <v>2.5714285714285712</v>
      </c>
      <c r="F182" s="71">
        <v>2.5714285714285712</v>
      </c>
      <c r="G182" s="71">
        <v>2.5714285714285712</v>
      </c>
    </row>
    <row r="183" spans="2:7" x14ac:dyDescent="0.3">
      <c r="B183" s="14" t="str">
        <f t="shared" si="2"/>
        <v>GRMS 12619</v>
      </c>
      <c r="C183" s="71">
        <v>2.5714285714285712</v>
      </c>
      <c r="D183" s="71">
        <v>2.5714285714285712</v>
      </c>
      <c r="E183" s="71">
        <v>2.5714285714285712</v>
      </c>
      <c r="F183" s="71">
        <v>2.5714285714285712</v>
      </c>
      <c r="G183" s="71">
        <v>2.5714285714285712</v>
      </c>
    </row>
    <row r="184" spans="2:7" x14ac:dyDescent="0.3">
      <c r="B184" s="14" t="str">
        <f t="shared" si="2"/>
        <v>GRMS 12619B</v>
      </c>
      <c r="C184" s="71">
        <v>2.5714285714285712</v>
      </c>
      <c r="D184" s="71">
        <v>2.5714285714285712</v>
      </c>
      <c r="E184" s="71">
        <v>2.5714285714285712</v>
      </c>
      <c r="F184" s="71">
        <v>2.5714285714285712</v>
      </c>
      <c r="G184" s="71">
        <v>2.5714285714285712</v>
      </c>
    </row>
    <row r="185" spans="2:7" x14ac:dyDescent="0.3">
      <c r="B185" s="14" t="str">
        <f t="shared" si="2"/>
        <v>GRMS 12629</v>
      </c>
      <c r="C185" s="71">
        <v>2.5714285714285712</v>
      </c>
      <c r="D185" s="71">
        <v>2.5714285714285712</v>
      </c>
      <c r="E185" s="71">
        <v>2.5714285714285712</v>
      </c>
      <c r="F185" s="71">
        <v>2.5714285714285712</v>
      </c>
      <c r="G185" s="71">
        <v>2.5714285714285712</v>
      </c>
    </row>
    <row r="186" spans="2:7" x14ac:dyDescent="0.3">
      <c r="B186" s="14" t="str">
        <f t="shared" si="2"/>
        <v>GRMS 12809</v>
      </c>
      <c r="C186" s="71">
        <v>2.5714285714285712</v>
      </c>
      <c r="D186" s="71">
        <v>2.5714285714285712</v>
      </c>
      <c r="E186" s="71">
        <v>2.5714285714285712</v>
      </c>
      <c r="F186" s="71">
        <v>2.5714285714285712</v>
      </c>
      <c r="G186" s="71">
        <v>2.5714285714285712</v>
      </c>
    </row>
    <row r="189" spans="2:7" x14ac:dyDescent="0.3">
      <c r="B189" s="2" t="str">
        <f>'Distance Matrix_Entry'!B21</f>
        <v>Distance, in km</v>
      </c>
      <c r="C189" s="41" t="s">
        <v>2</v>
      </c>
      <c r="D189" s="42"/>
      <c r="E189" s="42"/>
      <c r="F189" s="42"/>
      <c r="G189" s="44"/>
    </row>
    <row r="190" spans="2:7" x14ac:dyDescent="0.3">
      <c r="B190" s="46" t="s">
        <v>1</v>
      </c>
      <c r="C190" s="14" t="str">
        <f t="shared" ref="C190:G190" si="3">C4</f>
        <v>CTS Campo Maior</v>
      </c>
      <c r="D190" s="14" t="str">
        <f t="shared" si="3"/>
        <v>CTS Valença do Minho</v>
      </c>
      <c r="E190" s="14" t="str">
        <f t="shared" si="3"/>
        <v>LNG Terminal Sines</v>
      </c>
      <c r="F190" s="14" t="str">
        <f t="shared" si="3"/>
        <v>Underground storage Carriço</v>
      </c>
      <c r="G190" s="14" t="str">
        <f t="shared" si="3"/>
        <v>Gas producers</v>
      </c>
    </row>
    <row r="191" spans="2:7" x14ac:dyDescent="0.3">
      <c r="B191" s="14" t="str">
        <f>B5</f>
        <v>CTS Campo Maior</v>
      </c>
      <c r="C191" s="53">
        <f t="array" ref="C191:C279">TRANSPOSE('Distance Matrix_Entry'!C23:CM23)</f>
        <v>0</v>
      </c>
      <c r="D191" s="53">
        <f t="array" ref="D191:D279">TRANSPOSE('Distance Matrix_Entry'!C24:CM24)</f>
        <v>508.95100000000002</v>
      </c>
      <c r="E191" s="53">
        <f t="array" ref="E191:E279">TRANSPOSE('Distance Matrix_Entry'!C25:CM25)</f>
        <v>481.59199999999998</v>
      </c>
      <c r="F191" s="53">
        <f t="array" ref="F191:F279">TRANSPOSE('Distance Matrix_Entry'!C26:CM26)</f>
        <v>239.52199999999999</v>
      </c>
      <c r="G191" s="53">
        <f t="array" ref="G191:G279">TRANSPOSE('Distance Matrix_Entry'!C27:CM27)</f>
        <v>239.523</v>
      </c>
    </row>
    <row r="192" spans="2:7" x14ac:dyDescent="0.3">
      <c r="B192" s="14" t="str">
        <f t="shared" ref="B192:B255" si="4">B6</f>
        <v>CTS Valença do Minho</v>
      </c>
      <c r="C192" s="53">
        <v>508.95100000000002</v>
      </c>
      <c r="D192" s="53">
        <v>0</v>
      </c>
      <c r="E192" s="53">
        <v>549.62099999999998</v>
      </c>
      <c r="F192" s="53">
        <v>307.55099999999999</v>
      </c>
      <c r="G192" s="53">
        <v>307.55200000000002</v>
      </c>
    </row>
    <row r="193" spans="2:7" x14ac:dyDescent="0.3">
      <c r="B193" s="14" t="str">
        <f t="shared" si="4"/>
        <v>LNG Terminal Sines</v>
      </c>
      <c r="C193" s="53">
        <v>481.59199999999998</v>
      </c>
      <c r="D193" s="53">
        <v>549.62099999999998</v>
      </c>
      <c r="E193" s="53">
        <v>0</v>
      </c>
      <c r="F193" s="53">
        <v>280.19200000000001</v>
      </c>
      <c r="G193" s="53">
        <v>280.19299999999998</v>
      </c>
    </row>
    <row r="194" spans="2:7" x14ac:dyDescent="0.3">
      <c r="B194" s="14" t="str">
        <f t="shared" si="4"/>
        <v>Underground storage Carriço</v>
      </c>
      <c r="C194" s="53">
        <v>239.52199999999999</v>
      </c>
      <c r="D194" s="53">
        <v>307.55099999999999</v>
      </c>
      <c r="E194" s="53">
        <v>280.19200000000001</v>
      </c>
      <c r="F194" s="53">
        <v>0</v>
      </c>
      <c r="G194" s="53">
        <v>9.9999999999989008E-4</v>
      </c>
    </row>
    <row r="195" spans="2:7" x14ac:dyDescent="0.3">
      <c r="B195" s="14" t="str">
        <f t="shared" si="4"/>
        <v>GRMS 01059</v>
      </c>
      <c r="C195" s="53">
        <v>394.28100000000001</v>
      </c>
      <c r="D195" s="53">
        <v>462.31</v>
      </c>
      <c r="E195" s="53">
        <v>87.311000000000007</v>
      </c>
      <c r="F195" s="53">
        <v>192.881</v>
      </c>
      <c r="G195" s="53">
        <v>192.88200000000001</v>
      </c>
    </row>
    <row r="196" spans="2:7" x14ac:dyDescent="0.3">
      <c r="B196" s="14" t="str">
        <f t="shared" si="4"/>
        <v>GRMS 01109</v>
      </c>
      <c r="C196" s="53">
        <v>407.28199999999998</v>
      </c>
      <c r="D196" s="53">
        <v>475.31099999999998</v>
      </c>
      <c r="E196" s="53">
        <v>113.492</v>
      </c>
      <c r="F196" s="53">
        <v>205.88200000000001</v>
      </c>
      <c r="G196" s="53">
        <v>205.88300000000001</v>
      </c>
    </row>
    <row r="197" spans="2:7" x14ac:dyDescent="0.3">
      <c r="B197" s="14" t="str">
        <f t="shared" si="4"/>
        <v>GRMS 01119</v>
      </c>
      <c r="C197" s="53">
        <v>398.971</v>
      </c>
      <c r="D197" s="53">
        <v>467</v>
      </c>
      <c r="E197" s="53">
        <v>105.181</v>
      </c>
      <c r="F197" s="53">
        <v>197.571</v>
      </c>
      <c r="G197" s="53">
        <v>197.572</v>
      </c>
    </row>
    <row r="198" spans="2:7" x14ac:dyDescent="0.3">
      <c r="B198" s="14" t="str">
        <f t="shared" si="4"/>
        <v>GRMS 01129</v>
      </c>
      <c r="C198" s="53">
        <v>407.28100000000001</v>
      </c>
      <c r="D198" s="53">
        <v>475.31</v>
      </c>
      <c r="E198" s="53">
        <v>113.491</v>
      </c>
      <c r="F198" s="53">
        <v>205.881</v>
      </c>
      <c r="G198" s="53">
        <v>205.88200000000001</v>
      </c>
    </row>
    <row r="199" spans="2:7" x14ac:dyDescent="0.3">
      <c r="B199" s="14" t="str">
        <f t="shared" si="4"/>
        <v>GRMS 01139</v>
      </c>
      <c r="C199" s="53">
        <v>378.351</v>
      </c>
      <c r="D199" s="53">
        <v>446.38</v>
      </c>
      <c r="E199" s="53">
        <v>103.241</v>
      </c>
      <c r="F199" s="53">
        <v>176.95099999999999</v>
      </c>
      <c r="G199" s="53">
        <v>176.952</v>
      </c>
    </row>
    <row r="200" spans="2:7" x14ac:dyDescent="0.3">
      <c r="B200" s="14" t="str">
        <f t="shared" si="4"/>
        <v>GRMS 01149</v>
      </c>
      <c r="C200" s="53">
        <v>365.96100000000001</v>
      </c>
      <c r="D200" s="53">
        <v>433.99</v>
      </c>
      <c r="E200" s="53">
        <v>115.631</v>
      </c>
      <c r="F200" s="53">
        <v>164.56100000000001</v>
      </c>
      <c r="G200" s="53">
        <v>164.56200000000001</v>
      </c>
    </row>
    <row r="201" spans="2:7" x14ac:dyDescent="0.3">
      <c r="B201" s="14" t="str">
        <f t="shared" si="4"/>
        <v>GRMS 01159</v>
      </c>
      <c r="C201" s="53">
        <v>413.541</v>
      </c>
      <c r="D201" s="53">
        <v>481.57</v>
      </c>
      <c r="E201" s="53">
        <v>119.751</v>
      </c>
      <c r="F201" s="53">
        <v>212.14099999999999</v>
      </c>
      <c r="G201" s="53">
        <v>212.142</v>
      </c>
    </row>
    <row r="202" spans="2:7" x14ac:dyDescent="0.3">
      <c r="B202" s="14" t="str">
        <f t="shared" si="4"/>
        <v>GRMS 01179</v>
      </c>
      <c r="C202" s="53">
        <v>349.26100000000002</v>
      </c>
      <c r="D202" s="53">
        <v>417.29</v>
      </c>
      <c r="E202" s="53">
        <v>132.33099999999999</v>
      </c>
      <c r="F202" s="53">
        <v>147.86099999999999</v>
      </c>
      <c r="G202" s="53">
        <v>147.86199999999999</v>
      </c>
    </row>
    <row r="203" spans="2:7" x14ac:dyDescent="0.3">
      <c r="B203" s="14" t="str">
        <f t="shared" si="4"/>
        <v>GRMS 01189</v>
      </c>
      <c r="C203" s="53">
        <v>336.80099999999999</v>
      </c>
      <c r="D203" s="53">
        <v>404.83</v>
      </c>
      <c r="E203" s="53">
        <v>144.791</v>
      </c>
      <c r="F203" s="53">
        <v>135.40100000000001</v>
      </c>
      <c r="G203" s="53">
        <v>135.40199999999999</v>
      </c>
    </row>
    <row r="204" spans="2:7" x14ac:dyDescent="0.3">
      <c r="B204" s="14" t="str">
        <f t="shared" si="4"/>
        <v>GRMS 01209</v>
      </c>
      <c r="C204" s="53">
        <v>366.06200000000001</v>
      </c>
      <c r="D204" s="53">
        <v>434.09100000000001</v>
      </c>
      <c r="E204" s="53">
        <v>181.59200000000001</v>
      </c>
      <c r="F204" s="53">
        <v>164.66200000000001</v>
      </c>
      <c r="G204" s="53">
        <v>164.66300000000001</v>
      </c>
    </row>
    <row r="205" spans="2:7" x14ac:dyDescent="0.3">
      <c r="B205" s="14" t="str">
        <f t="shared" si="4"/>
        <v>GRMS 01219</v>
      </c>
      <c r="C205" s="53">
        <v>333.17099999999999</v>
      </c>
      <c r="D205" s="53">
        <v>401.2</v>
      </c>
      <c r="E205" s="53">
        <v>148.70099999999999</v>
      </c>
      <c r="F205" s="53">
        <v>131.77099999999999</v>
      </c>
      <c r="G205" s="53">
        <v>131.77199999999999</v>
      </c>
    </row>
    <row r="206" spans="2:7" x14ac:dyDescent="0.3">
      <c r="B206" s="14" t="str">
        <f t="shared" si="4"/>
        <v>GRMS 01229</v>
      </c>
      <c r="C206" s="53">
        <v>353.952</v>
      </c>
      <c r="D206" s="53">
        <v>421.98099999999999</v>
      </c>
      <c r="E206" s="53">
        <v>169.482</v>
      </c>
      <c r="F206" s="53">
        <v>152.55199999999999</v>
      </c>
      <c r="G206" s="53">
        <v>152.553</v>
      </c>
    </row>
    <row r="207" spans="2:7" x14ac:dyDescent="0.3">
      <c r="B207" s="14" t="str">
        <f t="shared" si="4"/>
        <v>GRMS 01239</v>
      </c>
      <c r="C207" s="53">
        <v>360.72300000000001</v>
      </c>
      <c r="D207" s="53">
        <v>428.75200000000001</v>
      </c>
      <c r="E207" s="53">
        <v>176.25299999999999</v>
      </c>
      <c r="F207" s="53">
        <v>159.32300000000001</v>
      </c>
      <c r="G207" s="53">
        <v>159.32400000000001</v>
      </c>
    </row>
    <row r="208" spans="2:7" x14ac:dyDescent="0.3">
      <c r="B208" s="14" t="str">
        <f t="shared" si="4"/>
        <v>GRMS 01259</v>
      </c>
      <c r="C208" s="53">
        <v>330.601</v>
      </c>
      <c r="D208" s="53">
        <v>398.63</v>
      </c>
      <c r="E208" s="53">
        <v>150.99100000000001</v>
      </c>
      <c r="F208" s="53">
        <v>129.20099999999999</v>
      </c>
      <c r="G208" s="53">
        <v>129.202</v>
      </c>
    </row>
    <row r="209" spans="2:7" x14ac:dyDescent="0.3">
      <c r="B209" s="14" t="str">
        <f t="shared" si="4"/>
        <v>GRMS 01269</v>
      </c>
      <c r="C209" s="53">
        <v>333.17200000000003</v>
      </c>
      <c r="D209" s="53">
        <v>401.20100000000002</v>
      </c>
      <c r="E209" s="53">
        <v>148.702</v>
      </c>
      <c r="F209" s="53">
        <v>131.77199999999999</v>
      </c>
      <c r="G209" s="53">
        <v>131.773</v>
      </c>
    </row>
    <row r="210" spans="2:7" x14ac:dyDescent="0.3">
      <c r="B210" s="14" t="str">
        <f t="shared" si="4"/>
        <v>GRMS 01279</v>
      </c>
      <c r="C210" s="53">
        <v>360.72199999999998</v>
      </c>
      <c r="D210" s="53">
        <v>428.75099999999998</v>
      </c>
      <c r="E210" s="53">
        <v>176.25200000000001</v>
      </c>
      <c r="F210" s="53">
        <v>159.322</v>
      </c>
      <c r="G210" s="53">
        <v>159.32300000000001</v>
      </c>
    </row>
    <row r="211" spans="2:7" x14ac:dyDescent="0.3">
      <c r="B211" s="14" t="str">
        <f t="shared" si="4"/>
        <v>GRMS 01309</v>
      </c>
      <c r="C211" s="53">
        <v>328.39100000000002</v>
      </c>
      <c r="D211" s="53">
        <v>396.42</v>
      </c>
      <c r="E211" s="53">
        <v>176.06100000000001</v>
      </c>
      <c r="F211" s="53">
        <v>126.991</v>
      </c>
      <c r="G211" s="53">
        <v>126.992</v>
      </c>
    </row>
    <row r="212" spans="2:7" x14ac:dyDescent="0.3">
      <c r="B212" s="14" t="str">
        <f t="shared" si="4"/>
        <v>GRMS 01319</v>
      </c>
      <c r="C212" s="53">
        <v>316.96100000000001</v>
      </c>
      <c r="D212" s="53">
        <v>384.99</v>
      </c>
      <c r="E212" s="53">
        <v>164.631</v>
      </c>
      <c r="F212" s="53">
        <v>115.56100000000001</v>
      </c>
      <c r="G212" s="53">
        <v>115.562</v>
      </c>
    </row>
    <row r="213" spans="2:7" x14ac:dyDescent="0.3">
      <c r="B213" s="14" t="str">
        <f t="shared" si="4"/>
        <v>GRMS 01359</v>
      </c>
      <c r="C213" s="53">
        <v>340.69200000000001</v>
      </c>
      <c r="D213" s="53">
        <v>408.721</v>
      </c>
      <c r="E213" s="53">
        <v>188.36199999999999</v>
      </c>
      <c r="F213" s="53">
        <v>139.292</v>
      </c>
      <c r="G213" s="53">
        <v>139.29300000000001</v>
      </c>
    </row>
    <row r="214" spans="2:7" x14ac:dyDescent="0.3">
      <c r="B214" s="14" t="str">
        <f t="shared" si="4"/>
        <v>GRMS 01369</v>
      </c>
      <c r="C214" s="53">
        <v>340.69099999999997</v>
      </c>
      <c r="D214" s="53">
        <v>408.72</v>
      </c>
      <c r="E214" s="53">
        <v>188.36099999999999</v>
      </c>
      <c r="F214" s="53">
        <v>139.291</v>
      </c>
      <c r="G214" s="53">
        <v>139.292</v>
      </c>
    </row>
    <row r="215" spans="2:7" x14ac:dyDescent="0.3">
      <c r="B215" s="14" t="str">
        <f t="shared" si="4"/>
        <v>GRMS 01409</v>
      </c>
      <c r="C215" s="53">
        <v>292.36099999999999</v>
      </c>
      <c r="D215" s="53">
        <v>360.39</v>
      </c>
      <c r="E215" s="53">
        <v>189.23099999999999</v>
      </c>
      <c r="F215" s="53">
        <v>90.960999999999999</v>
      </c>
      <c r="G215" s="53">
        <v>90.962000000000003</v>
      </c>
    </row>
    <row r="216" spans="2:7" x14ac:dyDescent="0.3">
      <c r="B216" s="14" t="str">
        <f t="shared" si="4"/>
        <v>GRMS 02069</v>
      </c>
      <c r="C216" s="53">
        <v>258.42099999999999</v>
      </c>
      <c r="D216" s="53">
        <v>326.45</v>
      </c>
      <c r="E216" s="53">
        <v>223.17099999999999</v>
      </c>
      <c r="F216" s="53">
        <v>57.021000000000001</v>
      </c>
      <c r="G216" s="53">
        <v>57.021999999999998</v>
      </c>
    </row>
    <row r="217" spans="2:7" x14ac:dyDescent="0.3">
      <c r="B217" s="14" t="str">
        <f t="shared" si="4"/>
        <v>GRMS 02089</v>
      </c>
      <c r="C217" s="53">
        <v>245.74100000000001</v>
      </c>
      <c r="D217" s="53">
        <v>313.77</v>
      </c>
      <c r="E217" s="53">
        <v>235.851</v>
      </c>
      <c r="F217" s="53">
        <v>44.341000000000001</v>
      </c>
      <c r="G217" s="53">
        <v>44.341999999999999</v>
      </c>
    </row>
    <row r="218" spans="2:7" x14ac:dyDescent="0.3">
      <c r="B218" s="14" t="str">
        <f t="shared" si="4"/>
        <v>GRMS 02159</v>
      </c>
      <c r="C218" s="53">
        <v>239.17099999999999</v>
      </c>
      <c r="D218" s="53">
        <v>307.2</v>
      </c>
      <c r="E218" s="53">
        <v>242.42099999999999</v>
      </c>
      <c r="F218" s="53">
        <v>37.771000000000001</v>
      </c>
      <c r="G218" s="53">
        <v>37.771999999999998</v>
      </c>
    </row>
    <row r="219" spans="2:7" x14ac:dyDescent="0.3">
      <c r="B219" s="14" t="str">
        <f t="shared" si="4"/>
        <v>GRMS 02509</v>
      </c>
      <c r="C219" s="53">
        <v>239.52099999999999</v>
      </c>
      <c r="D219" s="53">
        <v>307.55</v>
      </c>
      <c r="E219" s="53">
        <v>280.19099999999997</v>
      </c>
      <c r="F219" s="53">
        <v>9.9999999999989008E-4</v>
      </c>
      <c r="G219" s="53">
        <v>1.9999999999997802E-3</v>
      </c>
    </row>
    <row r="220" spans="2:7" x14ac:dyDescent="0.3">
      <c r="B220" s="14" t="str">
        <f t="shared" si="4"/>
        <v>GRMS 02519</v>
      </c>
      <c r="C220" s="53">
        <v>249.43100000000001</v>
      </c>
      <c r="D220" s="53">
        <v>317.45999999999998</v>
      </c>
      <c r="E220" s="53">
        <v>290.101</v>
      </c>
      <c r="F220" s="53">
        <v>9.9109999999999996</v>
      </c>
      <c r="G220" s="53">
        <v>9.9120000000000008</v>
      </c>
    </row>
    <row r="221" spans="2:7" x14ac:dyDescent="0.3">
      <c r="B221" s="14" t="str">
        <f t="shared" si="4"/>
        <v>GRMS 02539</v>
      </c>
      <c r="C221" s="53">
        <v>249.541</v>
      </c>
      <c r="D221" s="53">
        <v>317.57</v>
      </c>
      <c r="E221" s="53">
        <v>290.21100000000001</v>
      </c>
      <c r="F221" s="53">
        <v>10.021000000000001</v>
      </c>
      <c r="G221" s="53">
        <v>10.022</v>
      </c>
    </row>
    <row r="222" spans="2:7" x14ac:dyDescent="0.3">
      <c r="B222" s="14" t="str">
        <f t="shared" si="4"/>
        <v>GRMS 02549</v>
      </c>
      <c r="C222" s="53">
        <v>262.61099999999999</v>
      </c>
      <c r="D222" s="53">
        <v>330.64</v>
      </c>
      <c r="E222" s="53">
        <v>303.28100000000001</v>
      </c>
      <c r="F222" s="53">
        <v>23.091000000000001</v>
      </c>
      <c r="G222" s="53">
        <v>23.091999999999999</v>
      </c>
    </row>
    <row r="223" spans="2:7" x14ac:dyDescent="0.3">
      <c r="B223" s="14" t="str">
        <f t="shared" si="4"/>
        <v>GRMS 02559</v>
      </c>
      <c r="C223" s="53">
        <v>229.70099999999999</v>
      </c>
      <c r="D223" s="53">
        <v>279.25</v>
      </c>
      <c r="E223" s="53">
        <v>270.37099999999998</v>
      </c>
      <c r="F223" s="53">
        <v>28.300999999999998</v>
      </c>
      <c r="G223" s="53">
        <v>28.302</v>
      </c>
    </row>
    <row r="224" spans="2:7" x14ac:dyDescent="0.3">
      <c r="B224" s="14" t="str">
        <f t="shared" si="4"/>
        <v>GRMS 02569</v>
      </c>
      <c r="C224" s="53">
        <v>262.61200000000002</v>
      </c>
      <c r="D224" s="53">
        <v>330.64100000000002</v>
      </c>
      <c r="E224" s="53">
        <v>303.28199999999998</v>
      </c>
      <c r="F224" s="53">
        <v>23.091999999999999</v>
      </c>
      <c r="G224" s="53">
        <v>23.093</v>
      </c>
    </row>
    <row r="225" spans="2:7" x14ac:dyDescent="0.3">
      <c r="B225" s="14" t="str">
        <f t="shared" si="4"/>
        <v>GRMS 02709</v>
      </c>
      <c r="C225" s="53">
        <v>252.971</v>
      </c>
      <c r="D225" s="53">
        <v>265.12</v>
      </c>
      <c r="E225" s="53">
        <v>293.64100000000002</v>
      </c>
      <c r="F225" s="53">
        <v>51.570999999999998</v>
      </c>
      <c r="G225" s="53">
        <v>51.572000000000003</v>
      </c>
    </row>
    <row r="226" spans="2:7" x14ac:dyDescent="0.3">
      <c r="B226" s="14" t="str">
        <f t="shared" si="4"/>
        <v>GRMS 02719</v>
      </c>
      <c r="C226" s="53">
        <v>262.89100000000002</v>
      </c>
      <c r="D226" s="53">
        <v>275.04000000000002</v>
      </c>
      <c r="E226" s="53">
        <v>303.56099999999998</v>
      </c>
      <c r="F226" s="53">
        <v>61.491</v>
      </c>
      <c r="G226" s="53">
        <v>61.491999999999997</v>
      </c>
    </row>
    <row r="227" spans="2:7" x14ac:dyDescent="0.3">
      <c r="B227" s="14" t="str">
        <f t="shared" si="4"/>
        <v>GRMS 02739</v>
      </c>
      <c r="C227" s="53">
        <v>258.80099999999999</v>
      </c>
      <c r="D227" s="53">
        <v>250.15</v>
      </c>
      <c r="E227" s="53">
        <v>299.471</v>
      </c>
      <c r="F227" s="53">
        <v>57.401000000000003</v>
      </c>
      <c r="G227" s="53">
        <v>57.402000000000001</v>
      </c>
    </row>
    <row r="228" spans="2:7" x14ac:dyDescent="0.3">
      <c r="B228" s="14" t="str">
        <f t="shared" si="4"/>
        <v>GRMS 03009</v>
      </c>
      <c r="C228" s="53">
        <v>264.45100000000002</v>
      </c>
      <c r="D228" s="53">
        <v>244.5</v>
      </c>
      <c r="E228" s="53">
        <v>305.12099999999998</v>
      </c>
      <c r="F228" s="53">
        <v>63.051000000000002</v>
      </c>
      <c r="G228" s="53">
        <v>63.052</v>
      </c>
    </row>
    <row r="229" spans="2:7" x14ac:dyDescent="0.3">
      <c r="B229" s="14" t="str">
        <f t="shared" si="4"/>
        <v>GRMS 03059</v>
      </c>
      <c r="C229" s="53">
        <v>278.11099999999999</v>
      </c>
      <c r="D229" s="53">
        <v>230.84</v>
      </c>
      <c r="E229" s="53">
        <v>318.78100000000001</v>
      </c>
      <c r="F229" s="53">
        <v>76.710999999999999</v>
      </c>
      <c r="G229" s="53">
        <v>76.712000000000003</v>
      </c>
    </row>
    <row r="230" spans="2:7" x14ac:dyDescent="0.3">
      <c r="B230" s="14" t="str">
        <f t="shared" si="4"/>
        <v>GRMS 03069</v>
      </c>
      <c r="C230" s="53">
        <v>285.21100000000001</v>
      </c>
      <c r="D230" s="53">
        <v>223.74</v>
      </c>
      <c r="E230" s="53">
        <v>325.88099999999997</v>
      </c>
      <c r="F230" s="53">
        <v>83.811000000000007</v>
      </c>
      <c r="G230" s="53">
        <v>83.811999999999998</v>
      </c>
    </row>
    <row r="231" spans="2:7" x14ac:dyDescent="0.3">
      <c r="B231" s="14" t="str">
        <f t="shared" si="4"/>
        <v>GRMS 03109</v>
      </c>
      <c r="C231" s="53">
        <v>290.05099999999999</v>
      </c>
      <c r="D231" s="53">
        <v>218.9</v>
      </c>
      <c r="E231" s="53">
        <v>330.721</v>
      </c>
      <c r="F231" s="53">
        <v>88.650999999999996</v>
      </c>
      <c r="G231" s="53">
        <v>88.652000000000001</v>
      </c>
    </row>
    <row r="232" spans="2:7" x14ac:dyDescent="0.3">
      <c r="B232" s="14" t="str">
        <f t="shared" si="4"/>
        <v>GRMS 03169</v>
      </c>
      <c r="C232" s="53">
        <v>295.041</v>
      </c>
      <c r="D232" s="53">
        <v>213.91</v>
      </c>
      <c r="E232" s="53">
        <v>335.71100000000001</v>
      </c>
      <c r="F232" s="53">
        <v>93.641000000000005</v>
      </c>
      <c r="G232" s="53">
        <v>93.641999999999996</v>
      </c>
    </row>
    <row r="233" spans="2:7" x14ac:dyDescent="0.3">
      <c r="B233" s="14" t="str">
        <f t="shared" si="4"/>
        <v>GRMS 03219</v>
      </c>
      <c r="C233" s="53">
        <v>311.37099999999998</v>
      </c>
      <c r="D233" s="53">
        <v>197.58</v>
      </c>
      <c r="E233" s="53">
        <v>352.041</v>
      </c>
      <c r="F233" s="53">
        <v>109.971</v>
      </c>
      <c r="G233" s="53">
        <v>109.97199999999999</v>
      </c>
    </row>
    <row r="234" spans="2:7" x14ac:dyDescent="0.3">
      <c r="B234" s="14" t="str">
        <f t="shared" si="4"/>
        <v>GRMS 03229</v>
      </c>
      <c r="C234" s="53">
        <v>318.45100000000002</v>
      </c>
      <c r="D234" s="53">
        <v>190.5</v>
      </c>
      <c r="E234" s="53">
        <v>359.12099999999998</v>
      </c>
      <c r="F234" s="53">
        <v>117.051</v>
      </c>
      <c r="G234" s="53">
        <v>117.05200000000001</v>
      </c>
    </row>
    <row r="235" spans="2:7" x14ac:dyDescent="0.3">
      <c r="B235" s="14" t="str">
        <f t="shared" si="4"/>
        <v>GRMS 03259</v>
      </c>
      <c r="C235" s="53">
        <v>331.27199999999999</v>
      </c>
      <c r="D235" s="53">
        <v>191.96100000000001</v>
      </c>
      <c r="E235" s="53">
        <v>371.94200000000001</v>
      </c>
      <c r="F235" s="53">
        <v>129.87200000000001</v>
      </c>
      <c r="G235" s="53">
        <v>129.87299999999999</v>
      </c>
    </row>
    <row r="236" spans="2:7" x14ac:dyDescent="0.3">
      <c r="B236" s="14" t="str">
        <f t="shared" si="4"/>
        <v>GRMS 03269</v>
      </c>
      <c r="C236" s="53">
        <v>331.27100000000002</v>
      </c>
      <c r="D236" s="53">
        <v>191.96</v>
      </c>
      <c r="E236" s="53">
        <v>371.94099999999997</v>
      </c>
      <c r="F236" s="53">
        <v>129.87100000000001</v>
      </c>
      <c r="G236" s="53">
        <v>129.87200000000001</v>
      </c>
    </row>
    <row r="237" spans="2:7" x14ac:dyDescent="0.3">
      <c r="B237" s="14" t="str">
        <f t="shared" si="4"/>
        <v>GRMS 03309</v>
      </c>
      <c r="C237" s="53">
        <v>335.791</v>
      </c>
      <c r="D237" s="53">
        <v>173.16</v>
      </c>
      <c r="E237" s="53">
        <v>376.46100000000001</v>
      </c>
      <c r="F237" s="53">
        <v>134.39099999999999</v>
      </c>
      <c r="G237" s="53">
        <v>134.392</v>
      </c>
    </row>
    <row r="238" spans="2:7" x14ac:dyDescent="0.3">
      <c r="B238" s="14" t="str">
        <f t="shared" si="4"/>
        <v>GRMS 03359</v>
      </c>
      <c r="C238" s="53">
        <v>344.55200000000002</v>
      </c>
      <c r="D238" s="53">
        <v>164.40100000000001</v>
      </c>
      <c r="E238" s="53">
        <v>385.22199999999998</v>
      </c>
      <c r="F238" s="53">
        <v>143.15199999999999</v>
      </c>
      <c r="G238" s="53">
        <v>143.15299999999999</v>
      </c>
    </row>
    <row r="239" spans="2:7" x14ac:dyDescent="0.3">
      <c r="B239" s="14" t="str">
        <f t="shared" si="4"/>
        <v>GRMS 03369</v>
      </c>
      <c r="C239" s="53">
        <v>344.55099999999999</v>
      </c>
      <c r="D239" s="53">
        <v>164.4</v>
      </c>
      <c r="E239" s="53">
        <v>385.221</v>
      </c>
      <c r="F239" s="53">
        <v>143.15100000000001</v>
      </c>
      <c r="G239" s="53">
        <v>143.15199999999999</v>
      </c>
    </row>
    <row r="240" spans="2:7" x14ac:dyDescent="0.3">
      <c r="B240" s="14" t="str">
        <f t="shared" si="4"/>
        <v>GRMS 03459</v>
      </c>
      <c r="C240" s="53">
        <v>357.71100000000001</v>
      </c>
      <c r="D240" s="53">
        <v>151.24</v>
      </c>
      <c r="E240" s="53">
        <v>398.38099999999997</v>
      </c>
      <c r="F240" s="53">
        <v>156.31100000000001</v>
      </c>
      <c r="G240" s="53">
        <v>156.31200000000001</v>
      </c>
    </row>
    <row r="241" spans="2:7" x14ac:dyDescent="0.3">
      <c r="B241" s="14" t="str">
        <f t="shared" si="4"/>
        <v>GRMS 03559</v>
      </c>
      <c r="C241" s="53">
        <v>375.27100000000002</v>
      </c>
      <c r="D241" s="53">
        <v>133.68</v>
      </c>
      <c r="E241" s="53">
        <v>415.94099999999997</v>
      </c>
      <c r="F241" s="53">
        <v>173.87100000000001</v>
      </c>
      <c r="G241" s="53">
        <v>173.87200000000001</v>
      </c>
    </row>
    <row r="242" spans="2:7" x14ac:dyDescent="0.3">
      <c r="B242" s="14" t="str">
        <f t="shared" si="4"/>
        <v>GRMS 03609</v>
      </c>
      <c r="C242" s="53">
        <v>389.661</v>
      </c>
      <c r="D242" s="53">
        <v>136.16999999999999</v>
      </c>
      <c r="E242" s="53">
        <v>430.33100000000002</v>
      </c>
      <c r="F242" s="53">
        <v>188.261</v>
      </c>
      <c r="G242" s="53">
        <v>188.262</v>
      </c>
    </row>
    <row r="243" spans="2:7" x14ac:dyDescent="0.3">
      <c r="B243" s="14" t="str">
        <f t="shared" si="4"/>
        <v>GRMS 03619</v>
      </c>
      <c r="C243" s="53">
        <v>386.92099999999999</v>
      </c>
      <c r="D243" s="53">
        <v>133.43</v>
      </c>
      <c r="E243" s="53">
        <v>427.59100000000001</v>
      </c>
      <c r="F243" s="53">
        <v>185.52099999999999</v>
      </c>
      <c r="G243" s="53">
        <v>185.52199999999999</v>
      </c>
    </row>
    <row r="244" spans="2:7" x14ac:dyDescent="0.3">
      <c r="B244" s="14" t="str">
        <f t="shared" si="4"/>
        <v>GRMS 03659</v>
      </c>
      <c r="C244" s="53">
        <v>391.61099999999999</v>
      </c>
      <c r="D244" s="53">
        <v>131.36000000000001</v>
      </c>
      <c r="E244" s="53">
        <v>432.28100000000001</v>
      </c>
      <c r="F244" s="53">
        <v>190.21100000000001</v>
      </c>
      <c r="G244" s="53">
        <v>190.21199999999999</v>
      </c>
    </row>
    <row r="245" spans="2:7" x14ac:dyDescent="0.3">
      <c r="B245" s="14" t="str">
        <f t="shared" si="4"/>
        <v>GRMS 04059</v>
      </c>
      <c r="C245" s="53">
        <v>397.971</v>
      </c>
      <c r="D245" s="53">
        <v>110.98</v>
      </c>
      <c r="E245" s="53">
        <v>438.64100000000002</v>
      </c>
      <c r="F245" s="53">
        <v>196.571</v>
      </c>
      <c r="G245" s="53">
        <v>196.572</v>
      </c>
    </row>
    <row r="246" spans="2:7" x14ac:dyDescent="0.3">
      <c r="B246" s="14" t="str">
        <f t="shared" si="4"/>
        <v>GRMS 04109</v>
      </c>
      <c r="C246" s="53">
        <v>407.46100000000001</v>
      </c>
      <c r="D246" s="53">
        <v>101.49</v>
      </c>
      <c r="E246" s="53">
        <v>448.13099999999997</v>
      </c>
      <c r="F246" s="53">
        <v>206.06100000000001</v>
      </c>
      <c r="G246" s="53">
        <v>206.06200000000001</v>
      </c>
    </row>
    <row r="247" spans="2:7" x14ac:dyDescent="0.3">
      <c r="B247" s="14" t="str">
        <f t="shared" si="4"/>
        <v>GRMS 04149</v>
      </c>
      <c r="C247" s="53">
        <v>438.77100000000002</v>
      </c>
      <c r="D247" s="53">
        <v>117.66</v>
      </c>
      <c r="E247" s="53">
        <v>479.44099999999997</v>
      </c>
      <c r="F247" s="53">
        <v>237.37100000000001</v>
      </c>
      <c r="G247" s="53">
        <v>237.37200000000001</v>
      </c>
    </row>
    <row r="248" spans="2:7" x14ac:dyDescent="0.3">
      <c r="B248" s="14" t="str">
        <f t="shared" si="4"/>
        <v>GRMS 04159</v>
      </c>
      <c r="C248" s="53">
        <v>417.76100000000002</v>
      </c>
      <c r="D248" s="53">
        <v>91.19</v>
      </c>
      <c r="E248" s="53">
        <v>458.43099999999998</v>
      </c>
      <c r="F248" s="53">
        <v>216.36099999999999</v>
      </c>
      <c r="G248" s="53">
        <v>216.36199999999999</v>
      </c>
    </row>
    <row r="249" spans="2:7" x14ac:dyDescent="0.3">
      <c r="B249" s="14" t="str">
        <f t="shared" si="4"/>
        <v>GRMS 04209</v>
      </c>
      <c r="C249" s="53">
        <v>426.851</v>
      </c>
      <c r="D249" s="53">
        <v>82.1</v>
      </c>
      <c r="E249" s="53">
        <v>467.52100000000002</v>
      </c>
      <c r="F249" s="53">
        <v>225.45099999999999</v>
      </c>
      <c r="G249" s="53">
        <v>225.452</v>
      </c>
    </row>
    <row r="250" spans="2:7" x14ac:dyDescent="0.3">
      <c r="B250" s="14" t="str">
        <f t="shared" si="4"/>
        <v>GRMS 05009</v>
      </c>
      <c r="C250" s="53">
        <v>440.98099999999999</v>
      </c>
      <c r="D250" s="53">
        <v>80.97</v>
      </c>
      <c r="E250" s="53">
        <v>481.65100000000001</v>
      </c>
      <c r="F250" s="53">
        <v>239.58099999999999</v>
      </c>
      <c r="G250" s="53">
        <v>239.58199999999999</v>
      </c>
    </row>
    <row r="251" spans="2:7" x14ac:dyDescent="0.3">
      <c r="B251" s="14" t="str">
        <f t="shared" si="4"/>
        <v>GRMS 05119</v>
      </c>
      <c r="C251" s="53">
        <v>448.86099999999999</v>
      </c>
      <c r="D251" s="53">
        <v>60.09</v>
      </c>
      <c r="E251" s="53">
        <v>489.53100000000001</v>
      </c>
      <c r="F251" s="53">
        <v>247.46100000000001</v>
      </c>
      <c r="G251" s="53">
        <v>247.46199999999999</v>
      </c>
    </row>
    <row r="252" spans="2:7" x14ac:dyDescent="0.3">
      <c r="B252" s="14" t="str">
        <f t="shared" si="4"/>
        <v>GRMS 05179</v>
      </c>
      <c r="C252" s="53">
        <v>476.43099999999998</v>
      </c>
      <c r="D252" s="53">
        <v>71.680000000000007</v>
      </c>
      <c r="E252" s="53">
        <v>517.101</v>
      </c>
      <c r="F252" s="53">
        <v>275.03100000000001</v>
      </c>
      <c r="G252" s="53">
        <v>275.03199999999998</v>
      </c>
    </row>
    <row r="253" spans="2:7" x14ac:dyDescent="0.3">
      <c r="B253" s="14" t="str">
        <f t="shared" si="4"/>
        <v>GRMS 05309</v>
      </c>
      <c r="C253" s="53">
        <v>474.33100000000002</v>
      </c>
      <c r="D253" s="53">
        <v>34.619999999999997</v>
      </c>
      <c r="E253" s="53">
        <v>515.00099999999998</v>
      </c>
      <c r="F253" s="53">
        <v>272.93099999999998</v>
      </c>
      <c r="G253" s="53">
        <v>272.93200000000002</v>
      </c>
    </row>
    <row r="254" spans="2:7" x14ac:dyDescent="0.3">
      <c r="B254" s="14" t="str">
        <f t="shared" si="4"/>
        <v>GRMS 05609</v>
      </c>
      <c r="C254" s="53">
        <v>504.17099999999999</v>
      </c>
      <c r="D254" s="53">
        <v>4.78</v>
      </c>
      <c r="E254" s="53">
        <v>544.84100000000001</v>
      </c>
      <c r="F254" s="53">
        <v>302.77100000000002</v>
      </c>
      <c r="G254" s="53">
        <v>302.77199999999999</v>
      </c>
    </row>
    <row r="255" spans="2:7" x14ac:dyDescent="0.3">
      <c r="B255" s="14" t="str">
        <f t="shared" si="4"/>
        <v>GRMS 07009</v>
      </c>
      <c r="C255" s="53">
        <v>0.24099999999999999</v>
      </c>
      <c r="D255" s="53">
        <v>508.71</v>
      </c>
      <c r="E255" s="53">
        <v>481.351</v>
      </c>
      <c r="F255" s="53">
        <v>239.28100000000001</v>
      </c>
      <c r="G255" s="53">
        <v>239.28200000000001</v>
      </c>
    </row>
    <row r="256" spans="2:7" x14ac:dyDescent="0.3">
      <c r="B256" s="14" t="str">
        <f t="shared" ref="B256:B279" si="5">B70</f>
        <v>GRMS 08009</v>
      </c>
      <c r="C256" s="53">
        <v>103.621</v>
      </c>
      <c r="D256" s="53">
        <v>405.33</v>
      </c>
      <c r="E256" s="53">
        <v>377.971</v>
      </c>
      <c r="F256" s="53">
        <v>135.90100000000001</v>
      </c>
      <c r="G256" s="53">
        <v>135.90199999999999</v>
      </c>
    </row>
    <row r="257" spans="2:7" x14ac:dyDescent="0.3">
      <c r="B257" s="14" t="str">
        <f t="shared" si="5"/>
        <v>GRMS 08109</v>
      </c>
      <c r="C257" s="53">
        <v>126.211</v>
      </c>
      <c r="D257" s="53">
        <v>382.74</v>
      </c>
      <c r="E257" s="53">
        <v>355.38099999999997</v>
      </c>
      <c r="F257" s="53">
        <v>113.31100000000001</v>
      </c>
      <c r="G257" s="53">
        <v>113.312</v>
      </c>
    </row>
    <row r="258" spans="2:7" x14ac:dyDescent="0.3">
      <c r="B258" s="14" t="str">
        <f t="shared" si="5"/>
        <v>GRMS 08119</v>
      </c>
      <c r="C258" s="53">
        <v>131.27099999999999</v>
      </c>
      <c r="D258" s="53">
        <v>387.8</v>
      </c>
      <c r="E258" s="53">
        <v>360.44099999999997</v>
      </c>
      <c r="F258" s="53">
        <v>118.371</v>
      </c>
      <c r="G258" s="53">
        <v>118.372</v>
      </c>
    </row>
    <row r="259" spans="2:7" x14ac:dyDescent="0.3">
      <c r="B259" s="14" t="str">
        <f t="shared" si="5"/>
        <v>GRMS 08209</v>
      </c>
      <c r="C259" s="53">
        <v>146.101</v>
      </c>
      <c r="D259" s="53">
        <v>362.85</v>
      </c>
      <c r="E259" s="53">
        <v>335.49099999999999</v>
      </c>
      <c r="F259" s="53">
        <v>93.421000000000006</v>
      </c>
      <c r="G259" s="53">
        <v>93.421999999999997</v>
      </c>
    </row>
    <row r="260" spans="2:7" x14ac:dyDescent="0.3">
      <c r="B260" s="14" t="str">
        <f t="shared" si="5"/>
        <v>GRMS 08309</v>
      </c>
      <c r="C260" s="53">
        <v>164.28100000000001</v>
      </c>
      <c r="D260" s="53">
        <v>344.67</v>
      </c>
      <c r="E260" s="53">
        <v>317.31099999999998</v>
      </c>
      <c r="F260" s="53">
        <v>75.241</v>
      </c>
      <c r="G260" s="53">
        <v>75.242000000000004</v>
      </c>
    </row>
    <row r="261" spans="2:7" x14ac:dyDescent="0.3">
      <c r="B261" s="14" t="str">
        <f t="shared" si="5"/>
        <v>GRMS 08409</v>
      </c>
      <c r="C261" s="53">
        <v>183.321</v>
      </c>
      <c r="D261" s="53">
        <v>325.63</v>
      </c>
      <c r="E261" s="53">
        <v>298.27100000000002</v>
      </c>
      <c r="F261" s="53">
        <v>56.201000000000001</v>
      </c>
      <c r="G261" s="53">
        <v>56.201999999999998</v>
      </c>
    </row>
    <row r="262" spans="2:7" x14ac:dyDescent="0.3">
      <c r="B262" s="14" t="str">
        <f t="shared" si="5"/>
        <v>GRMS 08559</v>
      </c>
      <c r="C262" s="53">
        <v>216.55099999999999</v>
      </c>
      <c r="D262" s="53">
        <v>292.39999999999998</v>
      </c>
      <c r="E262" s="53">
        <v>265.041</v>
      </c>
      <c r="F262" s="53">
        <v>22.971</v>
      </c>
      <c r="G262" s="53">
        <v>22.972000000000001</v>
      </c>
    </row>
    <row r="263" spans="2:7" x14ac:dyDescent="0.3">
      <c r="B263" s="14" t="str">
        <f t="shared" si="5"/>
        <v>GRMS 10079</v>
      </c>
      <c r="C263" s="53">
        <v>71.540999999999997</v>
      </c>
      <c r="D263" s="53">
        <v>481.29</v>
      </c>
      <c r="E263" s="53">
        <v>453.93099999999998</v>
      </c>
      <c r="F263" s="53">
        <v>211.86099999999999</v>
      </c>
      <c r="G263" s="53">
        <v>211.86199999999999</v>
      </c>
    </row>
    <row r="264" spans="2:7" x14ac:dyDescent="0.3">
      <c r="B264" s="14" t="str">
        <f t="shared" si="5"/>
        <v>GRMS 10159</v>
      </c>
      <c r="C264" s="53">
        <v>111.401</v>
      </c>
      <c r="D264" s="53">
        <v>480.47</v>
      </c>
      <c r="E264" s="53">
        <v>493.791</v>
      </c>
      <c r="F264" s="53">
        <v>251.721</v>
      </c>
      <c r="G264" s="53">
        <v>251.72200000000001</v>
      </c>
    </row>
    <row r="265" spans="2:7" x14ac:dyDescent="0.3">
      <c r="B265" s="14" t="str">
        <f t="shared" si="5"/>
        <v>GRMS 10209</v>
      </c>
      <c r="C265" s="53">
        <v>136.27099999999999</v>
      </c>
      <c r="D265" s="53">
        <v>455.6</v>
      </c>
      <c r="E265" s="53">
        <v>518.66099999999994</v>
      </c>
      <c r="F265" s="53">
        <v>276.59100000000001</v>
      </c>
      <c r="G265" s="53">
        <v>276.59199999999998</v>
      </c>
    </row>
    <row r="266" spans="2:7" x14ac:dyDescent="0.3">
      <c r="B266" s="14" t="str">
        <f t="shared" si="5"/>
        <v>GRMS 10309</v>
      </c>
      <c r="C266" s="53">
        <v>183.37100000000001</v>
      </c>
      <c r="D266" s="53">
        <v>408.5</v>
      </c>
      <c r="E266" s="53">
        <v>530.30100000000004</v>
      </c>
      <c r="F266" s="53">
        <v>288.23099999999999</v>
      </c>
      <c r="G266" s="53">
        <v>288.23200000000003</v>
      </c>
    </row>
    <row r="267" spans="2:7" x14ac:dyDescent="0.3">
      <c r="B267" s="14" t="str">
        <f t="shared" si="5"/>
        <v>GRMS 10359</v>
      </c>
      <c r="C267" s="53">
        <v>194.15100000000001</v>
      </c>
      <c r="D267" s="53">
        <v>397.72</v>
      </c>
      <c r="E267" s="53">
        <v>519.52099999999996</v>
      </c>
      <c r="F267" s="53">
        <v>277.45100000000002</v>
      </c>
      <c r="G267" s="53">
        <v>277.452</v>
      </c>
    </row>
    <row r="268" spans="2:7" x14ac:dyDescent="0.3">
      <c r="B268" s="14" t="str">
        <f t="shared" si="5"/>
        <v>GRMS 10459</v>
      </c>
      <c r="C268" s="53">
        <v>233.68100000000001</v>
      </c>
      <c r="D268" s="53">
        <v>358.19</v>
      </c>
      <c r="E268" s="53">
        <v>479.99099999999999</v>
      </c>
      <c r="F268" s="53">
        <v>237.92099999999999</v>
      </c>
      <c r="G268" s="53">
        <v>237.922</v>
      </c>
    </row>
    <row r="269" spans="2:7" x14ac:dyDescent="0.3">
      <c r="B269" s="14" t="str">
        <f t="shared" si="5"/>
        <v>GRMS 11109</v>
      </c>
      <c r="C269" s="53">
        <v>317.791</v>
      </c>
      <c r="D269" s="53">
        <v>236.66</v>
      </c>
      <c r="E269" s="53">
        <v>358.46100000000001</v>
      </c>
      <c r="F269" s="53">
        <v>116.39100000000001</v>
      </c>
      <c r="G269" s="53">
        <v>116.392</v>
      </c>
    </row>
    <row r="270" spans="2:7" x14ac:dyDescent="0.3">
      <c r="B270" s="14" t="str">
        <f t="shared" si="5"/>
        <v>GRMS 11159</v>
      </c>
      <c r="C270" s="53">
        <v>327.33100000000002</v>
      </c>
      <c r="D270" s="53">
        <v>246.2</v>
      </c>
      <c r="E270" s="53">
        <v>368.00099999999998</v>
      </c>
      <c r="F270" s="53">
        <v>125.931</v>
      </c>
      <c r="G270" s="53">
        <v>125.932</v>
      </c>
    </row>
    <row r="271" spans="2:7" x14ac:dyDescent="0.3">
      <c r="B271" s="14" t="str">
        <f t="shared" si="5"/>
        <v>GRMS 11209</v>
      </c>
      <c r="C271" s="53">
        <v>334.37099999999998</v>
      </c>
      <c r="D271" s="53">
        <v>257.5</v>
      </c>
      <c r="E271" s="53">
        <v>379.30099999999999</v>
      </c>
      <c r="F271" s="53">
        <v>137.23099999999999</v>
      </c>
      <c r="G271" s="53">
        <v>137.232</v>
      </c>
    </row>
    <row r="272" spans="2:7" x14ac:dyDescent="0.3">
      <c r="B272" s="14" t="str">
        <f t="shared" si="5"/>
        <v>GRMS 11279</v>
      </c>
      <c r="C272" s="53">
        <v>328.49099999999999</v>
      </c>
      <c r="D272" s="53">
        <v>279.72000000000003</v>
      </c>
      <c r="E272" s="53">
        <v>401.52100000000002</v>
      </c>
      <c r="F272" s="53">
        <v>159.45099999999999</v>
      </c>
      <c r="G272" s="53">
        <v>159.452</v>
      </c>
    </row>
    <row r="273" spans="2:7" x14ac:dyDescent="0.3">
      <c r="B273" s="14" t="str">
        <f t="shared" si="5"/>
        <v>GRMS 11309</v>
      </c>
      <c r="C273" s="53">
        <v>310.01100000000002</v>
      </c>
      <c r="D273" s="53">
        <v>281.86</v>
      </c>
      <c r="E273" s="53">
        <v>403.661</v>
      </c>
      <c r="F273" s="53">
        <v>161.59100000000001</v>
      </c>
      <c r="G273" s="53">
        <v>161.59200000000001</v>
      </c>
    </row>
    <row r="274" spans="2:7" x14ac:dyDescent="0.3">
      <c r="B274" s="14" t="str">
        <f t="shared" si="5"/>
        <v>GRMS 12209</v>
      </c>
      <c r="C274" s="53">
        <v>399.62099999999998</v>
      </c>
      <c r="D274" s="53">
        <v>467.65</v>
      </c>
      <c r="E274" s="53">
        <v>81.971000000000004</v>
      </c>
      <c r="F274" s="53">
        <v>198.221</v>
      </c>
      <c r="G274" s="53">
        <v>198.22200000000001</v>
      </c>
    </row>
    <row r="275" spans="2:7" x14ac:dyDescent="0.3">
      <c r="B275" s="14" t="str">
        <f t="shared" si="5"/>
        <v>GRMS 12609</v>
      </c>
      <c r="C275" s="53">
        <v>474.50099999999998</v>
      </c>
      <c r="D275" s="53">
        <v>542.53</v>
      </c>
      <c r="E275" s="53">
        <v>7.0910000000000002</v>
      </c>
      <c r="F275" s="53">
        <v>273.101</v>
      </c>
      <c r="G275" s="53">
        <v>273.10199999999998</v>
      </c>
    </row>
    <row r="276" spans="2:7" x14ac:dyDescent="0.3">
      <c r="B276" s="14" t="str">
        <f t="shared" si="5"/>
        <v>GRMS 12619</v>
      </c>
      <c r="C276" s="53">
        <v>474.50200000000001</v>
      </c>
      <c r="D276" s="53">
        <v>542.53099999999995</v>
      </c>
      <c r="E276" s="53">
        <v>7.0919999999999996</v>
      </c>
      <c r="F276" s="53">
        <v>273.10199999999998</v>
      </c>
      <c r="G276" s="53">
        <v>273.10300000000001</v>
      </c>
    </row>
    <row r="277" spans="2:7" x14ac:dyDescent="0.3">
      <c r="B277" s="14" t="str">
        <f t="shared" si="5"/>
        <v>GRMS 12619B</v>
      </c>
      <c r="C277" s="53">
        <v>475.822</v>
      </c>
      <c r="D277" s="53">
        <v>543.851</v>
      </c>
      <c r="E277" s="53">
        <v>8.4120000000000008</v>
      </c>
      <c r="F277" s="53">
        <v>274.42200000000003</v>
      </c>
      <c r="G277" s="53">
        <v>274.423</v>
      </c>
    </row>
    <row r="278" spans="2:7" x14ac:dyDescent="0.3">
      <c r="B278" s="14" t="str">
        <f t="shared" si="5"/>
        <v>GRMS 12629</v>
      </c>
      <c r="C278" s="53">
        <v>474.50200000000001</v>
      </c>
      <c r="D278" s="53">
        <v>542.53099999999995</v>
      </c>
      <c r="E278" s="53">
        <v>7.0919999999999996</v>
      </c>
      <c r="F278" s="53">
        <v>273.10199999999998</v>
      </c>
      <c r="G278" s="53">
        <v>273.10300000000001</v>
      </c>
    </row>
    <row r="279" spans="2:7" x14ac:dyDescent="0.3">
      <c r="B279" s="14" t="str">
        <f t="shared" si="5"/>
        <v>GRMS 12809</v>
      </c>
      <c r="C279" s="53">
        <v>481.59100000000001</v>
      </c>
      <c r="D279" s="53">
        <v>549.62</v>
      </c>
      <c r="E279" s="53">
        <v>9.9999999999989008E-4</v>
      </c>
      <c r="F279" s="53">
        <v>280.19099999999997</v>
      </c>
      <c r="G279" s="53">
        <v>280.19200000000001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O186"/>
  <sheetViews>
    <sheetView showGridLines="0" topLeftCell="A154" zoomScaleNormal="100" workbookViewId="0">
      <selection activeCell="D8" sqref="D8"/>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9" width="8.88671875" style="1" customWidth="1"/>
    <col min="10" max="10" width="11" style="1" bestFit="1" customWidth="1"/>
    <col min="11" max="15" width="8.88671875" style="1" customWidth="1"/>
    <col min="16" max="16384" width="8.88671875" style="1"/>
  </cols>
  <sheetData>
    <row r="2" spans="2:7" ht="28.95" customHeight="1" x14ac:dyDescent="0.3">
      <c r="B2" s="32" t="s">
        <v>614</v>
      </c>
      <c r="C2" s="5"/>
      <c r="D2" s="5"/>
      <c r="E2" s="5"/>
      <c r="F2" s="5"/>
      <c r="G2" s="5"/>
    </row>
    <row r="3" spans="2:7" ht="14.4" customHeight="1" x14ac:dyDescent="0.3">
      <c r="B3" s="37" t="s">
        <v>233</v>
      </c>
    </row>
    <row r="4" spans="2:7" ht="14.4" customHeight="1" x14ac:dyDescent="0.3">
      <c r="B4" s="9" t="s">
        <v>2</v>
      </c>
      <c r="C4" s="9" t="s">
        <v>214</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36" t="s">
        <v>0</v>
      </c>
      <c r="C7" s="3" t="s">
        <v>216</v>
      </c>
      <c r="D7" s="38">
        <f>'Input capacity'!D7</f>
        <v>30931240.224923894</v>
      </c>
      <c r="E7" s="38">
        <f>'Input capacity'!E7</f>
        <v>32002254.47123478</v>
      </c>
      <c r="F7" s="38">
        <f>'Input capacity'!F7</f>
        <v>32002254.47123478</v>
      </c>
      <c r="G7" s="38">
        <f>'Input capacity'!G7</f>
        <v>32002254.47123478</v>
      </c>
    </row>
    <row r="8" spans="2:7" ht="14.4" customHeight="1" x14ac:dyDescent="0.3">
      <c r="B8" s="36" t="s">
        <v>215</v>
      </c>
      <c r="C8" s="3" t="s">
        <v>216</v>
      </c>
      <c r="D8" s="38">
        <f>'Input capacity'!D8</f>
        <v>2308301.5093226787</v>
      </c>
      <c r="E8" s="38">
        <f>'Input capacity'!E8</f>
        <v>2388227.9456145358</v>
      </c>
      <c r="F8" s="38">
        <f>'Input capacity'!F8</f>
        <v>2388227.9456145358</v>
      </c>
      <c r="G8" s="38">
        <f>'Input capacity'!G8</f>
        <v>2388227.9456145358</v>
      </c>
    </row>
    <row r="9" spans="2:7" ht="14.4" customHeight="1" x14ac:dyDescent="0.3">
      <c r="B9" s="36" t="s">
        <v>217</v>
      </c>
      <c r="C9" s="3" t="s">
        <v>14</v>
      </c>
      <c r="D9" s="38">
        <f>'Input capacity'!D9</f>
        <v>200000000</v>
      </c>
      <c r="E9" s="38">
        <f>'Input capacity'!E9</f>
        <v>200000000</v>
      </c>
      <c r="F9" s="38">
        <f>'Input capacity'!F9</f>
        <v>200000000</v>
      </c>
      <c r="G9" s="38">
        <f>'Input capacity'!G9</f>
        <v>200000000</v>
      </c>
    </row>
    <row r="10" spans="2:7" ht="14.4" customHeight="1" x14ac:dyDescent="0.3">
      <c r="B10" s="36" t="s">
        <v>218</v>
      </c>
      <c r="C10" s="3" t="s">
        <v>15</v>
      </c>
      <c r="D10" s="38">
        <f>'Input capacity'!D10</f>
        <v>8990275.9128767122</v>
      </c>
      <c r="E10" s="38">
        <f>'Input capacity'!E10</f>
        <v>7435783.7183561651</v>
      </c>
      <c r="F10" s="38">
        <f>'Input capacity'!F10</f>
        <v>7435783.7183561651</v>
      </c>
      <c r="G10" s="38">
        <f>'Input capacity'!G10</f>
        <v>7435783.7183561651</v>
      </c>
    </row>
    <row r="11" spans="2:7" ht="14.4" customHeight="1" x14ac:dyDescent="0.3">
      <c r="B11" s="36" t="s">
        <v>26</v>
      </c>
      <c r="C11" s="3" t="s">
        <v>219</v>
      </c>
      <c r="D11" s="38">
        <f>'Input capacity'!D11</f>
        <v>1E-3</v>
      </c>
      <c r="E11" s="38">
        <f>'Input capacity'!E11</f>
        <v>1E-3</v>
      </c>
      <c r="F11" s="38">
        <f>'Input capacity'!F11</f>
        <v>1E-3</v>
      </c>
      <c r="G11" s="38">
        <f>'Input capacity'!G11</f>
        <v>1E-3</v>
      </c>
    </row>
    <row r="14" spans="2:7" ht="28.8" customHeight="1" x14ac:dyDescent="0.3">
      <c r="B14" s="32" t="str">
        <f>IF('RPM &amp; Discounts'!$B$3&lt;&gt;'A0.Support'!$B$6,"2. "&amp;Input_!B219,"2. "&amp;Input_!B201)</f>
        <v>2. Commercial utilization factor at entry points</v>
      </c>
      <c r="C14" s="5"/>
      <c r="D14" s="5"/>
      <c r="E14" s="5"/>
      <c r="F14" s="5"/>
      <c r="G14" s="5"/>
    </row>
    <row r="15" spans="2:7" ht="14.4" customHeight="1" x14ac:dyDescent="0.3">
      <c r="B15" s="37" t="s">
        <v>263</v>
      </c>
    </row>
    <row r="16" spans="2:7" ht="14.4" customHeight="1" x14ac:dyDescent="0.3">
      <c r="B16" s="9" t="s">
        <v>2</v>
      </c>
      <c r="C16" s="9" t="s">
        <v>214</v>
      </c>
      <c r="D16" s="6"/>
      <c r="E16" s="6"/>
      <c r="F16" s="6"/>
      <c r="G16" s="6"/>
    </row>
    <row r="17" spans="2:15" ht="14.4" customHeight="1" x14ac:dyDescent="0.3">
      <c r="B17" s="25"/>
      <c r="C17" s="25"/>
      <c r="D17" s="23" t="str">
        <f>Input_!D$5</f>
        <v>2023-24</v>
      </c>
      <c r="E17" s="23" t="str">
        <f>Input_!E$5</f>
        <v>2024-25</v>
      </c>
      <c r="F17" s="23" t="str">
        <f>Input_!F$5</f>
        <v>2025-26</v>
      </c>
      <c r="G17" s="23" t="str">
        <f>Input_!G$5</f>
        <v>2026-27</v>
      </c>
    </row>
    <row r="18" spans="2:15" ht="14.4" customHeight="1" x14ac:dyDescent="0.3">
      <c r="B18" s="24"/>
      <c r="C18" s="24"/>
      <c r="D18" s="8"/>
      <c r="E18" s="8"/>
      <c r="F18" s="8"/>
      <c r="G18" s="8"/>
    </row>
    <row r="19" spans="2:15" ht="14.4" customHeight="1" x14ac:dyDescent="0.3">
      <c r="B19" s="36" t="s">
        <v>0</v>
      </c>
      <c r="C19" s="3" t="s">
        <v>216</v>
      </c>
      <c r="D19" s="81">
        <f>IF('RPM &amp; Discounts'!$B$3&lt;&gt;'A0.Support'!$B$6,Input_!D222,Input_!D204)</f>
        <v>0.30096563478759114</v>
      </c>
      <c r="E19" s="81">
        <f>IF('RPM &amp; Discounts'!$B$3&lt;&gt;'A0.Support'!$B$6,Input_!E222,Input_!E204)</f>
        <v>0.30096563478759114</v>
      </c>
      <c r="F19" s="81">
        <f>IF('RPM &amp; Discounts'!$B$3&lt;&gt;'A0.Support'!$B$6,Input_!F222,Input_!F204)</f>
        <v>0.30096563478759114</v>
      </c>
      <c r="G19" s="81">
        <f>IF('RPM &amp; Discounts'!$B$3&lt;&gt;'A0.Support'!$B$6,Input_!G222,Input_!G204)</f>
        <v>0.30096563478759114</v>
      </c>
      <c r="J19"/>
      <c r="K19"/>
      <c r="L19"/>
      <c r="M19"/>
      <c r="N19"/>
      <c r="O19"/>
    </row>
    <row r="20" spans="2:15" ht="14.4" customHeight="1" x14ac:dyDescent="0.3">
      <c r="B20" s="36" t="s">
        <v>215</v>
      </c>
      <c r="C20" s="3" t="s">
        <v>216</v>
      </c>
      <c r="D20" s="81">
        <f>IF('RPM &amp; Discounts'!$B$3&lt;&gt;'A0.Support'!$B$6,Input_!D222,Input_!D204)</f>
        <v>0.30096563478759114</v>
      </c>
      <c r="E20" s="81">
        <f>IF('RPM &amp; Discounts'!$B$3&lt;&gt;'A0.Support'!$B$6,Input_!E222,Input_!E204)</f>
        <v>0.30096563478759114</v>
      </c>
      <c r="F20" s="81">
        <f>IF('RPM &amp; Discounts'!$B$3&lt;&gt;'A0.Support'!$B$6,Input_!F222,Input_!F204)</f>
        <v>0.30096563478759114</v>
      </c>
      <c r="G20" s="81">
        <f>IF('RPM &amp; Discounts'!$B$3&lt;&gt;'A0.Support'!$B$6,Input_!G222,Input_!G204)</f>
        <v>0.30096563478759114</v>
      </c>
      <c r="J20"/>
      <c r="K20"/>
      <c r="L20"/>
      <c r="M20"/>
      <c r="N20"/>
      <c r="O20"/>
    </row>
    <row r="21" spans="2:15" ht="14.4" customHeight="1" x14ac:dyDescent="0.3">
      <c r="B21" s="36" t="s">
        <v>217</v>
      </c>
      <c r="C21" s="3" t="s">
        <v>14</v>
      </c>
      <c r="D21" s="81">
        <f>IF('RPM &amp; Discounts'!$B$3&lt;&gt;'A0.Support'!$B$6,Input_!D223,Input_!D205)</f>
        <v>0.98663788917465756</v>
      </c>
      <c r="E21" s="81">
        <f>IF('RPM &amp; Discounts'!$B$3&lt;&gt;'A0.Support'!$B$6,Input_!E223,Input_!E205)</f>
        <v>0.98663788917465756</v>
      </c>
      <c r="F21" s="81">
        <f>IF('RPM &amp; Discounts'!$B$3&lt;&gt;'A0.Support'!$B$6,Input_!F223,Input_!F205)</f>
        <v>0.98663788917465756</v>
      </c>
      <c r="G21" s="81">
        <f>IF('RPM &amp; Discounts'!$B$3&lt;&gt;'A0.Support'!$B$6,Input_!G223,Input_!G205)</f>
        <v>0.98663788917465756</v>
      </c>
      <c r="J21"/>
      <c r="K21"/>
      <c r="L21"/>
      <c r="M21"/>
      <c r="N21"/>
      <c r="O21"/>
    </row>
    <row r="22" spans="2:15" ht="14.4" customHeight="1" x14ac:dyDescent="0.3">
      <c r="B22" s="36" t="s">
        <v>218</v>
      </c>
      <c r="C22" s="3" t="s">
        <v>15</v>
      </c>
      <c r="D22" s="81">
        <f>IF('RPM &amp; Discounts'!$B$3&lt;&gt;'A0.Support'!$B$6,Input_!D224,Input_!D206)</f>
        <v>0.13127867462419943</v>
      </c>
      <c r="E22" s="81">
        <f>IF('RPM &amp; Discounts'!$B$3&lt;&gt;'A0.Support'!$B$6,Input_!E224,Input_!E206)</f>
        <v>0.13127867462419943</v>
      </c>
      <c r="F22" s="81">
        <f>IF('RPM &amp; Discounts'!$B$3&lt;&gt;'A0.Support'!$B$6,Input_!F224,Input_!F206)</f>
        <v>0.13127867462419943</v>
      </c>
      <c r="G22" s="81">
        <f>IF('RPM &amp; Discounts'!$B$3&lt;&gt;'A0.Support'!$B$6,Input_!G224,Input_!G206)</f>
        <v>0.13127867462419943</v>
      </c>
      <c r="J22"/>
      <c r="K22"/>
      <c r="L22"/>
      <c r="M22"/>
      <c r="N22"/>
      <c r="O22"/>
    </row>
    <row r="23" spans="2:15" ht="14.4" customHeight="1" x14ac:dyDescent="0.3">
      <c r="B23" s="36" t="s">
        <v>26</v>
      </c>
      <c r="C23" s="3" t="s">
        <v>219</v>
      </c>
      <c r="D23" s="81">
        <f>IF('RPM &amp; Discounts'!$B$3&lt;&gt;'A0.Support'!$B$6,Input_!D225,Input_!D207)</f>
        <v>0.13127867462419943</v>
      </c>
      <c r="E23" s="81">
        <f>IF('RPM &amp; Discounts'!$B$3&lt;&gt;'A0.Support'!$B$6,Input_!E225,Input_!E207)</f>
        <v>0.13127867462419943</v>
      </c>
      <c r="F23" s="81">
        <f>IF('RPM &amp; Discounts'!$B$3&lt;&gt;'A0.Support'!$B$6,Input_!F225,Input_!F207)</f>
        <v>0.13127867462419943</v>
      </c>
      <c r="G23" s="81">
        <f>IF('RPM &amp; Discounts'!$B$3&lt;&gt;'A0.Support'!$B$6,Input_!G225,Input_!G207)</f>
        <v>0.13127867462419943</v>
      </c>
      <c r="J23"/>
      <c r="K23"/>
      <c r="L23"/>
      <c r="M23"/>
      <c r="N23"/>
      <c r="O23"/>
    </row>
    <row r="26" spans="2:15" ht="28.8" customHeight="1" x14ac:dyDescent="0.3">
      <c r="B26" s="32" t="str">
        <f>IF('RPM &amp; Discounts'!$B$3&lt;&gt;'A0.Support'!$B$3,"3. Effective capacity at entry points","3. Forecasted capacity at entry points")&amp;", in kWh/day"</f>
        <v>3. Effective capacity at entry points, in kWh/day</v>
      </c>
      <c r="C26" s="5"/>
      <c r="D26" s="5"/>
      <c r="E26" s="5"/>
      <c r="F26" s="5"/>
      <c r="G26" s="5"/>
      <c r="J26"/>
    </row>
    <row r="27" spans="2:15" ht="14.4" customHeight="1" x14ac:dyDescent="0.3">
      <c r="B27" s="37" t="s">
        <v>264</v>
      </c>
    </row>
    <row r="28" spans="2:15" ht="14.4" customHeight="1" x14ac:dyDescent="0.3">
      <c r="B28" s="9" t="s">
        <v>2</v>
      </c>
      <c r="C28" s="9" t="s">
        <v>214</v>
      </c>
      <c r="D28" s="6"/>
      <c r="E28" s="6"/>
      <c r="F28" s="6"/>
      <c r="G28" s="6"/>
    </row>
    <row r="29" spans="2:15" ht="14.4" customHeight="1" x14ac:dyDescent="0.3">
      <c r="B29" s="25"/>
      <c r="C29" s="25"/>
      <c r="D29" s="23" t="str">
        <f>Input_!D$5</f>
        <v>2023-24</v>
      </c>
      <c r="E29" s="23" t="str">
        <f>Input_!E$5</f>
        <v>2024-25</v>
      </c>
      <c r="F29" s="23" t="str">
        <f>Input_!F$5</f>
        <v>2025-26</v>
      </c>
      <c r="G29" s="23" t="str">
        <f>Input_!G$5</f>
        <v>2026-27</v>
      </c>
    </row>
    <row r="30" spans="2:15" ht="14.4" customHeight="1" x14ac:dyDescent="0.3">
      <c r="B30" s="24"/>
      <c r="C30" s="24"/>
      <c r="D30" s="8"/>
      <c r="E30" s="8"/>
      <c r="F30" s="8"/>
      <c r="G30" s="8"/>
    </row>
    <row r="31" spans="2:15" ht="14.4" customHeight="1" x14ac:dyDescent="0.3">
      <c r="B31" s="36" t="s">
        <v>0</v>
      </c>
      <c r="C31" s="3" t="s">
        <v>216</v>
      </c>
      <c r="D31" s="38">
        <f>IF(OR('RPM &amp; Discounts'!$B$3='A0.Support'!$B$3,'RPM &amp; Discounts'!$B$3='A0.Support'!$B$4),D7,D7*D19)</f>
        <v>9309240.349061694</v>
      </c>
      <c r="E31" s="38">
        <f>IF(OR('RPM &amp; Discounts'!$B$3='A0.Support'!$B$3,'RPM &amp; Discounts'!$B$3='A0.Support'!$B$4),E7,E7*E19)</f>
        <v>9631578.8315692022</v>
      </c>
      <c r="F31" s="38">
        <f>IF(OR('RPM &amp; Discounts'!$B$3='A0.Support'!$B$3,'RPM &amp; Discounts'!$B$3='A0.Support'!$B$4),F7,F7*F19)</f>
        <v>9631578.8315692022</v>
      </c>
      <c r="G31" s="38">
        <f>IF(OR('RPM &amp; Discounts'!$B$3='A0.Support'!$B$3,'RPM &amp; Discounts'!$B$3='A0.Support'!$B$4),G7,G7*G19)</f>
        <v>9631578.8315692022</v>
      </c>
      <c r="I31"/>
      <c r="J31"/>
      <c r="K31"/>
      <c r="L31"/>
      <c r="M31"/>
      <c r="N31"/>
      <c r="O31"/>
    </row>
    <row r="32" spans="2:15" ht="14.4" customHeight="1" x14ac:dyDescent="0.3">
      <c r="B32" s="36" t="s">
        <v>215</v>
      </c>
      <c r="C32" s="3" t="s">
        <v>216</v>
      </c>
      <c r="D32" s="38">
        <f>IF(OR('RPM &amp; Discounts'!$B$3='A0.Support'!$B$3,'RPM &amp; Discounts'!$B$3='A0.Support'!$B$4),D8,D8*D20)</f>
        <v>694719.42903445475</v>
      </c>
      <c r="E32" s="38">
        <f>IF(OR('RPM &amp; Discounts'!$B$3='A0.Support'!$B$3,'RPM &amp; Discounts'!$B$3='A0.Support'!$B$4),E8,E8*E20)</f>
        <v>718774.5396693435</v>
      </c>
      <c r="F32" s="38">
        <f>IF(OR('RPM &amp; Discounts'!$B$3='A0.Support'!$B$3,'RPM &amp; Discounts'!$B$3='A0.Support'!$B$4),F8,F8*F20)</f>
        <v>718774.5396693435</v>
      </c>
      <c r="G32" s="38">
        <f>IF(OR('RPM &amp; Discounts'!$B$3='A0.Support'!$B$3,'RPM &amp; Discounts'!$B$3='A0.Support'!$B$4),G8,G8*G20)</f>
        <v>718774.5396693435</v>
      </c>
      <c r="J32"/>
      <c r="K32"/>
      <c r="L32"/>
      <c r="M32"/>
      <c r="N32"/>
      <c r="O32"/>
    </row>
    <row r="33" spans="2:15" ht="14.4" customHeight="1" x14ac:dyDescent="0.3">
      <c r="B33" s="36" t="s">
        <v>217</v>
      </c>
      <c r="C33" s="3" t="s">
        <v>14</v>
      </c>
      <c r="D33" s="38">
        <f>IF(OR('RPM &amp; Discounts'!$B$3='A0.Support'!$B$3,'RPM &amp; Discounts'!$B$3='A0.Support'!$B$4),D9,D9*D21)</f>
        <v>197327577.83493152</v>
      </c>
      <c r="E33" s="38">
        <f>IF(OR('RPM &amp; Discounts'!$B$3='A0.Support'!$B$3,'RPM &amp; Discounts'!$B$3='A0.Support'!$B$4),E9,E9*E21)</f>
        <v>197327577.83493152</v>
      </c>
      <c r="F33" s="38">
        <f>IF(OR('RPM &amp; Discounts'!$B$3='A0.Support'!$B$3,'RPM &amp; Discounts'!$B$3='A0.Support'!$B$4),F9,F9*F21)</f>
        <v>197327577.83493152</v>
      </c>
      <c r="G33" s="38">
        <f>IF(OR('RPM &amp; Discounts'!$B$3='A0.Support'!$B$3,'RPM &amp; Discounts'!$B$3='A0.Support'!$B$4),G9,G9*G21)</f>
        <v>197327577.83493152</v>
      </c>
      <c r="J33"/>
      <c r="K33"/>
      <c r="L33"/>
      <c r="M33"/>
      <c r="N33"/>
      <c r="O33"/>
    </row>
    <row r="34" spans="2:15" ht="14.4" customHeight="1" x14ac:dyDescent="0.3">
      <c r="B34" s="36" t="s">
        <v>218</v>
      </c>
      <c r="C34" s="3" t="s">
        <v>15</v>
      </c>
      <c r="D34" s="38">
        <f>IF(OR('RPM &amp; Discounts'!$B$3='A0.Support'!$B$3,'RPM &amp; Discounts'!$B$3='A0.Support'!$B$4),D10,D10*D22)</f>
        <v>1180231.5063483194</v>
      </c>
      <c r="E34" s="38">
        <f>IF(OR('RPM &amp; Discounts'!$B$3='A0.Support'!$B$3,'RPM &amp; Discounts'!$B$3='A0.Support'!$B$4),E10,E10*E22)</f>
        <v>976159.83133799874</v>
      </c>
      <c r="F34" s="38">
        <f>IF(OR('RPM &amp; Discounts'!$B$3='A0.Support'!$B$3,'RPM &amp; Discounts'!$B$3='A0.Support'!$B$4),F10,F10*F22)</f>
        <v>976159.83133799874</v>
      </c>
      <c r="G34" s="38">
        <f>IF(OR('RPM &amp; Discounts'!$B$3='A0.Support'!$B$3,'RPM &amp; Discounts'!$B$3='A0.Support'!$B$4),G10,G10*G22)</f>
        <v>976159.83133799874</v>
      </c>
      <c r="J34"/>
      <c r="K34"/>
      <c r="L34"/>
      <c r="M34"/>
      <c r="N34"/>
      <c r="O34"/>
    </row>
    <row r="35" spans="2:15" ht="14.4" customHeight="1" x14ac:dyDescent="0.3">
      <c r="B35" s="36" t="s">
        <v>26</v>
      </c>
      <c r="C35" s="3" t="s">
        <v>219</v>
      </c>
      <c r="D35" s="38">
        <f>IF(OR('RPM &amp; Discounts'!$B$3='A0.Support'!$B$3,'RPM &amp; Discounts'!$B$3='A0.Support'!$B$4),D11,D11*D23)</f>
        <v>1.3127867462419944E-4</v>
      </c>
      <c r="E35" s="38">
        <f>IF(OR('RPM &amp; Discounts'!$B$3='A0.Support'!$B$3,'RPM &amp; Discounts'!$B$3='A0.Support'!$B$4),E11,E11*E23)</f>
        <v>1.3127867462419944E-4</v>
      </c>
      <c r="F35" s="38">
        <f>IF(OR('RPM &amp; Discounts'!$B$3='A0.Support'!$B$3,'RPM &amp; Discounts'!$B$3='A0.Support'!$B$4),F11,F11*F23)</f>
        <v>1.3127867462419944E-4</v>
      </c>
      <c r="G35" s="38">
        <f>IF(OR('RPM &amp; Discounts'!$B$3='A0.Support'!$B$3,'RPM &amp; Discounts'!$B$3='A0.Support'!$B$4),G11,G11*G23)</f>
        <v>1.3127867462419944E-4</v>
      </c>
      <c r="J35"/>
      <c r="K35"/>
      <c r="L35"/>
      <c r="M35"/>
      <c r="N35"/>
      <c r="O35"/>
    </row>
    <row r="38" spans="2:15" ht="28.8" customHeight="1" x14ac:dyDescent="0.3">
      <c r="B38" s="32" t="s">
        <v>615</v>
      </c>
      <c r="C38" s="5"/>
      <c r="D38" s="5"/>
      <c r="E38" s="5"/>
      <c r="F38" s="5"/>
      <c r="G38" s="5"/>
    </row>
    <row r="39" spans="2:15" ht="14.4" customHeight="1" x14ac:dyDescent="0.3">
      <c r="B39" s="37"/>
    </row>
    <row r="40" spans="2:15" ht="14.4" customHeight="1" x14ac:dyDescent="0.3">
      <c r="B40" s="9" t="s">
        <v>2</v>
      </c>
      <c r="C40" s="9" t="s">
        <v>214</v>
      </c>
      <c r="D40" s="6"/>
      <c r="E40" s="6"/>
      <c r="F40" s="6"/>
      <c r="G40" s="6"/>
    </row>
    <row r="41" spans="2:15" ht="14.4" customHeight="1" x14ac:dyDescent="0.3">
      <c r="B41" s="25"/>
      <c r="C41" s="25"/>
      <c r="D41" s="23" t="str">
        <f>Input_!D$5</f>
        <v>2023-24</v>
      </c>
      <c r="E41" s="23" t="str">
        <f>Input_!E$5</f>
        <v>2024-25</v>
      </c>
      <c r="F41" s="23" t="str">
        <f>Input_!F$5</f>
        <v>2025-26</v>
      </c>
      <c r="G41" s="23" t="str">
        <f>Input_!G$5</f>
        <v>2026-27</v>
      </c>
    </row>
    <row r="42" spans="2:15" ht="14.4" customHeight="1" x14ac:dyDescent="0.3">
      <c r="B42" s="24"/>
      <c r="C42" s="24"/>
      <c r="D42" s="8"/>
      <c r="E42" s="8"/>
      <c r="F42" s="8"/>
      <c r="G42" s="8"/>
    </row>
    <row r="43" spans="2:15" ht="14.4" customHeight="1" x14ac:dyDescent="0.3">
      <c r="B43" s="36" t="s">
        <v>0</v>
      </c>
      <c r="C43" s="3" t="s">
        <v>216</v>
      </c>
      <c r="D43" s="55">
        <f>SUMPRODUCT('Exit Tariff_1'!D$199:D$287,'Distance Matrix_Exit'!$C$5:$C$93)/SUMIFS('Exit Tariff_1'!D$199:D$287,'Distance Matrix_Exit'!$C$5:$C$93,"&gt;0")</f>
        <v>837.71348462728588</v>
      </c>
      <c r="E43" s="55">
        <f>SUMPRODUCT('Exit Tariff_1'!E$199:E$287,'Distance Matrix_Exit'!$C$5:$C$93)/SUMIFS('Exit Tariff_1'!E$199:E$287,'Distance Matrix_Exit'!$C$5:$C$93,"&gt;0")</f>
        <v>844.49509748834441</v>
      </c>
      <c r="F43" s="55">
        <f>SUMPRODUCT('Exit Tariff_1'!F$199:F$287,'Distance Matrix_Exit'!$C$5:$C$93)/SUMIFS('Exit Tariff_1'!F$199:F$287,'Distance Matrix_Exit'!$C$5:$C$93,"&gt;0")</f>
        <v>844.49509748834441</v>
      </c>
      <c r="G43" s="55">
        <f>SUMPRODUCT('Exit Tariff_1'!G$199:G$287,'Distance Matrix_Exit'!$C$5:$C$93)/SUMIFS('Exit Tariff_1'!G$199:G$287,'Distance Matrix_Exit'!$C$5:$C$93,"&gt;0")</f>
        <v>844.49509748834441</v>
      </c>
      <c r="I43"/>
      <c r="J43"/>
      <c r="K43"/>
      <c r="L43"/>
      <c r="M43"/>
    </row>
    <row r="44" spans="2:15" ht="14.4" customHeight="1" x14ac:dyDescent="0.3">
      <c r="B44" s="36" t="s">
        <v>215</v>
      </c>
      <c r="C44" s="3" t="s">
        <v>216</v>
      </c>
      <c r="D44" s="55">
        <f>SUMPRODUCT('Exit Tariff_1'!D$199:D$287,'Distance Matrix_Exit'!$D$5:$D$93)/SUMIFS('Exit Tariff_1'!D$199:D$287,'Distance Matrix_Exit'!$D$5:$D$93,"&gt;0")</f>
        <v>767.12025662224858</v>
      </c>
      <c r="E44" s="55">
        <f>SUMPRODUCT('Exit Tariff_1'!E$199:E$287,'Distance Matrix_Exit'!$D$5:$D$93)/SUMIFS('Exit Tariff_1'!E$199:E$287,'Distance Matrix_Exit'!$D$5:$D$93,"&gt;0")</f>
        <v>769.52998977263121</v>
      </c>
      <c r="F44" s="55">
        <f>SUMPRODUCT('Exit Tariff_1'!F$199:F$287,'Distance Matrix_Exit'!$D$5:$D$93)/SUMIFS('Exit Tariff_1'!F$199:F$287,'Distance Matrix_Exit'!$D$5:$D$93,"&gt;0")</f>
        <v>769.52998977263121</v>
      </c>
      <c r="G44" s="55">
        <f>SUMPRODUCT('Exit Tariff_1'!G$199:G$287,'Distance Matrix_Exit'!$D$5:$D$93)/SUMIFS('Exit Tariff_1'!G$199:G$287,'Distance Matrix_Exit'!$D$5:$D$93,"&gt;0")</f>
        <v>769.52998977263121</v>
      </c>
      <c r="I44"/>
      <c r="J44"/>
      <c r="K44"/>
      <c r="L44"/>
      <c r="M44"/>
    </row>
    <row r="45" spans="2:15" ht="14.4" customHeight="1" x14ac:dyDescent="0.3">
      <c r="B45" s="36" t="s">
        <v>217</v>
      </c>
      <c r="C45" s="3" t="s">
        <v>14</v>
      </c>
      <c r="D45" s="55">
        <f>SUMPRODUCT('Exit Tariff_1'!D$199:D$287,'Distance Matrix_Exit'!$E$5:$E$93)/SUMIFS('Exit Tariff_1'!D$199:D$287,'Distance Matrix_Exit'!$E$5:$E$93,"&gt;0")</f>
        <v>717.73809469931041</v>
      </c>
      <c r="E45" s="55">
        <f>SUMPRODUCT('Exit Tariff_1'!E$199:E$287,'Distance Matrix_Exit'!$E$5:$E$93)/SUMIFS('Exit Tariff_1'!E$199:E$287,'Distance Matrix_Exit'!$E$5:$E$93,"&gt;0")</f>
        <v>718.75731814420055</v>
      </c>
      <c r="F45" s="55">
        <f>SUMPRODUCT('Exit Tariff_1'!F$199:F$287,'Distance Matrix_Exit'!$E$5:$E$93)/SUMIFS('Exit Tariff_1'!F$199:F$287,'Distance Matrix_Exit'!$E$5:$E$93,"&gt;0")</f>
        <v>718.75731814420055</v>
      </c>
      <c r="G45" s="55">
        <f>SUMPRODUCT('Exit Tariff_1'!G$199:G$287,'Distance Matrix_Exit'!$E$5:$E$93)/SUMIFS('Exit Tariff_1'!G$199:G$287,'Distance Matrix_Exit'!$E$5:$E$93,"&gt;0")</f>
        <v>718.75731814420055</v>
      </c>
    </row>
    <row r="46" spans="2:15" ht="14.4" customHeight="1" x14ac:dyDescent="0.3">
      <c r="B46" s="36" t="s">
        <v>218</v>
      </c>
      <c r="C46" s="3" t="s">
        <v>15</v>
      </c>
      <c r="D46" s="55">
        <f>SUMPRODUCT('Exit Tariff_1'!D$199:D$287,'Distance Matrix_Exit'!$F$5:$F$93)/SUMIFS('Exit Tariff_1'!D$199:D$287,'Distance Matrix_Exit'!$F$5:$F$93,"&gt;0")</f>
        <v>392.56334577280478</v>
      </c>
      <c r="E46" s="55">
        <f>SUMPRODUCT('Exit Tariff_1'!E$199:E$287,'Distance Matrix_Exit'!$F$5:$F$93)/SUMIFS('Exit Tariff_1'!E$199:E$287,'Distance Matrix_Exit'!$F$5:$F$93,"&gt;0")</f>
        <v>388.91599733082279</v>
      </c>
      <c r="F46" s="55">
        <f>SUMPRODUCT('Exit Tariff_1'!F$199:F$287,'Distance Matrix_Exit'!$F$5:$F$93)/SUMIFS('Exit Tariff_1'!F$199:F$287,'Distance Matrix_Exit'!$F$5:$F$93,"&gt;0")</f>
        <v>388.91599733082279</v>
      </c>
      <c r="G46" s="55">
        <f>SUMPRODUCT('Exit Tariff_1'!G$199:G$287,'Distance Matrix_Exit'!$F$5:$F$93)/SUMIFS('Exit Tariff_1'!G$199:G$287,'Distance Matrix_Exit'!$F$5:$F$93,"&gt;0")</f>
        <v>388.91599733082279</v>
      </c>
    </row>
    <row r="47" spans="2:15" ht="14.4" customHeight="1" x14ac:dyDescent="0.3">
      <c r="B47" s="36" t="s">
        <v>26</v>
      </c>
      <c r="C47" s="3" t="s">
        <v>219</v>
      </c>
      <c r="D47" s="55">
        <f>SUMPRODUCT('Exit Tariff_1'!D$199:D$287,'Distance Matrix_Exit'!$G$5:$G$93)/SUMIFS('Exit Tariff_1'!D$199:D$287,'Distance Matrix_Exit'!$G$5:$G$93,"&gt;0")</f>
        <v>376.94611165460861</v>
      </c>
      <c r="E47" s="55">
        <f>SUMPRODUCT('Exit Tariff_1'!E$199:E$287,'Distance Matrix_Exit'!$G$5:$G$93)/SUMIFS('Exit Tariff_1'!E$199:E$287,'Distance Matrix_Exit'!$G$5:$G$93,"&gt;0")</f>
        <v>379.68750011414079</v>
      </c>
      <c r="F47" s="55">
        <f>SUMPRODUCT('Exit Tariff_1'!F$199:F$287,'Distance Matrix_Exit'!$G$5:$G$93)/SUMIFS('Exit Tariff_1'!F$199:F$287,'Distance Matrix_Exit'!$G$5:$G$93,"&gt;0")</f>
        <v>379.68750011414079</v>
      </c>
      <c r="G47" s="55">
        <f>SUMPRODUCT('Exit Tariff_1'!G$199:G$287,'Distance Matrix_Exit'!$G$5:$G$93)/SUMIFS('Exit Tariff_1'!G$199:G$287,'Distance Matrix_Exit'!$G$5:$G$93,"&gt;0")</f>
        <v>379.68750011414079</v>
      </c>
    </row>
    <row r="50" spans="2:14" ht="28.8" customHeight="1" x14ac:dyDescent="0.3">
      <c r="B50" s="32" t="s">
        <v>223</v>
      </c>
      <c r="C50" s="5"/>
      <c r="D50" s="5"/>
      <c r="E50" s="5"/>
      <c r="F50" s="5"/>
      <c r="G50" s="5"/>
    </row>
    <row r="51" spans="2:14" ht="14.4" customHeight="1" x14ac:dyDescent="0.3">
      <c r="B51" s="37"/>
    </row>
    <row r="52" spans="2:14" ht="14.4" customHeight="1" x14ac:dyDescent="0.3">
      <c r="B52" s="9" t="s">
        <v>2</v>
      </c>
      <c r="C52" s="9" t="s">
        <v>214</v>
      </c>
      <c r="D52" s="6"/>
      <c r="E52" s="6"/>
      <c r="F52" s="6"/>
      <c r="G52" s="6"/>
    </row>
    <row r="53" spans="2:14" ht="14.4" customHeight="1" x14ac:dyDescent="0.3">
      <c r="B53" s="25"/>
      <c r="C53" s="25"/>
      <c r="D53" s="23" t="str">
        <f>Input_!D$5</f>
        <v>2023-24</v>
      </c>
      <c r="E53" s="23" t="str">
        <f>Input_!E$5</f>
        <v>2024-25</v>
      </c>
      <c r="F53" s="23" t="str">
        <f>Input_!F$5</f>
        <v>2025-26</v>
      </c>
      <c r="G53" s="23" t="str">
        <f>Input_!G$5</f>
        <v>2026-27</v>
      </c>
    </row>
    <row r="54" spans="2:14" ht="14.4" customHeight="1" x14ac:dyDescent="0.3">
      <c r="B54" s="24"/>
      <c r="C54" s="24"/>
      <c r="D54" s="8"/>
      <c r="E54" s="8"/>
      <c r="F54" s="8"/>
      <c r="G54" s="8"/>
    </row>
    <row r="55" spans="2:14" ht="14.4" customHeight="1" x14ac:dyDescent="0.3">
      <c r="B55" s="36" t="s">
        <v>0</v>
      </c>
      <c r="C55" s="3" t="s">
        <v>216</v>
      </c>
      <c r="D55" s="56">
        <f t="shared" ref="D55:G55" si="0">D31*D43/SUMPRODUCT(D$31:D$35,D$43:D$47)</f>
        <v>5.1843213024012923E-2</v>
      </c>
      <c r="E55" s="56">
        <f t="shared" si="0"/>
        <v>5.3903053102384642E-2</v>
      </c>
      <c r="F55" s="56">
        <f t="shared" si="0"/>
        <v>5.3903053102384642E-2</v>
      </c>
      <c r="G55" s="56">
        <f t="shared" si="0"/>
        <v>5.3903053102384642E-2</v>
      </c>
      <c r="I55"/>
      <c r="J55"/>
      <c r="K55"/>
      <c r="L55"/>
      <c r="M55"/>
      <c r="N55"/>
    </row>
    <row r="56" spans="2:14" ht="14.4" customHeight="1" x14ac:dyDescent="0.3">
      <c r="B56" s="36" t="s">
        <v>215</v>
      </c>
      <c r="C56" s="3" t="s">
        <v>216</v>
      </c>
      <c r="D56" s="56">
        <f t="shared" ref="D56:G56" si="1">D32*D44/SUMPRODUCT(D$31:D$35,D$43:D$47)</f>
        <v>3.5428686848646171E-3</v>
      </c>
      <c r="E56" s="56">
        <f t="shared" si="1"/>
        <v>3.6655317289902884E-3</v>
      </c>
      <c r="F56" s="56">
        <f t="shared" si="1"/>
        <v>3.6655317289902884E-3</v>
      </c>
      <c r="G56" s="56">
        <f t="shared" si="1"/>
        <v>3.6655317289902884E-3</v>
      </c>
      <c r="I56"/>
      <c r="J56"/>
      <c r="K56"/>
      <c r="L56"/>
      <c r="M56"/>
      <c r="N56"/>
    </row>
    <row r="57" spans="2:14" ht="14.4" customHeight="1" x14ac:dyDescent="0.3">
      <c r="B57" s="36" t="s">
        <v>217</v>
      </c>
      <c r="C57" s="3" t="s">
        <v>14</v>
      </c>
      <c r="D57" s="56">
        <f t="shared" ref="D57:G57" si="2">D33*D45/SUMPRODUCT(D$31:D$35,D$43:D$47)</f>
        <v>0.94153385876153783</v>
      </c>
      <c r="E57" s="56">
        <f t="shared" si="2"/>
        <v>0.93991550292631187</v>
      </c>
      <c r="F57" s="56">
        <f t="shared" si="2"/>
        <v>0.93991550292631187</v>
      </c>
      <c r="G57" s="56">
        <f t="shared" si="2"/>
        <v>0.93991550292631187</v>
      </c>
      <c r="I57"/>
      <c r="J57"/>
      <c r="K57"/>
      <c r="L57"/>
      <c r="M57"/>
      <c r="N57"/>
    </row>
    <row r="58" spans="2:14" ht="14.4" customHeight="1" x14ac:dyDescent="0.3">
      <c r="B58" s="36" t="s">
        <v>218</v>
      </c>
      <c r="C58" s="3" t="s">
        <v>15</v>
      </c>
      <c r="D58" s="56">
        <f t="shared" ref="D58:G58" si="3">D34*D46/SUMPRODUCT(D$31:D$35,D$43:D$47)</f>
        <v>3.0800595292554663E-3</v>
      </c>
      <c r="E58" s="56">
        <f t="shared" si="3"/>
        <v>2.515912241982938E-3</v>
      </c>
      <c r="F58" s="56">
        <f t="shared" si="3"/>
        <v>2.515912241982938E-3</v>
      </c>
      <c r="G58" s="56">
        <f t="shared" si="3"/>
        <v>2.515912241982938E-3</v>
      </c>
      <c r="I58"/>
      <c r="J58"/>
      <c r="K58"/>
      <c r="L58"/>
      <c r="M58"/>
      <c r="N58"/>
    </row>
    <row r="59" spans="2:14" ht="14.4" customHeight="1" x14ac:dyDescent="0.3">
      <c r="B59" s="36" t="s">
        <v>26</v>
      </c>
      <c r="C59" s="3" t="s">
        <v>219</v>
      </c>
      <c r="D59" s="56">
        <f t="shared" ref="D59:G59" si="4">D35*D47/SUMPRODUCT(D$31:D$35,D$43:D$47)</f>
        <v>3.2896948213000018E-13</v>
      </c>
      <c r="E59" s="56">
        <f t="shared" si="4"/>
        <v>3.303233174566037E-13</v>
      </c>
      <c r="F59" s="56">
        <f t="shared" si="4"/>
        <v>3.303233174566037E-13</v>
      </c>
      <c r="G59" s="56">
        <f t="shared" si="4"/>
        <v>3.303233174566037E-13</v>
      </c>
      <c r="I59"/>
      <c r="J59"/>
      <c r="K59"/>
      <c r="L59"/>
      <c r="M59"/>
      <c r="N59"/>
    </row>
    <row r="62" spans="2:14" ht="28.8" customHeight="1" x14ac:dyDescent="0.3">
      <c r="B62" s="32" t="s">
        <v>617</v>
      </c>
      <c r="C62" s="5"/>
      <c r="D62" s="5"/>
      <c r="E62" s="5"/>
      <c r="F62" s="5"/>
      <c r="G62" s="5"/>
    </row>
    <row r="63" spans="2:14" ht="14.4" customHeight="1" x14ac:dyDescent="0.3">
      <c r="B63" s="37"/>
    </row>
    <row r="64" spans="2:14" ht="14.4" customHeight="1" x14ac:dyDescent="0.3">
      <c r="B64" s="9" t="s">
        <v>2</v>
      </c>
      <c r="C64" s="9" t="s">
        <v>214</v>
      </c>
      <c r="D64" s="6"/>
      <c r="E64" s="6"/>
      <c r="F64" s="6"/>
      <c r="G64" s="6"/>
    </row>
    <row r="65" spans="2:15" ht="14.4" customHeight="1" x14ac:dyDescent="0.3">
      <c r="B65" s="25"/>
      <c r="C65" s="25"/>
      <c r="D65" s="23" t="str">
        <f>Input_!D$5</f>
        <v>2023-24</v>
      </c>
      <c r="E65" s="23" t="str">
        <f>Input_!E$5</f>
        <v>2024-25</v>
      </c>
      <c r="F65" s="23" t="str">
        <f>Input_!F$5</f>
        <v>2025-26</v>
      </c>
      <c r="G65" s="23" t="str">
        <f>Input_!G$5</f>
        <v>2026-27</v>
      </c>
    </row>
    <row r="66" spans="2:15" ht="14.4" customHeight="1" x14ac:dyDescent="0.3">
      <c r="B66" s="24"/>
      <c r="C66" s="24"/>
      <c r="D66" s="8"/>
      <c r="E66" s="8"/>
      <c r="F66" s="8"/>
      <c r="G66" s="8"/>
    </row>
    <row r="67" spans="2:15" ht="14.4" customHeight="1" x14ac:dyDescent="0.3">
      <c r="B67" s="36" t="s">
        <v>0</v>
      </c>
      <c r="C67" s="3" t="s">
        <v>216</v>
      </c>
      <c r="D67" s="57">
        <f>IF(D7=0,0,Input_!D$190*D55*Input_!D$7/D7)</f>
        <v>3.326149638120806E-2</v>
      </c>
      <c r="E67" s="57">
        <f>IF(E7=0,0,Input_!E$190*E55*Input_!E$7/E7)</f>
        <v>3.5357916266506952E-2</v>
      </c>
      <c r="F67" s="57">
        <f>IF(F7=0,0,Input_!F$190*F55*Input_!F$7/F7)</f>
        <v>3.5357916266506952E-2</v>
      </c>
      <c r="G67" s="57">
        <f>IF(G7=0,0,Input_!G$190*G55*Input_!G$7/G7)</f>
        <v>3.5357916266506952E-2</v>
      </c>
      <c r="I67"/>
      <c r="J67"/>
      <c r="K67"/>
      <c r="L67"/>
      <c r="M67"/>
      <c r="N67"/>
      <c r="O67"/>
    </row>
    <row r="68" spans="2:15" ht="14.4" customHeight="1" x14ac:dyDescent="0.3">
      <c r="B68" s="36" t="s">
        <v>215</v>
      </c>
      <c r="C68" s="3" t="s">
        <v>216</v>
      </c>
      <c r="D68" s="57">
        <f>IF(D8=0,0,Input_!D$190*D56*Input_!D$7/D8)</f>
        <v>3.045858531326455E-2</v>
      </c>
      <c r="E68" s="57">
        <f>IF(E8=0,0,Input_!E$190*E56*Input_!E$7/E8)</f>
        <v>3.2219224272432422E-2</v>
      </c>
      <c r="F68" s="57">
        <f>IF(F8=0,0,Input_!F$190*F56*Input_!F$7/F8)</f>
        <v>3.2219224272432422E-2</v>
      </c>
      <c r="G68" s="57">
        <f>IF(G8=0,0,Input_!G$190*G56*Input_!G$7/G8)</f>
        <v>3.2219224272432422E-2</v>
      </c>
      <c r="I68"/>
      <c r="J68"/>
      <c r="K68"/>
      <c r="L68"/>
      <c r="M68"/>
      <c r="N68"/>
      <c r="O68"/>
    </row>
    <row r="69" spans="2:15" ht="14.4" customHeight="1" x14ac:dyDescent="0.3">
      <c r="B69" s="36" t="s">
        <v>217</v>
      </c>
      <c r="C69" s="3" t="s">
        <v>14</v>
      </c>
      <c r="D69" s="57">
        <f>IF(D9=0,0,Input_!D$190*D57*Input_!D$7/D9)</f>
        <v>9.3422859210249107E-2</v>
      </c>
      <c r="E69" s="57">
        <f>IF(E9=0,0,Input_!E$190*E57*Input_!E$7/E9)</f>
        <v>9.8653543672850466E-2</v>
      </c>
      <c r="F69" s="57">
        <f>IF(F9=0,0,Input_!F$190*F57*Input_!F$7/F9)</f>
        <v>9.8653543672850466E-2</v>
      </c>
      <c r="G69" s="57">
        <f>IF(G9=0,0,Input_!G$190*G57*Input_!G$7/G9)</f>
        <v>9.8653543672850466E-2</v>
      </c>
      <c r="J69"/>
      <c r="K69"/>
      <c r="L69"/>
      <c r="M69"/>
      <c r="N69"/>
      <c r="O69"/>
    </row>
    <row r="70" spans="2:15" ht="14.4" customHeight="1" x14ac:dyDescent="0.3">
      <c r="B70" s="36" t="s">
        <v>218</v>
      </c>
      <c r="C70" s="3" t="s">
        <v>15</v>
      </c>
      <c r="D70" s="57">
        <f>IF(D10=0,0,Input_!D$190*D58*Input_!D$7/D10)</f>
        <v>6.7988161571272904E-3</v>
      </c>
      <c r="E70" s="57">
        <f>IF(E10=0,0,Input_!E$190*E58*Input_!E$7/E10)</f>
        <v>7.102685939819945E-3</v>
      </c>
      <c r="F70" s="57">
        <f>IF(F10=0,0,Input_!F$190*F58*Input_!F$7/F10)</f>
        <v>7.102685939819945E-3</v>
      </c>
      <c r="G70" s="57">
        <f>IF(G10=0,0,Input_!G$190*G58*Input_!G$7/G10)</f>
        <v>7.102685939819945E-3</v>
      </c>
      <c r="J70"/>
      <c r="K70"/>
      <c r="L70"/>
      <c r="M70"/>
      <c r="N70"/>
      <c r="O70"/>
    </row>
    <row r="71" spans="2:15" ht="14.4" customHeight="1" x14ac:dyDescent="0.3">
      <c r="B71" s="36" t="s">
        <v>26</v>
      </c>
      <c r="C71" s="3" t="s">
        <v>219</v>
      </c>
      <c r="D71" s="57">
        <f>IF(D11=0,0,Input_!D$190*D59*Input_!D$7/D11)</f>
        <v>6.528340819081129E-3</v>
      </c>
      <c r="E71" s="57">
        <f>IF(E11=0,0,Input_!E$190*E59*Input_!E$7/E11)</f>
        <v>6.934147957642682E-3</v>
      </c>
      <c r="F71" s="57">
        <f>IF(F11=0,0,Input_!F$190*F59*Input_!F$7/F11)</f>
        <v>6.934147957642682E-3</v>
      </c>
      <c r="G71" s="57">
        <f>IF(G11=0,0,Input_!G$190*G59*Input_!G$7/G11)</f>
        <v>6.934147957642682E-3</v>
      </c>
      <c r="J71"/>
      <c r="K71"/>
      <c r="L71"/>
      <c r="M71"/>
      <c r="N71"/>
      <c r="O71"/>
    </row>
    <row r="74" spans="2:15" ht="28.8" customHeight="1" x14ac:dyDescent="0.3">
      <c r="B74" s="32" t="s">
        <v>618</v>
      </c>
      <c r="C74" s="5"/>
      <c r="D74" s="5"/>
      <c r="E74" s="5"/>
      <c r="F74" s="5"/>
      <c r="G74" s="5"/>
    </row>
    <row r="75" spans="2:15" ht="14.4" customHeight="1" x14ac:dyDescent="0.3">
      <c r="B75" s="37" t="s">
        <v>260</v>
      </c>
    </row>
    <row r="76" spans="2:15" ht="14.4" customHeight="1" x14ac:dyDescent="0.3">
      <c r="B76" s="9" t="s">
        <v>2</v>
      </c>
      <c r="C76" s="9" t="s">
        <v>214</v>
      </c>
      <c r="D76" s="6"/>
      <c r="E76" s="6"/>
      <c r="F76" s="6"/>
      <c r="G76" s="6"/>
    </row>
    <row r="77" spans="2:15" ht="14.4" customHeight="1" x14ac:dyDescent="0.3">
      <c r="B77" s="25"/>
      <c r="C77" s="25"/>
      <c r="D77" s="23" t="str">
        <f>Input_!D$5</f>
        <v>2023-24</v>
      </c>
      <c r="E77" s="23" t="str">
        <f>Input_!E$5</f>
        <v>2024-25</v>
      </c>
      <c r="F77" s="23" t="str">
        <f>Input_!F$5</f>
        <v>2025-26</v>
      </c>
      <c r="G77" s="23" t="str">
        <f>Input_!G$5</f>
        <v>2026-27</v>
      </c>
    </row>
    <row r="78" spans="2:15" ht="14.4" customHeight="1" x14ac:dyDescent="0.3">
      <c r="B78" s="24"/>
      <c r="C78" s="24"/>
      <c r="D78" s="8"/>
      <c r="E78" s="8"/>
      <c r="F78" s="8"/>
      <c r="G78" s="8"/>
    </row>
    <row r="79" spans="2:15" ht="14.4" customHeight="1" x14ac:dyDescent="0.3">
      <c r="B79" s="36" t="s">
        <v>225</v>
      </c>
      <c r="C79" s="3" t="s">
        <v>224</v>
      </c>
      <c r="D79" s="57">
        <f>IF('RPM &amp; Discounts'!$B$3='A0.Support'!$B$5,1,SUMPRODUCT(D$67:D$68,D$7:D$8)/SUM(D$7:D$8))</f>
        <v>3.3066849779267535E-2</v>
      </c>
      <c r="E79" s="57">
        <f>IF('RPM &amp; Discounts'!$B$3='A0.Support'!$B$5,1,SUMPRODUCT(E$67:E$68,E$7:E$8)/SUM(E$7:E$8))</f>
        <v>3.5139951544696221E-2</v>
      </c>
      <c r="F79" s="57">
        <f>IF('RPM &amp; Discounts'!$B$3='A0.Support'!$B$5,1,SUMPRODUCT(F$67:F$68,F$7:F$8)/SUM(F$7:F$8))</f>
        <v>3.5139951544696221E-2</v>
      </c>
      <c r="G79" s="57">
        <f>IF('RPM &amp; Discounts'!$B$3='A0.Support'!$B$5,1,SUMPRODUCT(G$67:G$68,G$7:G$8)/SUM(G$7:G$8))</f>
        <v>3.5139951544696221E-2</v>
      </c>
      <c r="I79"/>
      <c r="J79"/>
      <c r="K79"/>
      <c r="L79"/>
      <c r="M79"/>
      <c r="N79"/>
    </row>
    <row r="80" spans="2:15" ht="14.4" customHeight="1" x14ac:dyDescent="0.3">
      <c r="B80" s="36" t="s">
        <v>217</v>
      </c>
      <c r="C80" s="3" t="s">
        <v>14</v>
      </c>
      <c r="D80" s="57">
        <f>IF('RPM &amp; Discounts'!$B$3='A0.Support'!$B$5,1,D69)</f>
        <v>9.3422859210249107E-2</v>
      </c>
      <c r="E80" s="57">
        <f>IF('RPM &amp; Discounts'!$B$3='A0.Support'!$B$5,1,E69)</f>
        <v>9.8653543672850466E-2</v>
      </c>
      <c r="F80" s="57">
        <f>IF('RPM &amp; Discounts'!$B$3='A0.Support'!$B$5,1,F69)</f>
        <v>9.8653543672850466E-2</v>
      </c>
      <c r="G80" s="57">
        <f>IF('RPM &amp; Discounts'!$B$3='A0.Support'!$B$5,1,G69)</f>
        <v>9.8653543672850466E-2</v>
      </c>
      <c r="I80"/>
      <c r="J80"/>
      <c r="K80"/>
      <c r="L80"/>
      <c r="M80"/>
      <c r="N80"/>
    </row>
    <row r="81" spans="2:14" ht="14.4" customHeight="1" x14ac:dyDescent="0.3">
      <c r="B81" s="36" t="s">
        <v>218</v>
      </c>
      <c r="C81" s="3" t="s">
        <v>15</v>
      </c>
      <c r="D81" s="57">
        <f>IF('RPM &amp; Discounts'!$B$3='A0.Support'!$B$5,1,D70)</f>
        <v>6.7988161571272904E-3</v>
      </c>
      <c r="E81" s="57">
        <f>IF('RPM &amp; Discounts'!$B$3='A0.Support'!$B$5,1,E70)</f>
        <v>7.102685939819945E-3</v>
      </c>
      <c r="F81" s="57">
        <f>IF('RPM &amp; Discounts'!$B$3='A0.Support'!$B$5,1,F70)</f>
        <v>7.102685939819945E-3</v>
      </c>
      <c r="G81" s="57">
        <f>IF('RPM &amp; Discounts'!$B$3='A0.Support'!$B$5,1,G70)</f>
        <v>7.102685939819945E-3</v>
      </c>
      <c r="I81"/>
      <c r="J81"/>
      <c r="K81"/>
      <c r="L81"/>
      <c r="M81"/>
      <c r="N81"/>
    </row>
    <row r="82" spans="2:14" ht="14.4" customHeight="1" x14ac:dyDescent="0.3">
      <c r="B82" s="36" t="s">
        <v>26</v>
      </c>
      <c r="C82" s="3" t="s">
        <v>219</v>
      </c>
      <c r="D82" s="57">
        <f>IF('RPM &amp; Discounts'!$B$3='A0.Support'!$B$5,1,D71)</f>
        <v>6.528340819081129E-3</v>
      </c>
      <c r="E82" s="57">
        <f>IF('RPM &amp; Discounts'!$B$3='A0.Support'!$B$5,1,E71)</f>
        <v>6.934147957642682E-3</v>
      </c>
      <c r="F82" s="57">
        <f>IF('RPM &amp; Discounts'!$B$3='A0.Support'!$B$5,1,F71)</f>
        <v>6.934147957642682E-3</v>
      </c>
      <c r="G82" s="57">
        <f>IF('RPM &amp; Discounts'!$B$3='A0.Support'!$B$5,1,G71)</f>
        <v>6.934147957642682E-3</v>
      </c>
      <c r="I82"/>
      <c r="J82"/>
      <c r="K82"/>
      <c r="L82"/>
      <c r="M82"/>
      <c r="N82"/>
    </row>
    <row r="85" spans="2:14" ht="28.8" customHeight="1" x14ac:dyDescent="0.3">
      <c r="B85" s="32" t="s">
        <v>619</v>
      </c>
      <c r="C85" s="5"/>
      <c r="D85" s="5"/>
      <c r="E85" s="5"/>
      <c r="F85" s="5"/>
      <c r="G85" s="5"/>
    </row>
    <row r="86" spans="2:14" ht="14.4" customHeight="1" x14ac:dyDescent="0.3">
      <c r="B86" s="37"/>
    </row>
    <row r="87" spans="2:14" ht="14.4" customHeight="1" x14ac:dyDescent="0.3">
      <c r="B87" s="9" t="s">
        <v>2</v>
      </c>
      <c r="C87" s="9" t="s">
        <v>238</v>
      </c>
      <c r="D87" s="6"/>
      <c r="E87" s="6"/>
      <c r="F87" s="6"/>
      <c r="G87" s="6"/>
    </row>
    <row r="88" spans="2:14" ht="14.4" customHeight="1" x14ac:dyDescent="0.3">
      <c r="B88" s="25"/>
      <c r="C88" s="25"/>
      <c r="D88" s="23" t="str">
        <f>Input_!D$5</f>
        <v>2023-24</v>
      </c>
      <c r="E88" s="23" t="str">
        <f>Input_!E$5</f>
        <v>2024-25</v>
      </c>
      <c r="F88" s="23" t="str">
        <f>Input_!F$5</f>
        <v>2025-26</v>
      </c>
      <c r="G88" s="23" t="str">
        <f>Input_!G$5</f>
        <v>2026-27</v>
      </c>
    </row>
    <row r="89" spans="2:14" ht="14.4" customHeight="1" x14ac:dyDescent="0.3">
      <c r="B89" s="24"/>
      <c r="C89" s="24"/>
      <c r="D89" s="8"/>
      <c r="E89" s="8"/>
      <c r="F89" s="8"/>
      <c r="G89" s="8"/>
    </row>
    <row r="90" spans="2:14" ht="14.4" customHeight="1" x14ac:dyDescent="0.3">
      <c r="B90" s="36" t="s">
        <v>225</v>
      </c>
      <c r="C90" s="3" t="s">
        <v>224</v>
      </c>
      <c r="D90" s="57">
        <f t="shared" ref="D90:G90" si="5">D79</f>
        <v>3.3066849779267535E-2</v>
      </c>
      <c r="E90" s="57">
        <f t="shared" si="5"/>
        <v>3.5139951544696221E-2</v>
      </c>
      <c r="F90" s="57">
        <f t="shared" si="5"/>
        <v>3.5139951544696221E-2</v>
      </c>
      <c r="G90" s="57">
        <f t="shared" si="5"/>
        <v>3.5139951544696221E-2</v>
      </c>
    </row>
    <row r="91" spans="2:14" ht="14.4" customHeight="1" x14ac:dyDescent="0.3">
      <c r="B91" s="36" t="s">
        <v>217</v>
      </c>
      <c r="C91" s="3" t="s">
        <v>14</v>
      </c>
      <c r="D91" s="57">
        <f t="shared" ref="D91:G93" si="6">D80</f>
        <v>9.3422859210249107E-2</v>
      </c>
      <c r="E91" s="57">
        <f t="shared" si="6"/>
        <v>9.8653543672850466E-2</v>
      </c>
      <c r="F91" s="57">
        <f t="shared" si="6"/>
        <v>9.8653543672850466E-2</v>
      </c>
      <c r="G91" s="57">
        <f t="shared" si="6"/>
        <v>9.8653543672850466E-2</v>
      </c>
    </row>
    <row r="92" spans="2:14" ht="14.4" customHeight="1" x14ac:dyDescent="0.3">
      <c r="B92" s="36" t="s">
        <v>218</v>
      </c>
      <c r="C92" s="3" t="s">
        <v>15</v>
      </c>
      <c r="D92" s="57">
        <f t="shared" si="6"/>
        <v>6.7988161571272904E-3</v>
      </c>
      <c r="E92" s="57">
        <f t="shared" si="6"/>
        <v>7.102685939819945E-3</v>
      </c>
      <c r="F92" s="57">
        <f t="shared" si="6"/>
        <v>7.102685939819945E-3</v>
      </c>
      <c r="G92" s="57">
        <f t="shared" si="6"/>
        <v>7.102685939819945E-3</v>
      </c>
    </row>
    <row r="93" spans="2:14" ht="14.4" customHeight="1" x14ac:dyDescent="0.3">
      <c r="B93" s="36" t="s">
        <v>26</v>
      </c>
      <c r="C93" s="3" t="s">
        <v>219</v>
      </c>
      <c r="D93" s="57">
        <f t="shared" si="6"/>
        <v>6.528340819081129E-3</v>
      </c>
      <c r="E93" s="57">
        <f t="shared" si="6"/>
        <v>6.934147957642682E-3</v>
      </c>
      <c r="F93" s="57">
        <f t="shared" si="6"/>
        <v>6.934147957642682E-3</v>
      </c>
      <c r="G93" s="57">
        <f t="shared" si="6"/>
        <v>6.934147957642682E-3</v>
      </c>
    </row>
    <row r="94" spans="2:14" ht="14.4" customHeight="1" x14ac:dyDescent="0.3">
      <c r="B94" s="9" t="s">
        <v>2</v>
      </c>
      <c r="C94" s="9" t="s">
        <v>239</v>
      </c>
      <c r="D94" s="6"/>
      <c r="E94" s="6"/>
      <c r="F94" s="6"/>
      <c r="G94" s="6"/>
    </row>
    <row r="95" spans="2:14" ht="14.4" customHeight="1" x14ac:dyDescent="0.3">
      <c r="B95" s="25"/>
      <c r="C95" s="25"/>
      <c r="D95" s="23" t="str">
        <f>Input_!D$5</f>
        <v>2023-24</v>
      </c>
      <c r="E95" s="23" t="str">
        <f>Input_!E$5</f>
        <v>2024-25</v>
      </c>
      <c r="F95" s="23" t="str">
        <f>Input_!F$5</f>
        <v>2025-26</v>
      </c>
      <c r="G95" s="23" t="str">
        <f>Input_!G$5</f>
        <v>2026-27</v>
      </c>
    </row>
    <row r="96" spans="2:14" ht="14.4" customHeight="1" x14ac:dyDescent="0.3">
      <c r="B96" s="24"/>
      <c r="C96" s="24"/>
      <c r="D96" s="8"/>
      <c r="E96" s="8"/>
      <c r="F96" s="8"/>
      <c r="G96" s="8"/>
    </row>
    <row r="97" spans="2:7" ht="14.4" customHeight="1" x14ac:dyDescent="0.3">
      <c r="B97" s="36" t="s">
        <v>225</v>
      </c>
      <c r="C97" s="3" t="s">
        <v>224</v>
      </c>
      <c r="D97" s="57">
        <f t="shared" ref="D97:G97" si="7">D79</f>
        <v>3.3066849779267535E-2</v>
      </c>
      <c r="E97" s="57">
        <f t="shared" si="7"/>
        <v>3.5139951544696221E-2</v>
      </c>
      <c r="F97" s="57">
        <f t="shared" si="7"/>
        <v>3.5139951544696221E-2</v>
      </c>
      <c r="G97" s="57">
        <f t="shared" si="7"/>
        <v>3.5139951544696221E-2</v>
      </c>
    </row>
    <row r="98" spans="2:7" ht="14.4" customHeight="1" x14ac:dyDescent="0.3">
      <c r="B98" s="36" t="s">
        <v>217</v>
      </c>
      <c r="C98" s="3" t="s">
        <v>14</v>
      </c>
      <c r="D98" s="57">
        <f t="shared" ref="D98:G99" si="8">D80</f>
        <v>9.3422859210249107E-2</v>
      </c>
      <c r="E98" s="57">
        <f t="shared" si="8"/>
        <v>9.8653543672850466E-2</v>
      </c>
      <c r="F98" s="57">
        <f t="shared" si="8"/>
        <v>9.8653543672850466E-2</v>
      </c>
      <c r="G98" s="57">
        <f t="shared" si="8"/>
        <v>9.8653543672850466E-2</v>
      </c>
    </row>
    <row r="99" spans="2:7" ht="14.4" customHeight="1" x14ac:dyDescent="0.3">
      <c r="B99" s="36" t="s">
        <v>218</v>
      </c>
      <c r="C99" s="3" t="s">
        <v>15</v>
      </c>
      <c r="D99" s="57">
        <f t="shared" si="8"/>
        <v>6.7988161571272904E-3</v>
      </c>
      <c r="E99" s="57">
        <f t="shared" si="8"/>
        <v>7.102685939819945E-3</v>
      </c>
      <c r="F99" s="57">
        <f t="shared" si="8"/>
        <v>7.102685939819945E-3</v>
      </c>
      <c r="G99" s="57">
        <f t="shared" si="8"/>
        <v>7.102685939819945E-3</v>
      </c>
    </row>
    <row r="102" spans="2:7" ht="28.8" customHeight="1" x14ac:dyDescent="0.3">
      <c r="B102" s="32" t="s">
        <v>234</v>
      </c>
      <c r="C102" s="5"/>
      <c r="D102" s="5"/>
      <c r="E102" s="5"/>
      <c r="F102" s="5"/>
      <c r="G102" s="5"/>
    </row>
    <row r="103" spans="2:7" ht="14.4" customHeight="1" x14ac:dyDescent="0.3">
      <c r="B103" s="37"/>
    </row>
    <row r="104" spans="2:7" ht="14.4" customHeight="1" x14ac:dyDescent="0.3">
      <c r="B104" s="9" t="s">
        <v>2</v>
      </c>
      <c r="C104" s="9" t="s">
        <v>238</v>
      </c>
      <c r="D104" s="6"/>
      <c r="E104" s="6"/>
      <c r="F104" s="6"/>
      <c r="G104" s="6"/>
    </row>
    <row r="105" spans="2:7" ht="14.4" customHeight="1" x14ac:dyDescent="0.3">
      <c r="B105" s="25"/>
      <c r="C105" s="25"/>
      <c r="D105" s="23" t="str">
        <f>Input_!D$5</f>
        <v>2023-24</v>
      </c>
      <c r="E105" s="23" t="str">
        <f>Input_!E$5</f>
        <v>2024-25</v>
      </c>
      <c r="F105" s="23" t="str">
        <f>Input_!F$5</f>
        <v>2025-26</v>
      </c>
      <c r="G105" s="23" t="str">
        <f>Input_!G$5</f>
        <v>2026-27</v>
      </c>
    </row>
    <row r="106" spans="2:7" ht="14.4" customHeight="1" x14ac:dyDescent="0.3">
      <c r="B106" s="24"/>
      <c r="C106" s="24"/>
      <c r="D106" s="8"/>
      <c r="E106" s="8"/>
      <c r="F106" s="8"/>
      <c r="G106" s="8"/>
    </row>
    <row r="107" spans="2:7" ht="14.4" customHeight="1" x14ac:dyDescent="0.3">
      <c r="B107" s="36" t="s">
        <v>225</v>
      </c>
      <c r="C107" s="3" t="s">
        <v>224</v>
      </c>
      <c r="D107" s="54">
        <v>0</v>
      </c>
      <c r="E107" s="54">
        <v>0</v>
      </c>
      <c r="F107" s="54">
        <v>0</v>
      </c>
      <c r="G107" s="54">
        <v>0</v>
      </c>
    </row>
    <row r="108" spans="2:7" ht="14.4" customHeight="1" x14ac:dyDescent="0.3">
      <c r="B108" s="36" t="s">
        <v>217</v>
      </c>
      <c r="C108" s="3" t="s">
        <v>14</v>
      </c>
      <c r="D108" s="54">
        <v>0</v>
      </c>
      <c r="E108" s="54">
        <v>0</v>
      </c>
      <c r="F108" s="54">
        <v>0</v>
      </c>
      <c r="G108" s="54">
        <v>0</v>
      </c>
    </row>
    <row r="109" spans="2:7" ht="14.4" customHeight="1" x14ac:dyDescent="0.3">
      <c r="B109" s="36" t="s">
        <v>218</v>
      </c>
      <c r="C109" s="3" t="s">
        <v>15</v>
      </c>
      <c r="D109" s="54">
        <f>IF('RPM &amp; Discounts'!$B$8='A0.Support'!$B$12,Input_!D155,IF('RPM &amp; Discounts'!$B$8='A0.Support'!$B$13,0,"Error"))</f>
        <v>1</v>
      </c>
      <c r="E109" s="54">
        <f>IF('RPM &amp; Discounts'!$B$8='A0.Support'!$B$12,Input_!E155,IF('RPM &amp; Discounts'!$B$8='A0.Support'!$B$13,0,"Error"))</f>
        <v>1</v>
      </c>
      <c r="F109" s="54">
        <f>IF('RPM &amp; Discounts'!$B$8='A0.Support'!$B$12,Input_!F155,IF('RPM &amp; Discounts'!$B$8='A0.Support'!$B$13,0,"Error"))</f>
        <v>1</v>
      </c>
      <c r="G109" s="54">
        <f>IF('RPM &amp; Discounts'!$B$8='A0.Support'!$B$12,Input_!G155,IF('RPM &amp; Discounts'!$B$8='A0.Support'!$B$13,0,"Error"))</f>
        <v>1</v>
      </c>
    </row>
    <row r="110" spans="2:7" ht="14.4" customHeight="1" x14ac:dyDescent="0.3">
      <c r="B110" s="36" t="s">
        <v>26</v>
      </c>
      <c r="C110" s="3" t="s">
        <v>219</v>
      </c>
      <c r="D110" s="54">
        <v>0</v>
      </c>
      <c r="E110" s="54">
        <v>0</v>
      </c>
      <c r="F110" s="54">
        <v>0</v>
      </c>
      <c r="G110" s="54">
        <v>0</v>
      </c>
    </row>
    <row r="111" spans="2:7" ht="14.4" customHeight="1" x14ac:dyDescent="0.3">
      <c r="B111" s="9" t="s">
        <v>2</v>
      </c>
      <c r="C111" s="9" t="s">
        <v>239</v>
      </c>
      <c r="D111" s="6"/>
      <c r="E111" s="6"/>
      <c r="F111" s="6"/>
      <c r="G111" s="6"/>
    </row>
    <row r="112" spans="2:7" ht="14.4" customHeight="1" x14ac:dyDescent="0.3">
      <c r="B112" s="25"/>
      <c r="C112" s="25"/>
      <c r="D112" s="23" t="str">
        <f>Input_!D$5</f>
        <v>2023-24</v>
      </c>
      <c r="E112" s="23" t="str">
        <f>Input_!E$5</f>
        <v>2024-25</v>
      </c>
      <c r="F112" s="23" t="str">
        <f>Input_!F$5</f>
        <v>2025-26</v>
      </c>
      <c r="G112" s="23" t="str">
        <f>Input_!G$5</f>
        <v>2026-27</v>
      </c>
    </row>
    <row r="113" spans="2:9" ht="14.4" customHeight="1" x14ac:dyDescent="0.3">
      <c r="B113" s="24"/>
      <c r="C113" s="24"/>
      <c r="D113" s="8"/>
      <c r="E113" s="8"/>
      <c r="F113" s="8"/>
      <c r="G113" s="8"/>
    </row>
    <row r="114" spans="2:9" ht="14.4" customHeight="1" x14ac:dyDescent="0.3">
      <c r="B114" s="36" t="s">
        <v>225</v>
      </c>
      <c r="C114" s="3" t="s">
        <v>224</v>
      </c>
      <c r="D114" s="54">
        <f>IF('RPM &amp; Discounts'!$B$8='A0.Support'!$B$12,1-(1-D107)*(1-Input_!D162),IF('RPM &amp; Discounts'!$B$8='A0.Support'!$B$13,0,"Error"))</f>
        <v>4.6000000000000041E-2</v>
      </c>
      <c r="E114" s="54">
        <f>IF('RPM &amp; Discounts'!$B$8='A0.Support'!$B$12,1-(1-E107)*(1-Input_!E162),IF('RPM &amp; Discounts'!$B$8='A0.Support'!$B$13,0,"Error"))</f>
        <v>4.6000000000000041E-2</v>
      </c>
      <c r="F114" s="54">
        <f>IF('RPM &amp; Discounts'!$B$8='A0.Support'!$B$12,1-(1-F107)*(1-Input_!F162),IF('RPM &amp; Discounts'!$B$8='A0.Support'!$B$13,0,"Error"))</f>
        <v>4.6000000000000041E-2</v>
      </c>
      <c r="G114" s="54">
        <f>IF('RPM &amp; Discounts'!$B$8='A0.Support'!$B$12,1-(1-G107)*(1-Input_!G162),IF('RPM &amp; Discounts'!$B$8='A0.Support'!$B$13,0,"Error"))</f>
        <v>4.6000000000000041E-2</v>
      </c>
      <c r="I114"/>
    </row>
    <row r="115" spans="2:9" ht="14.4" customHeight="1" x14ac:dyDescent="0.3">
      <c r="B115" s="36" t="s">
        <v>217</v>
      </c>
      <c r="C115" s="3" t="s">
        <v>14</v>
      </c>
      <c r="D115" s="54">
        <f>IF('RPM &amp; Discounts'!$B$8='A0.Support'!$B$12,1-(1-D108)*(1-Input_!D164),IF('RPM &amp; Discounts'!$B$8='A0.Support'!$B$13,0,"Error"))</f>
        <v>0.15300000000000002</v>
      </c>
      <c r="E115" s="54">
        <f>IF('RPM &amp; Discounts'!$B$8='A0.Support'!$B$12,1-(1-E108)*(1-Input_!E164),IF('RPM &amp; Discounts'!$B$8='A0.Support'!$B$13,0,"Error"))</f>
        <v>0.15300000000000002</v>
      </c>
      <c r="F115" s="54">
        <f>IF('RPM &amp; Discounts'!$B$8='A0.Support'!$B$12,1-(1-F108)*(1-Input_!F164),IF('RPM &amp; Discounts'!$B$8='A0.Support'!$B$13,0,"Error"))</f>
        <v>0.15300000000000002</v>
      </c>
      <c r="G115" s="54">
        <f>IF('RPM &amp; Discounts'!$B$8='A0.Support'!$B$12,1-(1-G108)*(1-Input_!G164),IF('RPM &amp; Discounts'!$B$8='A0.Support'!$B$13,0,"Error"))</f>
        <v>0.15300000000000002</v>
      </c>
    </row>
    <row r="116" spans="2:9" ht="14.4" customHeight="1" x14ac:dyDescent="0.3">
      <c r="B116" s="36" t="s">
        <v>218</v>
      </c>
      <c r="C116" s="3" t="s">
        <v>15</v>
      </c>
      <c r="D116" s="54">
        <f>IF('RPM &amp; Discounts'!$B$8='A0.Support'!$B$12,1-(1-D109)*(1-Input_!D165),IF('RPM &amp; Discounts'!$B$8='A0.Support'!$B$13,0,"Error"))</f>
        <v>1</v>
      </c>
      <c r="E116" s="54">
        <f>IF('RPM &amp; Discounts'!$B$8='A0.Support'!$B$12,1-(1-E109)*(1-Input_!E165),IF('RPM &amp; Discounts'!$B$8='A0.Support'!$B$13,0,"Error"))</f>
        <v>1</v>
      </c>
      <c r="F116" s="54">
        <f>IF('RPM &amp; Discounts'!$B$8='A0.Support'!$B$12,1-(1-F109)*(1-Input_!F165),IF('RPM &amp; Discounts'!$B$8='A0.Support'!$B$13,0,"Error"))</f>
        <v>1</v>
      </c>
      <c r="G116" s="54">
        <f>IF('RPM &amp; Discounts'!$B$8='A0.Support'!$B$12,1-(1-G109)*(1-Input_!G165),IF('RPM &amp; Discounts'!$B$8='A0.Support'!$B$13,0,"Error"))</f>
        <v>1</v>
      </c>
    </row>
    <row r="119" spans="2:9" ht="28.8" customHeight="1" x14ac:dyDescent="0.3">
      <c r="B119" s="32" t="s">
        <v>620</v>
      </c>
      <c r="C119" s="5"/>
      <c r="D119" s="5"/>
      <c r="E119" s="5"/>
      <c r="F119" s="5"/>
      <c r="G119" s="5"/>
    </row>
    <row r="120" spans="2:9" ht="14.4" customHeight="1" x14ac:dyDescent="0.3">
      <c r="B120" s="37" t="s">
        <v>235</v>
      </c>
    </row>
    <row r="121" spans="2:9" ht="14.4" customHeight="1" x14ac:dyDescent="0.3">
      <c r="B121" s="9" t="s">
        <v>2</v>
      </c>
      <c r="C121" s="9" t="s">
        <v>238</v>
      </c>
      <c r="D121" s="6"/>
      <c r="E121" s="6"/>
      <c r="F121" s="6"/>
      <c r="G121" s="6"/>
    </row>
    <row r="122" spans="2:9" ht="14.4" customHeight="1" x14ac:dyDescent="0.3">
      <c r="B122" s="25"/>
      <c r="C122" s="25"/>
      <c r="D122" s="23" t="str">
        <f>Input_!D$5</f>
        <v>2023-24</v>
      </c>
      <c r="E122" s="23" t="str">
        <f>Input_!E$5</f>
        <v>2024-25</v>
      </c>
      <c r="F122" s="23" t="str">
        <f>Input_!F$5</f>
        <v>2025-26</v>
      </c>
      <c r="G122" s="23" t="str">
        <f>Input_!G$5</f>
        <v>2026-27</v>
      </c>
    </row>
    <row r="123" spans="2:9" ht="14.4" customHeight="1" x14ac:dyDescent="0.3">
      <c r="B123" s="24"/>
      <c r="C123" s="24"/>
      <c r="D123" s="8"/>
      <c r="E123" s="8"/>
      <c r="F123" s="8"/>
      <c r="G123" s="8"/>
    </row>
    <row r="124" spans="2:9" ht="14.4" customHeight="1" x14ac:dyDescent="0.3">
      <c r="B124" s="36" t="s">
        <v>225</v>
      </c>
      <c r="C124" s="3" t="s">
        <v>224</v>
      </c>
      <c r="D124" s="57">
        <f t="shared" ref="D124:G124" si="9">D90*(1-D107)</f>
        <v>3.3066849779267535E-2</v>
      </c>
      <c r="E124" s="57">
        <f t="shared" si="9"/>
        <v>3.5139951544696221E-2</v>
      </c>
      <c r="F124" s="57">
        <f t="shared" si="9"/>
        <v>3.5139951544696221E-2</v>
      </c>
      <c r="G124" s="57">
        <f t="shared" si="9"/>
        <v>3.5139951544696221E-2</v>
      </c>
    </row>
    <row r="125" spans="2:9" ht="14.4" customHeight="1" x14ac:dyDescent="0.3">
      <c r="B125" s="36" t="s">
        <v>217</v>
      </c>
      <c r="C125" s="3" t="s">
        <v>14</v>
      </c>
      <c r="D125" s="57">
        <f t="shared" ref="D125:G127" si="10">D91*(1-D108)</f>
        <v>9.3422859210249107E-2</v>
      </c>
      <c r="E125" s="57">
        <f t="shared" si="10"/>
        <v>9.8653543672850466E-2</v>
      </c>
      <c r="F125" s="57">
        <f t="shared" si="10"/>
        <v>9.8653543672850466E-2</v>
      </c>
      <c r="G125" s="57">
        <f t="shared" si="10"/>
        <v>9.8653543672850466E-2</v>
      </c>
    </row>
    <row r="126" spans="2:9" ht="14.4" customHeight="1" x14ac:dyDescent="0.3">
      <c r="B126" s="36" t="s">
        <v>218</v>
      </c>
      <c r="C126" s="3" t="s">
        <v>15</v>
      </c>
      <c r="D126" s="57">
        <f t="shared" si="10"/>
        <v>0</v>
      </c>
      <c r="E126" s="57">
        <f t="shared" si="10"/>
        <v>0</v>
      </c>
      <c r="F126" s="57">
        <f t="shared" si="10"/>
        <v>0</v>
      </c>
      <c r="G126" s="57">
        <f t="shared" si="10"/>
        <v>0</v>
      </c>
    </row>
    <row r="127" spans="2:9" ht="14.4" customHeight="1" x14ac:dyDescent="0.3">
      <c r="B127" s="36" t="s">
        <v>26</v>
      </c>
      <c r="C127" s="3" t="s">
        <v>219</v>
      </c>
      <c r="D127" s="57">
        <f t="shared" si="10"/>
        <v>6.528340819081129E-3</v>
      </c>
      <c r="E127" s="57">
        <f t="shared" si="10"/>
        <v>6.934147957642682E-3</v>
      </c>
      <c r="F127" s="57">
        <f t="shared" si="10"/>
        <v>6.934147957642682E-3</v>
      </c>
      <c r="G127" s="57">
        <f t="shared" si="10"/>
        <v>6.934147957642682E-3</v>
      </c>
    </row>
    <row r="128" spans="2:9" ht="14.4" customHeight="1" x14ac:dyDescent="0.3">
      <c r="B128" s="9" t="s">
        <v>2</v>
      </c>
      <c r="C128" s="9" t="s">
        <v>239</v>
      </c>
      <c r="D128" s="6"/>
      <c r="E128" s="6"/>
      <c r="F128" s="6"/>
      <c r="G128" s="6"/>
    </row>
    <row r="129" spans="2:7" ht="14.4" customHeight="1" x14ac:dyDescent="0.3">
      <c r="B129" s="25"/>
      <c r="C129" s="25"/>
      <c r="D129" s="23" t="str">
        <f>Input_!D$5</f>
        <v>2023-24</v>
      </c>
      <c r="E129" s="23" t="str">
        <f>Input_!E$5</f>
        <v>2024-25</v>
      </c>
      <c r="F129" s="23" t="str">
        <f>Input_!F$5</f>
        <v>2025-26</v>
      </c>
      <c r="G129" s="23" t="str">
        <f>Input_!G$5</f>
        <v>2026-27</v>
      </c>
    </row>
    <row r="130" spans="2:7" ht="14.4" customHeight="1" x14ac:dyDescent="0.3">
      <c r="B130" s="24"/>
      <c r="C130" s="24"/>
      <c r="D130" s="8"/>
      <c r="E130" s="8"/>
      <c r="F130" s="8"/>
      <c r="G130" s="8"/>
    </row>
    <row r="131" spans="2:7" ht="14.4" customHeight="1" x14ac:dyDescent="0.3">
      <c r="B131" s="36" t="s">
        <v>225</v>
      </c>
      <c r="C131" s="3" t="s">
        <v>224</v>
      </c>
      <c r="D131" s="57">
        <f t="shared" ref="D131:G133" si="11">D97*(1-D114)</f>
        <v>3.1545774689421227E-2</v>
      </c>
      <c r="E131" s="57">
        <f t="shared" si="11"/>
        <v>3.3523513773640191E-2</v>
      </c>
      <c r="F131" s="57">
        <f t="shared" si="11"/>
        <v>3.3523513773640191E-2</v>
      </c>
      <c r="G131" s="57">
        <f t="shared" si="11"/>
        <v>3.3523513773640191E-2</v>
      </c>
    </row>
    <row r="132" spans="2:7" ht="14.4" customHeight="1" x14ac:dyDescent="0.3">
      <c r="B132" s="36" t="s">
        <v>217</v>
      </c>
      <c r="C132" s="3" t="s">
        <v>14</v>
      </c>
      <c r="D132" s="57">
        <f t="shared" si="11"/>
        <v>7.9129161751080992E-2</v>
      </c>
      <c r="E132" s="57">
        <f t="shared" si="11"/>
        <v>8.3559551490904341E-2</v>
      </c>
      <c r="F132" s="57">
        <f t="shared" si="11"/>
        <v>8.3559551490904341E-2</v>
      </c>
      <c r="G132" s="57">
        <f t="shared" si="11"/>
        <v>8.3559551490904341E-2</v>
      </c>
    </row>
    <row r="133" spans="2:7" ht="14.4" customHeight="1" x14ac:dyDescent="0.3">
      <c r="B133" s="36" t="s">
        <v>218</v>
      </c>
      <c r="C133" s="3" t="s">
        <v>15</v>
      </c>
      <c r="D133" s="57">
        <f t="shared" si="11"/>
        <v>0</v>
      </c>
      <c r="E133" s="57">
        <f t="shared" si="11"/>
        <v>0</v>
      </c>
      <c r="F133" s="57">
        <f t="shared" si="11"/>
        <v>0</v>
      </c>
      <c r="G133" s="57">
        <f t="shared" si="11"/>
        <v>0</v>
      </c>
    </row>
    <row r="136" spans="2:7" ht="28.8" customHeight="1" x14ac:dyDescent="0.3">
      <c r="B136" s="32" t="s">
        <v>621</v>
      </c>
      <c r="C136" s="5"/>
      <c r="D136" s="5"/>
      <c r="E136" s="5"/>
      <c r="F136" s="5"/>
      <c r="G136" s="5"/>
    </row>
    <row r="137" spans="2:7" ht="14.4" customHeight="1" x14ac:dyDescent="0.3">
      <c r="B137" s="37"/>
    </row>
    <row r="138" spans="2:7" ht="14.4" customHeight="1" x14ac:dyDescent="0.3">
      <c r="B138" s="9" t="s">
        <v>2</v>
      </c>
      <c r="C138" s="9" t="s">
        <v>238</v>
      </c>
      <c r="D138" s="6"/>
      <c r="E138" s="6"/>
      <c r="F138" s="6"/>
      <c r="G138" s="6"/>
    </row>
    <row r="139" spans="2:7" ht="14.4" customHeight="1" x14ac:dyDescent="0.3">
      <c r="B139" s="25"/>
      <c r="C139" s="25"/>
      <c r="D139" s="23" t="str">
        <f>Input_!D$5</f>
        <v>2023-24</v>
      </c>
      <c r="E139" s="23" t="str">
        <f>Input_!E$5</f>
        <v>2024-25</v>
      </c>
      <c r="F139" s="23" t="str">
        <f>Input_!F$5</f>
        <v>2025-26</v>
      </c>
      <c r="G139" s="23" t="str">
        <f>Input_!G$5</f>
        <v>2026-27</v>
      </c>
    </row>
    <row r="140" spans="2:7" ht="14.4" customHeight="1" x14ac:dyDescent="0.3">
      <c r="B140" s="24"/>
      <c r="C140" s="24"/>
      <c r="D140" s="8"/>
      <c r="E140" s="8"/>
      <c r="F140" s="8"/>
      <c r="G140" s="8"/>
    </row>
    <row r="141" spans="2:7" ht="14.4" customHeight="1" x14ac:dyDescent="0.3">
      <c r="B141" s="36" t="s">
        <v>225</v>
      </c>
      <c r="C141" s="3" t="s">
        <v>224</v>
      </c>
      <c r="D141" s="38">
        <f>SUMPRODUCT(Input_!D20:D24,Input_!D115:D119)</f>
        <v>33239541.734246574</v>
      </c>
      <c r="E141" s="38">
        <f>SUMPRODUCT(Input_!E20:E24,Input_!E115:E119)</f>
        <v>34390482.416849315</v>
      </c>
      <c r="F141" s="38">
        <f>SUMPRODUCT(Input_!F20:F24,Input_!F115:F119)</f>
        <v>34390482.416849315</v>
      </c>
      <c r="G141" s="38">
        <f>SUMPRODUCT(Input_!G20:G24,Input_!G115:G119)</f>
        <v>34390482.416849315</v>
      </c>
    </row>
    <row r="142" spans="2:7" ht="14.4" customHeight="1" x14ac:dyDescent="0.3">
      <c r="B142" s="36" t="s">
        <v>217</v>
      </c>
      <c r="C142" s="3" t="s">
        <v>14</v>
      </c>
      <c r="D142" s="38">
        <f>SUMPRODUCT(Input_!D25:D29,Input_!D120:D124)</f>
        <v>200000000</v>
      </c>
      <c r="E142" s="38">
        <f>SUMPRODUCT(Input_!E25:E29,Input_!E120:E124)</f>
        <v>200000000</v>
      </c>
      <c r="F142" s="38">
        <f>SUMPRODUCT(Input_!F25:F29,Input_!F120:F124)</f>
        <v>200000000</v>
      </c>
      <c r="G142" s="38">
        <f>SUMPRODUCT(Input_!G25:G29,Input_!G120:G124)</f>
        <v>200000000</v>
      </c>
    </row>
    <row r="143" spans="2:7" ht="14.4" customHeight="1" x14ac:dyDescent="0.3">
      <c r="B143" s="36" t="s">
        <v>218</v>
      </c>
      <c r="C143" s="3" t="s">
        <v>15</v>
      </c>
      <c r="D143" s="38">
        <f>SUMPRODUCT(Input_!D30:D31,Input_!D125:D126)</f>
        <v>8990275.9128767122</v>
      </c>
      <c r="E143" s="38">
        <f>SUMPRODUCT(Input_!E30:E31,Input_!E125:E126)</f>
        <v>7435783.7183561651</v>
      </c>
      <c r="F143" s="38">
        <f>SUMPRODUCT(Input_!F30:F31,Input_!F125:F126)</f>
        <v>7435783.7183561651</v>
      </c>
      <c r="G143" s="38">
        <f>SUMPRODUCT(Input_!G30:G31,Input_!G125:G126)</f>
        <v>7435783.7183561651</v>
      </c>
    </row>
    <row r="144" spans="2:7" ht="14.4" customHeight="1" x14ac:dyDescent="0.3">
      <c r="B144" s="36" t="s">
        <v>26</v>
      </c>
      <c r="C144" s="3" t="s">
        <v>219</v>
      </c>
      <c r="D144" s="38">
        <f>Input_!D32</f>
        <v>1E-3</v>
      </c>
      <c r="E144" s="38">
        <f>Input_!E32</f>
        <v>1E-3</v>
      </c>
      <c r="F144" s="38">
        <f>Input_!F32</f>
        <v>1E-3</v>
      </c>
      <c r="G144" s="38">
        <f>Input_!G32</f>
        <v>1E-3</v>
      </c>
    </row>
    <row r="145" spans="2:7" ht="14.4" customHeight="1" x14ac:dyDescent="0.3">
      <c r="B145" s="9" t="s">
        <v>2</v>
      </c>
      <c r="C145" s="9" t="s">
        <v>239</v>
      </c>
      <c r="D145" s="6"/>
      <c r="E145" s="6"/>
      <c r="F145" s="6"/>
      <c r="G145" s="6"/>
    </row>
    <row r="146" spans="2:7" ht="14.4" customHeight="1" x14ac:dyDescent="0.3">
      <c r="B146" s="25"/>
      <c r="C146" s="25"/>
      <c r="D146" s="23" t="str">
        <f>Input_!D$5</f>
        <v>2023-24</v>
      </c>
      <c r="E146" s="23" t="str">
        <f>Input_!E$5</f>
        <v>2024-25</v>
      </c>
      <c r="F146" s="23" t="str">
        <f>Input_!F$5</f>
        <v>2025-26</v>
      </c>
      <c r="G146" s="23" t="str">
        <f>Input_!G$5</f>
        <v>2026-27</v>
      </c>
    </row>
    <row r="147" spans="2:7" ht="14.4" customHeight="1" x14ac:dyDescent="0.3">
      <c r="B147" s="24"/>
      <c r="C147" s="24"/>
      <c r="D147" s="8"/>
      <c r="E147" s="8"/>
      <c r="F147" s="8"/>
      <c r="G147" s="8"/>
    </row>
    <row r="148" spans="2:7" ht="14.4" customHeight="1" x14ac:dyDescent="0.3">
      <c r="B148" s="36" t="s">
        <v>225</v>
      </c>
      <c r="C148" s="3" t="s">
        <v>224</v>
      </c>
      <c r="D148" s="38">
        <f>Input_!D40*Input_!D118+Input_!D41*Input_!D119</f>
        <v>0</v>
      </c>
      <c r="E148" s="38">
        <f>Input_!E40*Input_!E118+Input_!E41*Input_!E119</f>
        <v>0</v>
      </c>
      <c r="F148" s="38">
        <f>Input_!F40*Input_!F118+Input_!F41*Input_!F119</f>
        <v>0</v>
      </c>
      <c r="G148" s="38">
        <f>Input_!G40*Input_!G118+Input_!G41*Input_!G119</f>
        <v>0</v>
      </c>
    </row>
    <row r="149" spans="2:7" ht="14.4" customHeight="1" x14ac:dyDescent="0.3">
      <c r="B149" s="36" t="s">
        <v>217</v>
      </c>
      <c r="C149" s="3" t="s">
        <v>14</v>
      </c>
      <c r="D149" s="38">
        <f>+Input_!D42*Input_!D124</f>
        <v>0</v>
      </c>
      <c r="E149" s="38">
        <f>+Input_!E42*Input_!E124</f>
        <v>0</v>
      </c>
      <c r="F149" s="38">
        <f>+Input_!F42*Input_!F124</f>
        <v>0</v>
      </c>
      <c r="G149" s="38">
        <f>+Input_!G42*Input_!G124</f>
        <v>0</v>
      </c>
    </row>
    <row r="150" spans="2:7" ht="14.4" customHeight="1" x14ac:dyDescent="0.3">
      <c r="B150" s="36" t="s">
        <v>218</v>
      </c>
      <c r="C150" s="3" t="s">
        <v>15</v>
      </c>
      <c r="D150" s="38">
        <f>+Input_!D43*Input_!D126</f>
        <v>0</v>
      </c>
      <c r="E150" s="38">
        <f>+Input_!E43*Input_!E126</f>
        <v>0</v>
      </c>
      <c r="F150" s="38">
        <f>+Input_!F43*Input_!F126</f>
        <v>0</v>
      </c>
      <c r="G150" s="38">
        <f>+Input_!G43*Input_!G126</f>
        <v>0</v>
      </c>
    </row>
    <row r="153" spans="2:7" ht="28.8" customHeight="1" x14ac:dyDescent="0.3">
      <c r="B153" s="32" t="s">
        <v>622</v>
      </c>
      <c r="C153" s="5"/>
      <c r="D153" s="5"/>
      <c r="E153" s="5"/>
      <c r="F153" s="5"/>
      <c r="G153" s="5"/>
    </row>
    <row r="154" spans="2:7" ht="14.4" customHeight="1" x14ac:dyDescent="0.3">
      <c r="B154" s="37"/>
    </row>
    <row r="155" spans="2:7" ht="14.4" customHeight="1" x14ac:dyDescent="0.3">
      <c r="B155" s="9" t="s">
        <v>2</v>
      </c>
      <c r="C155" s="9" t="s">
        <v>238</v>
      </c>
      <c r="D155" s="6"/>
      <c r="E155" s="6"/>
      <c r="F155" s="6"/>
      <c r="G155" s="6"/>
    </row>
    <row r="156" spans="2:7" ht="14.4" customHeight="1" x14ac:dyDescent="0.3">
      <c r="B156" s="25"/>
      <c r="C156" s="25"/>
      <c r="D156" s="23" t="str">
        <f>Input_!D$5</f>
        <v>2023-24</v>
      </c>
      <c r="E156" s="23" t="str">
        <f>Input_!E$5</f>
        <v>2024-25</v>
      </c>
      <c r="F156" s="23" t="str">
        <f>Input_!F$5</f>
        <v>2025-26</v>
      </c>
      <c r="G156" s="23" t="str">
        <f>Input_!G$5</f>
        <v>2026-27</v>
      </c>
    </row>
    <row r="157" spans="2:7" ht="14.4" customHeight="1" x14ac:dyDescent="0.3">
      <c r="B157" s="24"/>
      <c r="C157" s="24"/>
      <c r="D157" s="8"/>
      <c r="E157" s="8"/>
      <c r="F157" s="8"/>
      <c r="G157" s="8"/>
    </row>
    <row r="158" spans="2:7" ht="14.4" customHeight="1" x14ac:dyDescent="0.3">
      <c r="B158" s="36" t="s">
        <v>225</v>
      </c>
      <c r="C158" s="3" t="s">
        <v>224</v>
      </c>
      <c r="D158" s="57">
        <f>D124*Input_!D$190*Input_!D$7/(SUMPRODUCT(D$124:D$127,D$141:D$144)+SUMPRODUCT(D$131:D$133,D$148:D$150))</f>
        <v>3.3169012311714229E-2</v>
      </c>
      <c r="E158" s="57">
        <f>E124*Input_!E$190*Input_!E$7/(SUMPRODUCT(E$124:E$127,E$141:E$144)+SUMPRODUCT(E$131:E$133,E$148:E$150))</f>
        <v>3.5228583569366104E-2</v>
      </c>
      <c r="F158" s="57">
        <f>F124*Input_!F$190*Input_!F$7/(SUMPRODUCT(F$124:F$127,F$141:F$144)+SUMPRODUCT(F$131:F$133,F$148:F$150))</f>
        <v>3.5228583569366104E-2</v>
      </c>
      <c r="G158" s="57">
        <f>G124*Input_!G$190*Input_!G$7/(SUMPRODUCT(G$124:G$127,G$141:G$144)+SUMPRODUCT(G$131:G$133,G$148:G$150))</f>
        <v>3.5228583569366104E-2</v>
      </c>
    </row>
    <row r="159" spans="2:7" ht="14.4" customHeight="1" x14ac:dyDescent="0.3">
      <c r="B159" s="36" t="s">
        <v>217</v>
      </c>
      <c r="C159" s="3" t="s">
        <v>14</v>
      </c>
      <c r="D159" s="57">
        <f>D125*Input_!D$190*Input_!D$7/(SUMPRODUCT(D$124:D$127,D$141:D$144)+SUMPRODUCT(D$131:D$133,D$148:D$150))</f>
        <v>9.3711496197111832E-2</v>
      </c>
      <c r="E159" s="57">
        <f>E125*Input_!E$190*Input_!E$7/(SUMPRODUCT(E$124:E$127,E$141:E$144)+SUMPRODUCT(E$131:E$133,E$148:E$150))</f>
        <v>9.8902373364760016E-2</v>
      </c>
      <c r="F159" s="57">
        <f>F125*Input_!F$190*Input_!F$7/(SUMPRODUCT(F$124:F$127,F$141:F$144)+SUMPRODUCT(F$131:F$133,F$148:F$150))</f>
        <v>9.8902373364760016E-2</v>
      </c>
      <c r="G159" s="57">
        <f>G125*Input_!G$190*Input_!G$7/(SUMPRODUCT(G$124:G$127,G$141:G$144)+SUMPRODUCT(G$131:G$133,G$148:G$150))</f>
        <v>9.8902373364760016E-2</v>
      </c>
    </row>
    <row r="160" spans="2:7" ht="14.4" customHeight="1" x14ac:dyDescent="0.3">
      <c r="B160" s="36" t="s">
        <v>218</v>
      </c>
      <c r="C160" s="3" t="s">
        <v>15</v>
      </c>
      <c r="D160" s="57">
        <f>D126*Input_!D$190*Input_!D$7/(SUMPRODUCT(D$124:D$127,D$141:D$144)+SUMPRODUCT(D$131:D$133,D$148:D$150))</f>
        <v>0</v>
      </c>
      <c r="E160" s="57">
        <f>E126*Input_!E$190*Input_!E$7/(SUMPRODUCT(E$124:E$127,E$141:E$144)+SUMPRODUCT(E$131:E$133,E$148:E$150))</f>
        <v>0</v>
      </c>
      <c r="F160" s="57">
        <f>F126*Input_!F$190*Input_!F$7/(SUMPRODUCT(F$124:F$127,F$141:F$144)+SUMPRODUCT(F$131:F$133,F$148:F$150))</f>
        <v>0</v>
      </c>
      <c r="G160" s="57">
        <f>G126*Input_!G$190*Input_!G$7/(SUMPRODUCT(G$124:G$127,G$141:G$144)+SUMPRODUCT(G$131:G$133,G$148:G$150))</f>
        <v>0</v>
      </c>
    </row>
    <row r="161" spans="2:10" ht="14.4" customHeight="1" x14ac:dyDescent="0.3">
      <c r="B161" s="36" t="s">
        <v>26</v>
      </c>
      <c r="C161" s="3" t="s">
        <v>219</v>
      </c>
      <c r="D161" s="57">
        <f>D127*Input_!D$190*Input_!D$7/(SUMPRODUCT(D$124:D$127,D$141:D$144)+SUMPRODUCT(D$131:D$133,D$148:D$150))</f>
        <v>6.5485106216236931E-3</v>
      </c>
      <c r="E161" s="57">
        <f>E127*Input_!E$190*Input_!E$7/(SUMPRODUCT(E$124:E$127,E$141:E$144)+SUMPRODUCT(E$131:E$133,E$148:E$150))</f>
        <v>6.9516376679533151E-3</v>
      </c>
      <c r="F161" s="57">
        <f>F127*Input_!F$190*Input_!F$7/(SUMPRODUCT(F$124:F$127,F$141:F$144)+SUMPRODUCT(F$131:F$133,F$148:F$150))</f>
        <v>6.9516376679533151E-3</v>
      </c>
      <c r="G161" s="57">
        <f>G127*Input_!G$190*Input_!G$7/(SUMPRODUCT(G$124:G$127,G$141:G$144)+SUMPRODUCT(G$131:G$133,G$148:G$150))</f>
        <v>6.9516376679533151E-3</v>
      </c>
    </row>
    <row r="162" spans="2:10" ht="14.4" customHeight="1" x14ac:dyDescent="0.3">
      <c r="B162" s="9" t="s">
        <v>2</v>
      </c>
      <c r="C162" s="9" t="s">
        <v>239</v>
      </c>
      <c r="D162" s="6"/>
      <c r="E162" s="6"/>
      <c r="F162" s="6"/>
      <c r="G162" s="6"/>
    </row>
    <row r="163" spans="2:10" ht="14.4" customHeight="1" x14ac:dyDescent="0.3">
      <c r="B163" s="25"/>
      <c r="C163" s="25"/>
      <c r="D163" s="23" t="str">
        <f>Input_!D$5</f>
        <v>2023-24</v>
      </c>
      <c r="E163" s="23" t="str">
        <f>Input_!E$5</f>
        <v>2024-25</v>
      </c>
      <c r="F163" s="23" t="str">
        <f>Input_!F$5</f>
        <v>2025-26</v>
      </c>
      <c r="G163" s="23" t="str">
        <f>Input_!G$5</f>
        <v>2026-27</v>
      </c>
    </row>
    <row r="164" spans="2:10" ht="14.4" customHeight="1" x14ac:dyDescent="0.3">
      <c r="B164" s="24"/>
      <c r="C164" s="24"/>
      <c r="D164" s="8"/>
      <c r="E164" s="8"/>
      <c r="F164" s="8"/>
      <c r="G164" s="8"/>
    </row>
    <row r="165" spans="2:10" ht="14.4" customHeight="1" x14ac:dyDescent="0.3">
      <c r="B165" s="36" t="s">
        <v>225</v>
      </c>
      <c r="C165" s="3" t="s">
        <v>224</v>
      </c>
      <c r="D165" s="57">
        <f>D131*Input_!D$190*Input_!D$7/(SUMPRODUCT(D$124:D$127,D$141:D$144)+SUMPRODUCT(D$131:D$133,D$148:D$150))</f>
        <v>3.164323774537537E-2</v>
      </c>
      <c r="E165" s="57">
        <f>E131*Input_!E$190*Input_!E$7/(SUMPRODUCT(E$124:E$127,E$141:E$144)+SUMPRODUCT(E$131:E$133,E$148:E$150))</f>
        <v>3.3608068725175265E-2</v>
      </c>
      <c r="F165" s="57">
        <f>F131*Input_!F$190*Input_!F$7/(SUMPRODUCT(F$124:F$127,F$141:F$144)+SUMPRODUCT(F$131:F$133,F$148:F$150))</f>
        <v>3.3608068725175265E-2</v>
      </c>
      <c r="G165" s="57">
        <f>G131*Input_!G$190*Input_!G$7/(SUMPRODUCT(G$124:G$127,G$141:G$144)+SUMPRODUCT(G$131:G$133,G$148:G$150))</f>
        <v>3.3608068725175265E-2</v>
      </c>
    </row>
    <row r="166" spans="2:10" ht="14.4" customHeight="1" x14ac:dyDescent="0.3">
      <c r="B166" s="36" t="s">
        <v>217</v>
      </c>
      <c r="C166" s="3" t="s">
        <v>14</v>
      </c>
      <c r="D166" s="57">
        <f>D132*Input_!D$190*Input_!D$7/(SUMPRODUCT(D$124:D$127,D$141:D$144)+SUMPRODUCT(D$131:D$133,D$148:D$150))</f>
        <v>7.9373637278953718E-2</v>
      </c>
      <c r="E166" s="57">
        <f>E132*Input_!E$190*Input_!E$7/(SUMPRODUCT(E$124:E$127,E$141:E$144)+SUMPRODUCT(E$131:E$133,E$148:E$150))</f>
        <v>8.377031023995174E-2</v>
      </c>
      <c r="F166" s="57">
        <f>F132*Input_!F$190*Input_!F$7/(SUMPRODUCT(F$124:F$127,F$141:F$144)+SUMPRODUCT(F$131:F$133,F$148:F$150))</f>
        <v>8.377031023995174E-2</v>
      </c>
      <c r="G166" s="57">
        <f>G132*Input_!G$190*Input_!G$7/(SUMPRODUCT(G$124:G$127,G$141:G$144)+SUMPRODUCT(G$131:G$133,G$148:G$150))</f>
        <v>8.377031023995174E-2</v>
      </c>
    </row>
    <row r="167" spans="2:10" ht="14.4" customHeight="1" x14ac:dyDescent="0.3">
      <c r="B167" s="36" t="s">
        <v>218</v>
      </c>
      <c r="C167" s="3" t="s">
        <v>15</v>
      </c>
      <c r="D167" s="57">
        <f>D133*Input_!D$190*Input_!D$7/(SUMPRODUCT(D$124:D$127,D$141:D$144)+SUMPRODUCT(D$131:D$133,D$148:D$150))</f>
        <v>0</v>
      </c>
      <c r="E167" s="57">
        <f>E133*Input_!E$190*Input_!E$7/(SUMPRODUCT(E$124:E$127,E$141:E$144)+SUMPRODUCT(E$131:E$133,E$148:E$150))</f>
        <v>0</v>
      </c>
      <c r="F167" s="57">
        <f>F133*Input_!F$190*Input_!F$7/(SUMPRODUCT(F$124:F$127,F$141:F$144)+SUMPRODUCT(F$131:F$133,F$148:F$150))</f>
        <v>0</v>
      </c>
      <c r="G167" s="57">
        <f>G133*Input_!G$190*Input_!G$7/(SUMPRODUCT(G$124:G$127,G$141:G$144)+SUMPRODUCT(G$131:G$133,G$148:G$150))</f>
        <v>0</v>
      </c>
    </row>
    <row r="170" spans="2:10" ht="28.8" customHeight="1" x14ac:dyDescent="0.3">
      <c r="B170" s="32" t="s">
        <v>623</v>
      </c>
      <c r="C170" s="5"/>
      <c r="D170" s="5"/>
      <c r="E170" s="5"/>
      <c r="F170" s="5"/>
      <c r="G170" s="5"/>
    </row>
    <row r="171" spans="2:10" ht="14.4" customHeight="1" x14ac:dyDescent="0.3">
      <c r="B171" s="37"/>
    </row>
    <row r="172" spans="2:10" ht="14.4" customHeight="1" x14ac:dyDescent="0.3">
      <c r="B172" s="9" t="s">
        <v>2</v>
      </c>
      <c r="C172" s="9" t="s">
        <v>238</v>
      </c>
      <c r="D172" s="6"/>
      <c r="E172" s="6"/>
      <c r="F172" s="6"/>
      <c r="G172" s="6"/>
    </row>
    <row r="173" spans="2:10" ht="14.4" customHeight="1" x14ac:dyDescent="0.3">
      <c r="B173" s="25"/>
      <c r="C173" s="25"/>
      <c r="D173" s="23" t="str">
        <f>Input_!D$5</f>
        <v>2023-24</v>
      </c>
      <c r="E173" s="23" t="str">
        <f>Input_!E$5</f>
        <v>2024-25</v>
      </c>
      <c r="F173" s="23" t="str">
        <f>Input_!F$5</f>
        <v>2025-26</v>
      </c>
      <c r="G173" s="23" t="str">
        <f>Input_!G$5</f>
        <v>2026-27</v>
      </c>
    </row>
    <row r="174" spans="2:10" ht="14.4" customHeight="1" x14ac:dyDescent="0.3">
      <c r="B174" s="24"/>
      <c r="C174" s="24"/>
      <c r="D174" s="8"/>
      <c r="E174" s="8"/>
      <c r="F174" s="8"/>
      <c r="G174" s="8"/>
    </row>
    <row r="175" spans="2:10" ht="14.4" customHeight="1" x14ac:dyDescent="0.3">
      <c r="B175" s="36" t="s">
        <v>225</v>
      </c>
      <c r="C175" s="3" t="s">
        <v>224</v>
      </c>
      <c r="D175" s="38">
        <f t="shared" ref="D175:G175" si="12">D141*D158</f>
        <v>1102522.7690189634</v>
      </c>
      <c r="E175" s="38">
        <f t="shared" si="12"/>
        <v>1211527.9838127918</v>
      </c>
      <c r="F175" s="38">
        <f t="shared" si="12"/>
        <v>1211527.9838127918</v>
      </c>
      <c r="G175" s="38">
        <f t="shared" si="12"/>
        <v>1211527.9838127918</v>
      </c>
    </row>
    <row r="176" spans="2:10" ht="14.4" customHeight="1" x14ac:dyDescent="0.3">
      <c r="B176" s="36" t="s">
        <v>217</v>
      </c>
      <c r="C176" s="3" t="s">
        <v>14</v>
      </c>
      <c r="D176" s="38">
        <f t="shared" ref="D176:G178" si="13">D142*D159</f>
        <v>18742299.239422366</v>
      </c>
      <c r="E176" s="38">
        <f t="shared" si="13"/>
        <v>19780474.672952004</v>
      </c>
      <c r="F176" s="38">
        <f t="shared" si="13"/>
        <v>19780474.672952004</v>
      </c>
      <c r="G176" s="38">
        <f t="shared" si="13"/>
        <v>19780474.672952004</v>
      </c>
      <c r="J176"/>
    </row>
    <row r="177" spans="2:7" ht="14.4" customHeight="1" x14ac:dyDescent="0.3">
      <c r="B177" s="36" t="s">
        <v>218</v>
      </c>
      <c r="C177" s="3" t="s">
        <v>15</v>
      </c>
      <c r="D177" s="38">
        <f t="shared" si="13"/>
        <v>0</v>
      </c>
      <c r="E177" s="38">
        <f t="shared" si="13"/>
        <v>0</v>
      </c>
      <c r="F177" s="38">
        <f t="shared" si="13"/>
        <v>0</v>
      </c>
      <c r="G177" s="38">
        <f t="shared" si="13"/>
        <v>0</v>
      </c>
    </row>
    <row r="178" spans="2:7" ht="14.4" customHeight="1" x14ac:dyDescent="0.3">
      <c r="B178" s="36" t="s">
        <v>26</v>
      </c>
      <c r="C178" s="3" t="s">
        <v>219</v>
      </c>
      <c r="D178" s="38">
        <f t="shared" si="13"/>
        <v>6.5485106216236936E-6</v>
      </c>
      <c r="E178" s="38">
        <f t="shared" si="13"/>
        <v>6.9516376679533153E-6</v>
      </c>
      <c r="F178" s="38">
        <f t="shared" si="13"/>
        <v>6.9516376679533153E-6</v>
      </c>
      <c r="G178" s="38">
        <f t="shared" si="13"/>
        <v>6.9516376679533153E-6</v>
      </c>
    </row>
    <row r="179" spans="2:7" ht="14.4" customHeight="1" x14ac:dyDescent="0.3">
      <c r="B179" s="9" t="s">
        <v>2</v>
      </c>
      <c r="C179" s="9" t="s">
        <v>239</v>
      </c>
      <c r="D179" s="6"/>
      <c r="E179" s="6"/>
      <c r="F179" s="6"/>
      <c r="G179" s="6"/>
    </row>
    <row r="180" spans="2:7" ht="14.4" customHeight="1" x14ac:dyDescent="0.3">
      <c r="B180" s="25"/>
      <c r="C180" s="25"/>
      <c r="D180" s="23" t="str">
        <f>Input_!D$5</f>
        <v>2023-24</v>
      </c>
      <c r="E180" s="23" t="str">
        <f>Input_!E$5</f>
        <v>2024-25</v>
      </c>
      <c r="F180" s="23" t="str">
        <f>Input_!F$5</f>
        <v>2025-26</v>
      </c>
      <c r="G180" s="23" t="str">
        <f>Input_!G$5</f>
        <v>2026-27</v>
      </c>
    </row>
    <row r="181" spans="2:7" ht="14.4" customHeight="1" x14ac:dyDescent="0.3">
      <c r="B181" s="24"/>
      <c r="C181" s="24"/>
      <c r="D181" s="8"/>
      <c r="E181" s="8"/>
      <c r="F181" s="8"/>
      <c r="G181" s="8"/>
    </row>
    <row r="182" spans="2:7" ht="14.4" customHeight="1" x14ac:dyDescent="0.3">
      <c r="B182" s="36" t="s">
        <v>225</v>
      </c>
      <c r="C182" s="3" t="s">
        <v>224</v>
      </c>
      <c r="D182" s="38">
        <f t="shared" ref="D182:G184" si="14">D148*D165</f>
        <v>0</v>
      </c>
      <c r="E182" s="38">
        <f t="shared" si="14"/>
        <v>0</v>
      </c>
      <c r="F182" s="38">
        <f t="shared" si="14"/>
        <v>0</v>
      </c>
      <c r="G182" s="38">
        <f t="shared" si="14"/>
        <v>0</v>
      </c>
    </row>
    <row r="183" spans="2:7" ht="14.4" customHeight="1" x14ac:dyDescent="0.3">
      <c r="B183" s="36" t="s">
        <v>217</v>
      </c>
      <c r="C183" s="3" t="s">
        <v>14</v>
      </c>
      <c r="D183" s="38">
        <f t="shared" si="14"/>
        <v>0</v>
      </c>
      <c r="E183" s="38">
        <f t="shared" si="14"/>
        <v>0</v>
      </c>
      <c r="F183" s="38">
        <f t="shared" si="14"/>
        <v>0</v>
      </c>
      <c r="G183" s="38">
        <f t="shared" si="14"/>
        <v>0</v>
      </c>
    </row>
    <row r="184" spans="2:7" ht="14.4" customHeight="1" x14ac:dyDescent="0.3">
      <c r="B184" s="36" t="s">
        <v>218</v>
      </c>
      <c r="C184" s="3" t="s">
        <v>15</v>
      </c>
      <c r="D184" s="38">
        <f t="shared" si="14"/>
        <v>0</v>
      </c>
      <c r="E184" s="38">
        <f t="shared" si="14"/>
        <v>0</v>
      </c>
      <c r="F184" s="38">
        <f t="shared" si="14"/>
        <v>0</v>
      </c>
      <c r="G184" s="38">
        <f t="shared" si="14"/>
        <v>0</v>
      </c>
    </row>
    <row r="185" spans="2:7" ht="14.4" customHeight="1" x14ac:dyDescent="0.3">
      <c r="B185" s="21" t="s">
        <v>32</v>
      </c>
      <c r="C185" s="22"/>
      <c r="D185" s="20">
        <f t="shared" ref="D185:G185" si="15">SUM(D175:D178,D181:D184)</f>
        <v>19844822.008447878</v>
      </c>
      <c r="E185" s="20">
        <f t="shared" si="15"/>
        <v>20992002.656771746</v>
      </c>
      <c r="F185" s="20">
        <f t="shared" si="15"/>
        <v>20992002.656771746</v>
      </c>
      <c r="G185" s="20">
        <f t="shared" si="15"/>
        <v>20992002.656771746</v>
      </c>
    </row>
    <row r="186" spans="2:7" ht="14.4" customHeight="1" x14ac:dyDescent="0.3">
      <c r="D186" s="61">
        <f>Input_!D190*Input_!D7-D185</f>
        <v>0</v>
      </c>
      <c r="E186" s="61">
        <f>Input_!E190*Input_!E7-E185</f>
        <v>0</v>
      </c>
      <c r="F186" s="61">
        <f>Input_!F190*Input_!F7-F185</f>
        <v>0</v>
      </c>
      <c r="G186" s="61">
        <f>Input_!G190*Input_!G7-G185</f>
        <v>0</v>
      </c>
    </row>
  </sheetData>
  <conditionalFormatting sqref="D186:G186">
    <cfRule type="cellIs" dxfId="43" priority="1" operator="equal">
      <formula>0</formula>
    </cfRule>
    <cfRule type="cellIs" dxfId="42" priority="2" operator="lessThan">
      <formula>0</formula>
    </cfRule>
    <cfRule type="cellIs" dxfId="41" priority="3" operator="greaterThan">
      <formula>0</formula>
    </cfRule>
  </conditionalFormatting>
  <pageMargins left="0.7" right="0.7" top="0.75" bottom="0.75" header="0.3" footer="0.3"/>
  <pageSetup orientation="portrait" r:id="rId1"/>
  <ignoredErrors>
    <ignoredError sqref="D141:G14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H218"/>
  <sheetViews>
    <sheetView showGridLines="0" topLeftCell="A90" workbookViewId="0">
      <selection activeCell="N35" sqref="N35"/>
    </sheetView>
  </sheetViews>
  <sheetFormatPr defaultRowHeight="14.4" customHeight="1" x14ac:dyDescent="0.3"/>
  <cols>
    <col min="1" max="1" width="8.88671875" style="1"/>
    <col min="2" max="2" width="35.77734375" style="1" customWidth="1"/>
    <col min="3" max="3" width="28.6640625" style="1" bestFit="1" customWidth="1"/>
    <col min="4" max="7" width="11.6640625" style="1" customWidth="1"/>
    <col min="8" max="8" width="8.88671875" style="1"/>
    <col min="9" max="9" width="12" style="1" bestFit="1" customWidth="1"/>
    <col min="10" max="16384" width="8.88671875" style="1"/>
  </cols>
  <sheetData>
    <row r="2" spans="2:7" ht="28.8" customHeight="1" x14ac:dyDescent="0.3">
      <c r="B2" s="32" t="s">
        <v>624</v>
      </c>
      <c r="C2" s="5"/>
      <c r="D2" s="5"/>
      <c r="E2" s="5"/>
      <c r="F2" s="5"/>
      <c r="G2" s="5"/>
    </row>
    <row r="3" spans="2:7" ht="14.4" customHeight="1" x14ac:dyDescent="0.3">
      <c r="B3" s="37" t="s">
        <v>232</v>
      </c>
    </row>
    <row r="4" spans="2:7" ht="14.4" customHeight="1" x14ac:dyDescent="0.3">
      <c r="B4" s="9" t="s">
        <v>2</v>
      </c>
      <c r="C4" s="9" t="s">
        <v>228</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10" t="s">
        <v>8</v>
      </c>
      <c r="C7" s="3" t="s">
        <v>9</v>
      </c>
      <c r="D7" s="57">
        <f>'Entry Tariff_1'!D$79</f>
        <v>3.3066849779267535E-2</v>
      </c>
      <c r="E7" s="57">
        <f>'Entry Tariff_1'!E$79</f>
        <v>3.5139951544696221E-2</v>
      </c>
      <c r="F7" s="57">
        <f>'Entry Tariff_1'!F$79</f>
        <v>3.5139951544696221E-2</v>
      </c>
      <c r="G7" s="57">
        <f>'Entry Tariff_1'!G$79</f>
        <v>3.5139951544696221E-2</v>
      </c>
    </row>
    <row r="8" spans="2:7" ht="14.4" customHeight="1" x14ac:dyDescent="0.3">
      <c r="B8" s="11"/>
      <c r="C8" s="3" t="s">
        <v>10</v>
      </c>
      <c r="D8" s="57">
        <f>'Entry Tariff_1'!D$79</f>
        <v>3.3066849779267535E-2</v>
      </c>
      <c r="E8" s="57">
        <f>'Entry Tariff_1'!E$79</f>
        <v>3.5139951544696221E-2</v>
      </c>
      <c r="F8" s="57">
        <f>'Entry Tariff_1'!F$79</f>
        <v>3.5139951544696221E-2</v>
      </c>
      <c r="G8" s="57">
        <f>'Entry Tariff_1'!G$79</f>
        <v>3.5139951544696221E-2</v>
      </c>
    </row>
    <row r="9" spans="2:7" ht="14.4" customHeight="1" x14ac:dyDescent="0.3">
      <c r="B9" s="11"/>
      <c r="C9" s="3" t="s">
        <v>11</v>
      </c>
      <c r="D9" s="57">
        <f>'Entry Tariff_1'!D$79</f>
        <v>3.3066849779267535E-2</v>
      </c>
      <c r="E9" s="57">
        <f>'Entry Tariff_1'!E$79</f>
        <v>3.5139951544696221E-2</v>
      </c>
      <c r="F9" s="57">
        <f>'Entry Tariff_1'!F$79</f>
        <v>3.5139951544696221E-2</v>
      </c>
      <c r="G9" s="57">
        <f>'Entry Tariff_1'!G$79</f>
        <v>3.5139951544696221E-2</v>
      </c>
    </row>
    <row r="10" spans="2:7" ht="14.4" customHeight="1" x14ac:dyDescent="0.3">
      <c r="B10" s="11"/>
      <c r="C10" s="3" t="s">
        <v>12</v>
      </c>
      <c r="D10" s="57">
        <f>'Entry Tariff_1'!D$79</f>
        <v>3.3066849779267535E-2</v>
      </c>
      <c r="E10" s="57">
        <f>'Entry Tariff_1'!E$79</f>
        <v>3.5139951544696221E-2</v>
      </c>
      <c r="F10" s="57">
        <f>'Entry Tariff_1'!F$79</f>
        <v>3.5139951544696221E-2</v>
      </c>
      <c r="G10" s="57">
        <f>'Entry Tariff_1'!G$79</f>
        <v>3.5139951544696221E-2</v>
      </c>
    </row>
    <row r="11" spans="2:7" ht="14.4" customHeight="1" x14ac:dyDescent="0.3">
      <c r="B11" s="12"/>
      <c r="C11" s="3" t="s">
        <v>13</v>
      </c>
      <c r="D11" s="57">
        <f>'Entry Tariff_1'!D$79</f>
        <v>3.3066849779267535E-2</v>
      </c>
      <c r="E11" s="57">
        <f>'Entry Tariff_1'!E$79</f>
        <v>3.5139951544696221E-2</v>
      </c>
      <c r="F11" s="57">
        <f>'Entry Tariff_1'!F$79</f>
        <v>3.5139951544696221E-2</v>
      </c>
      <c r="G11" s="57">
        <f>'Entry Tariff_1'!G$79</f>
        <v>3.5139951544696221E-2</v>
      </c>
    </row>
    <row r="12" spans="2:7" ht="14.4" customHeight="1" x14ac:dyDescent="0.3">
      <c r="B12" s="10" t="s">
        <v>14</v>
      </c>
      <c r="C12" s="3" t="s">
        <v>9</v>
      </c>
      <c r="D12" s="57">
        <f>'Entry Tariff_1'!D$80</f>
        <v>9.3422859210249107E-2</v>
      </c>
      <c r="E12" s="57">
        <f>'Entry Tariff_1'!E$80</f>
        <v>9.8653543672850466E-2</v>
      </c>
      <c r="F12" s="57">
        <f>'Entry Tariff_1'!F$80</f>
        <v>9.8653543672850466E-2</v>
      </c>
      <c r="G12" s="57">
        <f>'Entry Tariff_1'!G$80</f>
        <v>9.8653543672850466E-2</v>
      </c>
    </row>
    <row r="13" spans="2:7" ht="14.4" customHeight="1" x14ac:dyDescent="0.3">
      <c r="B13" s="13"/>
      <c r="C13" s="3" t="s">
        <v>10</v>
      </c>
      <c r="D13" s="57">
        <f>'Entry Tariff_1'!D$80</f>
        <v>9.3422859210249107E-2</v>
      </c>
      <c r="E13" s="57">
        <f>'Entry Tariff_1'!E$80</f>
        <v>9.8653543672850466E-2</v>
      </c>
      <c r="F13" s="57">
        <f>'Entry Tariff_1'!F$80</f>
        <v>9.8653543672850466E-2</v>
      </c>
      <c r="G13" s="57">
        <f>'Entry Tariff_1'!G$80</f>
        <v>9.8653543672850466E-2</v>
      </c>
    </row>
    <row r="14" spans="2:7" ht="14.4" customHeight="1" x14ac:dyDescent="0.3">
      <c r="B14" s="13"/>
      <c r="C14" s="3" t="s">
        <v>11</v>
      </c>
      <c r="D14" s="57">
        <f>'Entry Tariff_1'!D$80</f>
        <v>9.3422859210249107E-2</v>
      </c>
      <c r="E14" s="57">
        <f>'Entry Tariff_1'!E$80</f>
        <v>9.8653543672850466E-2</v>
      </c>
      <c r="F14" s="57">
        <f>'Entry Tariff_1'!F$80</f>
        <v>9.8653543672850466E-2</v>
      </c>
      <c r="G14" s="57">
        <f>'Entry Tariff_1'!G$80</f>
        <v>9.8653543672850466E-2</v>
      </c>
    </row>
    <row r="15" spans="2:7" ht="14.4" customHeight="1" x14ac:dyDescent="0.3">
      <c r="B15" s="13"/>
      <c r="C15" s="3" t="s">
        <v>12</v>
      </c>
      <c r="D15" s="57">
        <f>'Entry Tariff_1'!D$80</f>
        <v>9.3422859210249107E-2</v>
      </c>
      <c r="E15" s="57">
        <f>'Entry Tariff_1'!E$80</f>
        <v>9.8653543672850466E-2</v>
      </c>
      <c r="F15" s="57">
        <f>'Entry Tariff_1'!F$80</f>
        <v>9.8653543672850466E-2</v>
      </c>
      <c r="G15" s="57">
        <f>'Entry Tariff_1'!G$80</f>
        <v>9.8653543672850466E-2</v>
      </c>
    </row>
    <row r="16" spans="2:7" ht="14.4" customHeight="1" x14ac:dyDescent="0.3">
      <c r="B16" s="14"/>
      <c r="C16" s="3" t="s">
        <v>13</v>
      </c>
      <c r="D16" s="57">
        <f>'Entry Tariff_1'!D$80</f>
        <v>9.3422859210249107E-2</v>
      </c>
      <c r="E16" s="57">
        <f>'Entry Tariff_1'!E$80</f>
        <v>9.8653543672850466E-2</v>
      </c>
      <c r="F16" s="57">
        <f>'Entry Tariff_1'!F$80</f>
        <v>9.8653543672850466E-2</v>
      </c>
      <c r="G16" s="57">
        <f>'Entry Tariff_1'!G$80</f>
        <v>9.8653543672850466E-2</v>
      </c>
    </row>
    <row r="17" spans="2:7" ht="14.4" customHeight="1" x14ac:dyDescent="0.3">
      <c r="B17" s="10" t="s">
        <v>15</v>
      </c>
      <c r="C17" s="3" t="s">
        <v>12</v>
      </c>
      <c r="D17" s="57">
        <f>'Entry Tariff_1'!D$81</f>
        <v>6.7988161571272904E-3</v>
      </c>
      <c r="E17" s="57">
        <f>'Entry Tariff_1'!E$81</f>
        <v>7.102685939819945E-3</v>
      </c>
      <c r="F17" s="57">
        <f>'Entry Tariff_1'!F$81</f>
        <v>7.102685939819945E-3</v>
      </c>
      <c r="G17" s="57">
        <f>'Entry Tariff_1'!G$81</f>
        <v>7.102685939819945E-3</v>
      </c>
    </row>
    <row r="18" spans="2:7" ht="14.4" customHeight="1" x14ac:dyDescent="0.3">
      <c r="B18" s="14"/>
      <c r="C18" s="3" t="s">
        <v>13</v>
      </c>
      <c r="D18" s="57">
        <f>'Entry Tariff_1'!D$81</f>
        <v>6.7988161571272904E-3</v>
      </c>
      <c r="E18" s="57">
        <f>'Entry Tariff_1'!E$81</f>
        <v>7.102685939819945E-3</v>
      </c>
      <c r="F18" s="57">
        <f>'Entry Tariff_1'!F$81</f>
        <v>7.102685939819945E-3</v>
      </c>
      <c r="G18" s="57">
        <f>'Entry Tariff_1'!G$81</f>
        <v>7.102685939819945E-3</v>
      </c>
    </row>
    <row r="19" spans="2:7" ht="14.4" customHeight="1" x14ac:dyDescent="0.3">
      <c r="B19" s="15" t="s">
        <v>26</v>
      </c>
      <c r="C19" s="3" t="s">
        <v>27</v>
      </c>
      <c r="D19" s="57">
        <f>'Entry Tariff_1'!D82</f>
        <v>6.528340819081129E-3</v>
      </c>
      <c r="E19" s="57">
        <f>'Entry Tariff_1'!E82</f>
        <v>6.934147957642682E-3</v>
      </c>
      <c r="F19" s="57">
        <f>'Entry Tariff_1'!F82</f>
        <v>6.934147957642682E-3</v>
      </c>
      <c r="G19" s="57">
        <f>'Entry Tariff_1'!G82</f>
        <v>6.934147957642682E-3</v>
      </c>
    </row>
    <row r="20" spans="2:7" ht="14.4" customHeight="1" x14ac:dyDescent="0.3">
      <c r="B20" s="9" t="s">
        <v>2</v>
      </c>
      <c r="C20" s="9" t="s">
        <v>229</v>
      </c>
      <c r="D20" s="6"/>
      <c r="E20" s="6"/>
      <c r="F20" s="6"/>
      <c r="G20" s="6"/>
    </row>
    <row r="21" spans="2:7" ht="14.4" customHeight="1" x14ac:dyDescent="0.3">
      <c r="B21" s="25"/>
      <c r="C21" s="25"/>
      <c r="D21" s="23" t="str">
        <f>Input_!D$5</f>
        <v>2023-24</v>
      </c>
      <c r="E21" s="23" t="str">
        <f>Input_!E$5</f>
        <v>2024-25</v>
      </c>
      <c r="F21" s="23" t="str">
        <f>Input_!F$5</f>
        <v>2025-26</v>
      </c>
      <c r="G21" s="23" t="str">
        <f>Input_!G$5</f>
        <v>2026-27</v>
      </c>
    </row>
    <row r="22" spans="2:7" ht="14.4" customHeight="1" x14ac:dyDescent="0.3">
      <c r="B22" s="24"/>
      <c r="C22" s="24"/>
      <c r="D22" s="8"/>
      <c r="E22" s="8"/>
      <c r="F22" s="8"/>
      <c r="G22" s="8"/>
    </row>
    <row r="23" spans="2:7" ht="14.4" customHeight="1" x14ac:dyDescent="0.3">
      <c r="B23" s="10" t="s">
        <v>8</v>
      </c>
      <c r="C23" s="3" t="s">
        <v>12</v>
      </c>
      <c r="D23" s="57">
        <f>'Entry Tariff_1'!D$79</f>
        <v>3.3066849779267535E-2</v>
      </c>
      <c r="E23" s="57">
        <f>'Entry Tariff_1'!E$79</f>
        <v>3.5139951544696221E-2</v>
      </c>
      <c r="F23" s="57">
        <f>'Entry Tariff_1'!F$79</f>
        <v>3.5139951544696221E-2</v>
      </c>
      <c r="G23" s="57">
        <f>'Entry Tariff_1'!G$79</f>
        <v>3.5139951544696221E-2</v>
      </c>
    </row>
    <row r="24" spans="2:7" ht="14.4" customHeight="1" x14ac:dyDescent="0.3">
      <c r="B24" s="12"/>
      <c r="C24" s="3" t="s">
        <v>13</v>
      </c>
      <c r="D24" s="57">
        <f>'Entry Tariff_1'!D$79</f>
        <v>3.3066849779267535E-2</v>
      </c>
      <c r="E24" s="57">
        <f>'Entry Tariff_1'!E$79</f>
        <v>3.5139951544696221E-2</v>
      </c>
      <c r="F24" s="57">
        <f>'Entry Tariff_1'!F$79</f>
        <v>3.5139951544696221E-2</v>
      </c>
      <c r="G24" s="57">
        <f>'Entry Tariff_1'!G$79</f>
        <v>3.5139951544696221E-2</v>
      </c>
    </row>
    <row r="25" spans="2:7" ht="14.4" customHeight="1" x14ac:dyDescent="0.3">
      <c r="B25" s="15" t="s">
        <v>14</v>
      </c>
      <c r="C25" s="3" t="s">
        <v>13</v>
      </c>
      <c r="D25" s="57">
        <f>'Entry Tariff_1'!D$80</f>
        <v>9.3422859210249107E-2</v>
      </c>
      <c r="E25" s="57">
        <f>'Entry Tariff_1'!E$80</f>
        <v>9.8653543672850466E-2</v>
      </c>
      <c r="F25" s="57">
        <f>'Entry Tariff_1'!F$80</f>
        <v>9.8653543672850466E-2</v>
      </c>
      <c r="G25" s="57">
        <f>'Entry Tariff_1'!G$80</f>
        <v>9.8653543672850466E-2</v>
      </c>
    </row>
    <row r="26" spans="2:7" ht="14.4" customHeight="1" x14ac:dyDescent="0.3">
      <c r="B26" s="15" t="s">
        <v>15</v>
      </c>
      <c r="C26" s="3" t="s">
        <v>13</v>
      </c>
      <c r="D26" s="57">
        <f>'Entry Tariff_1'!D$81</f>
        <v>6.7988161571272904E-3</v>
      </c>
      <c r="E26" s="57">
        <f>'Entry Tariff_1'!E$81</f>
        <v>7.102685939819945E-3</v>
      </c>
      <c r="F26" s="57">
        <f>'Entry Tariff_1'!F$81</f>
        <v>7.102685939819945E-3</v>
      </c>
      <c r="G26" s="57">
        <f>'Entry Tariff_1'!G$81</f>
        <v>7.102685939819945E-3</v>
      </c>
    </row>
    <row r="29" spans="2:7" ht="28.8" customHeight="1" x14ac:dyDescent="0.3">
      <c r="B29" s="32" t="s">
        <v>230</v>
      </c>
      <c r="C29" s="5"/>
      <c r="D29" s="5"/>
      <c r="E29" s="5"/>
      <c r="F29" s="5"/>
      <c r="G29" s="5"/>
    </row>
    <row r="30" spans="2:7" ht="14.4" customHeight="1" x14ac:dyDescent="0.3">
      <c r="B30" s="37"/>
    </row>
    <row r="31" spans="2:7" ht="14.4" customHeight="1" x14ac:dyDescent="0.3">
      <c r="B31" s="9" t="s">
        <v>2</v>
      </c>
      <c r="C31" s="9" t="s">
        <v>228</v>
      </c>
      <c r="D31" s="6"/>
      <c r="E31" s="6"/>
      <c r="F31" s="6"/>
      <c r="G31" s="6"/>
    </row>
    <row r="32" spans="2:7" ht="14.4" customHeight="1" x14ac:dyDescent="0.3">
      <c r="B32" s="25"/>
      <c r="C32" s="25"/>
      <c r="D32" s="23" t="str">
        <f>Input_!D$5</f>
        <v>2023-24</v>
      </c>
      <c r="E32" s="23" t="str">
        <f>Input_!E$5</f>
        <v>2024-25</v>
      </c>
      <c r="F32" s="23" t="str">
        <f>Input_!F$5</f>
        <v>2025-26</v>
      </c>
      <c r="G32" s="23" t="str">
        <f>Input_!G$5</f>
        <v>2026-27</v>
      </c>
    </row>
    <row r="33" spans="2:7" ht="14.4" customHeight="1" x14ac:dyDescent="0.3">
      <c r="B33" s="24"/>
      <c r="C33" s="24"/>
      <c r="D33" s="8"/>
      <c r="E33" s="8"/>
      <c r="F33" s="8"/>
      <c r="G33" s="8"/>
    </row>
    <row r="34" spans="2:7" ht="14.4" customHeight="1" x14ac:dyDescent="0.3">
      <c r="B34" s="10" t="s">
        <v>8</v>
      </c>
      <c r="C34" s="3" t="s">
        <v>9</v>
      </c>
      <c r="D34" s="58">
        <f>Input_!D115</f>
        <v>1</v>
      </c>
      <c r="E34" s="58">
        <f>Input_!E115</f>
        <v>1</v>
      </c>
      <c r="F34" s="58">
        <f>Input_!F115</f>
        <v>1</v>
      </c>
      <c r="G34" s="58">
        <f>Input_!G115</f>
        <v>1</v>
      </c>
    </row>
    <row r="35" spans="2:7" ht="14.4" customHeight="1" x14ac:dyDescent="0.3">
      <c r="B35" s="11"/>
      <c r="C35" s="3" t="s">
        <v>10</v>
      </c>
      <c r="D35" s="58">
        <f>Input_!D116</f>
        <v>1.3</v>
      </c>
      <c r="E35" s="58">
        <f>Input_!E116</f>
        <v>1.18</v>
      </c>
      <c r="F35" s="58">
        <f>Input_!F116</f>
        <v>1.18</v>
      </c>
      <c r="G35" s="58">
        <f>Input_!G116</f>
        <v>1.18</v>
      </c>
    </row>
    <row r="36" spans="2:7" ht="14.4" customHeight="1" x14ac:dyDescent="0.3">
      <c r="B36" s="11"/>
      <c r="C36" s="3" t="s">
        <v>11</v>
      </c>
      <c r="D36" s="58">
        <f>Input_!D117</f>
        <v>1.5</v>
      </c>
      <c r="E36" s="58">
        <f>Input_!E117</f>
        <v>1.35</v>
      </c>
      <c r="F36" s="58">
        <f>Input_!F117</f>
        <v>1.35</v>
      </c>
      <c r="G36" s="58">
        <f>Input_!G117</f>
        <v>1.35</v>
      </c>
    </row>
    <row r="37" spans="2:7" ht="14.4" customHeight="1" x14ac:dyDescent="0.3">
      <c r="B37" s="11"/>
      <c r="C37" s="3" t="s">
        <v>12</v>
      </c>
      <c r="D37" s="58">
        <f>Input_!D118</f>
        <v>2</v>
      </c>
      <c r="E37" s="58">
        <f>Input_!E118</f>
        <v>1.94</v>
      </c>
      <c r="F37" s="58">
        <f>Input_!F118</f>
        <v>1.94</v>
      </c>
      <c r="G37" s="58">
        <f>Input_!G118</f>
        <v>1.94</v>
      </c>
    </row>
    <row r="38" spans="2:7" ht="14.4" customHeight="1" x14ac:dyDescent="0.3">
      <c r="B38" s="12"/>
      <c r="C38" s="3" t="s">
        <v>13</v>
      </c>
      <c r="D38" s="58">
        <f>Input_!D119</f>
        <v>2.2000000000000002</v>
      </c>
      <c r="E38" s="58">
        <f>Input_!E119</f>
        <v>2.13</v>
      </c>
      <c r="F38" s="58">
        <f>Input_!F119</f>
        <v>2.13</v>
      </c>
      <c r="G38" s="58">
        <f>Input_!G119</f>
        <v>2.13</v>
      </c>
    </row>
    <row r="39" spans="2:7" ht="14.4" customHeight="1" x14ac:dyDescent="0.3">
      <c r="B39" s="10" t="s">
        <v>14</v>
      </c>
      <c r="C39" s="3" t="s">
        <v>9</v>
      </c>
      <c r="D39" s="58">
        <f>Input_!D120</f>
        <v>1</v>
      </c>
      <c r="E39" s="58">
        <f>Input_!E120</f>
        <v>1</v>
      </c>
      <c r="F39" s="58">
        <f>Input_!F120</f>
        <v>1</v>
      </c>
      <c r="G39" s="58">
        <f>Input_!G120</f>
        <v>1</v>
      </c>
    </row>
    <row r="40" spans="2:7" ht="14.4" customHeight="1" x14ac:dyDescent="0.3">
      <c r="B40" s="13"/>
      <c r="C40" s="3" t="s">
        <v>10</v>
      </c>
      <c r="D40" s="58">
        <f>Input_!D121</f>
        <v>1.3</v>
      </c>
      <c r="E40" s="58">
        <f>Input_!E121</f>
        <v>1.18</v>
      </c>
      <c r="F40" s="58">
        <f>Input_!F121</f>
        <v>1.18</v>
      </c>
      <c r="G40" s="58">
        <f>Input_!G121</f>
        <v>1.18</v>
      </c>
    </row>
    <row r="41" spans="2:7" ht="14.4" customHeight="1" x14ac:dyDescent="0.3">
      <c r="B41" s="13"/>
      <c r="C41" s="3" t="s">
        <v>11</v>
      </c>
      <c r="D41" s="58">
        <f>Input_!D122</f>
        <v>1.5</v>
      </c>
      <c r="E41" s="58">
        <f>Input_!E122</f>
        <v>1.35</v>
      </c>
      <c r="F41" s="58">
        <f>Input_!F122</f>
        <v>1.35</v>
      </c>
      <c r="G41" s="58">
        <f>Input_!G122</f>
        <v>1.35</v>
      </c>
    </row>
    <row r="42" spans="2:7" ht="14.4" customHeight="1" x14ac:dyDescent="0.3">
      <c r="B42" s="13"/>
      <c r="C42" s="3" t="s">
        <v>12</v>
      </c>
      <c r="D42" s="58">
        <f>Input_!D123</f>
        <v>2</v>
      </c>
      <c r="E42" s="58">
        <f>Input_!E123</f>
        <v>1.94</v>
      </c>
      <c r="F42" s="58">
        <f>Input_!F123</f>
        <v>1.94</v>
      </c>
      <c r="G42" s="58">
        <f>Input_!G123</f>
        <v>1.94</v>
      </c>
    </row>
    <row r="43" spans="2:7" ht="14.4" customHeight="1" x14ac:dyDescent="0.3">
      <c r="B43" s="14"/>
      <c r="C43" s="3" t="s">
        <v>13</v>
      </c>
      <c r="D43" s="58">
        <f>Input_!D124</f>
        <v>2.2000000000000002</v>
      </c>
      <c r="E43" s="58">
        <f>Input_!E124</f>
        <v>2.13</v>
      </c>
      <c r="F43" s="58">
        <f>Input_!F124</f>
        <v>2.13</v>
      </c>
      <c r="G43" s="58">
        <f>Input_!G124</f>
        <v>2.13</v>
      </c>
    </row>
    <row r="44" spans="2:7" ht="14.4" customHeight="1" x14ac:dyDescent="0.3">
      <c r="B44" s="10" t="s">
        <v>15</v>
      </c>
      <c r="C44" s="3" t="s">
        <v>12</v>
      </c>
      <c r="D44" s="58">
        <f>Input_!D125</f>
        <v>1</v>
      </c>
      <c r="E44" s="58">
        <f>Input_!E125</f>
        <v>1</v>
      </c>
      <c r="F44" s="58">
        <f>Input_!F125</f>
        <v>1</v>
      </c>
      <c r="G44" s="58">
        <f>Input_!G125</f>
        <v>1</v>
      </c>
    </row>
    <row r="45" spans="2:7" ht="14.4" customHeight="1" x14ac:dyDescent="0.3">
      <c r="B45" s="14"/>
      <c r="C45" s="3" t="s">
        <v>13</v>
      </c>
      <c r="D45" s="58">
        <f>Input_!D126</f>
        <v>1.1000000000000001</v>
      </c>
      <c r="E45" s="58">
        <f>Input_!E126</f>
        <v>1.1000000000000001</v>
      </c>
      <c r="F45" s="58">
        <f>Input_!F126</f>
        <v>1.1000000000000001</v>
      </c>
      <c r="G45" s="58">
        <f>Input_!G126</f>
        <v>1.1000000000000001</v>
      </c>
    </row>
    <row r="46" spans="2:7" ht="14.4" customHeight="1" x14ac:dyDescent="0.3">
      <c r="B46" s="15" t="s">
        <v>26</v>
      </c>
      <c r="C46" s="3" t="s">
        <v>27</v>
      </c>
      <c r="D46" s="58">
        <f>Input_!D127</f>
        <v>1</v>
      </c>
      <c r="E46" s="58">
        <f>Input_!E127</f>
        <v>1</v>
      </c>
      <c r="F46" s="58">
        <f>Input_!F127</f>
        <v>1</v>
      </c>
      <c r="G46" s="58">
        <f>Input_!G127</f>
        <v>1</v>
      </c>
    </row>
    <row r="47" spans="2:7" ht="14.4" customHeight="1" x14ac:dyDescent="0.3">
      <c r="B47" s="9" t="s">
        <v>2</v>
      </c>
      <c r="C47" s="9" t="s">
        <v>229</v>
      </c>
      <c r="D47" s="6"/>
      <c r="E47" s="6"/>
      <c r="F47" s="6"/>
      <c r="G47" s="6"/>
    </row>
    <row r="48" spans="2:7" ht="14.4" customHeight="1" x14ac:dyDescent="0.3">
      <c r="B48" s="25"/>
      <c r="C48" s="25"/>
      <c r="D48" s="23" t="str">
        <f>Input_!D$5</f>
        <v>2023-24</v>
      </c>
      <c r="E48" s="23" t="str">
        <f>Input_!E$5</f>
        <v>2024-25</v>
      </c>
      <c r="F48" s="23" t="str">
        <f>Input_!F$5</f>
        <v>2025-26</v>
      </c>
      <c r="G48" s="23" t="str">
        <f>Input_!G$5</f>
        <v>2026-27</v>
      </c>
    </row>
    <row r="49" spans="2:7" ht="14.4" customHeight="1" x14ac:dyDescent="0.3">
      <c r="B49" s="24"/>
      <c r="C49" s="24"/>
      <c r="D49" s="8"/>
      <c r="E49" s="8"/>
      <c r="F49" s="8"/>
      <c r="G49" s="8"/>
    </row>
    <row r="50" spans="2:7" ht="14.4" customHeight="1" x14ac:dyDescent="0.3">
      <c r="B50" s="10" t="s">
        <v>8</v>
      </c>
      <c r="C50" s="3" t="s">
        <v>12</v>
      </c>
      <c r="D50" s="58">
        <f>Input_!D118</f>
        <v>2</v>
      </c>
      <c r="E50" s="58">
        <f>Input_!E118</f>
        <v>1.94</v>
      </c>
      <c r="F50" s="58">
        <f>Input_!F118</f>
        <v>1.94</v>
      </c>
      <c r="G50" s="58">
        <f>Input_!G118</f>
        <v>1.94</v>
      </c>
    </row>
    <row r="51" spans="2:7" ht="14.4" customHeight="1" x14ac:dyDescent="0.3">
      <c r="B51" s="12"/>
      <c r="C51" s="3" t="s">
        <v>13</v>
      </c>
      <c r="D51" s="58">
        <f>Input_!D119</f>
        <v>2.2000000000000002</v>
      </c>
      <c r="E51" s="58">
        <f>Input_!E119</f>
        <v>2.13</v>
      </c>
      <c r="F51" s="58">
        <f>Input_!F119</f>
        <v>2.13</v>
      </c>
      <c r="G51" s="58">
        <f>Input_!G119</f>
        <v>2.13</v>
      </c>
    </row>
    <row r="52" spans="2:7" ht="14.4" customHeight="1" x14ac:dyDescent="0.3">
      <c r="B52" s="15" t="s">
        <v>14</v>
      </c>
      <c r="C52" s="3" t="s">
        <v>13</v>
      </c>
      <c r="D52" s="58">
        <f>Input_!D124</f>
        <v>2.2000000000000002</v>
      </c>
      <c r="E52" s="58">
        <f>Input_!E124</f>
        <v>2.13</v>
      </c>
      <c r="F52" s="58">
        <f>Input_!F124</f>
        <v>2.13</v>
      </c>
      <c r="G52" s="58">
        <f>Input_!G124</f>
        <v>2.13</v>
      </c>
    </row>
    <row r="53" spans="2:7" ht="14.4" customHeight="1" x14ac:dyDescent="0.3">
      <c r="B53" s="15" t="s">
        <v>15</v>
      </c>
      <c r="C53" s="3" t="s">
        <v>13</v>
      </c>
      <c r="D53" s="58">
        <f>Input_!D126</f>
        <v>1.1000000000000001</v>
      </c>
      <c r="E53" s="58">
        <f>Input_!E126</f>
        <v>1.1000000000000001</v>
      </c>
      <c r="F53" s="58">
        <f>Input_!F126</f>
        <v>1.1000000000000001</v>
      </c>
      <c r="G53" s="58">
        <f>Input_!G126</f>
        <v>1.1000000000000001</v>
      </c>
    </row>
    <row r="56" spans="2:7" ht="28.8" customHeight="1" x14ac:dyDescent="0.3">
      <c r="B56" s="32" t="s">
        <v>231</v>
      </c>
      <c r="C56" s="5"/>
      <c r="D56" s="5"/>
      <c r="E56" s="5"/>
      <c r="F56" s="5"/>
      <c r="G56" s="5"/>
    </row>
    <row r="57" spans="2:7" ht="14.4" customHeight="1" x14ac:dyDescent="0.3">
      <c r="B57" s="37"/>
    </row>
    <row r="58" spans="2:7" ht="14.4" customHeight="1" x14ac:dyDescent="0.3">
      <c r="B58" s="9" t="s">
        <v>2</v>
      </c>
      <c r="C58" s="9" t="s">
        <v>228</v>
      </c>
      <c r="D58" s="6"/>
      <c r="E58" s="6"/>
      <c r="F58" s="6"/>
      <c r="G58" s="6"/>
    </row>
    <row r="59" spans="2:7" ht="14.4" customHeight="1" x14ac:dyDescent="0.3">
      <c r="B59" s="25"/>
      <c r="C59" s="25"/>
      <c r="D59" s="23" t="str">
        <f>Input_!D$5</f>
        <v>2023-24</v>
      </c>
      <c r="E59" s="23" t="str">
        <f>Input_!E$5</f>
        <v>2024-25</v>
      </c>
      <c r="F59" s="23" t="str">
        <f>Input_!F$5</f>
        <v>2025-26</v>
      </c>
      <c r="G59" s="23" t="str">
        <f>Input_!G$5</f>
        <v>2026-27</v>
      </c>
    </row>
    <row r="60" spans="2:7" ht="14.4" customHeight="1" x14ac:dyDescent="0.3">
      <c r="B60" s="24"/>
      <c r="C60" s="24"/>
      <c r="D60" s="8"/>
      <c r="E60" s="8"/>
      <c r="F60" s="8"/>
      <c r="G60" s="8"/>
    </row>
    <row r="61" spans="2:7" ht="14.4" customHeight="1" x14ac:dyDescent="0.3">
      <c r="B61" s="10" t="s">
        <v>8</v>
      </c>
      <c r="C61" s="3" t="s">
        <v>9</v>
      </c>
      <c r="D61" s="54">
        <f>'Entry Tariff_1'!D$107</f>
        <v>0</v>
      </c>
      <c r="E61" s="54">
        <f>'Entry Tariff_1'!E$107</f>
        <v>0</v>
      </c>
      <c r="F61" s="54">
        <f>'Entry Tariff_1'!F$107</f>
        <v>0</v>
      </c>
      <c r="G61" s="54">
        <f>'Entry Tariff_1'!G$107</f>
        <v>0</v>
      </c>
    </row>
    <row r="62" spans="2:7" ht="14.4" customHeight="1" x14ac:dyDescent="0.3">
      <c r="B62" s="11"/>
      <c r="C62" s="3" t="s">
        <v>10</v>
      </c>
      <c r="D62" s="54">
        <f>'Entry Tariff_1'!D$107</f>
        <v>0</v>
      </c>
      <c r="E62" s="54">
        <f>'Entry Tariff_1'!E$107</f>
        <v>0</v>
      </c>
      <c r="F62" s="54">
        <f>'Entry Tariff_1'!F$107</f>
        <v>0</v>
      </c>
      <c r="G62" s="54">
        <f>'Entry Tariff_1'!G$107</f>
        <v>0</v>
      </c>
    </row>
    <row r="63" spans="2:7" ht="14.4" customHeight="1" x14ac:dyDescent="0.3">
      <c r="B63" s="11"/>
      <c r="C63" s="3" t="s">
        <v>11</v>
      </c>
      <c r="D63" s="54">
        <f>'Entry Tariff_1'!D$107</f>
        <v>0</v>
      </c>
      <c r="E63" s="54">
        <f>'Entry Tariff_1'!E$107</f>
        <v>0</v>
      </c>
      <c r="F63" s="54">
        <f>'Entry Tariff_1'!F$107</f>
        <v>0</v>
      </c>
      <c r="G63" s="54">
        <f>'Entry Tariff_1'!G$107</f>
        <v>0</v>
      </c>
    </row>
    <row r="64" spans="2:7" ht="14.4" customHeight="1" x14ac:dyDescent="0.3">
      <c r="B64" s="11"/>
      <c r="C64" s="3" t="s">
        <v>12</v>
      </c>
      <c r="D64" s="54">
        <f>'Entry Tariff_1'!D$107</f>
        <v>0</v>
      </c>
      <c r="E64" s="54">
        <f>'Entry Tariff_1'!E$107</f>
        <v>0</v>
      </c>
      <c r="F64" s="54">
        <f>'Entry Tariff_1'!F$107</f>
        <v>0</v>
      </c>
      <c r="G64" s="54">
        <f>'Entry Tariff_1'!G$107</f>
        <v>0</v>
      </c>
    </row>
    <row r="65" spans="2:7" ht="14.4" customHeight="1" x14ac:dyDescent="0.3">
      <c r="B65" s="12"/>
      <c r="C65" s="3" t="s">
        <v>13</v>
      </c>
      <c r="D65" s="54">
        <f>'Entry Tariff_1'!D$107</f>
        <v>0</v>
      </c>
      <c r="E65" s="54">
        <f>'Entry Tariff_1'!E$107</f>
        <v>0</v>
      </c>
      <c r="F65" s="54">
        <f>'Entry Tariff_1'!F$107</f>
        <v>0</v>
      </c>
      <c r="G65" s="54">
        <f>'Entry Tariff_1'!G$107</f>
        <v>0</v>
      </c>
    </row>
    <row r="66" spans="2:7" ht="14.4" customHeight="1" x14ac:dyDescent="0.3">
      <c r="B66" s="10" t="s">
        <v>14</v>
      </c>
      <c r="C66" s="3" t="s">
        <v>9</v>
      </c>
      <c r="D66" s="54">
        <f>'Entry Tariff_1'!D$108</f>
        <v>0</v>
      </c>
      <c r="E66" s="54">
        <f>'Entry Tariff_1'!E$108</f>
        <v>0</v>
      </c>
      <c r="F66" s="54">
        <f>'Entry Tariff_1'!F$108</f>
        <v>0</v>
      </c>
      <c r="G66" s="54">
        <f>'Entry Tariff_1'!G$108</f>
        <v>0</v>
      </c>
    </row>
    <row r="67" spans="2:7" ht="14.4" customHeight="1" x14ac:dyDescent="0.3">
      <c r="B67" s="13"/>
      <c r="C67" s="3" t="s">
        <v>10</v>
      </c>
      <c r="D67" s="54">
        <f>'Entry Tariff_1'!D$108</f>
        <v>0</v>
      </c>
      <c r="E67" s="54">
        <f>'Entry Tariff_1'!E$108</f>
        <v>0</v>
      </c>
      <c r="F67" s="54">
        <f>'Entry Tariff_1'!F$108</f>
        <v>0</v>
      </c>
      <c r="G67" s="54">
        <f>'Entry Tariff_1'!G$108</f>
        <v>0</v>
      </c>
    </row>
    <row r="68" spans="2:7" ht="14.4" customHeight="1" x14ac:dyDescent="0.3">
      <c r="B68" s="13"/>
      <c r="C68" s="3" t="s">
        <v>11</v>
      </c>
      <c r="D68" s="54">
        <f>'Entry Tariff_1'!D$108</f>
        <v>0</v>
      </c>
      <c r="E68" s="54">
        <f>'Entry Tariff_1'!E$108</f>
        <v>0</v>
      </c>
      <c r="F68" s="54">
        <f>'Entry Tariff_1'!F$108</f>
        <v>0</v>
      </c>
      <c r="G68" s="54">
        <f>'Entry Tariff_1'!G$108</f>
        <v>0</v>
      </c>
    </row>
    <row r="69" spans="2:7" ht="14.4" customHeight="1" x14ac:dyDescent="0.3">
      <c r="B69" s="13"/>
      <c r="C69" s="3" t="s">
        <v>12</v>
      </c>
      <c r="D69" s="54">
        <f>'Entry Tariff_1'!D$108</f>
        <v>0</v>
      </c>
      <c r="E69" s="54">
        <f>'Entry Tariff_1'!E$108</f>
        <v>0</v>
      </c>
      <c r="F69" s="54">
        <f>'Entry Tariff_1'!F$108</f>
        <v>0</v>
      </c>
      <c r="G69" s="54">
        <f>'Entry Tariff_1'!G$108</f>
        <v>0</v>
      </c>
    </row>
    <row r="70" spans="2:7" ht="14.4" customHeight="1" x14ac:dyDescent="0.3">
      <c r="B70" s="14"/>
      <c r="C70" s="3" t="s">
        <v>13</v>
      </c>
      <c r="D70" s="54">
        <f>'Entry Tariff_1'!D$108</f>
        <v>0</v>
      </c>
      <c r="E70" s="54">
        <f>'Entry Tariff_1'!E$108</f>
        <v>0</v>
      </c>
      <c r="F70" s="54">
        <f>'Entry Tariff_1'!F$108</f>
        <v>0</v>
      </c>
      <c r="G70" s="54">
        <f>'Entry Tariff_1'!G$108</f>
        <v>0</v>
      </c>
    </row>
    <row r="71" spans="2:7" ht="14.4" customHeight="1" x14ac:dyDescent="0.3">
      <c r="B71" s="10" t="s">
        <v>15</v>
      </c>
      <c r="C71" s="3" t="s">
        <v>12</v>
      </c>
      <c r="D71" s="54">
        <f>'Entry Tariff_1'!D$109</f>
        <v>1</v>
      </c>
      <c r="E71" s="54">
        <f>'Entry Tariff_1'!E$109</f>
        <v>1</v>
      </c>
      <c r="F71" s="54">
        <f>'Entry Tariff_1'!F$109</f>
        <v>1</v>
      </c>
      <c r="G71" s="54">
        <f>'Entry Tariff_1'!G$109</f>
        <v>1</v>
      </c>
    </row>
    <row r="72" spans="2:7" ht="14.4" customHeight="1" x14ac:dyDescent="0.3">
      <c r="B72" s="14"/>
      <c r="C72" s="3" t="s">
        <v>13</v>
      </c>
      <c r="D72" s="54">
        <f>'Entry Tariff_1'!D$109</f>
        <v>1</v>
      </c>
      <c r="E72" s="54">
        <f>'Entry Tariff_1'!E$109</f>
        <v>1</v>
      </c>
      <c r="F72" s="54">
        <f>'Entry Tariff_1'!F$109</f>
        <v>1</v>
      </c>
      <c r="G72" s="54">
        <f>'Entry Tariff_1'!G$109</f>
        <v>1</v>
      </c>
    </row>
    <row r="73" spans="2:7" ht="14.4" customHeight="1" x14ac:dyDescent="0.3">
      <c r="B73" s="15" t="s">
        <v>26</v>
      </c>
      <c r="C73" s="3" t="s">
        <v>27</v>
      </c>
      <c r="D73" s="54">
        <f>'Entry Tariff_1'!D$110</f>
        <v>0</v>
      </c>
      <c r="E73" s="54">
        <f>'Entry Tariff_1'!E$110</f>
        <v>0</v>
      </c>
      <c r="F73" s="54">
        <f>'Entry Tariff_1'!F$110</f>
        <v>0</v>
      </c>
      <c r="G73" s="54">
        <f>'Entry Tariff_1'!G$110</f>
        <v>0</v>
      </c>
    </row>
    <row r="74" spans="2:7" ht="14.4" customHeight="1" x14ac:dyDescent="0.3">
      <c r="B74" s="9" t="s">
        <v>2</v>
      </c>
      <c r="C74" s="9" t="s">
        <v>229</v>
      </c>
      <c r="D74" s="6"/>
      <c r="E74" s="6"/>
      <c r="F74" s="6"/>
      <c r="G74" s="6"/>
    </row>
    <row r="75" spans="2:7" ht="14.4" customHeight="1" x14ac:dyDescent="0.3">
      <c r="B75" s="25"/>
      <c r="C75" s="25"/>
      <c r="D75" s="23" t="str">
        <f>Input_!D$5</f>
        <v>2023-24</v>
      </c>
      <c r="E75" s="23" t="str">
        <f>Input_!E$5</f>
        <v>2024-25</v>
      </c>
      <c r="F75" s="23" t="str">
        <f>Input_!F$5</f>
        <v>2025-26</v>
      </c>
      <c r="G75" s="23" t="str">
        <f>Input_!G$5</f>
        <v>2026-27</v>
      </c>
    </row>
    <row r="76" spans="2:7" ht="14.4" customHeight="1" x14ac:dyDescent="0.3">
      <c r="B76" s="24"/>
      <c r="C76" s="24"/>
      <c r="D76" s="8"/>
      <c r="E76" s="8"/>
      <c r="F76" s="8"/>
      <c r="G76" s="8"/>
    </row>
    <row r="77" spans="2:7" ht="14.4" customHeight="1" x14ac:dyDescent="0.3">
      <c r="B77" s="10" t="s">
        <v>8</v>
      </c>
      <c r="C77" s="3" t="s">
        <v>12</v>
      </c>
      <c r="D77" s="56">
        <f>'Entry Tariff_1'!D$114</f>
        <v>4.6000000000000041E-2</v>
      </c>
      <c r="E77" s="56">
        <f>'Entry Tariff_1'!E$114</f>
        <v>4.6000000000000041E-2</v>
      </c>
      <c r="F77" s="56">
        <f>'Entry Tariff_1'!F$114</f>
        <v>4.6000000000000041E-2</v>
      </c>
      <c r="G77" s="56">
        <f>'Entry Tariff_1'!G$114</f>
        <v>4.6000000000000041E-2</v>
      </c>
    </row>
    <row r="78" spans="2:7" ht="14.4" customHeight="1" x14ac:dyDescent="0.3">
      <c r="B78" s="12"/>
      <c r="C78" s="3" t="s">
        <v>13</v>
      </c>
      <c r="D78" s="56">
        <f>'Entry Tariff_1'!D$114</f>
        <v>4.6000000000000041E-2</v>
      </c>
      <c r="E78" s="56">
        <f>'Entry Tariff_1'!E$114</f>
        <v>4.6000000000000041E-2</v>
      </c>
      <c r="F78" s="56">
        <f>'Entry Tariff_1'!F$114</f>
        <v>4.6000000000000041E-2</v>
      </c>
      <c r="G78" s="56">
        <f>'Entry Tariff_1'!G$114</f>
        <v>4.6000000000000041E-2</v>
      </c>
    </row>
    <row r="79" spans="2:7" ht="14.4" customHeight="1" x14ac:dyDescent="0.3">
      <c r="B79" s="15" t="s">
        <v>14</v>
      </c>
      <c r="C79" s="3" t="s">
        <v>13</v>
      </c>
      <c r="D79" s="56">
        <f>'Entry Tariff_1'!D$115</f>
        <v>0.15300000000000002</v>
      </c>
      <c r="E79" s="56">
        <f>'Entry Tariff_1'!E$115</f>
        <v>0.15300000000000002</v>
      </c>
      <c r="F79" s="56">
        <f>'Entry Tariff_1'!F$115</f>
        <v>0.15300000000000002</v>
      </c>
      <c r="G79" s="56">
        <f>'Entry Tariff_1'!G$115</f>
        <v>0.15300000000000002</v>
      </c>
    </row>
    <row r="80" spans="2:7" ht="14.4" customHeight="1" x14ac:dyDescent="0.3">
      <c r="B80" s="15" t="s">
        <v>15</v>
      </c>
      <c r="C80" s="3" t="s">
        <v>13</v>
      </c>
      <c r="D80" s="56">
        <f>'Entry Tariff_1'!D$116</f>
        <v>1</v>
      </c>
      <c r="E80" s="56">
        <f>'Entry Tariff_1'!E$116</f>
        <v>1</v>
      </c>
      <c r="F80" s="56">
        <f>'Entry Tariff_1'!F$116</f>
        <v>1</v>
      </c>
      <c r="G80" s="56">
        <f>'Entry Tariff_1'!G$116</f>
        <v>1</v>
      </c>
    </row>
    <row r="83" spans="2:7" ht="28.8" customHeight="1" x14ac:dyDescent="0.3">
      <c r="B83" s="32" t="s">
        <v>625</v>
      </c>
      <c r="C83" s="5"/>
      <c r="D83" s="5"/>
      <c r="E83" s="5"/>
      <c r="F83" s="5"/>
      <c r="G83" s="5"/>
    </row>
    <row r="84" spans="2:7" ht="14.4" customHeight="1" x14ac:dyDescent="0.3">
      <c r="B84" s="37"/>
    </row>
    <row r="85" spans="2:7" ht="14.4" customHeight="1" x14ac:dyDescent="0.3">
      <c r="B85" s="9" t="s">
        <v>2</v>
      </c>
      <c r="C85" s="9" t="s">
        <v>228</v>
      </c>
      <c r="D85" s="6"/>
      <c r="E85" s="6"/>
      <c r="F85" s="6"/>
      <c r="G85" s="6"/>
    </row>
    <row r="86" spans="2:7" ht="14.4" customHeight="1" x14ac:dyDescent="0.3">
      <c r="B86" s="25"/>
      <c r="C86" s="25"/>
      <c r="D86" s="23" t="str">
        <f>Input_!D$5</f>
        <v>2023-24</v>
      </c>
      <c r="E86" s="23" t="str">
        <f>Input_!E$5</f>
        <v>2024-25</v>
      </c>
      <c r="F86" s="23" t="str">
        <f>Input_!F$5</f>
        <v>2025-26</v>
      </c>
      <c r="G86" s="23" t="str">
        <f>Input_!G$5</f>
        <v>2026-27</v>
      </c>
    </row>
    <row r="87" spans="2:7" ht="14.4" customHeight="1" x14ac:dyDescent="0.3">
      <c r="B87" s="24"/>
      <c r="C87" s="24"/>
      <c r="D87" s="8"/>
      <c r="E87" s="8"/>
      <c r="F87" s="8"/>
      <c r="G87" s="8"/>
    </row>
    <row r="88" spans="2:7" ht="14.4" customHeight="1" x14ac:dyDescent="0.3">
      <c r="B88" s="10" t="s">
        <v>8</v>
      </c>
      <c r="C88" s="3" t="s">
        <v>9</v>
      </c>
      <c r="D88" s="57">
        <f t="shared" ref="D88:G88" si="0">D7*D34*(1-D61)</f>
        <v>3.3066849779267535E-2</v>
      </c>
      <c r="E88" s="57">
        <f t="shared" si="0"/>
        <v>3.5139951544696221E-2</v>
      </c>
      <c r="F88" s="57">
        <f t="shared" si="0"/>
        <v>3.5139951544696221E-2</v>
      </c>
      <c r="G88" s="57">
        <f t="shared" si="0"/>
        <v>3.5139951544696221E-2</v>
      </c>
    </row>
    <row r="89" spans="2:7" ht="14.4" customHeight="1" x14ac:dyDescent="0.3">
      <c r="B89" s="11"/>
      <c r="C89" s="3" t="s">
        <v>10</v>
      </c>
      <c r="D89" s="57">
        <f t="shared" ref="D89:G100" si="1">D8*D35*(1-D62)</f>
        <v>4.2986904713047794E-2</v>
      </c>
      <c r="E89" s="57">
        <f t="shared" si="1"/>
        <v>4.1465142822741538E-2</v>
      </c>
      <c r="F89" s="57">
        <f t="shared" si="1"/>
        <v>4.1465142822741538E-2</v>
      </c>
      <c r="G89" s="57">
        <f t="shared" si="1"/>
        <v>4.1465142822741538E-2</v>
      </c>
    </row>
    <row r="90" spans="2:7" ht="14.4" customHeight="1" x14ac:dyDescent="0.3">
      <c r="B90" s="11"/>
      <c r="C90" s="3" t="s">
        <v>11</v>
      </c>
      <c r="D90" s="57">
        <f t="shared" si="1"/>
        <v>4.9600274668901302E-2</v>
      </c>
      <c r="E90" s="57">
        <f t="shared" si="1"/>
        <v>4.7438934585339904E-2</v>
      </c>
      <c r="F90" s="57">
        <f t="shared" si="1"/>
        <v>4.7438934585339904E-2</v>
      </c>
      <c r="G90" s="57">
        <f t="shared" si="1"/>
        <v>4.7438934585339904E-2</v>
      </c>
    </row>
    <row r="91" spans="2:7" ht="14.4" customHeight="1" x14ac:dyDescent="0.3">
      <c r="B91" s="11"/>
      <c r="C91" s="3" t="s">
        <v>12</v>
      </c>
      <c r="D91" s="57">
        <f t="shared" si="1"/>
        <v>6.613369955853507E-2</v>
      </c>
      <c r="E91" s="57">
        <f t="shared" si="1"/>
        <v>6.8171505996710666E-2</v>
      </c>
      <c r="F91" s="57">
        <f t="shared" si="1"/>
        <v>6.8171505996710666E-2</v>
      </c>
      <c r="G91" s="57">
        <f t="shared" si="1"/>
        <v>6.8171505996710666E-2</v>
      </c>
    </row>
    <row r="92" spans="2:7" ht="14.4" customHeight="1" x14ac:dyDescent="0.3">
      <c r="B92" s="12"/>
      <c r="C92" s="3" t="s">
        <v>13</v>
      </c>
      <c r="D92" s="57">
        <f t="shared" si="1"/>
        <v>7.2747069514388585E-2</v>
      </c>
      <c r="E92" s="57">
        <f t="shared" si="1"/>
        <v>7.4848096790202948E-2</v>
      </c>
      <c r="F92" s="57">
        <f t="shared" si="1"/>
        <v>7.4848096790202948E-2</v>
      </c>
      <c r="G92" s="57">
        <f t="shared" si="1"/>
        <v>7.4848096790202948E-2</v>
      </c>
    </row>
    <row r="93" spans="2:7" ht="14.4" customHeight="1" x14ac:dyDescent="0.3">
      <c r="B93" s="10" t="s">
        <v>14</v>
      </c>
      <c r="C93" s="3" t="s">
        <v>9</v>
      </c>
      <c r="D93" s="57">
        <f t="shared" si="1"/>
        <v>9.3422859210249107E-2</v>
      </c>
      <c r="E93" s="57">
        <f t="shared" si="1"/>
        <v>9.8653543672850466E-2</v>
      </c>
      <c r="F93" s="57">
        <f t="shared" si="1"/>
        <v>9.8653543672850466E-2</v>
      </c>
      <c r="G93" s="57">
        <f t="shared" si="1"/>
        <v>9.8653543672850466E-2</v>
      </c>
    </row>
    <row r="94" spans="2:7" ht="14.4" customHeight="1" x14ac:dyDescent="0.3">
      <c r="B94" s="13"/>
      <c r="C94" s="3" t="s">
        <v>10</v>
      </c>
      <c r="D94" s="57">
        <f t="shared" si="1"/>
        <v>0.12144971697332384</v>
      </c>
      <c r="E94" s="57">
        <f t="shared" si="1"/>
        <v>0.11641118153396354</v>
      </c>
      <c r="F94" s="57">
        <f t="shared" si="1"/>
        <v>0.11641118153396354</v>
      </c>
      <c r="G94" s="57">
        <f t="shared" si="1"/>
        <v>0.11641118153396354</v>
      </c>
    </row>
    <row r="95" spans="2:7" ht="14.4" customHeight="1" x14ac:dyDescent="0.3">
      <c r="B95" s="13"/>
      <c r="C95" s="3" t="s">
        <v>11</v>
      </c>
      <c r="D95" s="57">
        <f t="shared" si="1"/>
        <v>0.14013428881537365</v>
      </c>
      <c r="E95" s="57">
        <f t="shared" si="1"/>
        <v>0.13318228395834814</v>
      </c>
      <c r="F95" s="57">
        <f t="shared" si="1"/>
        <v>0.13318228395834814</v>
      </c>
      <c r="G95" s="57">
        <f t="shared" si="1"/>
        <v>0.13318228395834814</v>
      </c>
    </row>
    <row r="96" spans="2:7" ht="14.4" customHeight="1" x14ac:dyDescent="0.3">
      <c r="B96" s="13"/>
      <c r="C96" s="3" t="s">
        <v>12</v>
      </c>
      <c r="D96" s="57">
        <f t="shared" si="1"/>
        <v>0.18684571842049821</v>
      </c>
      <c r="E96" s="57">
        <f t="shared" si="1"/>
        <v>0.19138787472532989</v>
      </c>
      <c r="F96" s="57">
        <f t="shared" si="1"/>
        <v>0.19138787472532989</v>
      </c>
      <c r="G96" s="57">
        <f t="shared" si="1"/>
        <v>0.19138787472532989</v>
      </c>
    </row>
    <row r="97" spans="2:8" ht="14.4" customHeight="1" x14ac:dyDescent="0.3">
      <c r="B97" s="14"/>
      <c r="C97" s="3" t="s">
        <v>13</v>
      </c>
      <c r="D97" s="57">
        <f t="shared" si="1"/>
        <v>0.20553029026254804</v>
      </c>
      <c r="E97" s="57">
        <f t="shared" si="1"/>
        <v>0.21013204802317148</v>
      </c>
      <c r="F97" s="57">
        <f t="shared" si="1"/>
        <v>0.21013204802317148</v>
      </c>
      <c r="G97" s="57">
        <f t="shared" si="1"/>
        <v>0.21013204802317148</v>
      </c>
    </row>
    <row r="98" spans="2:8" ht="14.4" customHeight="1" x14ac:dyDescent="0.3">
      <c r="B98" s="10" t="s">
        <v>15</v>
      </c>
      <c r="C98" s="3" t="s">
        <v>12</v>
      </c>
      <c r="D98" s="57">
        <f t="shared" si="1"/>
        <v>0</v>
      </c>
      <c r="E98" s="57">
        <f t="shared" si="1"/>
        <v>0</v>
      </c>
      <c r="F98" s="57">
        <f t="shared" si="1"/>
        <v>0</v>
      </c>
      <c r="G98" s="57">
        <f t="shared" si="1"/>
        <v>0</v>
      </c>
    </row>
    <row r="99" spans="2:8" ht="14.4" customHeight="1" x14ac:dyDescent="0.3">
      <c r="B99" s="14"/>
      <c r="C99" s="3" t="s">
        <v>13</v>
      </c>
      <c r="D99" s="57">
        <f t="shared" si="1"/>
        <v>0</v>
      </c>
      <c r="E99" s="57">
        <f t="shared" si="1"/>
        <v>0</v>
      </c>
      <c r="F99" s="57">
        <f t="shared" si="1"/>
        <v>0</v>
      </c>
      <c r="G99" s="57">
        <f t="shared" si="1"/>
        <v>0</v>
      </c>
    </row>
    <row r="100" spans="2:8" ht="14.4" customHeight="1" x14ac:dyDescent="0.3">
      <c r="B100" s="15" t="s">
        <v>26</v>
      </c>
      <c r="C100" s="3" t="s">
        <v>27</v>
      </c>
      <c r="D100" s="353">
        <f t="shared" ref="D100:G100" si="2">D17*D46*(1-D73)</f>
        <v>6.7988161571272904E-3</v>
      </c>
      <c r="E100" s="353">
        <f>E17*E46*(1-E73)</f>
        <v>7.102685939819945E-3</v>
      </c>
      <c r="F100" s="353">
        <f t="shared" ref="F100:G100" si="3">F17*F46*(1-F73)</f>
        <v>7.102685939819945E-3</v>
      </c>
      <c r="G100" s="353">
        <f t="shared" si="3"/>
        <v>7.102685939819945E-3</v>
      </c>
      <c r="H100" s="354" t="s">
        <v>829</v>
      </c>
    </row>
    <row r="101" spans="2:8" ht="14.4" customHeight="1" x14ac:dyDescent="0.3">
      <c r="B101" s="9" t="s">
        <v>2</v>
      </c>
      <c r="C101" s="9" t="s">
        <v>229</v>
      </c>
      <c r="D101" s="6"/>
      <c r="E101" s="6"/>
      <c r="F101" s="6"/>
      <c r="G101" s="6"/>
    </row>
    <row r="102" spans="2:8" ht="14.4" customHeight="1" x14ac:dyDescent="0.3">
      <c r="B102" s="25"/>
      <c r="C102" s="25"/>
      <c r="D102" s="23" t="str">
        <f>Input_!D$5</f>
        <v>2023-24</v>
      </c>
      <c r="E102" s="23" t="str">
        <f>Input_!E$5</f>
        <v>2024-25</v>
      </c>
      <c r="F102" s="23" t="str">
        <f>Input_!F$5</f>
        <v>2025-26</v>
      </c>
      <c r="G102" s="23" t="str">
        <f>Input_!G$5</f>
        <v>2026-27</v>
      </c>
    </row>
    <row r="103" spans="2:8" ht="14.4" customHeight="1" x14ac:dyDescent="0.3">
      <c r="B103" s="24"/>
      <c r="C103" s="24"/>
      <c r="D103" s="8"/>
      <c r="E103" s="8"/>
      <c r="F103" s="8"/>
      <c r="G103" s="8"/>
    </row>
    <row r="104" spans="2:8" ht="14.4" customHeight="1" x14ac:dyDescent="0.3">
      <c r="B104" s="10" t="s">
        <v>8</v>
      </c>
      <c r="C104" s="3" t="s">
        <v>12</v>
      </c>
      <c r="D104" s="57">
        <f t="shared" ref="D104:G107" si="4">D23*D50*(1-D77)</f>
        <v>6.3091549378842454E-2</v>
      </c>
      <c r="E104" s="57">
        <f t="shared" si="4"/>
        <v>6.5035616720861972E-2</v>
      </c>
      <c r="F104" s="57">
        <f t="shared" si="4"/>
        <v>6.5035616720861972E-2</v>
      </c>
      <c r="G104" s="57">
        <f t="shared" si="4"/>
        <v>6.5035616720861972E-2</v>
      </c>
    </row>
    <row r="105" spans="2:8" ht="14.4" customHeight="1" x14ac:dyDescent="0.3">
      <c r="B105" s="12"/>
      <c r="C105" s="3" t="s">
        <v>13</v>
      </c>
      <c r="D105" s="57">
        <f t="shared" si="4"/>
        <v>6.9400704316726708E-2</v>
      </c>
      <c r="E105" s="57">
        <f t="shared" si="4"/>
        <v>7.1405084337853614E-2</v>
      </c>
      <c r="F105" s="57">
        <f t="shared" si="4"/>
        <v>7.1405084337853614E-2</v>
      </c>
      <c r="G105" s="57">
        <f t="shared" si="4"/>
        <v>7.1405084337853614E-2</v>
      </c>
    </row>
    <row r="106" spans="2:8" ht="14.4" customHeight="1" x14ac:dyDescent="0.3">
      <c r="B106" s="15" t="s">
        <v>14</v>
      </c>
      <c r="C106" s="3" t="s">
        <v>13</v>
      </c>
      <c r="D106" s="57">
        <f t="shared" si="4"/>
        <v>0.17408415585237819</v>
      </c>
      <c r="E106" s="57">
        <f t="shared" si="4"/>
        <v>0.17798184467562625</v>
      </c>
      <c r="F106" s="57">
        <f t="shared" si="4"/>
        <v>0.17798184467562625</v>
      </c>
      <c r="G106" s="57">
        <f t="shared" si="4"/>
        <v>0.17798184467562625</v>
      </c>
    </row>
    <row r="107" spans="2:8" ht="14.4" customHeight="1" x14ac:dyDescent="0.3">
      <c r="B107" s="15" t="s">
        <v>15</v>
      </c>
      <c r="C107" s="3" t="s">
        <v>13</v>
      </c>
      <c r="D107" s="57">
        <f t="shared" si="4"/>
        <v>0</v>
      </c>
      <c r="E107" s="57">
        <f t="shared" si="4"/>
        <v>0</v>
      </c>
      <c r="F107" s="57">
        <f t="shared" si="4"/>
        <v>0</v>
      </c>
      <c r="G107" s="57">
        <f t="shared" si="4"/>
        <v>0</v>
      </c>
    </row>
    <row r="110" spans="2:8" ht="28.8" customHeight="1" x14ac:dyDescent="0.3">
      <c r="B110" s="32" t="s">
        <v>626</v>
      </c>
      <c r="C110" s="5"/>
      <c r="D110" s="5"/>
      <c r="E110" s="5"/>
      <c r="F110" s="5"/>
      <c r="G110" s="5"/>
    </row>
    <row r="111" spans="2:8" ht="14.4" customHeight="1" x14ac:dyDescent="0.3">
      <c r="B111" s="37"/>
    </row>
    <row r="112" spans="2:8" ht="14.4" customHeight="1" x14ac:dyDescent="0.3">
      <c r="B112" s="9" t="s">
        <v>2</v>
      </c>
      <c r="C112" s="9" t="s">
        <v>228</v>
      </c>
      <c r="D112" s="6"/>
      <c r="E112" s="6"/>
      <c r="F112" s="6"/>
      <c r="G112" s="6"/>
    </row>
    <row r="113" spans="2:7" ht="14.4" customHeight="1" x14ac:dyDescent="0.3">
      <c r="B113" s="25"/>
      <c r="C113" s="25"/>
      <c r="D113" s="23" t="str">
        <f>Input_!D$5</f>
        <v>2023-24</v>
      </c>
      <c r="E113" s="23" t="str">
        <f>Input_!E$5</f>
        <v>2024-25</v>
      </c>
      <c r="F113" s="23" t="str">
        <f>Input_!F$5</f>
        <v>2025-26</v>
      </c>
      <c r="G113" s="23" t="str">
        <f>Input_!G$5</f>
        <v>2026-27</v>
      </c>
    </row>
    <row r="114" spans="2:7" ht="14.4" customHeight="1" x14ac:dyDescent="0.3">
      <c r="B114" s="24"/>
      <c r="C114" s="24"/>
      <c r="D114" s="8"/>
      <c r="E114" s="8"/>
      <c r="F114" s="8"/>
      <c r="G114" s="8"/>
    </row>
    <row r="115" spans="2:7" ht="14.4" customHeight="1" x14ac:dyDescent="0.3">
      <c r="B115" s="10" t="s">
        <v>8</v>
      </c>
      <c r="C115" s="3" t="s">
        <v>9</v>
      </c>
      <c r="D115" s="38">
        <f>Input_!D20</f>
        <v>3052986</v>
      </c>
      <c r="E115" s="38">
        <f>Input_!E20</f>
        <v>4884702</v>
      </c>
      <c r="F115" s="38">
        <f>Input_!F20</f>
        <v>4884702</v>
      </c>
      <c r="G115" s="38">
        <f>Input_!G20</f>
        <v>4884702</v>
      </c>
    </row>
    <row r="116" spans="2:7" ht="14.4" customHeight="1" x14ac:dyDescent="0.3">
      <c r="B116" s="11"/>
      <c r="C116" s="3" t="s">
        <v>10</v>
      </c>
      <c r="D116" s="38">
        <f>Input_!D21</f>
        <v>1427387.9999999998</v>
      </c>
      <c r="E116" s="38">
        <f>Input_!E21</f>
        <v>3513912</v>
      </c>
      <c r="F116" s="38">
        <f>Input_!F21</f>
        <v>3513912</v>
      </c>
      <c r="G116" s="38">
        <f>Input_!G21</f>
        <v>3513912</v>
      </c>
    </row>
    <row r="117" spans="2:7" ht="14.4" customHeight="1" x14ac:dyDescent="0.3">
      <c r="B117" s="11"/>
      <c r="C117" s="3" t="s">
        <v>11</v>
      </c>
      <c r="D117" s="38">
        <f>Input_!D22</f>
        <v>2830358</v>
      </c>
      <c r="E117" s="38">
        <f>Input_!E22</f>
        <v>9185306</v>
      </c>
      <c r="F117" s="38">
        <f>Input_!F22</f>
        <v>9185306</v>
      </c>
      <c r="G117" s="38">
        <f>Input_!G22</f>
        <v>9185306</v>
      </c>
    </row>
    <row r="118" spans="2:7" ht="14.4" customHeight="1" x14ac:dyDescent="0.3">
      <c r="B118" s="11"/>
      <c r="C118" s="3" t="s">
        <v>12</v>
      </c>
      <c r="D118" s="38">
        <f>Input_!D23</f>
        <v>10826796.701369863</v>
      </c>
      <c r="E118" s="38">
        <f>Input_!E23</f>
        <v>5947824.7013698621</v>
      </c>
      <c r="F118" s="38">
        <f>Input_!F23</f>
        <v>5947824.7013698621</v>
      </c>
      <c r="G118" s="38">
        <f>Input_!G23</f>
        <v>5947824.7013698621</v>
      </c>
    </row>
    <row r="119" spans="2:7" ht="14.4" customHeight="1" x14ac:dyDescent="0.3">
      <c r="B119" s="12"/>
      <c r="C119" s="3" t="s">
        <v>13</v>
      </c>
      <c r="D119" s="38">
        <f>Input_!D24</f>
        <v>1105373.1506849315</v>
      </c>
      <c r="E119" s="38">
        <f>Input_!E24</f>
        <v>666864.43013698631</v>
      </c>
      <c r="F119" s="38">
        <f>Input_!F24</f>
        <v>666864.43013698631</v>
      </c>
      <c r="G119" s="38">
        <f>Input_!G24</f>
        <v>666864.43013698631</v>
      </c>
    </row>
    <row r="120" spans="2:7" ht="14.4" customHeight="1" x14ac:dyDescent="0.3">
      <c r="B120" s="10" t="s">
        <v>14</v>
      </c>
      <c r="C120" s="3" t="s">
        <v>9</v>
      </c>
      <c r="D120" s="38">
        <f>Input_!D25</f>
        <v>200000000</v>
      </c>
      <c r="E120" s="38">
        <f>Input_!E25</f>
        <v>200000000</v>
      </c>
      <c r="F120" s="38">
        <f>Input_!F25</f>
        <v>200000000</v>
      </c>
      <c r="G120" s="38">
        <f>Input_!G25</f>
        <v>200000000</v>
      </c>
    </row>
    <row r="121" spans="2:7" ht="14.4" customHeight="1" x14ac:dyDescent="0.3">
      <c r="B121" s="13"/>
      <c r="C121" s="3" t="s">
        <v>10</v>
      </c>
      <c r="D121" s="38">
        <f>Input_!D26</f>
        <v>0</v>
      </c>
      <c r="E121" s="38">
        <f>Input_!E26</f>
        <v>0</v>
      </c>
      <c r="F121" s="38">
        <f>Input_!F26</f>
        <v>0</v>
      </c>
      <c r="G121" s="38">
        <f>Input_!G26</f>
        <v>0</v>
      </c>
    </row>
    <row r="122" spans="2:7" ht="14.4" customHeight="1" x14ac:dyDescent="0.3">
      <c r="B122" s="13"/>
      <c r="C122" s="3" t="s">
        <v>11</v>
      </c>
      <c r="D122" s="38">
        <f>Input_!D27</f>
        <v>0</v>
      </c>
      <c r="E122" s="38">
        <f>Input_!E27</f>
        <v>0</v>
      </c>
      <c r="F122" s="38">
        <f>Input_!F27</f>
        <v>0</v>
      </c>
      <c r="G122" s="38">
        <f>Input_!G27</f>
        <v>0</v>
      </c>
    </row>
    <row r="123" spans="2:7" ht="14.4" customHeight="1" x14ac:dyDescent="0.3">
      <c r="B123" s="13"/>
      <c r="C123" s="3" t="s">
        <v>12</v>
      </c>
      <c r="D123" s="38">
        <f>Input_!D28</f>
        <v>0</v>
      </c>
      <c r="E123" s="38">
        <f>Input_!E28</f>
        <v>0</v>
      </c>
      <c r="F123" s="38">
        <f>Input_!F28</f>
        <v>0</v>
      </c>
      <c r="G123" s="38">
        <f>Input_!G28</f>
        <v>0</v>
      </c>
    </row>
    <row r="124" spans="2:7" ht="14.4" customHeight="1" x14ac:dyDescent="0.3">
      <c r="B124" s="14"/>
      <c r="C124" s="3" t="s">
        <v>13</v>
      </c>
      <c r="D124" s="38">
        <f>Input_!D29</f>
        <v>0</v>
      </c>
      <c r="E124" s="38">
        <f>Input_!E29</f>
        <v>0</v>
      </c>
      <c r="F124" s="38">
        <f>Input_!F29</f>
        <v>0</v>
      </c>
      <c r="G124" s="38">
        <f>Input_!G29</f>
        <v>0</v>
      </c>
    </row>
    <row r="125" spans="2:7" ht="14.4" customHeight="1" x14ac:dyDescent="0.3">
      <c r="B125" s="10" t="s">
        <v>15</v>
      </c>
      <c r="C125" s="3" t="s">
        <v>12</v>
      </c>
      <c r="D125" s="38">
        <f>Input_!D30</f>
        <v>4185610.9808219173</v>
      </c>
      <c r="E125" s="38">
        <f>Input_!E30</f>
        <v>4369884.2958904114</v>
      </c>
      <c r="F125" s="38">
        <f>Input_!F30</f>
        <v>4369884.2958904114</v>
      </c>
      <c r="G125" s="38">
        <f>Input_!G30</f>
        <v>4369884.2958904114</v>
      </c>
    </row>
    <row r="126" spans="2:7" ht="14.4" customHeight="1" x14ac:dyDescent="0.3">
      <c r="B126" s="14"/>
      <c r="C126" s="3" t="s">
        <v>13</v>
      </c>
      <c r="D126" s="38">
        <f>Input_!D31</f>
        <v>4367877.2109589046</v>
      </c>
      <c r="E126" s="38">
        <f>Input_!E31</f>
        <v>2787181.2931506848</v>
      </c>
      <c r="F126" s="38">
        <f>Input_!F31</f>
        <v>2787181.2931506848</v>
      </c>
      <c r="G126" s="38">
        <f>Input_!G31</f>
        <v>2787181.2931506848</v>
      </c>
    </row>
    <row r="127" spans="2:7" ht="14.4" customHeight="1" x14ac:dyDescent="0.3">
      <c r="B127" s="15" t="s">
        <v>26</v>
      </c>
      <c r="C127" s="3" t="s">
        <v>27</v>
      </c>
      <c r="D127" s="38">
        <f>Input_!D32</f>
        <v>1E-3</v>
      </c>
      <c r="E127" s="38">
        <f>Input_!E32</f>
        <v>1E-3</v>
      </c>
      <c r="F127" s="38">
        <f>Input_!F32</f>
        <v>1E-3</v>
      </c>
      <c r="G127" s="38">
        <f>Input_!G32</f>
        <v>1E-3</v>
      </c>
    </row>
    <row r="128" spans="2:7" ht="14.4" customHeight="1" x14ac:dyDescent="0.3">
      <c r="B128" s="9" t="s">
        <v>2</v>
      </c>
      <c r="C128" s="9" t="s">
        <v>229</v>
      </c>
      <c r="D128" s="6"/>
      <c r="E128" s="6"/>
      <c r="F128" s="6"/>
      <c r="G128" s="6"/>
    </row>
    <row r="129" spans="2:7" ht="14.4" customHeight="1" x14ac:dyDescent="0.3">
      <c r="B129" s="25"/>
      <c r="C129" s="25"/>
      <c r="D129" s="23" t="str">
        <f>Input_!D$5</f>
        <v>2023-24</v>
      </c>
      <c r="E129" s="23" t="str">
        <f>Input_!E$5</f>
        <v>2024-25</v>
      </c>
      <c r="F129" s="23" t="str">
        <f>Input_!F$5</f>
        <v>2025-26</v>
      </c>
      <c r="G129" s="23" t="str">
        <f>Input_!G$5</f>
        <v>2026-27</v>
      </c>
    </row>
    <row r="130" spans="2:7" ht="14.4" customHeight="1" x14ac:dyDescent="0.3">
      <c r="B130" s="24"/>
      <c r="C130" s="24"/>
      <c r="D130" s="8"/>
      <c r="E130" s="8"/>
      <c r="F130" s="8"/>
      <c r="G130" s="8"/>
    </row>
    <row r="131" spans="2:7" ht="14.4" customHeight="1" x14ac:dyDescent="0.3">
      <c r="B131" s="10" t="s">
        <v>8</v>
      </c>
      <c r="C131" s="3" t="s">
        <v>12</v>
      </c>
      <c r="D131" s="38">
        <f>Input_!D40</f>
        <v>0</v>
      </c>
      <c r="E131" s="38">
        <f>Input_!E40</f>
        <v>0</v>
      </c>
      <c r="F131" s="38">
        <f>Input_!F40</f>
        <v>0</v>
      </c>
      <c r="G131" s="38">
        <f>Input_!G40</f>
        <v>0</v>
      </c>
    </row>
    <row r="132" spans="2:7" ht="14.4" customHeight="1" x14ac:dyDescent="0.3">
      <c r="B132" s="12"/>
      <c r="C132" s="3" t="s">
        <v>13</v>
      </c>
      <c r="D132" s="38">
        <f>Input_!D41</f>
        <v>0</v>
      </c>
      <c r="E132" s="38">
        <f>Input_!E41</f>
        <v>0</v>
      </c>
      <c r="F132" s="38">
        <f>Input_!F41</f>
        <v>0</v>
      </c>
      <c r="G132" s="38">
        <f>Input_!G41</f>
        <v>0</v>
      </c>
    </row>
    <row r="133" spans="2:7" ht="14.4" customHeight="1" x14ac:dyDescent="0.3">
      <c r="B133" s="15" t="s">
        <v>14</v>
      </c>
      <c r="C133" s="3" t="s">
        <v>13</v>
      </c>
      <c r="D133" s="38">
        <f>Input_!D42</f>
        <v>0</v>
      </c>
      <c r="E133" s="38">
        <f>Input_!E42</f>
        <v>0</v>
      </c>
      <c r="F133" s="38">
        <f>Input_!F42</f>
        <v>0</v>
      </c>
      <c r="G133" s="38">
        <f>Input_!G42</f>
        <v>0</v>
      </c>
    </row>
    <row r="134" spans="2:7" ht="14.4" customHeight="1" x14ac:dyDescent="0.3">
      <c r="B134" s="15" t="s">
        <v>15</v>
      </c>
      <c r="C134" s="3" t="s">
        <v>13</v>
      </c>
      <c r="D134" s="38">
        <f>Input_!D43</f>
        <v>0</v>
      </c>
      <c r="E134" s="38">
        <f>Input_!E43</f>
        <v>0</v>
      </c>
      <c r="F134" s="38">
        <f>Input_!F43</f>
        <v>0</v>
      </c>
      <c r="G134" s="38">
        <f>Input_!G43</f>
        <v>0</v>
      </c>
    </row>
    <row r="137" spans="2:7" ht="28.8" customHeight="1" x14ac:dyDescent="0.3">
      <c r="B137" s="32" t="s">
        <v>627</v>
      </c>
      <c r="C137" s="5"/>
      <c r="D137" s="5"/>
      <c r="E137" s="5"/>
      <c r="F137" s="5"/>
      <c r="G137" s="5"/>
    </row>
    <row r="138" spans="2:7" ht="14.4" customHeight="1" x14ac:dyDescent="0.3">
      <c r="B138" s="37"/>
    </row>
    <row r="139" spans="2:7" ht="14.4" customHeight="1" x14ac:dyDescent="0.3">
      <c r="B139" s="9" t="s">
        <v>2</v>
      </c>
      <c r="C139" s="9" t="s">
        <v>228</v>
      </c>
      <c r="D139" s="6"/>
      <c r="E139" s="6"/>
      <c r="F139" s="6"/>
      <c r="G139" s="6"/>
    </row>
    <row r="140" spans="2:7" ht="14.4" customHeight="1" x14ac:dyDescent="0.3">
      <c r="B140" s="25"/>
      <c r="C140" s="25"/>
      <c r="D140" s="23" t="str">
        <f>Input_!D$5</f>
        <v>2023-24</v>
      </c>
      <c r="E140" s="23" t="str">
        <f>Input_!E$5</f>
        <v>2024-25</v>
      </c>
      <c r="F140" s="23" t="str">
        <f>Input_!F$5</f>
        <v>2025-26</v>
      </c>
      <c r="G140" s="23" t="str">
        <f>Input_!G$5</f>
        <v>2026-27</v>
      </c>
    </row>
    <row r="141" spans="2:7" ht="14.4" customHeight="1" x14ac:dyDescent="0.3">
      <c r="B141" s="24"/>
      <c r="C141" s="24"/>
      <c r="D141" s="8"/>
      <c r="E141" s="8"/>
      <c r="F141" s="8"/>
      <c r="G141" s="8"/>
    </row>
    <row r="142" spans="2:7" ht="14.4" customHeight="1" x14ac:dyDescent="0.3">
      <c r="B142" s="10" t="s">
        <v>8</v>
      </c>
      <c r="C142" s="3" t="s">
        <v>9</v>
      </c>
      <c r="D142" s="38">
        <f t="shared" ref="D142:G142" si="5">D88*D115</f>
        <v>100952.62944020687</v>
      </c>
      <c r="E142" s="38">
        <f t="shared" si="5"/>
        <v>171648.19159028071</v>
      </c>
      <c r="F142" s="38">
        <f t="shared" si="5"/>
        <v>171648.19159028071</v>
      </c>
      <c r="G142" s="38">
        <f t="shared" si="5"/>
        <v>171648.19159028071</v>
      </c>
    </row>
    <row r="143" spans="2:7" ht="14.4" customHeight="1" x14ac:dyDescent="0.3">
      <c r="B143" s="11"/>
      <c r="C143" s="3" t="s">
        <v>10</v>
      </c>
      <c r="D143" s="38">
        <f t="shared" ref="D143:G154" si="6">D89*D116</f>
        <v>61358.991944547852</v>
      </c>
      <c r="E143" s="38">
        <f t="shared" si="6"/>
        <v>145704.86294654536</v>
      </c>
      <c r="F143" s="38">
        <f t="shared" si="6"/>
        <v>145704.86294654536</v>
      </c>
      <c r="G143" s="38">
        <f t="shared" si="6"/>
        <v>145704.86294654536</v>
      </c>
    </row>
    <row r="144" spans="2:7" ht="14.4" customHeight="1" x14ac:dyDescent="0.3">
      <c r="B144" s="11"/>
      <c r="C144" s="3" t="s">
        <v>11</v>
      </c>
      <c r="D144" s="38">
        <f t="shared" si="6"/>
        <v>140386.53421132214</v>
      </c>
      <c r="E144" s="38">
        <f t="shared" si="6"/>
        <v>435741.13048033015</v>
      </c>
      <c r="F144" s="38">
        <f t="shared" si="6"/>
        <v>435741.13048033015</v>
      </c>
      <c r="G144" s="38">
        <f t="shared" si="6"/>
        <v>435741.13048033015</v>
      </c>
    </row>
    <row r="145" spans="2:7" ht="14.4" customHeight="1" x14ac:dyDescent="0.3">
      <c r="B145" s="11"/>
      <c r="C145" s="3" t="s">
        <v>12</v>
      </c>
      <c r="D145" s="38">
        <f t="shared" si="6"/>
        <v>716016.12022973306</v>
      </c>
      <c r="E145" s="38">
        <f t="shared" si="6"/>
        <v>405472.16729681939</v>
      </c>
      <c r="F145" s="38">
        <f t="shared" si="6"/>
        <v>405472.16729681939</v>
      </c>
      <c r="G145" s="38">
        <f t="shared" si="6"/>
        <v>405472.16729681939</v>
      </c>
    </row>
    <row r="146" spans="2:7" ht="14.4" customHeight="1" x14ac:dyDescent="0.3">
      <c r="B146" s="12"/>
      <c r="C146" s="3" t="s">
        <v>13</v>
      </c>
      <c r="D146" s="38">
        <f t="shared" si="6"/>
        <v>80412.657432215448</v>
      </c>
      <c r="E146" s="38">
        <f t="shared" si="6"/>
        <v>49913.533412836681</v>
      </c>
      <c r="F146" s="38">
        <f t="shared" si="6"/>
        <v>49913.533412836681</v>
      </c>
      <c r="G146" s="38">
        <f t="shared" si="6"/>
        <v>49913.533412836681</v>
      </c>
    </row>
    <row r="147" spans="2:7" ht="14.4" customHeight="1" x14ac:dyDescent="0.3">
      <c r="B147" s="10" t="s">
        <v>14</v>
      </c>
      <c r="C147" s="3" t="s">
        <v>9</v>
      </c>
      <c r="D147" s="38">
        <f t="shared" si="6"/>
        <v>18684571.842049822</v>
      </c>
      <c r="E147" s="38">
        <f t="shared" si="6"/>
        <v>19730708.734570093</v>
      </c>
      <c r="F147" s="38">
        <f t="shared" si="6"/>
        <v>19730708.734570093</v>
      </c>
      <c r="G147" s="38">
        <f t="shared" si="6"/>
        <v>19730708.734570093</v>
      </c>
    </row>
    <row r="148" spans="2:7" ht="14.4" customHeight="1" x14ac:dyDescent="0.3">
      <c r="B148" s="13"/>
      <c r="C148" s="3" t="s">
        <v>10</v>
      </c>
      <c r="D148" s="38">
        <f t="shared" si="6"/>
        <v>0</v>
      </c>
      <c r="E148" s="38">
        <f t="shared" si="6"/>
        <v>0</v>
      </c>
      <c r="F148" s="38">
        <f t="shared" si="6"/>
        <v>0</v>
      </c>
      <c r="G148" s="38">
        <f t="shared" si="6"/>
        <v>0</v>
      </c>
    </row>
    <row r="149" spans="2:7" ht="14.4" customHeight="1" x14ac:dyDescent="0.3">
      <c r="B149" s="13"/>
      <c r="C149" s="3" t="s">
        <v>11</v>
      </c>
      <c r="D149" s="38">
        <f t="shared" si="6"/>
        <v>0</v>
      </c>
      <c r="E149" s="38">
        <f t="shared" si="6"/>
        <v>0</v>
      </c>
      <c r="F149" s="38">
        <f t="shared" si="6"/>
        <v>0</v>
      </c>
      <c r="G149" s="38">
        <f t="shared" si="6"/>
        <v>0</v>
      </c>
    </row>
    <row r="150" spans="2:7" ht="14.4" customHeight="1" x14ac:dyDescent="0.3">
      <c r="B150" s="13"/>
      <c r="C150" s="3" t="s">
        <v>12</v>
      </c>
      <c r="D150" s="38">
        <f t="shared" si="6"/>
        <v>0</v>
      </c>
      <c r="E150" s="38">
        <f t="shared" si="6"/>
        <v>0</v>
      </c>
      <c r="F150" s="38">
        <f t="shared" si="6"/>
        <v>0</v>
      </c>
      <c r="G150" s="38">
        <f t="shared" si="6"/>
        <v>0</v>
      </c>
    </row>
    <row r="151" spans="2:7" ht="14.4" customHeight="1" x14ac:dyDescent="0.3">
      <c r="B151" s="14"/>
      <c r="C151" s="3" t="s">
        <v>13</v>
      </c>
      <c r="D151" s="38">
        <f t="shared" si="6"/>
        <v>0</v>
      </c>
      <c r="E151" s="38">
        <f t="shared" si="6"/>
        <v>0</v>
      </c>
      <c r="F151" s="38">
        <f t="shared" si="6"/>
        <v>0</v>
      </c>
      <c r="G151" s="38">
        <f t="shared" si="6"/>
        <v>0</v>
      </c>
    </row>
    <row r="152" spans="2:7" ht="14.4" customHeight="1" x14ac:dyDescent="0.3">
      <c r="B152" s="10" t="s">
        <v>15</v>
      </c>
      <c r="C152" s="3" t="s">
        <v>12</v>
      </c>
      <c r="D152" s="38">
        <f t="shared" si="6"/>
        <v>0</v>
      </c>
      <c r="E152" s="38">
        <f t="shared" si="6"/>
        <v>0</v>
      </c>
      <c r="F152" s="38">
        <f t="shared" si="6"/>
        <v>0</v>
      </c>
      <c r="G152" s="38">
        <f t="shared" si="6"/>
        <v>0</v>
      </c>
    </row>
    <row r="153" spans="2:7" ht="14.4" customHeight="1" x14ac:dyDescent="0.3">
      <c r="B153" s="14"/>
      <c r="C153" s="3" t="s">
        <v>13</v>
      </c>
      <c r="D153" s="38">
        <f t="shared" si="6"/>
        <v>0</v>
      </c>
      <c r="E153" s="38">
        <f t="shared" si="6"/>
        <v>0</v>
      </c>
      <c r="F153" s="38">
        <f t="shared" si="6"/>
        <v>0</v>
      </c>
      <c r="G153" s="38">
        <f t="shared" si="6"/>
        <v>0</v>
      </c>
    </row>
    <row r="154" spans="2:7" ht="14.4" customHeight="1" x14ac:dyDescent="0.3">
      <c r="B154" s="15" t="s">
        <v>26</v>
      </c>
      <c r="C154" s="3" t="s">
        <v>27</v>
      </c>
      <c r="D154" s="38">
        <f t="shared" si="6"/>
        <v>6.7988161571272905E-6</v>
      </c>
      <c r="E154" s="38">
        <f t="shared" si="6"/>
        <v>7.1026859398199454E-6</v>
      </c>
      <c r="F154" s="38">
        <f t="shared" si="6"/>
        <v>7.1026859398199454E-6</v>
      </c>
      <c r="G154" s="38">
        <f t="shared" si="6"/>
        <v>7.1026859398199454E-6</v>
      </c>
    </row>
    <row r="155" spans="2:7" ht="14.4" customHeight="1" x14ac:dyDescent="0.3">
      <c r="B155" s="9" t="s">
        <v>2</v>
      </c>
      <c r="C155" s="9" t="s">
        <v>229</v>
      </c>
      <c r="D155" s="6"/>
      <c r="E155" s="6"/>
      <c r="F155" s="6"/>
      <c r="G155" s="6"/>
    </row>
    <row r="156" spans="2:7" ht="14.4" customHeight="1" x14ac:dyDescent="0.3">
      <c r="B156" s="25"/>
      <c r="C156" s="25"/>
      <c r="D156" s="23" t="str">
        <f>Input_!D$5</f>
        <v>2023-24</v>
      </c>
      <c r="E156" s="23" t="str">
        <f>Input_!E$5</f>
        <v>2024-25</v>
      </c>
      <c r="F156" s="23" t="str">
        <f>Input_!F$5</f>
        <v>2025-26</v>
      </c>
      <c r="G156" s="23" t="str">
        <f>Input_!G$5</f>
        <v>2026-27</v>
      </c>
    </row>
    <row r="157" spans="2:7" ht="14.4" customHeight="1" x14ac:dyDescent="0.3">
      <c r="B157" s="24"/>
      <c r="C157" s="24"/>
      <c r="D157" s="8"/>
      <c r="E157" s="8"/>
      <c r="F157" s="8"/>
      <c r="G157" s="8"/>
    </row>
    <row r="158" spans="2:7" ht="14.4" customHeight="1" x14ac:dyDescent="0.3">
      <c r="B158" s="10" t="s">
        <v>8</v>
      </c>
      <c r="C158" s="3" t="s">
        <v>12</v>
      </c>
      <c r="D158" s="38">
        <f t="shared" ref="D158:G161" si="7">D104*D131</f>
        <v>0</v>
      </c>
      <c r="E158" s="38">
        <f t="shared" si="7"/>
        <v>0</v>
      </c>
      <c r="F158" s="38">
        <f t="shared" si="7"/>
        <v>0</v>
      </c>
      <c r="G158" s="38">
        <f t="shared" si="7"/>
        <v>0</v>
      </c>
    </row>
    <row r="159" spans="2:7" ht="14.4" customHeight="1" x14ac:dyDescent="0.3">
      <c r="B159" s="12"/>
      <c r="C159" s="3" t="s">
        <v>13</v>
      </c>
      <c r="D159" s="38">
        <f t="shared" si="7"/>
        <v>0</v>
      </c>
      <c r="E159" s="38">
        <f t="shared" si="7"/>
        <v>0</v>
      </c>
      <c r="F159" s="38">
        <f t="shared" si="7"/>
        <v>0</v>
      </c>
      <c r="G159" s="38">
        <f t="shared" si="7"/>
        <v>0</v>
      </c>
    </row>
    <row r="160" spans="2:7" ht="14.4" customHeight="1" x14ac:dyDescent="0.3">
      <c r="B160" s="15" t="s">
        <v>14</v>
      </c>
      <c r="C160" s="3" t="s">
        <v>13</v>
      </c>
      <c r="D160" s="38">
        <f t="shared" si="7"/>
        <v>0</v>
      </c>
      <c r="E160" s="38">
        <f t="shared" si="7"/>
        <v>0</v>
      </c>
      <c r="F160" s="38">
        <f t="shared" si="7"/>
        <v>0</v>
      </c>
      <c r="G160" s="38">
        <f t="shared" si="7"/>
        <v>0</v>
      </c>
    </row>
    <row r="161" spans="2:7" ht="14.4" customHeight="1" x14ac:dyDescent="0.3">
      <c r="B161" s="15" t="s">
        <v>15</v>
      </c>
      <c r="C161" s="3" t="s">
        <v>13</v>
      </c>
      <c r="D161" s="38">
        <f t="shared" si="7"/>
        <v>0</v>
      </c>
      <c r="E161" s="38">
        <f t="shared" si="7"/>
        <v>0</v>
      </c>
      <c r="F161" s="38">
        <f t="shared" si="7"/>
        <v>0</v>
      </c>
      <c r="G161" s="38">
        <f t="shared" si="7"/>
        <v>0</v>
      </c>
    </row>
    <row r="162" spans="2:7" ht="14.4" customHeight="1" x14ac:dyDescent="0.3">
      <c r="B162" s="21" t="s">
        <v>32</v>
      </c>
      <c r="C162" s="22"/>
      <c r="D162" s="20">
        <f t="shared" ref="D162:G162" si="8">SUM(D142:D154,D158:D161)</f>
        <v>19783698.775314648</v>
      </c>
      <c r="E162" s="20">
        <f t="shared" si="8"/>
        <v>20939188.620304011</v>
      </c>
      <c r="F162" s="20">
        <f t="shared" si="8"/>
        <v>20939188.620304011</v>
      </c>
      <c r="G162" s="20">
        <f t="shared" si="8"/>
        <v>20939188.620304011</v>
      </c>
    </row>
    <row r="163" spans="2:7" ht="14.4" customHeight="1" x14ac:dyDescent="0.3">
      <c r="C163" s="60"/>
    </row>
    <row r="164" spans="2:7" ht="14.4" customHeight="1" x14ac:dyDescent="0.3">
      <c r="C164" s="60"/>
    </row>
    <row r="165" spans="2:7" ht="28.8" customHeight="1" x14ac:dyDescent="0.3">
      <c r="B165" s="32" t="s">
        <v>628</v>
      </c>
      <c r="C165" s="5"/>
      <c r="D165" s="5"/>
      <c r="E165" s="5"/>
      <c r="F165" s="5"/>
      <c r="G165" s="5"/>
    </row>
    <row r="166" spans="2:7" ht="14.4" customHeight="1" x14ac:dyDescent="0.3">
      <c r="B166" s="37"/>
    </row>
    <row r="167" spans="2:7" ht="14.4" customHeight="1" x14ac:dyDescent="0.3">
      <c r="B167" s="9" t="s">
        <v>2</v>
      </c>
      <c r="C167" s="9" t="s">
        <v>228</v>
      </c>
      <c r="D167" s="6"/>
      <c r="E167" s="6"/>
      <c r="F167" s="6"/>
      <c r="G167" s="6"/>
    </row>
    <row r="168" spans="2:7" ht="14.4" customHeight="1" x14ac:dyDescent="0.3">
      <c r="B168" s="25"/>
      <c r="C168" s="25"/>
      <c r="D168" s="23" t="str">
        <f>Input_!D$5</f>
        <v>2023-24</v>
      </c>
      <c r="E168" s="23" t="str">
        <f>Input_!E$5</f>
        <v>2024-25</v>
      </c>
      <c r="F168" s="23" t="str">
        <f>Input_!F$5</f>
        <v>2025-26</v>
      </c>
      <c r="G168" s="23" t="str">
        <f>Input_!G$5</f>
        <v>2026-27</v>
      </c>
    </row>
    <row r="169" spans="2:7" ht="14.4" customHeight="1" x14ac:dyDescent="0.3">
      <c r="B169" s="24"/>
      <c r="C169" s="24"/>
      <c r="D169" s="8"/>
      <c r="E169" s="8"/>
      <c r="F169" s="8"/>
      <c r="G169" s="8"/>
    </row>
    <row r="170" spans="2:7" ht="14.4" customHeight="1" x14ac:dyDescent="0.3">
      <c r="B170" s="10" t="s">
        <v>8</v>
      </c>
      <c r="C170" s="3" t="s">
        <v>9</v>
      </c>
      <c r="D170" s="57">
        <f>D88*(Input_!D$190*Input_!D$7)/D$162</f>
        <v>3.3169012311713771E-2</v>
      </c>
      <c r="E170" s="57">
        <f>E88*(Input_!E$190*Input_!E$7)/E$162</f>
        <v>3.5228583569365819E-2</v>
      </c>
      <c r="F170" s="57">
        <f>F88*(Input_!F$190*Input_!F$7)/F$162</f>
        <v>3.5228583569365819E-2</v>
      </c>
      <c r="G170" s="57">
        <f>G88*(Input_!G$190*Input_!G$7)/G$162</f>
        <v>3.5228583569365819E-2</v>
      </c>
    </row>
    <row r="171" spans="2:7" ht="14.4" customHeight="1" x14ac:dyDescent="0.3">
      <c r="B171" s="11"/>
      <c r="C171" s="3" t="s">
        <v>10</v>
      </c>
      <c r="D171" s="57">
        <f>D89*(Input_!D$190*Input_!D$7)/D$162</f>
        <v>4.3119716005227904E-2</v>
      </c>
      <c r="E171" s="57">
        <f>E89*(Input_!E$190*Input_!E$7)/E$162</f>
        <v>4.156972861185166E-2</v>
      </c>
      <c r="F171" s="57">
        <f>F89*(Input_!F$190*Input_!F$7)/F$162</f>
        <v>4.156972861185166E-2</v>
      </c>
      <c r="G171" s="57">
        <f>G89*(Input_!G$190*Input_!G$7)/G$162</f>
        <v>4.156972861185166E-2</v>
      </c>
    </row>
    <row r="172" spans="2:7" ht="14.4" customHeight="1" x14ac:dyDescent="0.3">
      <c r="B172" s="11"/>
      <c r="C172" s="3" t="s">
        <v>11</v>
      </c>
      <c r="D172" s="57">
        <f>D90*(Input_!D$190*Input_!D$7)/D$162</f>
        <v>4.9753518467570659E-2</v>
      </c>
      <c r="E172" s="57">
        <f>E90*(Input_!E$190*Input_!E$7)/E$162</f>
        <v>4.755858781864386E-2</v>
      </c>
      <c r="F172" s="57">
        <f>F90*(Input_!F$190*Input_!F$7)/F$162</f>
        <v>4.755858781864386E-2</v>
      </c>
      <c r="G172" s="57">
        <f>G90*(Input_!G$190*Input_!G$7)/G$162</f>
        <v>4.755858781864386E-2</v>
      </c>
    </row>
    <row r="173" spans="2:7" ht="14.4" customHeight="1" x14ac:dyDescent="0.3">
      <c r="B173" s="11"/>
      <c r="C173" s="3" t="s">
        <v>12</v>
      </c>
      <c r="D173" s="57">
        <f>D91*(Input_!D$190*Input_!D$7)/D$162</f>
        <v>6.6338024623427541E-2</v>
      </c>
      <c r="E173" s="57">
        <f>E91*(Input_!E$190*Input_!E$7)/E$162</f>
        <v>6.8343452124569687E-2</v>
      </c>
      <c r="F173" s="57">
        <f>F91*(Input_!F$190*Input_!F$7)/F$162</f>
        <v>6.8343452124569687E-2</v>
      </c>
      <c r="G173" s="57">
        <f>G91*(Input_!G$190*Input_!G$7)/G$162</f>
        <v>6.8343452124569687E-2</v>
      </c>
    </row>
    <row r="174" spans="2:7" ht="14.4" customHeight="1" x14ac:dyDescent="0.3">
      <c r="B174" s="12"/>
      <c r="C174" s="3" t="s">
        <v>13</v>
      </c>
      <c r="D174" s="57">
        <f>D92*(Input_!D$190*Input_!D$7)/D$162</f>
        <v>7.2971827085770311E-2</v>
      </c>
      <c r="E174" s="57">
        <f>E92*(Input_!E$190*Input_!E$7)/E$162</f>
        <v>7.5036883002749188E-2</v>
      </c>
      <c r="F174" s="57">
        <f>F92*(Input_!F$190*Input_!F$7)/F$162</f>
        <v>7.5036883002749188E-2</v>
      </c>
      <c r="G174" s="57">
        <f>G92*(Input_!G$190*Input_!G$7)/G$162</f>
        <v>7.5036883002749188E-2</v>
      </c>
    </row>
    <row r="175" spans="2:7" ht="14.4" customHeight="1" x14ac:dyDescent="0.3">
      <c r="B175" s="10" t="s">
        <v>14</v>
      </c>
      <c r="C175" s="3" t="s">
        <v>9</v>
      </c>
      <c r="D175" s="57">
        <f>D93*(Input_!D$190*Input_!D$7)/D$162</f>
        <v>9.3711496197110541E-2</v>
      </c>
      <c r="E175" s="57">
        <f>E93*(Input_!E$190*Input_!E$7)/E$162</f>
        <v>9.8902373364759225E-2</v>
      </c>
      <c r="F175" s="57">
        <f>F93*(Input_!F$190*Input_!F$7)/F$162</f>
        <v>9.8902373364759225E-2</v>
      </c>
      <c r="G175" s="57">
        <f>G93*(Input_!G$190*Input_!G$7)/G$162</f>
        <v>9.8902373364759225E-2</v>
      </c>
    </row>
    <row r="176" spans="2:7" ht="14.4" customHeight="1" x14ac:dyDescent="0.3">
      <c r="B176" s="13"/>
      <c r="C176" s="3" t="s">
        <v>10</v>
      </c>
      <c r="D176" s="57">
        <f>D94*(Input_!D$190*Input_!D$7)/D$162</f>
        <v>0.12182494505624369</v>
      </c>
      <c r="E176" s="57">
        <f>E94*(Input_!E$190*Input_!E$7)/E$162</f>
        <v>0.11670480057041588</v>
      </c>
      <c r="F176" s="57">
        <f>F94*(Input_!F$190*Input_!F$7)/F$162</f>
        <v>0.11670480057041588</v>
      </c>
      <c r="G176" s="57">
        <f>G94*(Input_!G$190*Input_!G$7)/G$162</f>
        <v>0.11670480057041588</v>
      </c>
    </row>
    <row r="177" spans="2:7" ht="14.4" customHeight="1" x14ac:dyDescent="0.3">
      <c r="B177" s="13"/>
      <c r="C177" s="3" t="s">
        <v>11</v>
      </c>
      <c r="D177" s="57">
        <f>D95*(Input_!D$190*Input_!D$7)/D$162</f>
        <v>0.14056724429566581</v>
      </c>
      <c r="E177" s="57">
        <f>E95*(Input_!E$190*Input_!E$7)/E$162</f>
        <v>0.13351820404242495</v>
      </c>
      <c r="F177" s="57">
        <f>F95*(Input_!F$190*Input_!F$7)/F$162</f>
        <v>0.13351820404242495</v>
      </c>
      <c r="G177" s="57">
        <f>G95*(Input_!G$190*Input_!G$7)/G$162</f>
        <v>0.13351820404242495</v>
      </c>
    </row>
    <row r="178" spans="2:7" ht="14.4" customHeight="1" x14ac:dyDescent="0.3">
      <c r="B178" s="13"/>
      <c r="C178" s="3" t="s">
        <v>12</v>
      </c>
      <c r="D178" s="57">
        <f>D96*(Input_!D$190*Input_!D$7)/D$162</f>
        <v>0.18742299239422108</v>
      </c>
      <c r="E178" s="57">
        <f>E96*(Input_!E$190*Input_!E$7)/E$162</f>
        <v>0.19187060432763287</v>
      </c>
      <c r="F178" s="57">
        <f>F96*(Input_!F$190*Input_!F$7)/F$162</f>
        <v>0.19187060432763287</v>
      </c>
      <c r="G178" s="57">
        <f>G96*(Input_!G$190*Input_!G$7)/G$162</f>
        <v>0.19187060432763287</v>
      </c>
    </row>
    <row r="179" spans="2:7" ht="14.4" customHeight="1" x14ac:dyDescent="0.3">
      <c r="B179" s="14"/>
      <c r="C179" s="3" t="s">
        <v>13</v>
      </c>
      <c r="D179" s="57">
        <f>D97*(Input_!D$190*Input_!D$7)/D$162</f>
        <v>0.20616529163364319</v>
      </c>
      <c r="E179" s="57">
        <f>E97*(Input_!E$190*Input_!E$7)/E$162</f>
        <v>0.2106620552669371</v>
      </c>
      <c r="F179" s="57">
        <f>F97*(Input_!F$190*Input_!F$7)/F$162</f>
        <v>0.2106620552669371</v>
      </c>
      <c r="G179" s="57">
        <f>G97*(Input_!G$190*Input_!G$7)/G$162</f>
        <v>0.2106620552669371</v>
      </c>
    </row>
    <row r="180" spans="2:7" ht="14.4" customHeight="1" x14ac:dyDescent="0.3">
      <c r="B180" s="10" t="s">
        <v>15</v>
      </c>
      <c r="C180" s="3" t="s">
        <v>12</v>
      </c>
      <c r="D180" s="57">
        <f>D98*(Input_!D$190*Input_!D$7)/D$162</f>
        <v>0</v>
      </c>
      <c r="E180" s="57">
        <f>E98*(Input_!E$190*Input_!E$7)/E$162</f>
        <v>0</v>
      </c>
      <c r="F180" s="57">
        <f>F98*(Input_!F$190*Input_!F$7)/F$162</f>
        <v>0</v>
      </c>
      <c r="G180" s="57">
        <f>G98*(Input_!G$190*Input_!G$7)/G$162</f>
        <v>0</v>
      </c>
    </row>
    <row r="181" spans="2:7" ht="14.4" customHeight="1" x14ac:dyDescent="0.3">
      <c r="B181" s="14"/>
      <c r="C181" s="3" t="s">
        <v>13</v>
      </c>
      <c r="D181" s="57">
        <f>D99*(Input_!D$190*Input_!D$7)/D$162</f>
        <v>0</v>
      </c>
      <c r="E181" s="57">
        <f>E99*(Input_!E$190*Input_!E$7)/E$162</f>
        <v>0</v>
      </c>
      <c r="F181" s="57">
        <f>F99*(Input_!F$190*Input_!F$7)/F$162</f>
        <v>0</v>
      </c>
      <c r="G181" s="57">
        <f>G99*(Input_!G$190*Input_!G$7)/G$162</f>
        <v>0</v>
      </c>
    </row>
    <row r="182" spans="2:7" ht="14.4" customHeight="1" x14ac:dyDescent="0.3">
      <c r="B182" s="15" t="s">
        <v>26</v>
      </c>
      <c r="C182" s="3" t="s">
        <v>27</v>
      </c>
      <c r="D182" s="57">
        <f>D100*(Input_!D$190*Input_!D$7)/D$162</f>
        <v>6.8198216136762246E-3</v>
      </c>
      <c r="E182" s="57">
        <f>E100*(Input_!E$190*Input_!E$7)/E$162</f>
        <v>7.1206007464080477E-3</v>
      </c>
      <c r="F182" s="57">
        <f>F100*(Input_!F$190*Input_!F$7)/F$162</f>
        <v>7.1206007464080477E-3</v>
      </c>
      <c r="G182" s="57">
        <f>G100*(Input_!G$190*Input_!G$7)/G$162</f>
        <v>7.1206007464080477E-3</v>
      </c>
    </row>
    <row r="183" spans="2:7" ht="14.4" customHeight="1" x14ac:dyDescent="0.3">
      <c r="B183" s="9" t="s">
        <v>2</v>
      </c>
      <c r="C183" s="9" t="s">
        <v>229</v>
      </c>
      <c r="D183" s="6"/>
      <c r="E183" s="6"/>
      <c r="F183" s="6"/>
      <c r="G183" s="6"/>
    </row>
    <row r="184" spans="2:7" ht="14.4" customHeight="1" x14ac:dyDescent="0.3">
      <c r="B184" s="25"/>
      <c r="C184" s="25"/>
      <c r="D184" s="23" t="str">
        <f>Input_!D$5</f>
        <v>2023-24</v>
      </c>
      <c r="E184" s="23" t="str">
        <f>Input_!E$5</f>
        <v>2024-25</v>
      </c>
      <c r="F184" s="23" t="str">
        <f>Input_!F$5</f>
        <v>2025-26</v>
      </c>
      <c r="G184" s="23" t="str">
        <f>Input_!G$5</f>
        <v>2026-27</v>
      </c>
    </row>
    <row r="185" spans="2:7" ht="14.4" customHeight="1" x14ac:dyDescent="0.3">
      <c r="B185" s="24"/>
      <c r="C185" s="24"/>
      <c r="D185" s="8"/>
      <c r="E185" s="8"/>
      <c r="F185" s="8"/>
      <c r="G185" s="8"/>
    </row>
    <row r="186" spans="2:7" ht="14.4" customHeight="1" x14ac:dyDescent="0.3">
      <c r="B186" s="10" t="s">
        <v>8</v>
      </c>
      <c r="C186" s="3" t="s">
        <v>12</v>
      </c>
      <c r="D186" s="57">
        <f>D104*(Input_!D$190*Input_!D$7)/D$162</f>
        <v>6.3286475490749866E-2</v>
      </c>
      <c r="E186" s="57">
        <f>E104*(Input_!E$190*Input_!E$7)/E$162</f>
        <v>6.5199653326839482E-2</v>
      </c>
      <c r="F186" s="57">
        <f>F104*(Input_!F$190*Input_!F$7)/F$162</f>
        <v>6.5199653326839482E-2</v>
      </c>
      <c r="G186" s="57">
        <f>G104*(Input_!G$190*Input_!G$7)/G$162</f>
        <v>6.5199653326839482E-2</v>
      </c>
    </row>
    <row r="187" spans="2:7" ht="14.4" customHeight="1" x14ac:dyDescent="0.3">
      <c r="B187" s="12"/>
      <c r="C187" s="3" t="s">
        <v>13</v>
      </c>
      <c r="D187" s="57">
        <f>D105*(Input_!D$190*Input_!D$7)/D$162</f>
        <v>6.961512303982488E-2</v>
      </c>
      <c r="E187" s="57">
        <f>E105*(Input_!E$190*Input_!E$7)/E$162</f>
        <v>7.1585186384622732E-2</v>
      </c>
      <c r="F187" s="57">
        <f>F105*(Input_!F$190*Input_!F$7)/F$162</f>
        <v>7.1585186384622732E-2</v>
      </c>
      <c r="G187" s="57">
        <f>G105*(Input_!G$190*Input_!G$7)/G$162</f>
        <v>7.1585186384622732E-2</v>
      </c>
    </row>
    <row r="188" spans="2:7" ht="14.4" customHeight="1" x14ac:dyDescent="0.3">
      <c r="B188" s="15" t="s">
        <v>14</v>
      </c>
      <c r="C188" s="3" t="s">
        <v>13</v>
      </c>
      <c r="D188" s="57">
        <f>D106*(Input_!D$190*Input_!D$7)/D$162</f>
        <v>0.17462200201369579</v>
      </c>
      <c r="E188" s="57">
        <f>E106*(Input_!E$190*Input_!E$7)/E$162</f>
        <v>0.17843076081109577</v>
      </c>
      <c r="F188" s="57">
        <f>F106*(Input_!F$190*Input_!F$7)/F$162</f>
        <v>0.17843076081109577</v>
      </c>
      <c r="G188" s="57">
        <f>G106*(Input_!G$190*Input_!G$7)/G$162</f>
        <v>0.17843076081109577</v>
      </c>
    </row>
    <row r="189" spans="2:7" ht="14.4" customHeight="1" x14ac:dyDescent="0.3">
      <c r="B189" s="15" t="s">
        <v>15</v>
      </c>
      <c r="C189" s="3" t="s">
        <v>13</v>
      </c>
      <c r="D189" s="57">
        <f>D107*(Input_!D$190*Input_!D$7)/D$162</f>
        <v>0</v>
      </c>
      <c r="E189" s="57">
        <f>E107*(Input_!E$190*Input_!E$7)/E$162</f>
        <v>0</v>
      </c>
      <c r="F189" s="57">
        <f>F107*(Input_!F$190*Input_!F$7)/F$162</f>
        <v>0</v>
      </c>
      <c r="G189" s="57">
        <f>G107*(Input_!G$190*Input_!G$7)/G$162</f>
        <v>0</v>
      </c>
    </row>
    <row r="192" spans="2:7" ht="28.8" customHeight="1" x14ac:dyDescent="0.3">
      <c r="B192" s="32" t="s">
        <v>629</v>
      </c>
      <c r="C192" s="5"/>
      <c r="D192" s="5"/>
      <c r="E192" s="5"/>
      <c r="F192" s="5"/>
      <c r="G192" s="5"/>
    </row>
    <row r="193" spans="2:7" ht="14.4" customHeight="1" x14ac:dyDescent="0.3">
      <c r="B193" s="37"/>
    </row>
    <row r="194" spans="2:7" ht="14.4" customHeight="1" x14ac:dyDescent="0.3">
      <c r="B194" s="9" t="s">
        <v>2</v>
      </c>
      <c r="C194" s="9" t="s">
        <v>228</v>
      </c>
      <c r="D194" s="6"/>
      <c r="E194" s="6"/>
      <c r="F194" s="6"/>
      <c r="G194" s="6"/>
    </row>
    <row r="195" spans="2:7" ht="14.4" customHeight="1" x14ac:dyDescent="0.3">
      <c r="B195" s="25"/>
      <c r="C195" s="25"/>
      <c r="D195" s="23" t="str">
        <f>Input_!D$5</f>
        <v>2023-24</v>
      </c>
      <c r="E195" s="23" t="str">
        <f>Input_!E$5</f>
        <v>2024-25</v>
      </c>
      <c r="F195" s="23" t="str">
        <f>Input_!F$5</f>
        <v>2025-26</v>
      </c>
      <c r="G195" s="23" t="str">
        <f>Input_!G$5</f>
        <v>2026-27</v>
      </c>
    </row>
    <row r="196" spans="2:7" ht="14.4" customHeight="1" x14ac:dyDescent="0.3">
      <c r="B196" s="24"/>
      <c r="C196" s="24"/>
      <c r="D196" s="8"/>
      <c r="E196" s="8"/>
      <c r="F196" s="8"/>
      <c r="G196" s="8"/>
    </row>
    <row r="197" spans="2:7" ht="14.4" customHeight="1" x14ac:dyDescent="0.3">
      <c r="B197" s="10" t="s">
        <v>8</v>
      </c>
      <c r="C197" s="3" t="s">
        <v>9</v>
      </c>
      <c r="D197" s="38">
        <f t="shared" ref="D197:G197" si="9">D170*D115</f>
        <v>101264.53022148978</v>
      </c>
      <c r="E197" s="38">
        <f t="shared" si="9"/>
        <v>172081.13261844835</v>
      </c>
      <c r="F197" s="38">
        <f t="shared" si="9"/>
        <v>172081.13261844835</v>
      </c>
      <c r="G197" s="38">
        <f t="shared" si="9"/>
        <v>172081.13261844835</v>
      </c>
    </row>
    <row r="198" spans="2:7" ht="14.4" customHeight="1" x14ac:dyDescent="0.3">
      <c r="B198" s="11"/>
      <c r="C198" s="3" t="s">
        <v>10</v>
      </c>
      <c r="D198" s="38">
        <f t="shared" ref="D198:G209" si="10">D171*D116</f>
        <v>61548.565189270237</v>
      </c>
      <c r="E198" s="38">
        <f t="shared" si="10"/>
        <v>146072.36820592888</v>
      </c>
      <c r="F198" s="38">
        <f t="shared" si="10"/>
        <v>146072.36820592888</v>
      </c>
      <c r="G198" s="38">
        <f t="shared" si="10"/>
        <v>146072.36820592888</v>
      </c>
    </row>
    <row r="199" spans="2:7" ht="14.4" customHeight="1" x14ac:dyDescent="0.3">
      <c r="B199" s="11"/>
      <c r="C199" s="3" t="s">
        <v>11</v>
      </c>
      <c r="D199" s="38">
        <f t="shared" si="10"/>
        <v>140820.26902283635</v>
      </c>
      <c r="E199" s="38">
        <f t="shared" si="10"/>
        <v>436840.18204211636</v>
      </c>
      <c r="F199" s="38">
        <f t="shared" si="10"/>
        <v>436840.18204211636</v>
      </c>
      <c r="G199" s="38">
        <f t="shared" si="10"/>
        <v>436840.18204211636</v>
      </c>
    </row>
    <row r="200" spans="2:7" ht="14.4" customHeight="1" x14ac:dyDescent="0.3">
      <c r="B200" s="11"/>
      <c r="C200" s="3" t="s">
        <v>12</v>
      </c>
      <c r="D200" s="38">
        <f t="shared" si="10"/>
        <v>718228.30616831803</v>
      </c>
      <c r="E200" s="38">
        <f t="shared" si="10"/>
        <v>406494.87272340414</v>
      </c>
      <c r="F200" s="38">
        <f t="shared" si="10"/>
        <v>406494.87272340414</v>
      </c>
      <c r="G200" s="38">
        <f t="shared" si="10"/>
        <v>406494.87272340414</v>
      </c>
    </row>
    <row r="201" spans="2:7" ht="14.4" customHeight="1" x14ac:dyDescent="0.3">
      <c r="B201" s="12"/>
      <c r="C201" s="3" t="s">
        <v>13</v>
      </c>
      <c r="D201" s="38">
        <f t="shared" si="10"/>
        <v>80661.098417033951</v>
      </c>
      <c r="E201" s="38">
        <f t="shared" si="10"/>
        <v>50039.428222884053</v>
      </c>
      <c r="F201" s="38">
        <f t="shared" si="10"/>
        <v>50039.428222884053</v>
      </c>
      <c r="G201" s="38">
        <f t="shared" si="10"/>
        <v>50039.428222884053</v>
      </c>
    </row>
    <row r="202" spans="2:7" ht="14.4" customHeight="1" x14ac:dyDescent="0.3">
      <c r="B202" s="10" t="s">
        <v>14</v>
      </c>
      <c r="C202" s="3" t="s">
        <v>9</v>
      </c>
      <c r="D202" s="38">
        <f t="shared" si="10"/>
        <v>18742299.239422109</v>
      </c>
      <c r="E202" s="38">
        <f t="shared" si="10"/>
        <v>19780474.672951844</v>
      </c>
      <c r="F202" s="38">
        <f t="shared" si="10"/>
        <v>19780474.672951844</v>
      </c>
      <c r="G202" s="38">
        <f t="shared" si="10"/>
        <v>19780474.672951844</v>
      </c>
    </row>
    <row r="203" spans="2:7" ht="14.4" customHeight="1" x14ac:dyDescent="0.3">
      <c r="B203" s="13"/>
      <c r="C203" s="3" t="s">
        <v>10</v>
      </c>
      <c r="D203" s="38">
        <f t="shared" si="10"/>
        <v>0</v>
      </c>
      <c r="E203" s="38">
        <f t="shared" si="10"/>
        <v>0</v>
      </c>
      <c r="F203" s="38">
        <f t="shared" si="10"/>
        <v>0</v>
      </c>
      <c r="G203" s="38">
        <f t="shared" si="10"/>
        <v>0</v>
      </c>
    </row>
    <row r="204" spans="2:7" ht="14.4" customHeight="1" x14ac:dyDescent="0.3">
      <c r="B204" s="13"/>
      <c r="C204" s="3" t="s">
        <v>11</v>
      </c>
      <c r="D204" s="38">
        <f t="shared" si="10"/>
        <v>0</v>
      </c>
      <c r="E204" s="38">
        <f t="shared" si="10"/>
        <v>0</v>
      </c>
      <c r="F204" s="38">
        <f t="shared" si="10"/>
        <v>0</v>
      </c>
      <c r="G204" s="38">
        <f t="shared" si="10"/>
        <v>0</v>
      </c>
    </row>
    <row r="205" spans="2:7" ht="14.4" customHeight="1" x14ac:dyDescent="0.3">
      <c r="B205" s="13"/>
      <c r="C205" s="3" t="s">
        <v>12</v>
      </c>
      <c r="D205" s="38">
        <f t="shared" si="10"/>
        <v>0</v>
      </c>
      <c r="E205" s="38">
        <f t="shared" si="10"/>
        <v>0</v>
      </c>
      <c r="F205" s="38">
        <f t="shared" si="10"/>
        <v>0</v>
      </c>
      <c r="G205" s="38">
        <f t="shared" si="10"/>
        <v>0</v>
      </c>
    </row>
    <row r="206" spans="2:7" ht="14.4" customHeight="1" x14ac:dyDescent="0.3">
      <c r="B206" s="14"/>
      <c r="C206" s="3" t="s">
        <v>13</v>
      </c>
      <c r="D206" s="38">
        <f t="shared" si="10"/>
        <v>0</v>
      </c>
      <c r="E206" s="38">
        <f t="shared" si="10"/>
        <v>0</v>
      </c>
      <c r="F206" s="38">
        <f t="shared" si="10"/>
        <v>0</v>
      </c>
      <c r="G206" s="38">
        <f t="shared" si="10"/>
        <v>0</v>
      </c>
    </row>
    <row r="207" spans="2:7" ht="14.4" customHeight="1" x14ac:dyDescent="0.3">
      <c r="B207" s="10" t="s">
        <v>15</v>
      </c>
      <c r="C207" s="3" t="s">
        <v>12</v>
      </c>
      <c r="D207" s="38">
        <f t="shared" si="10"/>
        <v>0</v>
      </c>
      <c r="E207" s="38">
        <f t="shared" si="10"/>
        <v>0</v>
      </c>
      <c r="F207" s="38">
        <f t="shared" si="10"/>
        <v>0</v>
      </c>
      <c r="G207" s="38">
        <f t="shared" si="10"/>
        <v>0</v>
      </c>
    </row>
    <row r="208" spans="2:7" ht="14.4" customHeight="1" x14ac:dyDescent="0.3">
      <c r="B208" s="14"/>
      <c r="C208" s="3" t="s">
        <v>13</v>
      </c>
      <c r="D208" s="38">
        <f t="shared" si="10"/>
        <v>0</v>
      </c>
      <c r="E208" s="38">
        <f t="shared" si="10"/>
        <v>0</v>
      </c>
      <c r="F208" s="38">
        <f t="shared" si="10"/>
        <v>0</v>
      </c>
      <c r="G208" s="38">
        <f t="shared" si="10"/>
        <v>0</v>
      </c>
    </row>
    <row r="209" spans="2:7" ht="14.4" customHeight="1" x14ac:dyDescent="0.3">
      <c r="B209" s="15" t="s">
        <v>26</v>
      </c>
      <c r="C209" s="3" t="s">
        <v>27</v>
      </c>
      <c r="D209" s="38">
        <f t="shared" si="10"/>
        <v>6.8198216136762244E-6</v>
      </c>
      <c r="E209" s="38">
        <f t="shared" si="10"/>
        <v>7.120600746408048E-6</v>
      </c>
      <c r="F209" s="38">
        <f t="shared" si="10"/>
        <v>7.120600746408048E-6</v>
      </c>
      <c r="G209" s="38">
        <f t="shared" si="10"/>
        <v>7.120600746408048E-6</v>
      </c>
    </row>
    <row r="210" spans="2:7" ht="14.4" customHeight="1" x14ac:dyDescent="0.3">
      <c r="B210" s="9" t="s">
        <v>2</v>
      </c>
      <c r="C210" s="9" t="s">
        <v>229</v>
      </c>
      <c r="D210" s="6"/>
      <c r="E210" s="6"/>
      <c r="F210" s="6"/>
      <c r="G210" s="6"/>
    </row>
    <row r="211" spans="2:7" ht="14.4" customHeight="1" x14ac:dyDescent="0.3">
      <c r="B211" s="25"/>
      <c r="C211" s="25"/>
      <c r="D211" s="23" t="str">
        <f>Input_!D$5</f>
        <v>2023-24</v>
      </c>
      <c r="E211" s="23" t="str">
        <f>Input_!E$5</f>
        <v>2024-25</v>
      </c>
      <c r="F211" s="23" t="str">
        <f>Input_!F$5</f>
        <v>2025-26</v>
      </c>
      <c r="G211" s="23" t="str">
        <f>Input_!G$5</f>
        <v>2026-27</v>
      </c>
    </row>
    <row r="212" spans="2:7" ht="14.4" customHeight="1" x14ac:dyDescent="0.3">
      <c r="B212" s="24"/>
      <c r="C212" s="24"/>
      <c r="D212" s="8"/>
      <c r="E212" s="8"/>
      <c r="F212" s="8"/>
      <c r="G212" s="8"/>
    </row>
    <row r="213" spans="2:7" ht="14.4" customHeight="1" x14ac:dyDescent="0.3">
      <c r="B213" s="10" t="s">
        <v>8</v>
      </c>
      <c r="C213" s="3" t="s">
        <v>12</v>
      </c>
      <c r="D213" s="38">
        <f t="shared" ref="D213:G216" si="11">D186*D131</f>
        <v>0</v>
      </c>
      <c r="E213" s="38">
        <f t="shared" si="11"/>
        <v>0</v>
      </c>
      <c r="F213" s="38">
        <f t="shared" si="11"/>
        <v>0</v>
      </c>
      <c r="G213" s="38">
        <f t="shared" si="11"/>
        <v>0</v>
      </c>
    </row>
    <row r="214" spans="2:7" ht="14.4" customHeight="1" x14ac:dyDescent="0.3">
      <c r="B214" s="12"/>
      <c r="C214" s="3" t="s">
        <v>13</v>
      </c>
      <c r="D214" s="38">
        <f t="shared" si="11"/>
        <v>0</v>
      </c>
      <c r="E214" s="38">
        <f t="shared" si="11"/>
        <v>0</v>
      </c>
      <c r="F214" s="38">
        <f t="shared" si="11"/>
        <v>0</v>
      </c>
      <c r="G214" s="38">
        <f t="shared" si="11"/>
        <v>0</v>
      </c>
    </row>
    <row r="215" spans="2:7" ht="14.4" customHeight="1" x14ac:dyDescent="0.3">
      <c r="B215" s="15" t="s">
        <v>14</v>
      </c>
      <c r="C215" s="3" t="s">
        <v>13</v>
      </c>
      <c r="D215" s="38">
        <f t="shared" si="11"/>
        <v>0</v>
      </c>
      <c r="E215" s="38">
        <f t="shared" si="11"/>
        <v>0</v>
      </c>
      <c r="F215" s="38">
        <f t="shared" si="11"/>
        <v>0</v>
      </c>
      <c r="G215" s="38">
        <f t="shared" si="11"/>
        <v>0</v>
      </c>
    </row>
    <row r="216" spans="2:7" ht="14.4" customHeight="1" x14ac:dyDescent="0.3">
      <c r="B216" s="15" t="s">
        <v>15</v>
      </c>
      <c r="C216" s="3" t="s">
        <v>13</v>
      </c>
      <c r="D216" s="38">
        <f t="shared" si="11"/>
        <v>0</v>
      </c>
      <c r="E216" s="38">
        <f t="shared" si="11"/>
        <v>0</v>
      </c>
      <c r="F216" s="38">
        <f t="shared" si="11"/>
        <v>0</v>
      </c>
      <c r="G216" s="38">
        <f t="shared" si="11"/>
        <v>0</v>
      </c>
    </row>
    <row r="217" spans="2:7" ht="14.4" customHeight="1" x14ac:dyDescent="0.3">
      <c r="B217" s="21" t="s">
        <v>32</v>
      </c>
      <c r="C217" s="22"/>
      <c r="D217" s="20">
        <f t="shared" ref="D217" si="12">SUM(D197:D209,D213:D216)</f>
        <v>19844822.008447878</v>
      </c>
      <c r="E217" s="20">
        <f t="shared" ref="E217" si="13">SUM(E197:E209,E213:E216)</f>
        <v>20992002.656771746</v>
      </c>
      <c r="F217" s="20">
        <f t="shared" ref="F217" si="14">SUM(F197:F209,F213:F216)</f>
        <v>20992002.656771746</v>
      </c>
      <c r="G217" s="20">
        <f t="shared" ref="G217" si="15">SUM(G197:G209,G213:G216)</f>
        <v>20992002.656771746</v>
      </c>
    </row>
    <row r="218" spans="2:7" ht="14.4" customHeight="1" x14ac:dyDescent="0.3">
      <c r="D218" s="61">
        <f>Input_!D190*Input_!D7-D217</f>
        <v>0</v>
      </c>
      <c r="E218" s="61">
        <f>Input_!E190*Input_!E7-E217</f>
        <v>0</v>
      </c>
      <c r="F218" s="61">
        <f>Input_!F190*Input_!F7-F217</f>
        <v>0</v>
      </c>
      <c r="G218" s="61">
        <f>Input_!G190*Input_!G7-G217</f>
        <v>0</v>
      </c>
    </row>
  </sheetData>
  <conditionalFormatting sqref="D218:G218">
    <cfRule type="cellIs" dxfId="40" priority="1" operator="equal">
      <formula>0</formula>
    </cfRule>
    <cfRule type="cellIs" dxfId="39" priority="2" operator="lessThan">
      <formula>0</formula>
    </cfRule>
    <cfRule type="cellIs" dxfId="38" priority="3" operator="greaterThan">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U707"/>
  <sheetViews>
    <sheetView showGridLines="0" topLeftCell="A667" workbookViewId="0">
      <selection activeCell="D8" sqref="D8"/>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10" width="11" style="1" bestFit="1" customWidth="1"/>
    <col min="11" max="15" width="8.88671875" style="1" customWidth="1"/>
    <col min="16" max="16384" width="8.88671875" style="1"/>
  </cols>
  <sheetData>
    <row r="2" spans="2:7" ht="28.95" customHeight="1" x14ac:dyDescent="0.3">
      <c r="B2" s="32" t="s">
        <v>630</v>
      </c>
      <c r="C2" s="5"/>
      <c r="D2" s="5"/>
      <c r="E2" s="5"/>
      <c r="F2" s="5"/>
      <c r="G2" s="5"/>
    </row>
    <row r="3" spans="2:7" ht="14.4" customHeight="1" x14ac:dyDescent="0.3">
      <c r="B3" s="37" t="s">
        <v>233</v>
      </c>
    </row>
    <row r="4" spans="2:7" ht="14.4" customHeight="1" x14ac:dyDescent="0.3">
      <c r="B4" s="9" t="s">
        <v>1</v>
      </c>
      <c r="C4" s="9" t="s">
        <v>214</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36" t="s">
        <v>0</v>
      </c>
      <c r="C7" s="3" t="s">
        <v>216</v>
      </c>
      <c r="D7" s="38">
        <f>'Input capacity'!D19</f>
        <v>16318269.820479449</v>
      </c>
      <c r="E7" s="38">
        <f>'Input capacity'!E19</f>
        <v>36565153.017457187</v>
      </c>
      <c r="F7" s="38">
        <f>'Input capacity'!F19</f>
        <v>36565153.017457187</v>
      </c>
      <c r="G7" s="38">
        <f>'Input capacity'!G19</f>
        <v>36565153.017457187</v>
      </c>
    </row>
    <row r="8" spans="2:7" ht="14.4" customHeight="1" x14ac:dyDescent="0.3">
      <c r="B8" s="36" t="s">
        <v>215</v>
      </c>
      <c r="C8" s="3" t="s">
        <v>216</v>
      </c>
      <c r="D8" s="38">
        <f>'Input capacity'!D20</f>
        <v>7417395.3729452044</v>
      </c>
      <c r="E8" s="38">
        <f>'Input capacity'!E20</f>
        <v>16620524.098844176</v>
      </c>
      <c r="F8" s="38">
        <f>'Input capacity'!F20</f>
        <v>16620524.098844176</v>
      </c>
      <c r="G8" s="38">
        <f>'Input capacity'!G20</f>
        <v>16620524.098844176</v>
      </c>
    </row>
    <row r="9" spans="2:7" ht="14.4" customHeight="1" x14ac:dyDescent="0.3">
      <c r="B9" s="36" t="s">
        <v>217</v>
      </c>
      <c r="C9" s="3" t="s">
        <v>14</v>
      </c>
      <c r="D9" s="38">
        <f>'Input capacity'!D21</f>
        <v>2</v>
      </c>
      <c r="E9" s="38">
        <f>'Input capacity'!E21</f>
        <v>1.94</v>
      </c>
      <c r="F9" s="38">
        <f>'Input capacity'!F21</f>
        <v>1.94</v>
      </c>
      <c r="G9" s="38">
        <f>'Input capacity'!G21</f>
        <v>1.94</v>
      </c>
    </row>
    <row r="10" spans="2:7" ht="14.4" customHeight="1" x14ac:dyDescent="0.3">
      <c r="B10" s="36" t="s">
        <v>218</v>
      </c>
      <c r="C10" s="3" t="s">
        <v>15</v>
      </c>
      <c r="D10" s="38">
        <f>'Input capacity'!D22</f>
        <v>11893399.989315068</v>
      </c>
      <c r="E10" s="38">
        <f>'Input capacity'!E22</f>
        <v>7121971.8712328775</v>
      </c>
      <c r="F10" s="38">
        <f>'Input capacity'!F22</f>
        <v>7121971.8712328775</v>
      </c>
      <c r="G10" s="38">
        <f>'Input capacity'!G22</f>
        <v>7121971.8712328775</v>
      </c>
    </row>
    <row r="11" spans="2:7" ht="14.4" customHeight="1" x14ac:dyDescent="0.3">
      <c r="B11" s="36" t="s">
        <v>54</v>
      </c>
      <c r="C11" s="3" t="s">
        <v>220</v>
      </c>
      <c r="D11" s="38">
        <f>'Input capacity'!D23</f>
        <v>778231.03827960521</v>
      </c>
      <c r="E11" s="38">
        <f>'Input capacity'!E23</f>
        <v>772301.12642537442</v>
      </c>
      <c r="F11" s="38">
        <f>'Input capacity'!F23</f>
        <v>772301.12642537442</v>
      </c>
      <c r="G11" s="38">
        <f>'Input capacity'!G23</f>
        <v>772301.12642537442</v>
      </c>
    </row>
    <row r="12" spans="2:7" ht="14.4" customHeight="1" x14ac:dyDescent="0.3">
      <c r="B12" s="36" t="s">
        <v>56</v>
      </c>
      <c r="C12" s="3" t="s">
        <v>220</v>
      </c>
      <c r="D12" s="38">
        <f>'Input capacity'!D24</f>
        <v>2721441.4963189051</v>
      </c>
      <c r="E12" s="38">
        <f>'Input capacity'!E24</f>
        <v>2700704.8417833927</v>
      </c>
      <c r="F12" s="38">
        <f>'Input capacity'!F24</f>
        <v>2700704.8417833927</v>
      </c>
      <c r="G12" s="38">
        <f>'Input capacity'!G24</f>
        <v>2700704.8417833927</v>
      </c>
    </row>
    <row r="13" spans="2:7" ht="14.4" customHeight="1" x14ac:dyDescent="0.3">
      <c r="B13" s="36" t="s">
        <v>58</v>
      </c>
      <c r="C13" s="3" t="s">
        <v>220</v>
      </c>
      <c r="D13" s="38">
        <f>'Input capacity'!D25</f>
        <v>937349.00434786058</v>
      </c>
      <c r="E13" s="38">
        <f>'Input capacity'!E25</f>
        <v>930206.65625452122</v>
      </c>
      <c r="F13" s="38">
        <f>'Input capacity'!F25</f>
        <v>930206.65625452122</v>
      </c>
      <c r="G13" s="38">
        <f>'Input capacity'!G25</f>
        <v>930206.65625452122</v>
      </c>
    </row>
    <row r="14" spans="2:7" ht="14.4" customHeight="1" x14ac:dyDescent="0.3">
      <c r="B14" s="36" t="s">
        <v>60</v>
      </c>
      <c r="C14" s="3" t="s">
        <v>220</v>
      </c>
      <c r="D14" s="38">
        <f>'Input capacity'!D26</f>
        <v>1551124.3972204293</v>
      </c>
      <c r="E14" s="38">
        <f>'Input capacity'!E26</f>
        <v>1539305.245197403</v>
      </c>
      <c r="F14" s="38">
        <f>'Input capacity'!F26</f>
        <v>1539305.245197403</v>
      </c>
      <c r="G14" s="38">
        <f>'Input capacity'!G26</f>
        <v>1539305.245197403</v>
      </c>
    </row>
    <row r="15" spans="2:7" ht="14.4" customHeight="1" x14ac:dyDescent="0.3">
      <c r="B15" s="36" t="s">
        <v>61</v>
      </c>
      <c r="C15" s="3" t="s">
        <v>220</v>
      </c>
      <c r="D15" s="38">
        <f>'Input capacity'!D27</f>
        <v>402361.86818631936</v>
      </c>
      <c r="E15" s="38">
        <f>'Input capacity'!E27</f>
        <v>399295.97863104916</v>
      </c>
      <c r="F15" s="38">
        <f>'Input capacity'!F27</f>
        <v>399295.97863104916</v>
      </c>
      <c r="G15" s="38">
        <f>'Input capacity'!G27</f>
        <v>399295.97863104916</v>
      </c>
    </row>
    <row r="16" spans="2:7" ht="14.4" customHeight="1" x14ac:dyDescent="0.3">
      <c r="B16" s="36" t="s">
        <v>63</v>
      </c>
      <c r="C16" s="3" t="s">
        <v>220</v>
      </c>
      <c r="D16" s="38">
        <f>'Input capacity'!D28</f>
        <v>880886.04402429983</v>
      </c>
      <c r="E16" s="38">
        <f>'Input capacity'!E28</f>
        <v>874173.92854991101</v>
      </c>
      <c r="F16" s="38">
        <f>'Input capacity'!F28</f>
        <v>874173.92854991101</v>
      </c>
      <c r="G16" s="38">
        <f>'Input capacity'!G28</f>
        <v>874173.92854991101</v>
      </c>
    </row>
    <row r="17" spans="2:7" ht="14.4" customHeight="1" x14ac:dyDescent="0.3">
      <c r="B17" s="36" t="s">
        <v>65</v>
      </c>
      <c r="C17" s="3" t="s">
        <v>220</v>
      </c>
      <c r="D17" s="38">
        <f>'Input capacity'!D29</f>
        <v>2025042.8064868895</v>
      </c>
      <c r="E17" s="38">
        <f>'Input capacity'!E29</f>
        <v>2009612.5232511326</v>
      </c>
      <c r="F17" s="38">
        <f>'Input capacity'!F29</f>
        <v>2009612.5232511326</v>
      </c>
      <c r="G17" s="38">
        <f>'Input capacity'!G29</f>
        <v>2009612.5232511326</v>
      </c>
    </row>
    <row r="18" spans="2:7" ht="14.4" customHeight="1" x14ac:dyDescent="0.3">
      <c r="B18" s="36" t="s">
        <v>67</v>
      </c>
      <c r="C18" s="3" t="s">
        <v>220</v>
      </c>
      <c r="D18" s="38">
        <f>'Input capacity'!D30</f>
        <v>2396530.6110709882</v>
      </c>
      <c r="E18" s="38">
        <f>'Input capacity'!E30</f>
        <v>2378269.6903667292</v>
      </c>
      <c r="F18" s="38">
        <f>'Input capacity'!F30</f>
        <v>2378269.6903667292</v>
      </c>
      <c r="G18" s="38">
        <f>'Input capacity'!G30</f>
        <v>2378269.6903667292</v>
      </c>
    </row>
    <row r="19" spans="2:7" ht="14.4" customHeight="1" x14ac:dyDescent="0.3">
      <c r="B19" s="36" t="s">
        <v>69</v>
      </c>
      <c r="C19" s="3" t="s">
        <v>220</v>
      </c>
      <c r="D19" s="38">
        <f>'Input capacity'!D31</f>
        <v>1709426.9524517185</v>
      </c>
      <c r="E19" s="38">
        <f>'Input capacity'!E31</f>
        <v>1696401.5774015356</v>
      </c>
      <c r="F19" s="38">
        <f>'Input capacity'!F31</f>
        <v>1696401.5774015356</v>
      </c>
      <c r="G19" s="38">
        <f>'Input capacity'!G31</f>
        <v>1696401.5774015356</v>
      </c>
    </row>
    <row r="20" spans="2:7" ht="14.4" customHeight="1" x14ac:dyDescent="0.3">
      <c r="B20" s="36" t="s">
        <v>71</v>
      </c>
      <c r="C20" s="3" t="s">
        <v>220</v>
      </c>
      <c r="D20" s="38">
        <f>'Input capacity'!D32</f>
        <v>12643653.782261247</v>
      </c>
      <c r="E20" s="38">
        <f>'Input capacity'!E32</f>
        <v>12547312.530426873</v>
      </c>
      <c r="F20" s="38">
        <f>'Input capacity'!F32</f>
        <v>12547312.530426873</v>
      </c>
      <c r="G20" s="38">
        <f>'Input capacity'!G32</f>
        <v>12547312.530426873</v>
      </c>
    </row>
    <row r="21" spans="2:7" ht="14.4" customHeight="1" x14ac:dyDescent="0.3">
      <c r="B21" s="36" t="s">
        <v>73</v>
      </c>
      <c r="C21" s="3" t="s">
        <v>220</v>
      </c>
      <c r="D21" s="38">
        <f>'Input capacity'!D33</f>
        <v>0</v>
      </c>
      <c r="E21" s="38">
        <f>'Input capacity'!E33</f>
        <v>0</v>
      </c>
      <c r="F21" s="38">
        <f>'Input capacity'!F33</f>
        <v>0</v>
      </c>
      <c r="G21" s="38">
        <f>'Input capacity'!G33</f>
        <v>0</v>
      </c>
    </row>
    <row r="22" spans="2:7" ht="14.4" customHeight="1" x14ac:dyDescent="0.3">
      <c r="B22" s="36" t="s">
        <v>75</v>
      </c>
      <c r="C22" s="3" t="s">
        <v>220</v>
      </c>
      <c r="D22" s="38">
        <f>'Input capacity'!D34</f>
        <v>672717.85446917627</v>
      </c>
      <c r="E22" s="38">
        <f>'Input capacity'!E34</f>
        <v>667591.92478563637</v>
      </c>
      <c r="F22" s="38">
        <f>'Input capacity'!F34</f>
        <v>667591.92478563637</v>
      </c>
      <c r="G22" s="38">
        <f>'Input capacity'!G34</f>
        <v>667591.92478563637</v>
      </c>
    </row>
    <row r="23" spans="2:7" ht="14.4" customHeight="1" x14ac:dyDescent="0.3">
      <c r="B23" s="36" t="s">
        <v>77</v>
      </c>
      <c r="C23" s="3" t="s">
        <v>220</v>
      </c>
      <c r="D23" s="38">
        <f>'Input capacity'!D35</f>
        <v>2756026.0053936564</v>
      </c>
      <c r="E23" s="38">
        <f>'Input capacity'!E35</f>
        <v>2735025.8261717111</v>
      </c>
      <c r="F23" s="38">
        <f>'Input capacity'!F35</f>
        <v>2735025.8261717111</v>
      </c>
      <c r="G23" s="38">
        <f>'Input capacity'!G35</f>
        <v>2735025.8261717111</v>
      </c>
    </row>
    <row r="24" spans="2:7" ht="14.4" customHeight="1" x14ac:dyDescent="0.3">
      <c r="B24" s="36" t="s">
        <v>79</v>
      </c>
      <c r="C24" s="3" t="s">
        <v>220</v>
      </c>
      <c r="D24" s="38">
        <f>'Input capacity'!D36</f>
        <v>1690923.9759036149</v>
      </c>
      <c r="E24" s="38">
        <f>'Input capacity'!E36</f>
        <v>1678039.5885737543</v>
      </c>
      <c r="F24" s="38">
        <f>'Input capacity'!F36</f>
        <v>1678039.5885737543</v>
      </c>
      <c r="G24" s="38">
        <f>'Input capacity'!G36</f>
        <v>1678039.5885737543</v>
      </c>
    </row>
    <row r="25" spans="2:7" ht="14.4" customHeight="1" x14ac:dyDescent="0.3">
      <c r="B25" s="36" t="s">
        <v>81</v>
      </c>
      <c r="C25" s="3" t="s">
        <v>220</v>
      </c>
      <c r="D25" s="38">
        <f>'Input capacity'!D37</f>
        <v>38955917.439126588</v>
      </c>
      <c r="E25" s="38">
        <f>'Input capacity'!E37</f>
        <v>38659083.793008611</v>
      </c>
      <c r="F25" s="38">
        <f>'Input capacity'!F37</f>
        <v>38659083.793008611</v>
      </c>
      <c r="G25" s="38">
        <f>'Input capacity'!G37</f>
        <v>38659083.793008611</v>
      </c>
    </row>
    <row r="26" spans="2:7" ht="14.4" customHeight="1" x14ac:dyDescent="0.3">
      <c r="B26" s="36" t="s">
        <v>82</v>
      </c>
      <c r="C26" s="3" t="s">
        <v>220</v>
      </c>
      <c r="D26" s="38">
        <f>'Input capacity'!D38</f>
        <v>659810.22708433529</v>
      </c>
      <c r="E26" s="38">
        <f>'Input capacity'!E38</f>
        <v>654782.65006070549</v>
      </c>
      <c r="F26" s="38">
        <f>'Input capacity'!F38</f>
        <v>654782.65006070549</v>
      </c>
      <c r="G26" s="38">
        <f>'Input capacity'!G38</f>
        <v>654782.65006070549</v>
      </c>
    </row>
    <row r="27" spans="2:7" ht="14.4" customHeight="1" x14ac:dyDescent="0.3">
      <c r="B27" s="36" t="s">
        <v>83</v>
      </c>
      <c r="C27" s="3" t="s">
        <v>220</v>
      </c>
      <c r="D27" s="38">
        <f>'Input capacity'!D39</f>
        <v>475141.19935757492</v>
      </c>
      <c r="E27" s="38">
        <f>'Input capacity'!E39</f>
        <v>471520.75081220135</v>
      </c>
      <c r="F27" s="38">
        <f>'Input capacity'!F39</f>
        <v>471520.75081220135</v>
      </c>
      <c r="G27" s="38">
        <f>'Input capacity'!G39</f>
        <v>471520.75081220135</v>
      </c>
    </row>
    <row r="28" spans="2:7" ht="14.4" customHeight="1" x14ac:dyDescent="0.3">
      <c r="B28" s="36" t="s">
        <v>85</v>
      </c>
      <c r="C28" s="3" t="s">
        <v>220</v>
      </c>
      <c r="D28" s="38">
        <f>'Input capacity'!D40</f>
        <v>46458.19551831967</v>
      </c>
      <c r="E28" s="38">
        <f>'Input capacity'!E40</f>
        <v>46104.19652473124</v>
      </c>
      <c r="F28" s="38">
        <f>'Input capacity'!F40</f>
        <v>46104.19652473124</v>
      </c>
      <c r="G28" s="38">
        <f>'Input capacity'!G40</f>
        <v>46104.19652473124</v>
      </c>
    </row>
    <row r="29" spans="2:7" ht="14.4" customHeight="1" x14ac:dyDescent="0.3">
      <c r="B29" s="36" t="s">
        <v>87</v>
      </c>
      <c r="C29" s="3" t="s">
        <v>220</v>
      </c>
      <c r="D29" s="38">
        <f>'Input capacity'!D41</f>
        <v>0</v>
      </c>
      <c r="E29" s="38">
        <f>'Input capacity'!E41</f>
        <v>0</v>
      </c>
      <c r="F29" s="38">
        <f>'Input capacity'!F41</f>
        <v>0</v>
      </c>
      <c r="G29" s="38">
        <f>'Input capacity'!G41</f>
        <v>0</v>
      </c>
    </row>
    <row r="30" spans="2:7" ht="14.4" customHeight="1" x14ac:dyDescent="0.3">
      <c r="B30" s="36" t="s">
        <v>89</v>
      </c>
      <c r="C30" s="3" t="s">
        <v>220</v>
      </c>
      <c r="D30" s="38">
        <f>'Input capacity'!D42</f>
        <v>1530398.6107307556</v>
      </c>
      <c r="E30" s="38">
        <f>'Input capacity'!E42</f>
        <v>1518737.3836438321</v>
      </c>
      <c r="F30" s="38">
        <f>'Input capacity'!F42</f>
        <v>1518737.3836438321</v>
      </c>
      <c r="G30" s="38">
        <f>'Input capacity'!G42</f>
        <v>1518737.3836438321</v>
      </c>
    </row>
    <row r="31" spans="2:7" ht="14.4" customHeight="1" x14ac:dyDescent="0.3">
      <c r="B31" s="36" t="s">
        <v>90</v>
      </c>
      <c r="C31" s="3" t="s">
        <v>220</v>
      </c>
      <c r="D31" s="38">
        <f>'Input capacity'!D43</f>
        <v>868322.19384832378</v>
      </c>
      <c r="E31" s="38">
        <f>'Input capacity'!E43</f>
        <v>861705.8115436862</v>
      </c>
      <c r="F31" s="38">
        <f>'Input capacity'!F43</f>
        <v>861705.8115436862</v>
      </c>
      <c r="G31" s="38">
        <f>'Input capacity'!G43</f>
        <v>861705.8115436862</v>
      </c>
    </row>
    <row r="32" spans="2:7" ht="14.4" customHeight="1" x14ac:dyDescent="0.3">
      <c r="B32" s="36" t="s">
        <v>92</v>
      </c>
      <c r="C32" s="3" t="s">
        <v>220</v>
      </c>
      <c r="D32" s="38">
        <f>'Input capacity'!D44</f>
        <v>1575749.4783324753</v>
      </c>
      <c r="E32" s="38">
        <f>'Input capacity'!E44</f>
        <v>1563742.6897937937</v>
      </c>
      <c r="F32" s="38">
        <f>'Input capacity'!F44</f>
        <v>1563742.6897937937</v>
      </c>
      <c r="G32" s="38">
        <f>'Input capacity'!G44</f>
        <v>1563742.6897937937</v>
      </c>
    </row>
    <row r="33" spans="2:7" ht="14.4" customHeight="1" x14ac:dyDescent="0.3">
      <c r="B33" s="36" t="s">
        <v>94</v>
      </c>
      <c r="C33" s="3" t="s">
        <v>220</v>
      </c>
      <c r="D33" s="38">
        <f>'Input capacity'!D45</f>
        <v>1602787.5231932716</v>
      </c>
      <c r="E33" s="38">
        <f>'Input capacity'!E45</f>
        <v>1590574.7120021272</v>
      </c>
      <c r="F33" s="38">
        <f>'Input capacity'!F45</f>
        <v>1590574.7120021272</v>
      </c>
      <c r="G33" s="38">
        <f>'Input capacity'!G45</f>
        <v>1590574.7120021272</v>
      </c>
    </row>
    <row r="34" spans="2:7" ht="14.4" customHeight="1" x14ac:dyDescent="0.3">
      <c r="B34" s="36" t="s">
        <v>96</v>
      </c>
      <c r="C34" s="3" t="s">
        <v>220</v>
      </c>
      <c r="D34" s="38">
        <f>'Input capacity'!D46</f>
        <v>4113892.1632950576</v>
      </c>
      <c r="E34" s="38">
        <f>'Input capacity'!E46</f>
        <v>4082545.4080177564</v>
      </c>
      <c r="F34" s="38">
        <f>'Input capacity'!F46</f>
        <v>4082545.4080177564</v>
      </c>
      <c r="G34" s="38">
        <f>'Input capacity'!G46</f>
        <v>4082545.4080177564</v>
      </c>
    </row>
    <row r="35" spans="2:7" ht="14.4" customHeight="1" x14ac:dyDescent="0.3">
      <c r="B35" s="36" t="s">
        <v>98</v>
      </c>
      <c r="C35" s="3" t="s">
        <v>220</v>
      </c>
      <c r="D35" s="38">
        <f>'Input capacity'!D47</f>
        <v>0</v>
      </c>
      <c r="E35" s="38">
        <f>'Input capacity'!E47</f>
        <v>0</v>
      </c>
      <c r="F35" s="38">
        <f>'Input capacity'!F47</f>
        <v>0</v>
      </c>
      <c r="G35" s="38">
        <f>'Input capacity'!G47</f>
        <v>0</v>
      </c>
    </row>
    <row r="36" spans="2:7" ht="14.4" customHeight="1" x14ac:dyDescent="0.3">
      <c r="B36" s="36" t="s">
        <v>100</v>
      </c>
      <c r="C36" s="3" t="s">
        <v>220</v>
      </c>
      <c r="D36" s="38">
        <f>'Input capacity'!D48</f>
        <v>9147753.9905232135</v>
      </c>
      <c r="E36" s="38">
        <f>'Input capacity'!E48</f>
        <v>9078050.557789525</v>
      </c>
      <c r="F36" s="38">
        <f>'Input capacity'!F48</f>
        <v>9078050.557789525</v>
      </c>
      <c r="G36" s="38">
        <f>'Input capacity'!G48</f>
        <v>9078050.557789525</v>
      </c>
    </row>
    <row r="37" spans="2:7" ht="14.4" customHeight="1" x14ac:dyDescent="0.3">
      <c r="B37" s="36" t="s">
        <v>102</v>
      </c>
      <c r="C37" s="3" t="s">
        <v>220</v>
      </c>
      <c r="D37" s="38">
        <f>'Input capacity'!D49</f>
        <v>0</v>
      </c>
      <c r="E37" s="38">
        <f>'Input capacity'!E49</f>
        <v>0</v>
      </c>
      <c r="F37" s="38">
        <f>'Input capacity'!F49</f>
        <v>0</v>
      </c>
      <c r="G37" s="38">
        <f>'Input capacity'!G49</f>
        <v>0</v>
      </c>
    </row>
    <row r="38" spans="2:7" ht="14.4" customHeight="1" x14ac:dyDescent="0.3">
      <c r="B38" s="36" t="s">
        <v>103</v>
      </c>
      <c r="C38" s="3" t="s">
        <v>220</v>
      </c>
      <c r="D38" s="38">
        <f>'Input capacity'!D50</f>
        <v>33600536.835732296</v>
      </c>
      <c r="E38" s="38">
        <f>'Input capacity'!E50</f>
        <v>33344509.75394024</v>
      </c>
      <c r="F38" s="38">
        <f>'Input capacity'!F50</f>
        <v>33344509.75394024</v>
      </c>
      <c r="G38" s="38">
        <f>'Input capacity'!G50</f>
        <v>33344509.75394024</v>
      </c>
    </row>
    <row r="39" spans="2:7" ht="14.4" customHeight="1" x14ac:dyDescent="0.3">
      <c r="B39" s="36" t="s">
        <v>105</v>
      </c>
      <c r="C39" s="3" t="s">
        <v>220</v>
      </c>
      <c r="D39" s="38">
        <f>'Input capacity'!D51</f>
        <v>1204905.8483095798</v>
      </c>
      <c r="E39" s="38">
        <f>'Input capacity'!E51</f>
        <v>1195724.7888019583</v>
      </c>
      <c r="F39" s="38">
        <f>'Input capacity'!F51</f>
        <v>1195724.7888019583</v>
      </c>
      <c r="G39" s="38">
        <f>'Input capacity'!G51</f>
        <v>1195724.7888019583</v>
      </c>
    </row>
    <row r="40" spans="2:7" ht="14.4" customHeight="1" x14ac:dyDescent="0.3">
      <c r="B40" s="36" t="s">
        <v>107</v>
      </c>
      <c r="C40" s="3" t="s">
        <v>220</v>
      </c>
      <c r="D40" s="38">
        <f>'Input capacity'!D52</f>
        <v>0</v>
      </c>
      <c r="E40" s="38">
        <f>'Input capacity'!E52</f>
        <v>0</v>
      </c>
      <c r="F40" s="38">
        <f>'Input capacity'!F52</f>
        <v>0</v>
      </c>
      <c r="G40" s="38">
        <f>'Input capacity'!G52</f>
        <v>0</v>
      </c>
    </row>
    <row r="41" spans="2:7" ht="14.4" customHeight="1" x14ac:dyDescent="0.3">
      <c r="B41" s="36" t="s">
        <v>108</v>
      </c>
      <c r="C41" s="3" t="s">
        <v>220</v>
      </c>
      <c r="D41" s="38">
        <f>'Input capacity'!D53</f>
        <v>44555.352789175216</v>
      </c>
      <c r="E41" s="38">
        <f>'Input capacity'!E53</f>
        <v>44215.852946997191</v>
      </c>
      <c r="F41" s="38">
        <f>'Input capacity'!F53</f>
        <v>44215.852946997191</v>
      </c>
      <c r="G41" s="38">
        <f>'Input capacity'!G53</f>
        <v>44215.852946997191</v>
      </c>
    </row>
    <row r="42" spans="2:7" ht="14.4" customHeight="1" x14ac:dyDescent="0.3">
      <c r="B42" s="36" t="s">
        <v>110</v>
      </c>
      <c r="C42" s="3" t="s">
        <v>220</v>
      </c>
      <c r="D42" s="38">
        <f>'Input capacity'!D54</f>
        <v>1572261.1507719336</v>
      </c>
      <c r="E42" s="38">
        <f>'Input capacity'!E54</f>
        <v>1560280.9423539811</v>
      </c>
      <c r="F42" s="38">
        <f>'Input capacity'!F54</f>
        <v>1560280.9423539811</v>
      </c>
      <c r="G42" s="38">
        <f>'Input capacity'!G54</f>
        <v>1560280.9423539811</v>
      </c>
    </row>
    <row r="43" spans="2:7" ht="14.4" customHeight="1" x14ac:dyDescent="0.3">
      <c r="B43" s="36" t="s">
        <v>112</v>
      </c>
      <c r="C43" s="3" t="s">
        <v>220</v>
      </c>
      <c r="D43" s="38">
        <f>'Input capacity'!D55</f>
        <v>448079.01833600411</v>
      </c>
      <c r="E43" s="38">
        <f>'Input capacity'!E55</f>
        <v>444664.77635416714</v>
      </c>
      <c r="F43" s="38">
        <f>'Input capacity'!F55</f>
        <v>444664.77635416714</v>
      </c>
      <c r="G43" s="38">
        <f>'Input capacity'!G55</f>
        <v>444664.77635416714</v>
      </c>
    </row>
    <row r="44" spans="2:7" ht="14.4" customHeight="1" x14ac:dyDescent="0.3">
      <c r="B44" s="36" t="s">
        <v>114</v>
      </c>
      <c r="C44" s="3" t="s">
        <v>220</v>
      </c>
      <c r="D44" s="38">
        <f>'Input capacity'!D56</f>
        <v>0</v>
      </c>
      <c r="E44" s="38">
        <f>'Input capacity'!E56</f>
        <v>0</v>
      </c>
      <c r="F44" s="38">
        <f>'Input capacity'!F56</f>
        <v>0</v>
      </c>
      <c r="G44" s="38">
        <f>'Input capacity'!G56</f>
        <v>0</v>
      </c>
    </row>
    <row r="45" spans="2:7" ht="14.4" customHeight="1" x14ac:dyDescent="0.3">
      <c r="B45" s="36" t="s">
        <v>116</v>
      </c>
      <c r="C45" s="3" t="s">
        <v>220</v>
      </c>
      <c r="D45" s="38">
        <f>'Input capacity'!D57</f>
        <v>1066785.6897862097</v>
      </c>
      <c r="E45" s="38">
        <f>'Input capacity'!E57</f>
        <v>1058657.068854087</v>
      </c>
      <c r="F45" s="38">
        <f>'Input capacity'!F57</f>
        <v>1058657.068854087</v>
      </c>
      <c r="G45" s="38">
        <f>'Input capacity'!G57</f>
        <v>1058657.068854087</v>
      </c>
    </row>
    <row r="46" spans="2:7" ht="14.4" customHeight="1" x14ac:dyDescent="0.3">
      <c r="B46" s="36" t="s">
        <v>118</v>
      </c>
      <c r="C46" s="3" t="s">
        <v>220</v>
      </c>
      <c r="D46" s="38">
        <f>'Input capacity'!D58</f>
        <v>0</v>
      </c>
      <c r="E46" s="38">
        <f>'Input capacity'!E58</f>
        <v>0</v>
      </c>
      <c r="F46" s="38">
        <f>'Input capacity'!F58</f>
        <v>0</v>
      </c>
      <c r="G46" s="38">
        <f>'Input capacity'!G58</f>
        <v>0</v>
      </c>
    </row>
    <row r="47" spans="2:7" ht="14.4" customHeight="1" x14ac:dyDescent="0.3">
      <c r="B47" s="36" t="s">
        <v>120</v>
      </c>
      <c r="C47" s="3" t="s">
        <v>220</v>
      </c>
      <c r="D47" s="38">
        <f>'Input capacity'!D59</f>
        <v>479616.82635951531</v>
      </c>
      <c r="E47" s="38">
        <f>'Input capacity'!E59</f>
        <v>475962.27473638149</v>
      </c>
      <c r="F47" s="38">
        <f>'Input capacity'!F59</f>
        <v>475962.27473638149</v>
      </c>
      <c r="G47" s="38">
        <f>'Input capacity'!G59</f>
        <v>475962.27473638149</v>
      </c>
    </row>
    <row r="48" spans="2:7" ht="14.4" customHeight="1" x14ac:dyDescent="0.3">
      <c r="B48" s="36" t="s">
        <v>122</v>
      </c>
      <c r="C48" s="3" t="s">
        <v>220</v>
      </c>
      <c r="D48" s="38">
        <f>'Input capacity'!D60</f>
        <v>1364039.7964302399</v>
      </c>
      <c r="E48" s="38">
        <f>'Input capacity'!E60</f>
        <v>1353646.1789045555</v>
      </c>
      <c r="F48" s="38">
        <f>'Input capacity'!F60</f>
        <v>1353646.1789045555</v>
      </c>
      <c r="G48" s="38">
        <f>'Input capacity'!G60</f>
        <v>1353646.1789045555</v>
      </c>
    </row>
    <row r="49" spans="2:7" ht="14.4" customHeight="1" x14ac:dyDescent="0.3">
      <c r="B49" s="36" t="s">
        <v>124</v>
      </c>
      <c r="C49" s="3" t="s">
        <v>220</v>
      </c>
      <c r="D49" s="38">
        <f>'Input capacity'!D61</f>
        <v>2840252.0738942451</v>
      </c>
      <c r="E49" s="38">
        <f>'Input capacity'!E61</f>
        <v>2818610.1146128187</v>
      </c>
      <c r="F49" s="38">
        <f>'Input capacity'!F61</f>
        <v>2818610.1146128187</v>
      </c>
      <c r="G49" s="38">
        <f>'Input capacity'!G61</f>
        <v>2818610.1146128187</v>
      </c>
    </row>
    <row r="50" spans="2:7" ht="14.4" customHeight="1" x14ac:dyDescent="0.3">
      <c r="B50" s="36" t="s">
        <v>126</v>
      </c>
      <c r="C50" s="3" t="s">
        <v>220</v>
      </c>
      <c r="D50" s="38">
        <f>'Input capacity'!D62</f>
        <v>730122.45122726576</v>
      </c>
      <c r="E50" s="38">
        <f>'Input capacity'!E62</f>
        <v>724559.11390761356</v>
      </c>
      <c r="F50" s="38">
        <f>'Input capacity'!F62</f>
        <v>724559.11390761356</v>
      </c>
      <c r="G50" s="38">
        <f>'Input capacity'!G62</f>
        <v>724559.11390761356</v>
      </c>
    </row>
    <row r="51" spans="2:7" ht="14.4" customHeight="1" x14ac:dyDescent="0.3">
      <c r="B51" s="36" t="s">
        <v>128</v>
      </c>
      <c r="C51" s="3" t="s">
        <v>220</v>
      </c>
      <c r="D51" s="38">
        <f>'Input capacity'!D63</f>
        <v>2709487.8996133143</v>
      </c>
      <c r="E51" s="38">
        <f>'Input capacity'!E63</f>
        <v>2688842.3282797285</v>
      </c>
      <c r="F51" s="38">
        <f>'Input capacity'!F63</f>
        <v>2688842.3282797285</v>
      </c>
      <c r="G51" s="38">
        <f>'Input capacity'!G63</f>
        <v>2688842.3282797285</v>
      </c>
    </row>
    <row r="52" spans="2:7" ht="14.4" customHeight="1" x14ac:dyDescent="0.3">
      <c r="B52" s="36" t="s">
        <v>130</v>
      </c>
      <c r="C52" s="3" t="s">
        <v>220</v>
      </c>
      <c r="D52" s="38">
        <f>'Input capacity'!D64</f>
        <v>2023703.2495639212</v>
      </c>
      <c r="E52" s="38">
        <f>'Input capacity'!E64</f>
        <v>2008283.1733927585</v>
      </c>
      <c r="F52" s="38">
        <f>'Input capacity'!F64</f>
        <v>2008283.1733927585</v>
      </c>
      <c r="G52" s="38">
        <f>'Input capacity'!G64</f>
        <v>2008283.1733927585</v>
      </c>
    </row>
    <row r="53" spans="2:7" ht="14.4" customHeight="1" x14ac:dyDescent="0.3">
      <c r="B53" s="36" t="s">
        <v>131</v>
      </c>
      <c r="C53" s="3" t="s">
        <v>220</v>
      </c>
      <c r="D53" s="38">
        <f>'Input capacity'!D65</f>
        <v>64356.463389728931</v>
      </c>
      <c r="E53" s="38">
        <f>'Input capacity'!E65</f>
        <v>63866.08439380148</v>
      </c>
      <c r="F53" s="38">
        <f>'Input capacity'!F65</f>
        <v>63866.08439380148</v>
      </c>
      <c r="G53" s="38">
        <f>'Input capacity'!G65</f>
        <v>63866.08439380148</v>
      </c>
    </row>
    <row r="54" spans="2:7" ht="14.4" customHeight="1" x14ac:dyDescent="0.3">
      <c r="B54" s="36" t="s">
        <v>133</v>
      </c>
      <c r="C54" s="3" t="s">
        <v>220</v>
      </c>
      <c r="D54" s="38">
        <f>'Input capacity'!D66</f>
        <v>2720442.128797119</v>
      </c>
      <c r="E54" s="38">
        <f>'Input capacity'!E66</f>
        <v>2699713.0891741747</v>
      </c>
      <c r="F54" s="38">
        <f>'Input capacity'!F66</f>
        <v>2699713.0891741747</v>
      </c>
      <c r="G54" s="38">
        <f>'Input capacity'!G66</f>
        <v>2699713.0891741747</v>
      </c>
    </row>
    <row r="55" spans="2:7" ht="14.4" customHeight="1" x14ac:dyDescent="0.3">
      <c r="B55" s="36" t="s">
        <v>135</v>
      </c>
      <c r="C55" s="3" t="s">
        <v>220</v>
      </c>
      <c r="D55" s="38">
        <f>'Input capacity'!D67</f>
        <v>2114136.5515198307</v>
      </c>
      <c r="E55" s="38">
        <f>'Input capacity'!E67</f>
        <v>2098027.3978345264</v>
      </c>
      <c r="F55" s="38">
        <f>'Input capacity'!F67</f>
        <v>2098027.3978345264</v>
      </c>
      <c r="G55" s="38">
        <f>'Input capacity'!G67</f>
        <v>2098027.3978345264</v>
      </c>
    </row>
    <row r="56" spans="2:7" ht="14.4" customHeight="1" x14ac:dyDescent="0.3">
      <c r="B56" s="36" t="s">
        <v>136</v>
      </c>
      <c r="C56" s="3" t="s">
        <v>220</v>
      </c>
      <c r="D56" s="38">
        <f>'Input capacity'!D68</f>
        <v>3494551.4283780269</v>
      </c>
      <c r="E56" s="38">
        <f>'Input capacity'!E68</f>
        <v>3467923.883444625</v>
      </c>
      <c r="F56" s="38">
        <f>'Input capacity'!F68</f>
        <v>3467923.883444625</v>
      </c>
      <c r="G56" s="38">
        <f>'Input capacity'!G68</f>
        <v>3467923.883444625</v>
      </c>
    </row>
    <row r="57" spans="2:7" ht="14.4" customHeight="1" x14ac:dyDescent="0.3">
      <c r="B57" s="36" t="s">
        <v>138</v>
      </c>
      <c r="C57" s="3" t="s">
        <v>220</v>
      </c>
      <c r="D57" s="38">
        <f>'Input capacity'!D69</f>
        <v>789106.00953005673</v>
      </c>
      <c r="E57" s="38">
        <f>'Input capacity'!E69</f>
        <v>783093.23331066896</v>
      </c>
      <c r="F57" s="38">
        <f>'Input capacity'!F69</f>
        <v>783093.23331066896</v>
      </c>
      <c r="G57" s="38">
        <f>'Input capacity'!G69</f>
        <v>783093.23331066896</v>
      </c>
    </row>
    <row r="58" spans="2:7" ht="14.4" customHeight="1" x14ac:dyDescent="0.3">
      <c r="B58" s="36" t="s">
        <v>140</v>
      </c>
      <c r="C58" s="3" t="s">
        <v>220</v>
      </c>
      <c r="D58" s="38">
        <f>'Input capacity'!D70</f>
        <v>1702348.5340581818</v>
      </c>
      <c r="E58" s="38">
        <f>'Input capacity'!E70</f>
        <v>1689377.0946583087</v>
      </c>
      <c r="F58" s="38">
        <f>'Input capacity'!F70</f>
        <v>1689377.0946583087</v>
      </c>
      <c r="G58" s="38">
        <f>'Input capacity'!G70</f>
        <v>1689377.0946583087</v>
      </c>
    </row>
    <row r="59" spans="2:7" ht="14.4" customHeight="1" x14ac:dyDescent="0.3">
      <c r="B59" s="36" t="s">
        <v>142</v>
      </c>
      <c r="C59" s="3" t="s">
        <v>220</v>
      </c>
      <c r="D59" s="38">
        <f>'Input capacity'!D71</f>
        <v>1490909.8947181541</v>
      </c>
      <c r="E59" s="38">
        <f>'Input capacity'!E71</f>
        <v>1479549.5610596258</v>
      </c>
      <c r="F59" s="38">
        <f>'Input capacity'!F71</f>
        <v>1479549.5610596258</v>
      </c>
      <c r="G59" s="38">
        <f>'Input capacity'!G71</f>
        <v>1479549.5610596258</v>
      </c>
    </row>
    <row r="60" spans="2:7" ht="14.4" customHeight="1" x14ac:dyDescent="0.3">
      <c r="B60" s="36" t="s">
        <v>144</v>
      </c>
      <c r="C60" s="3" t="s">
        <v>220</v>
      </c>
      <c r="D60" s="38">
        <f>'Input capacity'!D72</f>
        <v>39665984.045407832</v>
      </c>
      <c r="E60" s="38">
        <f>'Input capacity'!E72</f>
        <v>39363739.88213136</v>
      </c>
      <c r="F60" s="38">
        <f>'Input capacity'!F72</f>
        <v>39363739.88213136</v>
      </c>
      <c r="G60" s="38">
        <f>'Input capacity'!G72</f>
        <v>39363739.88213136</v>
      </c>
    </row>
    <row r="61" spans="2:7" ht="14.4" customHeight="1" x14ac:dyDescent="0.3">
      <c r="B61" s="36" t="s">
        <v>146</v>
      </c>
      <c r="C61" s="3" t="s">
        <v>220</v>
      </c>
      <c r="D61" s="38">
        <f>'Input capacity'!D73</f>
        <v>4875067.0900156731</v>
      </c>
      <c r="E61" s="38">
        <f>'Input capacity'!E73</f>
        <v>4837920.3858811762</v>
      </c>
      <c r="F61" s="38">
        <f>'Input capacity'!F73</f>
        <v>4837920.3858811762</v>
      </c>
      <c r="G61" s="38">
        <f>'Input capacity'!G73</f>
        <v>4837920.3858811762</v>
      </c>
    </row>
    <row r="62" spans="2:7" ht="14.4" customHeight="1" x14ac:dyDescent="0.3">
      <c r="B62" s="36" t="s">
        <v>148</v>
      </c>
      <c r="C62" s="3" t="s">
        <v>220</v>
      </c>
      <c r="D62" s="38">
        <f>'Input capacity'!D74</f>
        <v>4153345.9797238368</v>
      </c>
      <c r="E62" s="38">
        <f>'Input capacity'!E74</f>
        <v>4121698.5969436122</v>
      </c>
      <c r="F62" s="38">
        <f>'Input capacity'!F74</f>
        <v>4121698.5969436122</v>
      </c>
      <c r="G62" s="38">
        <f>'Input capacity'!G74</f>
        <v>4121698.5969436122</v>
      </c>
    </row>
    <row r="63" spans="2:7" ht="14.4" customHeight="1" x14ac:dyDescent="0.3">
      <c r="B63" s="36" t="s">
        <v>150</v>
      </c>
      <c r="C63" s="3" t="s">
        <v>220</v>
      </c>
      <c r="D63" s="38">
        <f>'Input capacity'!D75</f>
        <v>11686452.785676606</v>
      </c>
      <c r="E63" s="38">
        <f>'Input capacity'!E75</f>
        <v>11597405.148793746</v>
      </c>
      <c r="F63" s="38">
        <f>'Input capacity'!F75</f>
        <v>11597405.148793746</v>
      </c>
      <c r="G63" s="38">
        <f>'Input capacity'!G75</f>
        <v>11597405.148793746</v>
      </c>
    </row>
    <row r="64" spans="2:7" ht="14.4" customHeight="1" x14ac:dyDescent="0.3">
      <c r="B64" s="36" t="s">
        <v>152</v>
      </c>
      <c r="C64" s="3" t="s">
        <v>220</v>
      </c>
      <c r="D64" s="38">
        <f>'Input capacity'!D76</f>
        <v>8126886.6942812502</v>
      </c>
      <c r="E64" s="38">
        <f>'Input capacity'!E76</f>
        <v>8064961.9966324084</v>
      </c>
      <c r="F64" s="38">
        <f>'Input capacity'!F76</f>
        <v>8064961.9966324084</v>
      </c>
      <c r="G64" s="38">
        <f>'Input capacity'!G76</f>
        <v>8064961.9966324084</v>
      </c>
    </row>
    <row r="65" spans="2:7" ht="14.4" customHeight="1" x14ac:dyDescent="0.3">
      <c r="B65" s="36" t="s">
        <v>154</v>
      </c>
      <c r="C65" s="3" t="s">
        <v>220</v>
      </c>
      <c r="D65" s="38">
        <f>'Input capacity'!D77</f>
        <v>7472549.5047346326</v>
      </c>
      <c r="E65" s="38">
        <f>'Input capacity'!E77</f>
        <v>7415610.6810307996</v>
      </c>
      <c r="F65" s="38">
        <f>'Input capacity'!F77</f>
        <v>7415610.6810307996</v>
      </c>
      <c r="G65" s="38">
        <f>'Input capacity'!G77</f>
        <v>7415610.6810307996</v>
      </c>
    </row>
    <row r="66" spans="2:7" ht="14.4" customHeight="1" x14ac:dyDescent="0.3">
      <c r="B66" s="36" t="s">
        <v>156</v>
      </c>
      <c r="C66" s="3" t="s">
        <v>220</v>
      </c>
      <c r="D66" s="38">
        <f>'Input capacity'!D78</f>
        <v>937467.72816572292</v>
      </c>
      <c r="E66" s="38">
        <f>'Input capacity'!E78</f>
        <v>930324.47542872338</v>
      </c>
      <c r="F66" s="38">
        <f>'Input capacity'!F78</f>
        <v>930324.47542872338</v>
      </c>
      <c r="G66" s="38">
        <f>'Input capacity'!G78</f>
        <v>930324.47542872338</v>
      </c>
    </row>
    <row r="67" spans="2:7" ht="14.4" customHeight="1" x14ac:dyDescent="0.3">
      <c r="B67" s="36" t="s">
        <v>158</v>
      </c>
      <c r="C67" s="3" t="s">
        <v>220</v>
      </c>
      <c r="D67" s="38">
        <f>'Input capacity'!D79</f>
        <v>4007674.4645214905</v>
      </c>
      <c r="E67" s="38">
        <f>'Input capacity'!E79</f>
        <v>3977137.0596300066</v>
      </c>
      <c r="F67" s="38">
        <f>'Input capacity'!F79</f>
        <v>3977137.0596300066</v>
      </c>
      <c r="G67" s="38">
        <f>'Input capacity'!G79</f>
        <v>3977137.0596300066</v>
      </c>
    </row>
    <row r="68" spans="2:7" ht="14.4" customHeight="1" x14ac:dyDescent="0.3">
      <c r="B68" s="36" t="s">
        <v>160</v>
      </c>
      <c r="C68" s="3" t="s">
        <v>220</v>
      </c>
      <c r="D68" s="38">
        <f>'Input capacity'!D80</f>
        <v>5381390.5782718407</v>
      </c>
      <c r="E68" s="38">
        <f>'Input capacity'!E80</f>
        <v>5340385.824911085</v>
      </c>
      <c r="F68" s="38">
        <f>'Input capacity'!F80</f>
        <v>5340385.824911085</v>
      </c>
      <c r="G68" s="38">
        <f>'Input capacity'!G80</f>
        <v>5340385.824911085</v>
      </c>
    </row>
    <row r="69" spans="2:7" ht="14.4" customHeight="1" x14ac:dyDescent="0.3">
      <c r="B69" s="36" t="s">
        <v>162</v>
      </c>
      <c r="C69" s="3" t="s">
        <v>220</v>
      </c>
      <c r="D69" s="38">
        <f>'Input capacity'!D81</f>
        <v>56850.117388952385</v>
      </c>
      <c r="E69" s="38">
        <f>'Input capacity'!E81</f>
        <v>56416.934736967174</v>
      </c>
      <c r="F69" s="38">
        <f>'Input capacity'!F81</f>
        <v>56416.934736967174</v>
      </c>
      <c r="G69" s="38">
        <f>'Input capacity'!G81</f>
        <v>56416.934736967174</v>
      </c>
    </row>
    <row r="70" spans="2:7" ht="14.4" customHeight="1" x14ac:dyDescent="0.3">
      <c r="B70" s="36" t="s">
        <v>164</v>
      </c>
      <c r="C70" s="3" t="s">
        <v>220</v>
      </c>
      <c r="D70" s="38">
        <f>'Input capacity'!D82</f>
        <v>192690.38721216487</v>
      </c>
      <c r="E70" s="38">
        <f>'Input capacity'!E82</f>
        <v>191222.13812529767</v>
      </c>
      <c r="F70" s="38">
        <f>'Input capacity'!F82</f>
        <v>191222.13812529767</v>
      </c>
      <c r="G70" s="38">
        <f>'Input capacity'!G82</f>
        <v>191222.13812529767</v>
      </c>
    </row>
    <row r="71" spans="2:7" ht="14.4" customHeight="1" x14ac:dyDescent="0.3">
      <c r="B71" s="36" t="s">
        <v>166</v>
      </c>
      <c r="C71" s="3" t="s">
        <v>220</v>
      </c>
      <c r="D71" s="38">
        <f>'Input capacity'!D83</f>
        <v>173274.80285532883</v>
      </c>
      <c r="E71" s="38">
        <f>'Input capacity'!E83</f>
        <v>171954.4953156003</v>
      </c>
      <c r="F71" s="38">
        <f>'Input capacity'!F83</f>
        <v>171954.4953156003</v>
      </c>
      <c r="G71" s="38">
        <f>'Input capacity'!G83</f>
        <v>171954.4953156003</v>
      </c>
    </row>
    <row r="72" spans="2:7" ht="14.4" customHeight="1" x14ac:dyDescent="0.3">
      <c r="B72" s="36" t="s">
        <v>168</v>
      </c>
      <c r="C72" s="3" t="s">
        <v>220</v>
      </c>
      <c r="D72" s="38">
        <f>'Input capacity'!D84</f>
        <v>60588.286829940473</v>
      </c>
      <c r="E72" s="38">
        <f>'Input capacity'!E84</f>
        <v>60126.620329084057</v>
      </c>
      <c r="F72" s="38">
        <f>'Input capacity'!F84</f>
        <v>60126.620329084057</v>
      </c>
      <c r="G72" s="38">
        <f>'Input capacity'!G84</f>
        <v>60126.620329084057</v>
      </c>
    </row>
    <row r="73" spans="2:7" ht="14.4" customHeight="1" x14ac:dyDescent="0.3">
      <c r="B73" s="36" t="s">
        <v>170</v>
      </c>
      <c r="C73" s="3" t="s">
        <v>220</v>
      </c>
      <c r="D73" s="38">
        <f>'Input capacity'!D85</f>
        <v>214127.53811600766</v>
      </c>
      <c r="E73" s="38">
        <f>'Input capacity'!E85</f>
        <v>212495.94368693122</v>
      </c>
      <c r="F73" s="38">
        <f>'Input capacity'!F85</f>
        <v>212495.94368693122</v>
      </c>
      <c r="G73" s="38">
        <f>'Input capacity'!G85</f>
        <v>212495.94368693122</v>
      </c>
    </row>
    <row r="74" spans="2:7" ht="14.4" customHeight="1" x14ac:dyDescent="0.3">
      <c r="B74" s="36" t="s">
        <v>172</v>
      </c>
      <c r="C74" s="3" t="s">
        <v>220</v>
      </c>
      <c r="D74" s="38">
        <f>'Input capacity'!D86</f>
        <v>30985631.700742044</v>
      </c>
      <c r="E74" s="38">
        <f>'Input capacity'!E86</f>
        <v>30749529.49497645</v>
      </c>
      <c r="F74" s="38">
        <f>'Input capacity'!F86</f>
        <v>30749529.49497645</v>
      </c>
      <c r="G74" s="38">
        <f>'Input capacity'!G86</f>
        <v>30749529.49497645</v>
      </c>
    </row>
    <row r="75" spans="2:7" ht="14.4" customHeight="1" x14ac:dyDescent="0.3">
      <c r="B75" s="36" t="s">
        <v>174</v>
      </c>
      <c r="C75" s="3" t="s">
        <v>220</v>
      </c>
      <c r="D75" s="38">
        <f>'Input capacity'!D87</f>
        <v>490511.69363438879</v>
      </c>
      <c r="E75" s="38">
        <f>'Input capacity'!E87</f>
        <v>486774.1260437264</v>
      </c>
      <c r="F75" s="38">
        <f>'Input capacity'!F87</f>
        <v>486774.1260437264</v>
      </c>
      <c r="G75" s="38">
        <f>'Input capacity'!G87</f>
        <v>486774.1260437264</v>
      </c>
    </row>
    <row r="76" spans="2:7" ht="14.4" customHeight="1" x14ac:dyDescent="0.3">
      <c r="B76" s="36" t="s">
        <v>176</v>
      </c>
      <c r="C76" s="3" t="s">
        <v>220</v>
      </c>
      <c r="D76" s="38">
        <f>'Input capacity'!D88</f>
        <v>2650342.237636135</v>
      </c>
      <c r="E76" s="38">
        <f>'Input capacity'!E88</f>
        <v>2630147.3403888205</v>
      </c>
      <c r="F76" s="38">
        <f>'Input capacity'!F88</f>
        <v>2630147.3403888205</v>
      </c>
      <c r="G76" s="38">
        <f>'Input capacity'!G88</f>
        <v>2630147.3403888205</v>
      </c>
    </row>
    <row r="77" spans="2:7" ht="14.4" customHeight="1" x14ac:dyDescent="0.3">
      <c r="B77" s="36" t="s">
        <v>178</v>
      </c>
      <c r="C77" s="3" t="s">
        <v>220</v>
      </c>
      <c r="D77" s="38">
        <f>'Input capacity'!D89</f>
        <v>527535.58576900885</v>
      </c>
      <c r="E77" s="38">
        <f>'Input capacity'!E89</f>
        <v>523515.90604703873</v>
      </c>
      <c r="F77" s="38">
        <f>'Input capacity'!F89</f>
        <v>523515.90604703873</v>
      </c>
      <c r="G77" s="38">
        <f>'Input capacity'!G89</f>
        <v>523515.90604703873</v>
      </c>
    </row>
    <row r="78" spans="2:7" ht="14.4" customHeight="1" x14ac:dyDescent="0.3">
      <c r="B78" s="36" t="s">
        <v>180</v>
      </c>
      <c r="C78" s="3" t="s">
        <v>220</v>
      </c>
      <c r="D78" s="38">
        <f>'Input capacity'!D90</f>
        <v>1511297.7749569886</v>
      </c>
      <c r="E78" s="38">
        <f>'Input capacity'!E90</f>
        <v>1499782.0911173904</v>
      </c>
      <c r="F78" s="38">
        <f>'Input capacity'!F90</f>
        <v>1499782.0911173904</v>
      </c>
      <c r="G78" s="38">
        <f>'Input capacity'!G90</f>
        <v>1499782.0911173904</v>
      </c>
    </row>
    <row r="79" spans="2:7" ht="14.4" customHeight="1" x14ac:dyDescent="0.3">
      <c r="B79" s="36" t="s">
        <v>182</v>
      </c>
      <c r="C79" s="3" t="s">
        <v>220</v>
      </c>
      <c r="D79" s="38">
        <f>'Input capacity'!D91</f>
        <v>460151.99118812644</v>
      </c>
      <c r="E79" s="38">
        <f>'Input capacity'!E91</f>
        <v>456645.75639013312</v>
      </c>
      <c r="F79" s="38">
        <f>'Input capacity'!F91</f>
        <v>456645.75639013312</v>
      </c>
      <c r="G79" s="38">
        <f>'Input capacity'!G91</f>
        <v>456645.75639013312</v>
      </c>
    </row>
    <row r="80" spans="2:7" ht="14.4" customHeight="1" x14ac:dyDescent="0.3">
      <c r="B80" s="36" t="s">
        <v>184</v>
      </c>
      <c r="C80" s="3" t="s">
        <v>220</v>
      </c>
      <c r="D80" s="38">
        <f>'Input capacity'!D92</f>
        <v>1747372.2588321103</v>
      </c>
      <c r="E80" s="38">
        <f>'Input capacity'!E92</f>
        <v>1734057.7507211145</v>
      </c>
      <c r="F80" s="38">
        <f>'Input capacity'!F92</f>
        <v>1734057.7507211145</v>
      </c>
      <c r="G80" s="38">
        <f>'Input capacity'!G92</f>
        <v>1734057.7507211145</v>
      </c>
    </row>
    <row r="81" spans="2:7" ht="14.4" customHeight="1" x14ac:dyDescent="0.3">
      <c r="B81" s="36" t="s">
        <v>186</v>
      </c>
      <c r="C81" s="3" t="s">
        <v>220</v>
      </c>
      <c r="D81" s="38">
        <f>'Input capacity'!D93</f>
        <v>270847.51593538024</v>
      </c>
      <c r="E81" s="38">
        <f>'Input capacity'!E93</f>
        <v>268783.73048294609</v>
      </c>
      <c r="F81" s="38">
        <f>'Input capacity'!F93</f>
        <v>268783.73048294609</v>
      </c>
      <c r="G81" s="38">
        <f>'Input capacity'!G93</f>
        <v>268783.73048294609</v>
      </c>
    </row>
    <row r="82" spans="2:7" ht="14.4" customHeight="1" x14ac:dyDescent="0.3">
      <c r="B82" s="36" t="s">
        <v>188</v>
      </c>
      <c r="C82" s="3" t="s">
        <v>220</v>
      </c>
      <c r="D82" s="38">
        <f>'Input capacity'!D94</f>
        <v>75394.516807573702</v>
      </c>
      <c r="E82" s="38">
        <f>'Input capacity'!E94</f>
        <v>74820.030804098977</v>
      </c>
      <c r="F82" s="38">
        <f>'Input capacity'!F94</f>
        <v>74820.030804098977</v>
      </c>
      <c r="G82" s="38">
        <f>'Input capacity'!G94</f>
        <v>74820.030804098977</v>
      </c>
    </row>
    <row r="83" spans="2:7" ht="14.4" customHeight="1" x14ac:dyDescent="0.3">
      <c r="B83" s="36" t="s">
        <v>190</v>
      </c>
      <c r="C83" s="3" t="s">
        <v>220</v>
      </c>
      <c r="D83" s="38">
        <f>'Input capacity'!D95</f>
        <v>418662.90931027912</v>
      </c>
      <c r="E83" s="38">
        <f>'Input capacity'!E95</f>
        <v>415472.81019224081</v>
      </c>
      <c r="F83" s="38">
        <f>'Input capacity'!F95</f>
        <v>415472.81019224081</v>
      </c>
      <c r="G83" s="38">
        <f>'Input capacity'!G95</f>
        <v>415472.81019224081</v>
      </c>
    </row>
    <row r="84" spans="2:7" ht="14.4" customHeight="1" x14ac:dyDescent="0.3">
      <c r="B84" s="36" t="s">
        <v>192</v>
      </c>
      <c r="C84" s="3" t="s">
        <v>220</v>
      </c>
      <c r="D84" s="38">
        <f>'Input capacity'!D96</f>
        <v>426568.48045683431</v>
      </c>
      <c r="E84" s="38">
        <f>'Input capacity'!E96</f>
        <v>423318.14300628228</v>
      </c>
      <c r="F84" s="38">
        <f>'Input capacity'!F96</f>
        <v>423318.14300628228</v>
      </c>
      <c r="G84" s="38">
        <f>'Input capacity'!G96</f>
        <v>423318.14300628228</v>
      </c>
    </row>
    <row r="85" spans="2:7" ht="14.4" customHeight="1" x14ac:dyDescent="0.3">
      <c r="B85" s="36" t="s">
        <v>194</v>
      </c>
      <c r="C85" s="3" t="s">
        <v>220</v>
      </c>
      <c r="D85" s="38">
        <f>'Input capacity'!D97</f>
        <v>294466.70623894472</v>
      </c>
      <c r="E85" s="38">
        <f>'Input capacity'!E97</f>
        <v>292222.94888911868</v>
      </c>
      <c r="F85" s="38">
        <f>'Input capacity'!F97</f>
        <v>292222.94888911868</v>
      </c>
      <c r="G85" s="38">
        <f>'Input capacity'!G97</f>
        <v>292222.94888911868</v>
      </c>
    </row>
    <row r="86" spans="2:7" ht="14.4" customHeight="1" x14ac:dyDescent="0.3">
      <c r="B86" s="36" t="s">
        <v>196</v>
      </c>
      <c r="C86" s="3" t="s">
        <v>220</v>
      </c>
      <c r="D86" s="38">
        <f>'Input capacity'!D98</f>
        <v>174115.00218173882</v>
      </c>
      <c r="E86" s="38">
        <f>'Input capacity'!E98</f>
        <v>172788.29254841528</v>
      </c>
      <c r="F86" s="38">
        <f>'Input capacity'!F98</f>
        <v>172788.29254841528</v>
      </c>
      <c r="G86" s="38">
        <f>'Input capacity'!G98</f>
        <v>172788.29254841528</v>
      </c>
    </row>
    <row r="87" spans="2:7" ht="14.4" customHeight="1" x14ac:dyDescent="0.3">
      <c r="B87" s="36" t="s">
        <v>198</v>
      </c>
      <c r="C87" s="3" t="s">
        <v>220</v>
      </c>
      <c r="D87" s="38">
        <f>'Input capacity'!D99</f>
        <v>211724.6854616355</v>
      </c>
      <c r="E87" s="38">
        <f>'Input capacity'!E99</f>
        <v>210111.40012553823</v>
      </c>
      <c r="F87" s="38">
        <f>'Input capacity'!F99</f>
        <v>210111.40012553823</v>
      </c>
      <c r="G87" s="38">
        <f>'Input capacity'!G99</f>
        <v>210111.40012553823</v>
      </c>
    </row>
    <row r="88" spans="2:7" ht="14.4" customHeight="1" x14ac:dyDescent="0.3">
      <c r="B88" s="36" t="s">
        <v>200</v>
      </c>
      <c r="C88" s="3" t="s">
        <v>220</v>
      </c>
      <c r="D88" s="38">
        <f>'Input capacity'!D100</f>
        <v>698233.36421518959</v>
      </c>
      <c r="E88" s="38">
        <f>'Input capacity'!E100</f>
        <v>692913.01318854303</v>
      </c>
      <c r="F88" s="38">
        <f>'Input capacity'!F100</f>
        <v>692913.01318854303</v>
      </c>
      <c r="G88" s="38">
        <f>'Input capacity'!G100</f>
        <v>692913.01318854303</v>
      </c>
    </row>
    <row r="89" spans="2:7" ht="14.4" customHeight="1" x14ac:dyDescent="0.3">
      <c r="B89" s="36" t="s">
        <v>202</v>
      </c>
      <c r="C89" s="3" t="s">
        <v>220</v>
      </c>
      <c r="D89" s="38">
        <f>'Input capacity'!D101</f>
        <v>874460.28046467097</v>
      </c>
      <c r="E89" s="38">
        <f>'Input capacity'!E101</f>
        <v>867797.127585746</v>
      </c>
      <c r="F89" s="38">
        <f>'Input capacity'!F101</f>
        <v>867797.127585746</v>
      </c>
      <c r="G89" s="38">
        <f>'Input capacity'!G101</f>
        <v>867797.127585746</v>
      </c>
    </row>
    <row r="90" spans="2:7" ht="14.4" customHeight="1" x14ac:dyDescent="0.3">
      <c r="B90" s="36" t="s">
        <v>204</v>
      </c>
      <c r="C90" s="3" t="s">
        <v>220</v>
      </c>
      <c r="D90" s="38">
        <f>'Input capacity'!D102</f>
        <v>6302979.3219628185</v>
      </c>
      <c r="E90" s="38">
        <f>'Input capacity'!E102</f>
        <v>6254952.3094693245</v>
      </c>
      <c r="F90" s="38">
        <f>'Input capacity'!F102</f>
        <v>6254952.3094693245</v>
      </c>
      <c r="G90" s="38">
        <f>'Input capacity'!G102</f>
        <v>6254952.3094693245</v>
      </c>
    </row>
    <row r="91" spans="2:7" ht="14.4" customHeight="1" x14ac:dyDescent="0.3">
      <c r="B91" s="36" t="s">
        <v>206</v>
      </c>
      <c r="C91" s="3" t="s">
        <v>220</v>
      </c>
      <c r="D91" s="38">
        <f>'Input capacity'!D103</f>
        <v>13577960.651858555</v>
      </c>
      <c r="E91" s="38">
        <f>'Input capacity'!E103</f>
        <v>13474500.232181991</v>
      </c>
      <c r="F91" s="38">
        <f>'Input capacity'!F103</f>
        <v>13474500.232181991</v>
      </c>
      <c r="G91" s="38">
        <f>'Input capacity'!G103</f>
        <v>13474500.232181991</v>
      </c>
    </row>
    <row r="92" spans="2:7" ht="14.4" customHeight="1" x14ac:dyDescent="0.3">
      <c r="B92" s="36" t="s">
        <v>208</v>
      </c>
      <c r="C92" s="3" t="s">
        <v>220</v>
      </c>
      <c r="D92" s="38">
        <f>'Input capacity'!D104</f>
        <v>5725553.9657092011</v>
      </c>
      <c r="E92" s="38">
        <f>'Input capacity'!E104</f>
        <v>5681926.7796124434</v>
      </c>
      <c r="F92" s="38">
        <f>'Input capacity'!F104</f>
        <v>5681926.7796124434</v>
      </c>
      <c r="G92" s="38">
        <f>'Input capacity'!G104</f>
        <v>5681926.7796124434</v>
      </c>
    </row>
    <row r="93" spans="2:7" ht="14.4" customHeight="1" x14ac:dyDescent="0.3">
      <c r="B93" s="36" t="s">
        <v>209</v>
      </c>
      <c r="C93" s="3" t="s">
        <v>220</v>
      </c>
      <c r="D93" s="38">
        <f>'Input capacity'!D105</f>
        <v>141385.71584325258</v>
      </c>
      <c r="E93" s="38">
        <f>'Input capacity'!E105</f>
        <v>140308.39459652972</v>
      </c>
      <c r="F93" s="38">
        <f>'Input capacity'!F105</f>
        <v>140308.39459652972</v>
      </c>
      <c r="G93" s="38">
        <f>'Input capacity'!G105</f>
        <v>140308.39459652972</v>
      </c>
    </row>
    <row r="94" spans="2:7" ht="14.4" customHeight="1" x14ac:dyDescent="0.3">
      <c r="B94" s="36" t="s">
        <v>211</v>
      </c>
      <c r="C94" s="3" t="s">
        <v>220</v>
      </c>
      <c r="D94" s="38">
        <f>'Input capacity'!D106</f>
        <v>11117664.587172469</v>
      </c>
      <c r="E94" s="38">
        <f>'Input capacity'!E106</f>
        <v>11032950.963860068</v>
      </c>
      <c r="F94" s="38">
        <f>'Input capacity'!F106</f>
        <v>11032950.963860068</v>
      </c>
      <c r="G94" s="38">
        <f>'Input capacity'!G106</f>
        <v>11032950.963860068</v>
      </c>
    </row>
    <row r="95" spans="2:7" ht="14.4" customHeight="1" x14ac:dyDescent="0.3">
      <c r="B95" s="36" t="s">
        <v>212</v>
      </c>
      <c r="C95" s="3" t="s">
        <v>220</v>
      </c>
      <c r="D95" s="38">
        <f>'Input capacity'!D107</f>
        <v>41463.967224068758</v>
      </c>
      <c r="E95" s="38">
        <f>'Input capacity'!E107</f>
        <v>41148.02291104188</v>
      </c>
      <c r="F95" s="38">
        <f>'Input capacity'!F107</f>
        <v>41148.02291104188</v>
      </c>
      <c r="G95" s="38">
        <f>'Input capacity'!G107</f>
        <v>41148.02291104188</v>
      </c>
    </row>
    <row r="98" spans="2:15" ht="28.8" customHeight="1" x14ac:dyDescent="0.3">
      <c r="B98" s="32" t="str">
        <f>IF('RPM &amp; Discounts'!$B$3&lt;&gt;'A0.Support'!$B$6,"2. "&amp;Input_!B228,"2. "&amp;Input_!B210)</f>
        <v>2. Commercial utilization factor at exit points</v>
      </c>
      <c r="C98" s="5"/>
      <c r="D98" s="5"/>
      <c r="E98" s="5"/>
      <c r="F98" s="5"/>
      <c r="G98" s="5"/>
    </row>
    <row r="99" spans="2:15" ht="14.4" customHeight="1" x14ac:dyDescent="0.3">
      <c r="B99" s="37" t="str">
        <f>'Entry Tariff_1'!B15</f>
        <v>Commercial utilization factor by default. Physical flow factor in mCWD.</v>
      </c>
    </row>
    <row r="100" spans="2:15" ht="14.4" customHeight="1" x14ac:dyDescent="0.3">
      <c r="B100" s="9" t="s">
        <v>2</v>
      </c>
      <c r="C100" s="9" t="s">
        <v>214</v>
      </c>
      <c r="D100" s="6"/>
      <c r="E100" s="6"/>
      <c r="F100" s="6"/>
      <c r="G100" s="6"/>
    </row>
    <row r="101" spans="2:15" ht="14.4" customHeight="1" x14ac:dyDescent="0.3">
      <c r="B101" s="25"/>
      <c r="C101" s="25"/>
      <c r="D101" s="23" t="str">
        <f>Input_!D$5</f>
        <v>2023-24</v>
      </c>
      <c r="E101" s="23" t="str">
        <f>Input_!E$5</f>
        <v>2024-25</v>
      </c>
      <c r="F101" s="23" t="str">
        <f>Input_!F$5</f>
        <v>2025-26</v>
      </c>
      <c r="G101" s="23" t="str">
        <f>Input_!G$5</f>
        <v>2026-27</v>
      </c>
    </row>
    <row r="102" spans="2:15" ht="14.4" customHeight="1" x14ac:dyDescent="0.3">
      <c r="B102" s="24"/>
      <c r="C102" s="24"/>
      <c r="D102" s="8"/>
      <c r="E102" s="8"/>
      <c r="F102" s="8"/>
      <c r="G102" s="8"/>
    </row>
    <row r="103" spans="2:15" ht="14.4" customHeight="1" x14ac:dyDescent="0.3">
      <c r="B103" s="36" t="str">
        <f>B7</f>
        <v>CTS Campo Maior</v>
      </c>
      <c r="C103" s="36" t="str">
        <f t="shared" ref="C103:C167" si="0">C7</f>
        <v>Interconnection point</v>
      </c>
      <c r="D103" s="81">
        <f>IF('RPM &amp; Discounts'!$B$3&lt;&gt;'A0.Support'!$B$6,Input_!D$231,Input_!D$213)</f>
        <v>0.14452116455577699</v>
      </c>
      <c r="E103" s="81">
        <f>IF('RPM &amp; Discounts'!$B$3&lt;&gt;'A0.Support'!$B$6,Input_!E$231,Input_!E$213)</f>
        <v>0.14452116455577699</v>
      </c>
      <c r="F103" s="81">
        <f>IF('RPM &amp; Discounts'!$B$3&lt;&gt;'A0.Support'!$B$6,Input_!F$231,Input_!F$213)</f>
        <v>0.14452116455577699</v>
      </c>
      <c r="G103" s="81">
        <f>IF('RPM &amp; Discounts'!$B$3&lt;&gt;'A0.Support'!$B$6,Input_!G$231,Input_!G$213)</f>
        <v>0.14452116455577699</v>
      </c>
      <c r="J103"/>
      <c r="K103"/>
      <c r="L103"/>
      <c r="M103"/>
      <c r="N103"/>
      <c r="O103"/>
    </row>
    <row r="104" spans="2:15" ht="14.4" customHeight="1" x14ac:dyDescent="0.3">
      <c r="B104" s="36" t="str">
        <f t="shared" ref="B104" si="1">B8</f>
        <v>CTS Valença do Minho</v>
      </c>
      <c r="C104" s="36" t="str">
        <f t="shared" si="0"/>
        <v>Interconnection point</v>
      </c>
      <c r="D104" s="81">
        <f>IF('RPM &amp; Discounts'!$B$3&lt;&gt;'A0.Support'!$B$6,Input_!D$231,Input_!D$213)</f>
        <v>0.14452116455577699</v>
      </c>
      <c r="E104" s="81">
        <f>IF('RPM &amp; Discounts'!$B$3&lt;&gt;'A0.Support'!$B$6,Input_!E$231,Input_!E$213)</f>
        <v>0.14452116455577699</v>
      </c>
      <c r="F104" s="81">
        <f>IF('RPM &amp; Discounts'!$B$3&lt;&gt;'A0.Support'!$B$6,Input_!F$231,Input_!F$213)</f>
        <v>0.14452116455577699</v>
      </c>
      <c r="G104" s="81">
        <f>IF('RPM &amp; Discounts'!$B$3&lt;&gt;'A0.Support'!$B$6,Input_!G$231,Input_!G$213)</f>
        <v>0.14452116455577699</v>
      </c>
      <c r="J104"/>
      <c r="K104"/>
      <c r="L104"/>
      <c r="M104"/>
      <c r="N104"/>
      <c r="O104"/>
    </row>
    <row r="105" spans="2:15" ht="14.4" customHeight="1" x14ac:dyDescent="0.3">
      <c r="B105" s="36" t="str">
        <f t="shared" ref="B105" si="2">B9</f>
        <v>LNG Terminal Sines</v>
      </c>
      <c r="C105" s="36" t="str">
        <f t="shared" si="0"/>
        <v>LNG terminal</v>
      </c>
      <c r="D105" s="81">
        <f>IF('RPM &amp; Discounts'!$B$3&lt;&gt;'A0.Support'!$B$6,Input_!D$232,Input_!D$214)</f>
        <v>0</v>
      </c>
      <c r="E105" s="81">
        <f>IF('RPM &amp; Discounts'!$B$3&lt;&gt;'A0.Support'!$B$6,Input_!E$232,Input_!E$214)</f>
        <v>0</v>
      </c>
      <c r="F105" s="81">
        <f>IF('RPM &amp; Discounts'!$B$3&lt;&gt;'A0.Support'!$B$6,Input_!F$232,Input_!F$214)</f>
        <v>0</v>
      </c>
      <c r="G105" s="81">
        <f>IF('RPM &amp; Discounts'!$B$3&lt;&gt;'A0.Support'!$B$6,Input_!G$232,Input_!G$214)</f>
        <v>0</v>
      </c>
      <c r="J105"/>
      <c r="K105"/>
      <c r="L105"/>
      <c r="M105"/>
      <c r="N105"/>
      <c r="O105"/>
    </row>
    <row r="106" spans="2:15" ht="14.4" customHeight="1" x14ac:dyDescent="0.3">
      <c r="B106" s="36" t="str">
        <f t="shared" ref="B106" si="3">B10</f>
        <v>Underground storage Carriço</v>
      </c>
      <c r="C106" s="36" t="str">
        <f t="shared" si="0"/>
        <v>Underground storage</v>
      </c>
      <c r="D106" s="81">
        <f>IF('RPM &amp; Discounts'!$B$3&lt;&gt;'A0.Support'!$B$6,Input_!D$233,Input_!D$215)</f>
        <v>0.52817585734383188</v>
      </c>
      <c r="E106" s="81">
        <f>IF('RPM &amp; Discounts'!$B$3&lt;&gt;'A0.Support'!$B$6,Input_!E$233,Input_!E$215)</f>
        <v>0.52817585734383188</v>
      </c>
      <c r="F106" s="81">
        <f>IF('RPM &amp; Discounts'!$B$3&lt;&gt;'A0.Support'!$B$6,Input_!F$233,Input_!F$215)</f>
        <v>0.52817585734383188</v>
      </c>
      <c r="G106" s="81">
        <f>IF('RPM &amp; Discounts'!$B$3&lt;&gt;'A0.Support'!$B$6,Input_!G$233,Input_!G$215)</f>
        <v>0.52817585734383188</v>
      </c>
      <c r="J106"/>
      <c r="K106"/>
      <c r="L106"/>
      <c r="M106"/>
      <c r="N106"/>
      <c r="O106"/>
    </row>
    <row r="107" spans="2:15" ht="14.4" customHeight="1" x14ac:dyDescent="0.3">
      <c r="B107" s="36" t="str">
        <f t="shared" ref="B107" si="4">B11</f>
        <v>GRMS 01059</v>
      </c>
      <c r="C107" s="36" t="str">
        <f t="shared" si="0"/>
        <v>Domestic exit</v>
      </c>
      <c r="D107" s="81">
        <f>IF('RPM &amp; Discounts'!$B$3&lt;&gt;'A0.Support'!$B$6,Input_!D$234,Input_!D$216)</f>
        <v>0.46838876692920056</v>
      </c>
      <c r="E107" s="81">
        <f>IF('RPM &amp; Discounts'!$B$3&lt;&gt;'A0.Support'!$B$6,Input_!E$234,Input_!E$216)</f>
        <v>0.46838876692920056</v>
      </c>
      <c r="F107" s="81">
        <f>IF('RPM &amp; Discounts'!$B$3&lt;&gt;'A0.Support'!$B$6,Input_!F$234,Input_!F$216)</f>
        <v>0.46838876692920056</v>
      </c>
      <c r="G107" s="81">
        <f>IF('RPM &amp; Discounts'!$B$3&lt;&gt;'A0.Support'!$B$6,Input_!G$234,Input_!G$216)</f>
        <v>0.46838876692920056</v>
      </c>
      <c r="J107"/>
      <c r="K107"/>
      <c r="L107"/>
      <c r="M107"/>
      <c r="N107"/>
      <c r="O107"/>
    </row>
    <row r="108" spans="2:15" ht="14.4" customHeight="1" x14ac:dyDescent="0.3">
      <c r="B108" s="36" t="str">
        <f t="shared" ref="B108" si="5">B12</f>
        <v>GRMS 01109</v>
      </c>
      <c r="C108" s="36" t="str">
        <f t="shared" si="0"/>
        <v>Domestic exit</v>
      </c>
      <c r="D108" s="81">
        <f>IF('RPM &amp; Discounts'!$B$3&lt;&gt;'A0.Support'!$B$6,Input_!D$234,Input_!D$216)</f>
        <v>0.46838876692920056</v>
      </c>
      <c r="E108" s="81">
        <f>IF('RPM &amp; Discounts'!$B$3&lt;&gt;'A0.Support'!$B$6,Input_!E$234,Input_!E$216)</f>
        <v>0.46838876692920056</v>
      </c>
      <c r="F108" s="81">
        <f>IF('RPM &amp; Discounts'!$B$3&lt;&gt;'A0.Support'!$B$6,Input_!F$234,Input_!F$216)</f>
        <v>0.46838876692920056</v>
      </c>
      <c r="G108" s="81">
        <f>IF('RPM &amp; Discounts'!$B$3&lt;&gt;'A0.Support'!$B$6,Input_!G$234,Input_!G$216)</f>
        <v>0.46838876692920056</v>
      </c>
    </row>
    <row r="109" spans="2:15" ht="14.4" customHeight="1" x14ac:dyDescent="0.3">
      <c r="B109" s="36" t="str">
        <f t="shared" ref="B109" si="6">B13</f>
        <v>GRMS 01119</v>
      </c>
      <c r="C109" s="36" t="str">
        <f t="shared" si="0"/>
        <v>Domestic exit</v>
      </c>
      <c r="D109" s="81">
        <f>IF('RPM &amp; Discounts'!$B$3&lt;&gt;'A0.Support'!$B$6,Input_!D$234,Input_!D$216)</f>
        <v>0.46838876692920056</v>
      </c>
      <c r="E109" s="81">
        <f>IF('RPM &amp; Discounts'!$B$3&lt;&gt;'A0.Support'!$B$6,Input_!E$234,Input_!E$216)</f>
        <v>0.46838876692920056</v>
      </c>
      <c r="F109" s="81">
        <f>IF('RPM &amp; Discounts'!$B$3&lt;&gt;'A0.Support'!$B$6,Input_!F$234,Input_!F$216)</f>
        <v>0.46838876692920056</v>
      </c>
      <c r="G109" s="81">
        <f>IF('RPM &amp; Discounts'!$B$3&lt;&gt;'A0.Support'!$B$6,Input_!G$234,Input_!G$216)</f>
        <v>0.46838876692920056</v>
      </c>
    </row>
    <row r="110" spans="2:15" ht="14.4" customHeight="1" x14ac:dyDescent="0.3">
      <c r="B110" s="36" t="str">
        <f t="shared" ref="B110" si="7">B14</f>
        <v>GRMS 01129</v>
      </c>
      <c r="C110" s="36" t="str">
        <f t="shared" si="0"/>
        <v>Domestic exit</v>
      </c>
      <c r="D110" s="81">
        <f>IF('RPM &amp; Discounts'!$B$3&lt;&gt;'A0.Support'!$B$6,Input_!D$234,Input_!D$216)</f>
        <v>0.46838876692920056</v>
      </c>
      <c r="E110" s="81">
        <f>IF('RPM &amp; Discounts'!$B$3&lt;&gt;'A0.Support'!$B$6,Input_!E$234,Input_!E$216)</f>
        <v>0.46838876692920056</v>
      </c>
      <c r="F110" s="81">
        <f>IF('RPM &amp; Discounts'!$B$3&lt;&gt;'A0.Support'!$B$6,Input_!F$234,Input_!F$216)</f>
        <v>0.46838876692920056</v>
      </c>
      <c r="G110" s="81">
        <f>IF('RPM &amp; Discounts'!$B$3&lt;&gt;'A0.Support'!$B$6,Input_!G$234,Input_!G$216)</f>
        <v>0.46838876692920056</v>
      </c>
    </row>
    <row r="111" spans="2:15" ht="14.4" customHeight="1" x14ac:dyDescent="0.3">
      <c r="B111" s="36" t="str">
        <f t="shared" ref="B111" si="8">B15</f>
        <v>GRMS 01139</v>
      </c>
      <c r="C111" s="36" t="str">
        <f t="shared" si="0"/>
        <v>Domestic exit</v>
      </c>
      <c r="D111" s="81">
        <f>IF('RPM &amp; Discounts'!$B$3&lt;&gt;'A0.Support'!$B$6,Input_!D$234,Input_!D$216)</f>
        <v>0.46838876692920056</v>
      </c>
      <c r="E111" s="81">
        <f>IF('RPM &amp; Discounts'!$B$3&lt;&gt;'A0.Support'!$B$6,Input_!E$234,Input_!E$216)</f>
        <v>0.46838876692920056</v>
      </c>
      <c r="F111" s="81">
        <f>IF('RPM &amp; Discounts'!$B$3&lt;&gt;'A0.Support'!$B$6,Input_!F$234,Input_!F$216)</f>
        <v>0.46838876692920056</v>
      </c>
      <c r="G111" s="81">
        <f>IF('RPM &amp; Discounts'!$B$3&lt;&gt;'A0.Support'!$B$6,Input_!G$234,Input_!G$216)</f>
        <v>0.46838876692920056</v>
      </c>
    </row>
    <row r="112" spans="2:15" ht="14.4" customHeight="1" x14ac:dyDescent="0.3">
      <c r="B112" s="36" t="str">
        <f t="shared" ref="B112" si="9">B16</f>
        <v>GRMS 01149</v>
      </c>
      <c r="C112" s="36" t="str">
        <f t="shared" si="0"/>
        <v>Domestic exit</v>
      </c>
      <c r="D112" s="81">
        <f>IF('RPM &amp; Discounts'!$B$3&lt;&gt;'A0.Support'!$B$6,Input_!D$234,Input_!D$216)</f>
        <v>0.46838876692920056</v>
      </c>
      <c r="E112" s="81">
        <f>IF('RPM &amp; Discounts'!$B$3&lt;&gt;'A0.Support'!$B$6,Input_!E$234,Input_!E$216)</f>
        <v>0.46838876692920056</v>
      </c>
      <c r="F112" s="81">
        <f>IF('RPM &amp; Discounts'!$B$3&lt;&gt;'A0.Support'!$B$6,Input_!F$234,Input_!F$216)</f>
        <v>0.46838876692920056</v>
      </c>
      <c r="G112" s="81">
        <f>IF('RPM &amp; Discounts'!$B$3&lt;&gt;'A0.Support'!$B$6,Input_!G$234,Input_!G$216)</f>
        <v>0.46838876692920056</v>
      </c>
    </row>
    <row r="113" spans="2:7" ht="14.4" customHeight="1" x14ac:dyDescent="0.3">
      <c r="B113" s="36" t="str">
        <f t="shared" ref="B113" si="10">B17</f>
        <v>GRMS 01159</v>
      </c>
      <c r="C113" s="36" t="str">
        <f t="shared" si="0"/>
        <v>Domestic exit</v>
      </c>
      <c r="D113" s="81">
        <f>IF('RPM &amp; Discounts'!$B$3&lt;&gt;'A0.Support'!$B$6,Input_!D$234,Input_!D$216)</f>
        <v>0.46838876692920056</v>
      </c>
      <c r="E113" s="81">
        <f>IF('RPM &amp; Discounts'!$B$3&lt;&gt;'A0.Support'!$B$6,Input_!E$234,Input_!E$216)</f>
        <v>0.46838876692920056</v>
      </c>
      <c r="F113" s="81">
        <f>IF('RPM &amp; Discounts'!$B$3&lt;&gt;'A0.Support'!$B$6,Input_!F$234,Input_!F$216)</f>
        <v>0.46838876692920056</v>
      </c>
      <c r="G113" s="81">
        <f>IF('RPM &amp; Discounts'!$B$3&lt;&gt;'A0.Support'!$B$6,Input_!G$234,Input_!G$216)</f>
        <v>0.46838876692920056</v>
      </c>
    </row>
    <row r="114" spans="2:7" ht="14.4" customHeight="1" x14ac:dyDescent="0.3">
      <c r="B114" s="36" t="str">
        <f t="shared" ref="B114" si="11">B18</f>
        <v>GRMS 01179</v>
      </c>
      <c r="C114" s="36" t="str">
        <f t="shared" si="0"/>
        <v>Domestic exit</v>
      </c>
      <c r="D114" s="81">
        <f>IF('RPM &amp; Discounts'!$B$3&lt;&gt;'A0.Support'!$B$6,Input_!D$234,Input_!D$216)</f>
        <v>0.46838876692920056</v>
      </c>
      <c r="E114" s="81">
        <f>IF('RPM &amp; Discounts'!$B$3&lt;&gt;'A0.Support'!$B$6,Input_!E$234,Input_!E$216)</f>
        <v>0.46838876692920056</v>
      </c>
      <c r="F114" s="81">
        <f>IF('RPM &amp; Discounts'!$B$3&lt;&gt;'A0.Support'!$B$6,Input_!F$234,Input_!F$216)</f>
        <v>0.46838876692920056</v>
      </c>
      <c r="G114" s="81">
        <f>IF('RPM &amp; Discounts'!$B$3&lt;&gt;'A0.Support'!$B$6,Input_!G$234,Input_!G$216)</f>
        <v>0.46838876692920056</v>
      </c>
    </row>
    <row r="115" spans="2:7" ht="14.4" customHeight="1" x14ac:dyDescent="0.3">
      <c r="B115" s="36" t="str">
        <f t="shared" ref="B115" si="12">B19</f>
        <v>GRMS 01189</v>
      </c>
      <c r="C115" s="36" t="str">
        <f t="shared" si="0"/>
        <v>Domestic exit</v>
      </c>
      <c r="D115" s="81">
        <f>IF('RPM &amp; Discounts'!$B$3&lt;&gt;'A0.Support'!$B$6,Input_!D$234,Input_!D$216)</f>
        <v>0.46838876692920056</v>
      </c>
      <c r="E115" s="81">
        <f>IF('RPM &amp; Discounts'!$B$3&lt;&gt;'A0.Support'!$B$6,Input_!E$234,Input_!E$216)</f>
        <v>0.46838876692920056</v>
      </c>
      <c r="F115" s="81">
        <f>IF('RPM &amp; Discounts'!$B$3&lt;&gt;'A0.Support'!$B$6,Input_!F$234,Input_!F$216)</f>
        <v>0.46838876692920056</v>
      </c>
      <c r="G115" s="81">
        <f>IF('RPM &amp; Discounts'!$B$3&lt;&gt;'A0.Support'!$B$6,Input_!G$234,Input_!G$216)</f>
        <v>0.46838876692920056</v>
      </c>
    </row>
    <row r="116" spans="2:7" ht="14.4" customHeight="1" x14ac:dyDescent="0.3">
      <c r="B116" s="36" t="str">
        <f t="shared" ref="B116" si="13">B20</f>
        <v>GRMS 01209</v>
      </c>
      <c r="C116" s="36" t="str">
        <f t="shared" si="0"/>
        <v>Domestic exit</v>
      </c>
      <c r="D116" s="81">
        <f>IF('RPM &amp; Discounts'!$B$3&lt;&gt;'A0.Support'!$B$6,Input_!D$234,Input_!D$216)</f>
        <v>0.46838876692920056</v>
      </c>
      <c r="E116" s="81">
        <f>IF('RPM &amp; Discounts'!$B$3&lt;&gt;'A0.Support'!$B$6,Input_!E$234,Input_!E$216)</f>
        <v>0.46838876692920056</v>
      </c>
      <c r="F116" s="81">
        <f>IF('RPM &amp; Discounts'!$B$3&lt;&gt;'A0.Support'!$B$6,Input_!F$234,Input_!F$216)</f>
        <v>0.46838876692920056</v>
      </c>
      <c r="G116" s="81">
        <f>IF('RPM &amp; Discounts'!$B$3&lt;&gt;'A0.Support'!$B$6,Input_!G$234,Input_!G$216)</f>
        <v>0.46838876692920056</v>
      </c>
    </row>
    <row r="117" spans="2:7" ht="14.4" customHeight="1" x14ac:dyDescent="0.3">
      <c r="B117" s="36" t="str">
        <f t="shared" ref="B117" si="14">B21</f>
        <v>GRMS 01219</v>
      </c>
      <c r="C117" s="36" t="str">
        <f t="shared" si="0"/>
        <v>Domestic exit</v>
      </c>
      <c r="D117" s="81">
        <f>IF('RPM &amp; Discounts'!$B$3&lt;&gt;'A0.Support'!$B$6,Input_!D$234,Input_!D$216)</f>
        <v>0.46838876692920056</v>
      </c>
      <c r="E117" s="81">
        <f>IF('RPM &amp; Discounts'!$B$3&lt;&gt;'A0.Support'!$B$6,Input_!E$234,Input_!E$216)</f>
        <v>0.46838876692920056</v>
      </c>
      <c r="F117" s="81">
        <f>IF('RPM &amp; Discounts'!$B$3&lt;&gt;'A0.Support'!$B$6,Input_!F$234,Input_!F$216)</f>
        <v>0.46838876692920056</v>
      </c>
      <c r="G117" s="81">
        <f>IF('RPM &amp; Discounts'!$B$3&lt;&gt;'A0.Support'!$B$6,Input_!G$234,Input_!G$216)</f>
        <v>0.46838876692920056</v>
      </c>
    </row>
    <row r="118" spans="2:7" ht="14.4" customHeight="1" x14ac:dyDescent="0.3">
      <c r="B118" s="36" t="str">
        <f t="shared" ref="B118" si="15">B22</f>
        <v>GRMS 01229</v>
      </c>
      <c r="C118" s="36" t="str">
        <f t="shared" si="0"/>
        <v>Domestic exit</v>
      </c>
      <c r="D118" s="81">
        <f>IF('RPM &amp; Discounts'!$B$3&lt;&gt;'A0.Support'!$B$6,Input_!D$234,Input_!D$216)</f>
        <v>0.46838876692920056</v>
      </c>
      <c r="E118" s="81">
        <f>IF('RPM &amp; Discounts'!$B$3&lt;&gt;'A0.Support'!$B$6,Input_!E$234,Input_!E$216)</f>
        <v>0.46838876692920056</v>
      </c>
      <c r="F118" s="81">
        <f>IF('RPM &amp; Discounts'!$B$3&lt;&gt;'A0.Support'!$B$6,Input_!F$234,Input_!F$216)</f>
        <v>0.46838876692920056</v>
      </c>
      <c r="G118" s="81">
        <f>IF('RPM &amp; Discounts'!$B$3&lt;&gt;'A0.Support'!$B$6,Input_!G$234,Input_!G$216)</f>
        <v>0.46838876692920056</v>
      </c>
    </row>
    <row r="119" spans="2:7" ht="14.4" customHeight="1" x14ac:dyDescent="0.3">
      <c r="B119" s="36" t="str">
        <f t="shared" ref="B119" si="16">B23</f>
        <v>GRMS 01239</v>
      </c>
      <c r="C119" s="36" t="str">
        <f t="shared" si="0"/>
        <v>Domestic exit</v>
      </c>
      <c r="D119" s="81">
        <f>IF('RPM &amp; Discounts'!$B$3&lt;&gt;'A0.Support'!$B$6,Input_!D$234,Input_!D$216)</f>
        <v>0.46838876692920056</v>
      </c>
      <c r="E119" s="81">
        <f>IF('RPM &amp; Discounts'!$B$3&lt;&gt;'A0.Support'!$B$6,Input_!E$234,Input_!E$216)</f>
        <v>0.46838876692920056</v>
      </c>
      <c r="F119" s="81">
        <f>IF('RPM &amp; Discounts'!$B$3&lt;&gt;'A0.Support'!$B$6,Input_!F$234,Input_!F$216)</f>
        <v>0.46838876692920056</v>
      </c>
      <c r="G119" s="81">
        <f>IF('RPM &amp; Discounts'!$B$3&lt;&gt;'A0.Support'!$B$6,Input_!G$234,Input_!G$216)</f>
        <v>0.46838876692920056</v>
      </c>
    </row>
    <row r="120" spans="2:7" ht="14.4" customHeight="1" x14ac:dyDescent="0.3">
      <c r="B120" s="36" t="str">
        <f t="shared" ref="B120" si="17">B24</f>
        <v>GRMS 01259</v>
      </c>
      <c r="C120" s="36" t="str">
        <f t="shared" si="0"/>
        <v>Domestic exit</v>
      </c>
      <c r="D120" s="81">
        <f>IF('RPM &amp; Discounts'!$B$3&lt;&gt;'A0.Support'!$B$6,Input_!D$234,Input_!D$216)</f>
        <v>0.46838876692920056</v>
      </c>
      <c r="E120" s="81">
        <f>IF('RPM &amp; Discounts'!$B$3&lt;&gt;'A0.Support'!$B$6,Input_!E$234,Input_!E$216)</f>
        <v>0.46838876692920056</v>
      </c>
      <c r="F120" s="81">
        <f>IF('RPM &amp; Discounts'!$B$3&lt;&gt;'A0.Support'!$B$6,Input_!F$234,Input_!F$216)</f>
        <v>0.46838876692920056</v>
      </c>
      <c r="G120" s="81">
        <f>IF('RPM &amp; Discounts'!$B$3&lt;&gt;'A0.Support'!$B$6,Input_!G$234,Input_!G$216)</f>
        <v>0.46838876692920056</v>
      </c>
    </row>
    <row r="121" spans="2:7" ht="14.4" customHeight="1" x14ac:dyDescent="0.3">
      <c r="B121" s="36" t="str">
        <f t="shared" ref="B121" si="18">B25</f>
        <v>GRMS 01269</v>
      </c>
      <c r="C121" s="36" t="str">
        <f t="shared" si="0"/>
        <v>Domestic exit</v>
      </c>
      <c r="D121" s="81">
        <f>IF('RPM &amp; Discounts'!$B$3&lt;&gt;'A0.Support'!$B$6,Input_!D$234,Input_!D$216)</f>
        <v>0.46838876692920056</v>
      </c>
      <c r="E121" s="81">
        <f>IF('RPM &amp; Discounts'!$B$3&lt;&gt;'A0.Support'!$B$6,Input_!E$234,Input_!E$216)</f>
        <v>0.46838876692920056</v>
      </c>
      <c r="F121" s="81">
        <f>IF('RPM &amp; Discounts'!$B$3&lt;&gt;'A0.Support'!$B$6,Input_!F$234,Input_!F$216)</f>
        <v>0.46838876692920056</v>
      </c>
      <c r="G121" s="81">
        <f>IF('RPM &amp; Discounts'!$B$3&lt;&gt;'A0.Support'!$B$6,Input_!G$234,Input_!G$216)</f>
        <v>0.46838876692920056</v>
      </c>
    </row>
    <row r="122" spans="2:7" ht="14.4" customHeight="1" x14ac:dyDescent="0.3">
      <c r="B122" s="36" t="str">
        <f t="shared" ref="B122" si="19">B26</f>
        <v>GRMS 01279</v>
      </c>
      <c r="C122" s="36" t="str">
        <f t="shared" si="0"/>
        <v>Domestic exit</v>
      </c>
      <c r="D122" s="81">
        <f>IF('RPM &amp; Discounts'!$B$3&lt;&gt;'A0.Support'!$B$6,Input_!D$234,Input_!D$216)</f>
        <v>0.46838876692920056</v>
      </c>
      <c r="E122" s="81">
        <f>IF('RPM &amp; Discounts'!$B$3&lt;&gt;'A0.Support'!$B$6,Input_!E$234,Input_!E$216)</f>
        <v>0.46838876692920056</v>
      </c>
      <c r="F122" s="81">
        <f>IF('RPM &amp; Discounts'!$B$3&lt;&gt;'A0.Support'!$B$6,Input_!F$234,Input_!F$216)</f>
        <v>0.46838876692920056</v>
      </c>
      <c r="G122" s="81">
        <f>IF('RPM &amp; Discounts'!$B$3&lt;&gt;'A0.Support'!$B$6,Input_!G$234,Input_!G$216)</f>
        <v>0.46838876692920056</v>
      </c>
    </row>
    <row r="123" spans="2:7" ht="14.4" customHeight="1" x14ac:dyDescent="0.3">
      <c r="B123" s="36" t="str">
        <f t="shared" ref="B123" si="20">B27</f>
        <v>GRMS 01309</v>
      </c>
      <c r="C123" s="36" t="str">
        <f t="shared" si="0"/>
        <v>Domestic exit</v>
      </c>
      <c r="D123" s="81">
        <f>IF('RPM &amp; Discounts'!$B$3&lt;&gt;'A0.Support'!$B$6,Input_!D$234,Input_!D$216)</f>
        <v>0.46838876692920056</v>
      </c>
      <c r="E123" s="81">
        <f>IF('RPM &amp; Discounts'!$B$3&lt;&gt;'A0.Support'!$B$6,Input_!E$234,Input_!E$216)</f>
        <v>0.46838876692920056</v>
      </c>
      <c r="F123" s="81">
        <f>IF('RPM &amp; Discounts'!$B$3&lt;&gt;'A0.Support'!$B$6,Input_!F$234,Input_!F$216)</f>
        <v>0.46838876692920056</v>
      </c>
      <c r="G123" s="81">
        <f>IF('RPM &amp; Discounts'!$B$3&lt;&gt;'A0.Support'!$B$6,Input_!G$234,Input_!G$216)</f>
        <v>0.46838876692920056</v>
      </c>
    </row>
    <row r="124" spans="2:7" ht="14.4" customHeight="1" x14ac:dyDescent="0.3">
      <c r="B124" s="36" t="str">
        <f t="shared" ref="B124" si="21">B28</f>
        <v>GRMS 01319</v>
      </c>
      <c r="C124" s="36" t="str">
        <f t="shared" si="0"/>
        <v>Domestic exit</v>
      </c>
      <c r="D124" s="81">
        <f>IF('RPM &amp; Discounts'!$B$3&lt;&gt;'A0.Support'!$B$6,Input_!D$234,Input_!D$216)</f>
        <v>0.46838876692920056</v>
      </c>
      <c r="E124" s="81">
        <f>IF('RPM &amp; Discounts'!$B$3&lt;&gt;'A0.Support'!$B$6,Input_!E$234,Input_!E$216)</f>
        <v>0.46838876692920056</v>
      </c>
      <c r="F124" s="81">
        <f>IF('RPM &amp; Discounts'!$B$3&lt;&gt;'A0.Support'!$B$6,Input_!F$234,Input_!F$216)</f>
        <v>0.46838876692920056</v>
      </c>
      <c r="G124" s="81">
        <f>IF('RPM &amp; Discounts'!$B$3&lt;&gt;'A0.Support'!$B$6,Input_!G$234,Input_!G$216)</f>
        <v>0.46838876692920056</v>
      </c>
    </row>
    <row r="125" spans="2:7" ht="14.4" customHeight="1" x14ac:dyDescent="0.3">
      <c r="B125" s="36" t="str">
        <f t="shared" ref="B125" si="22">B29</f>
        <v>GRMS 01359</v>
      </c>
      <c r="C125" s="36" t="str">
        <f t="shared" si="0"/>
        <v>Domestic exit</v>
      </c>
      <c r="D125" s="81">
        <f>IF('RPM &amp; Discounts'!$B$3&lt;&gt;'A0.Support'!$B$6,Input_!D$234,Input_!D$216)</f>
        <v>0.46838876692920056</v>
      </c>
      <c r="E125" s="81">
        <f>IF('RPM &amp; Discounts'!$B$3&lt;&gt;'A0.Support'!$B$6,Input_!E$234,Input_!E$216)</f>
        <v>0.46838876692920056</v>
      </c>
      <c r="F125" s="81">
        <f>IF('RPM &amp; Discounts'!$B$3&lt;&gt;'A0.Support'!$B$6,Input_!F$234,Input_!F$216)</f>
        <v>0.46838876692920056</v>
      </c>
      <c r="G125" s="81">
        <f>IF('RPM &amp; Discounts'!$B$3&lt;&gt;'A0.Support'!$B$6,Input_!G$234,Input_!G$216)</f>
        <v>0.46838876692920056</v>
      </c>
    </row>
    <row r="126" spans="2:7" ht="14.4" customHeight="1" x14ac:dyDescent="0.3">
      <c r="B126" s="36" t="str">
        <f t="shared" ref="B126" si="23">B30</f>
        <v>GRMS 01369</v>
      </c>
      <c r="C126" s="36" t="str">
        <f t="shared" si="0"/>
        <v>Domestic exit</v>
      </c>
      <c r="D126" s="81">
        <f>IF('RPM &amp; Discounts'!$B$3&lt;&gt;'A0.Support'!$B$6,Input_!D$234,Input_!D$216)</f>
        <v>0.46838876692920056</v>
      </c>
      <c r="E126" s="81">
        <f>IF('RPM &amp; Discounts'!$B$3&lt;&gt;'A0.Support'!$B$6,Input_!E$234,Input_!E$216)</f>
        <v>0.46838876692920056</v>
      </c>
      <c r="F126" s="81">
        <f>IF('RPM &amp; Discounts'!$B$3&lt;&gt;'A0.Support'!$B$6,Input_!F$234,Input_!F$216)</f>
        <v>0.46838876692920056</v>
      </c>
      <c r="G126" s="81">
        <f>IF('RPM &amp; Discounts'!$B$3&lt;&gt;'A0.Support'!$B$6,Input_!G$234,Input_!G$216)</f>
        <v>0.46838876692920056</v>
      </c>
    </row>
    <row r="127" spans="2:7" ht="14.4" customHeight="1" x14ac:dyDescent="0.3">
      <c r="B127" s="36" t="str">
        <f t="shared" ref="B127" si="24">B31</f>
        <v>GRMS 01409</v>
      </c>
      <c r="C127" s="36" t="str">
        <f t="shared" si="0"/>
        <v>Domestic exit</v>
      </c>
      <c r="D127" s="81">
        <f>IF('RPM &amp; Discounts'!$B$3&lt;&gt;'A0.Support'!$B$6,Input_!D$234,Input_!D$216)</f>
        <v>0.46838876692920056</v>
      </c>
      <c r="E127" s="81">
        <f>IF('RPM &amp; Discounts'!$B$3&lt;&gt;'A0.Support'!$B$6,Input_!E$234,Input_!E$216)</f>
        <v>0.46838876692920056</v>
      </c>
      <c r="F127" s="81">
        <f>IF('RPM &amp; Discounts'!$B$3&lt;&gt;'A0.Support'!$B$6,Input_!F$234,Input_!F$216)</f>
        <v>0.46838876692920056</v>
      </c>
      <c r="G127" s="81">
        <f>IF('RPM &amp; Discounts'!$B$3&lt;&gt;'A0.Support'!$B$6,Input_!G$234,Input_!G$216)</f>
        <v>0.46838876692920056</v>
      </c>
    </row>
    <row r="128" spans="2:7" ht="14.4" customHeight="1" x14ac:dyDescent="0.3">
      <c r="B128" s="36" t="str">
        <f t="shared" ref="B128" si="25">B32</f>
        <v>GRMS 02069</v>
      </c>
      <c r="C128" s="36" t="str">
        <f t="shared" si="0"/>
        <v>Domestic exit</v>
      </c>
      <c r="D128" s="81">
        <f>IF('RPM &amp; Discounts'!$B$3&lt;&gt;'A0.Support'!$B$6,Input_!D$234,Input_!D$216)</f>
        <v>0.46838876692920056</v>
      </c>
      <c r="E128" s="81">
        <f>IF('RPM &amp; Discounts'!$B$3&lt;&gt;'A0.Support'!$B$6,Input_!E$234,Input_!E$216)</f>
        <v>0.46838876692920056</v>
      </c>
      <c r="F128" s="81">
        <f>IF('RPM &amp; Discounts'!$B$3&lt;&gt;'A0.Support'!$B$6,Input_!F$234,Input_!F$216)</f>
        <v>0.46838876692920056</v>
      </c>
      <c r="G128" s="81">
        <f>IF('RPM &amp; Discounts'!$B$3&lt;&gt;'A0.Support'!$B$6,Input_!G$234,Input_!G$216)</f>
        <v>0.46838876692920056</v>
      </c>
    </row>
    <row r="129" spans="2:7" ht="14.4" customHeight="1" x14ac:dyDescent="0.3">
      <c r="B129" s="36" t="str">
        <f t="shared" ref="B129" si="26">B33</f>
        <v>GRMS 02089</v>
      </c>
      <c r="C129" s="36" t="str">
        <f t="shared" si="0"/>
        <v>Domestic exit</v>
      </c>
      <c r="D129" s="81">
        <f>IF('RPM &amp; Discounts'!$B$3&lt;&gt;'A0.Support'!$B$6,Input_!D$234,Input_!D$216)</f>
        <v>0.46838876692920056</v>
      </c>
      <c r="E129" s="81">
        <f>IF('RPM &amp; Discounts'!$B$3&lt;&gt;'A0.Support'!$B$6,Input_!E$234,Input_!E$216)</f>
        <v>0.46838876692920056</v>
      </c>
      <c r="F129" s="81">
        <f>IF('RPM &amp; Discounts'!$B$3&lt;&gt;'A0.Support'!$B$6,Input_!F$234,Input_!F$216)</f>
        <v>0.46838876692920056</v>
      </c>
      <c r="G129" s="81">
        <f>IF('RPM &amp; Discounts'!$B$3&lt;&gt;'A0.Support'!$B$6,Input_!G$234,Input_!G$216)</f>
        <v>0.46838876692920056</v>
      </c>
    </row>
    <row r="130" spans="2:7" ht="14.4" customHeight="1" x14ac:dyDescent="0.3">
      <c r="B130" s="36" t="str">
        <f t="shared" ref="B130" si="27">B34</f>
        <v>GRMS 02159</v>
      </c>
      <c r="C130" s="36" t="str">
        <f t="shared" si="0"/>
        <v>Domestic exit</v>
      </c>
      <c r="D130" s="81">
        <f>IF('RPM &amp; Discounts'!$B$3&lt;&gt;'A0.Support'!$B$6,Input_!D$234,Input_!D$216)</f>
        <v>0.46838876692920056</v>
      </c>
      <c r="E130" s="81">
        <f>IF('RPM &amp; Discounts'!$B$3&lt;&gt;'A0.Support'!$B$6,Input_!E$234,Input_!E$216)</f>
        <v>0.46838876692920056</v>
      </c>
      <c r="F130" s="81">
        <f>IF('RPM &amp; Discounts'!$B$3&lt;&gt;'A0.Support'!$B$6,Input_!F$234,Input_!F$216)</f>
        <v>0.46838876692920056</v>
      </c>
      <c r="G130" s="81">
        <f>IF('RPM &amp; Discounts'!$B$3&lt;&gt;'A0.Support'!$B$6,Input_!G$234,Input_!G$216)</f>
        <v>0.46838876692920056</v>
      </c>
    </row>
    <row r="131" spans="2:7" ht="14.4" customHeight="1" x14ac:dyDescent="0.3">
      <c r="B131" s="36" t="str">
        <f t="shared" ref="B131" si="28">B35</f>
        <v>GRMS 02509</v>
      </c>
      <c r="C131" s="36" t="str">
        <f t="shared" si="0"/>
        <v>Domestic exit</v>
      </c>
      <c r="D131" s="81">
        <f>IF('RPM &amp; Discounts'!$B$3&lt;&gt;'A0.Support'!$B$6,Input_!D$234,Input_!D$216)</f>
        <v>0.46838876692920056</v>
      </c>
      <c r="E131" s="81">
        <f>IF('RPM &amp; Discounts'!$B$3&lt;&gt;'A0.Support'!$B$6,Input_!E$234,Input_!E$216)</f>
        <v>0.46838876692920056</v>
      </c>
      <c r="F131" s="81">
        <f>IF('RPM &amp; Discounts'!$B$3&lt;&gt;'A0.Support'!$B$6,Input_!F$234,Input_!F$216)</f>
        <v>0.46838876692920056</v>
      </c>
      <c r="G131" s="81">
        <f>IF('RPM &amp; Discounts'!$B$3&lt;&gt;'A0.Support'!$B$6,Input_!G$234,Input_!G$216)</f>
        <v>0.46838876692920056</v>
      </c>
    </row>
    <row r="132" spans="2:7" ht="14.4" customHeight="1" x14ac:dyDescent="0.3">
      <c r="B132" s="36" t="str">
        <f t="shared" ref="B132" si="29">B36</f>
        <v>GRMS 02519</v>
      </c>
      <c r="C132" s="36" t="str">
        <f t="shared" si="0"/>
        <v>Domestic exit</v>
      </c>
      <c r="D132" s="81">
        <f>IF('RPM &amp; Discounts'!$B$3&lt;&gt;'A0.Support'!$B$6,Input_!D$234,Input_!D$216)</f>
        <v>0.46838876692920056</v>
      </c>
      <c r="E132" s="81">
        <f>IF('RPM &amp; Discounts'!$B$3&lt;&gt;'A0.Support'!$B$6,Input_!E$234,Input_!E$216)</f>
        <v>0.46838876692920056</v>
      </c>
      <c r="F132" s="81">
        <f>IF('RPM &amp; Discounts'!$B$3&lt;&gt;'A0.Support'!$B$6,Input_!F$234,Input_!F$216)</f>
        <v>0.46838876692920056</v>
      </c>
      <c r="G132" s="81">
        <f>IF('RPM &amp; Discounts'!$B$3&lt;&gt;'A0.Support'!$B$6,Input_!G$234,Input_!G$216)</f>
        <v>0.46838876692920056</v>
      </c>
    </row>
    <row r="133" spans="2:7" ht="14.4" customHeight="1" x14ac:dyDescent="0.3">
      <c r="B133" s="36" t="str">
        <f t="shared" ref="B133" si="30">B37</f>
        <v>GRMS 02539</v>
      </c>
      <c r="C133" s="36" t="str">
        <f t="shared" si="0"/>
        <v>Domestic exit</v>
      </c>
      <c r="D133" s="81">
        <f>IF('RPM &amp; Discounts'!$B$3&lt;&gt;'A0.Support'!$B$6,Input_!D$234,Input_!D$216)</f>
        <v>0.46838876692920056</v>
      </c>
      <c r="E133" s="81">
        <f>IF('RPM &amp; Discounts'!$B$3&lt;&gt;'A0.Support'!$B$6,Input_!E$234,Input_!E$216)</f>
        <v>0.46838876692920056</v>
      </c>
      <c r="F133" s="81">
        <f>IF('RPM &amp; Discounts'!$B$3&lt;&gt;'A0.Support'!$B$6,Input_!F$234,Input_!F$216)</f>
        <v>0.46838876692920056</v>
      </c>
      <c r="G133" s="81">
        <f>IF('RPM &amp; Discounts'!$B$3&lt;&gt;'A0.Support'!$B$6,Input_!G$234,Input_!G$216)</f>
        <v>0.46838876692920056</v>
      </c>
    </row>
    <row r="134" spans="2:7" ht="14.4" customHeight="1" x14ac:dyDescent="0.3">
      <c r="B134" s="36" t="str">
        <f t="shared" ref="B134" si="31">B38</f>
        <v>GRMS 02549</v>
      </c>
      <c r="C134" s="36" t="str">
        <f t="shared" si="0"/>
        <v>Domestic exit</v>
      </c>
      <c r="D134" s="81">
        <f>IF('RPM &amp; Discounts'!$B$3&lt;&gt;'A0.Support'!$B$6,Input_!D$234,Input_!D$216)</f>
        <v>0.46838876692920056</v>
      </c>
      <c r="E134" s="81">
        <f>IF('RPM &amp; Discounts'!$B$3&lt;&gt;'A0.Support'!$B$6,Input_!E$234,Input_!E$216)</f>
        <v>0.46838876692920056</v>
      </c>
      <c r="F134" s="81">
        <f>IF('RPM &amp; Discounts'!$B$3&lt;&gt;'A0.Support'!$B$6,Input_!F$234,Input_!F$216)</f>
        <v>0.46838876692920056</v>
      </c>
      <c r="G134" s="81">
        <f>IF('RPM &amp; Discounts'!$B$3&lt;&gt;'A0.Support'!$B$6,Input_!G$234,Input_!G$216)</f>
        <v>0.46838876692920056</v>
      </c>
    </row>
    <row r="135" spans="2:7" ht="14.4" customHeight="1" x14ac:dyDescent="0.3">
      <c r="B135" s="36" t="str">
        <f t="shared" ref="B135" si="32">B39</f>
        <v>GRMS 02559</v>
      </c>
      <c r="C135" s="36" t="str">
        <f t="shared" si="0"/>
        <v>Domestic exit</v>
      </c>
      <c r="D135" s="81">
        <f>IF('RPM &amp; Discounts'!$B$3&lt;&gt;'A0.Support'!$B$6,Input_!D$234,Input_!D$216)</f>
        <v>0.46838876692920056</v>
      </c>
      <c r="E135" s="81">
        <f>IF('RPM &amp; Discounts'!$B$3&lt;&gt;'A0.Support'!$B$6,Input_!E$234,Input_!E$216)</f>
        <v>0.46838876692920056</v>
      </c>
      <c r="F135" s="81">
        <f>IF('RPM &amp; Discounts'!$B$3&lt;&gt;'A0.Support'!$B$6,Input_!F$234,Input_!F$216)</f>
        <v>0.46838876692920056</v>
      </c>
      <c r="G135" s="81">
        <f>IF('RPM &amp; Discounts'!$B$3&lt;&gt;'A0.Support'!$B$6,Input_!G$234,Input_!G$216)</f>
        <v>0.46838876692920056</v>
      </c>
    </row>
    <row r="136" spans="2:7" ht="14.4" customHeight="1" x14ac:dyDescent="0.3">
      <c r="B136" s="36" t="str">
        <f t="shared" ref="B136" si="33">B40</f>
        <v>GRMS 02569</v>
      </c>
      <c r="C136" s="36" t="str">
        <f t="shared" si="0"/>
        <v>Domestic exit</v>
      </c>
      <c r="D136" s="81">
        <f>IF('RPM &amp; Discounts'!$B$3&lt;&gt;'A0.Support'!$B$6,Input_!D$234,Input_!D$216)</f>
        <v>0.46838876692920056</v>
      </c>
      <c r="E136" s="81">
        <f>IF('RPM &amp; Discounts'!$B$3&lt;&gt;'A0.Support'!$B$6,Input_!E$234,Input_!E$216)</f>
        <v>0.46838876692920056</v>
      </c>
      <c r="F136" s="81">
        <f>IF('RPM &amp; Discounts'!$B$3&lt;&gt;'A0.Support'!$B$6,Input_!F$234,Input_!F$216)</f>
        <v>0.46838876692920056</v>
      </c>
      <c r="G136" s="81">
        <f>IF('RPM &amp; Discounts'!$B$3&lt;&gt;'A0.Support'!$B$6,Input_!G$234,Input_!G$216)</f>
        <v>0.46838876692920056</v>
      </c>
    </row>
    <row r="137" spans="2:7" ht="14.4" customHeight="1" x14ac:dyDescent="0.3">
      <c r="B137" s="36" t="str">
        <f t="shared" ref="B137" si="34">B41</f>
        <v>GRMS 02709</v>
      </c>
      <c r="C137" s="36" t="str">
        <f t="shared" si="0"/>
        <v>Domestic exit</v>
      </c>
      <c r="D137" s="81">
        <f>IF('RPM &amp; Discounts'!$B$3&lt;&gt;'A0.Support'!$B$6,Input_!D$234,Input_!D$216)</f>
        <v>0.46838876692920056</v>
      </c>
      <c r="E137" s="81">
        <f>IF('RPM &amp; Discounts'!$B$3&lt;&gt;'A0.Support'!$B$6,Input_!E$234,Input_!E$216)</f>
        <v>0.46838876692920056</v>
      </c>
      <c r="F137" s="81">
        <f>IF('RPM &amp; Discounts'!$B$3&lt;&gt;'A0.Support'!$B$6,Input_!F$234,Input_!F$216)</f>
        <v>0.46838876692920056</v>
      </c>
      <c r="G137" s="81">
        <f>IF('RPM &amp; Discounts'!$B$3&lt;&gt;'A0.Support'!$B$6,Input_!G$234,Input_!G$216)</f>
        <v>0.46838876692920056</v>
      </c>
    </row>
    <row r="138" spans="2:7" ht="14.4" customHeight="1" x14ac:dyDescent="0.3">
      <c r="B138" s="36" t="str">
        <f t="shared" ref="B138" si="35">B42</f>
        <v>GRMS 02719</v>
      </c>
      <c r="C138" s="36" t="str">
        <f t="shared" si="0"/>
        <v>Domestic exit</v>
      </c>
      <c r="D138" s="81">
        <f>IF('RPM &amp; Discounts'!$B$3&lt;&gt;'A0.Support'!$B$6,Input_!D$234,Input_!D$216)</f>
        <v>0.46838876692920056</v>
      </c>
      <c r="E138" s="81">
        <f>IF('RPM &amp; Discounts'!$B$3&lt;&gt;'A0.Support'!$B$6,Input_!E$234,Input_!E$216)</f>
        <v>0.46838876692920056</v>
      </c>
      <c r="F138" s="81">
        <f>IF('RPM &amp; Discounts'!$B$3&lt;&gt;'A0.Support'!$B$6,Input_!F$234,Input_!F$216)</f>
        <v>0.46838876692920056</v>
      </c>
      <c r="G138" s="81">
        <f>IF('RPM &amp; Discounts'!$B$3&lt;&gt;'A0.Support'!$B$6,Input_!G$234,Input_!G$216)</f>
        <v>0.46838876692920056</v>
      </c>
    </row>
    <row r="139" spans="2:7" ht="14.4" customHeight="1" x14ac:dyDescent="0.3">
      <c r="B139" s="36" t="str">
        <f t="shared" ref="B139" si="36">B43</f>
        <v>GRMS 02739</v>
      </c>
      <c r="C139" s="36" t="str">
        <f t="shared" si="0"/>
        <v>Domestic exit</v>
      </c>
      <c r="D139" s="81">
        <f>IF('RPM &amp; Discounts'!$B$3&lt;&gt;'A0.Support'!$B$6,Input_!D$234,Input_!D$216)</f>
        <v>0.46838876692920056</v>
      </c>
      <c r="E139" s="81">
        <f>IF('RPM &amp; Discounts'!$B$3&lt;&gt;'A0.Support'!$B$6,Input_!E$234,Input_!E$216)</f>
        <v>0.46838876692920056</v>
      </c>
      <c r="F139" s="81">
        <f>IF('RPM &amp; Discounts'!$B$3&lt;&gt;'A0.Support'!$B$6,Input_!F$234,Input_!F$216)</f>
        <v>0.46838876692920056</v>
      </c>
      <c r="G139" s="81">
        <f>IF('RPM &amp; Discounts'!$B$3&lt;&gt;'A0.Support'!$B$6,Input_!G$234,Input_!G$216)</f>
        <v>0.46838876692920056</v>
      </c>
    </row>
    <row r="140" spans="2:7" ht="14.4" customHeight="1" x14ac:dyDescent="0.3">
      <c r="B140" s="36" t="str">
        <f t="shared" ref="B140" si="37">B44</f>
        <v>GRMS 03009</v>
      </c>
      <c r="C140" s="36" t="str">
        <f t="shared" si="0"/>
        <v>Domestic exit</v>
      </c>
      <c r="D140" s="81">
        <f>IF('RPM &amp; Discounts'!$B$3&lt;&gt;'A0.Support'!$B$6,Input_!D$234,Input_!D$216)</f>
        <v>0.46838876692920056</v>
      </c>
      <c r="E140" s="81">
        <f>IF('RPM &amp; Discounts'!$B$3&lt;&gt;'A0.Support'!$B$6,Input_!E$234,Input_!E$216)</f>
        <v>0.46838876692920056</v>
      </c>
      <c r="F140" s="81">
        <f>IF('RPM &amp; Discounts'!$B$3&lt;&gt;'A0.Support'!$B$6,Input_!F$234,Input_!F$216)</f>
        <v>0.46838876692920056</v>
      </c>
      <c r="G140" s="81">
        <f>IF('RPM &amp; Discounts'!$B$3&lt;&gt;'A0.Support'!$B$6,Input_!G$234,Input_!G$216)</f>
        <v>0.46838876692920056</v>
      </c>
    </row>
    <row r="141" spans="2:7" ht="14.4" customHeight="1" x14ac:dyDescent="0.3">
      <c r="B141" s="36" t="str">
        <f t="shared" ref="B141" si="38">B45</f>
        <v>GRMS 03059</v>
      </c>
      <c r="C141" s="36" t="str">
        <f t="shared" si="0"/>
        <v>Domestic exit</v>
      </c>
      <c r="D141" s="81">
        <f>IF('RPM &amp; Discounts'!$B$3&lt;&gt;'A0.Support'!$B$6,Input_!D$234,Input_!D$216)</f>
        <v>0.46838876692920056</v>
      </c>
      <c r="E141" s="81">
        <f>IF('RPM &amp; Discounts'!$B$3&lt;&gt;'A0.Support'!$B$6,Input_!E$234,Input_!E$216)</f>
        <v>0.46838876692920056</v>
      </c>
      <c r="F141" s="81">
        <f>IF('RPM &amp; Discounts'!$B$3&lt;&gt;'A0.Support'!$B$6,Input_!F$234,Input_!F$216)</f>
        <v>0.46838876692920056</v>
      </c>
      <c r="G141" s="81">
        <f>IF('RPM &amp; Discounts'!$B$3&lt;&gt;'A0.Support'!$B$6,Input_!G$234,Input_!G$216)</f>
        <v>0.46838876692920056</v>
      </c>
    </row>
    <row r="142" spans="2:7" ht="14.4" customHeight="1" x14ac:dyDescent="0.3">
      <c r="B142" s="36" t="str">
        <f t="shared" ref="B142" si="39">B46</f>
        <v>GRMS 03069</v>
      </c>
      <c r="C142" s="36" t="str">
        <f t="shared" si="0"/>
        <v>Domestic exit</v>
      </c>
      <c r="D142" s="81">
        <f>IF('RPM &amp; Discounts'!$B$3&lt;&gt;'A0.Support'!$B$6,Input_!D$234,Input_!D$216)</f>
        <v>0.46838876692920056</v>
      </c>
      <c r="E142" s="81">
        <f>IF('RPM &amp; Discounts'!$B$3&lt;&gt;'A0.Support'!$B$6,Input_!E$234,Input_!E$216)</f>
        <v>0.46838876692920056</v>
      </c>
      <c r="F142" s="81">
        <f>IF('RPM &amp; Discounts'!$B$3&lt;&gt;'A0.Support'!$B$6,Input_!F$234,Input_!F$216)</f>
        <v>0.46838876692920056</v>
      </c>
      <c r="G142" s="81">
        <f>IF('RPM &amp; Discounts'!$B$3&lt;&gt;'A0.Support'!$B$6,Input_!G$234,Input_!G$216)</f>
        <v>0.46838876692920056</v>
      </c>
    </row>
    <row r="143" spans="2:7" ht="14.4" customHeight="1" x14ac:dyDescent="0.3">
      <c r="B143" s="36" t="str">
        <f t="shared" ref="B143" si="40">B47</f>
        <v>GRMS 03109</v>
      </c>
      <c r="C143" s="36" t="str">
        <f t="shared" si="0"/>
        <v>Domestic exit</v>
      </c>
      <c r="D143" s="81">
        <f>IF('RPM &amp; Discounts'!$B$3&lt;&gt;'A0.Support'!$B$6,Input_!D$234,Input_!D$216)</f>
        <v>0.46838876692920056</v>
      </c>
      <c r="E143" s="81">
        <f>IF('RPM &amp; Discounts'!$B$3&lt;&gt;'A0.Support'!$B$6,Input_!E$234,Input_!E$216)</f>
        <v>0.46838876692920056</v>
      </c>
      <c r="F143" s="81">
        <f>IF('RPM &amp; Discounts'!$B$3&lt;&gt;'A0.Support'!$B$6,Input_!F$234,Input_!F$216)</f>
        <v>0.46838876692920056</v>
      </c>
      <c r="G143" s="81">
        <f>IF('RPM &amp; Discounts'!$B$3&lt;&gt;'A0.Support'!$B$6,Input_!G$234,Input_!G$216)</f>
        <v>0.46838876692920056</v>
      </c>
    </row>
    <row r="144" spans="2:7" ht="14.4" customHeight="1" x14ac:dyDescent="0.3">
      <c r="B144" s="36" t="str">
        <f t="shared" ref="B144" si="41">B48</f>
        <v>GRMS 03169</v>
      </c>
      <c r="C144" s="36" t="str">
        <f t="shared" si="0"/>
        <v>Domestic exit</v>
      </c>
      <c r="D144" s="81">
        <f>IF('RPM &amp; Discounts'!$B$3&lt;&gt;'A0.Support'!$B$6,Input_!D$234,Input_!D$216)</f>
        <v>0.46838876692920056</v>
      </c>
      <c r="E144" s="81">
        <f>IF('RPM &amp; Discounts'!$B$3&lt;&gt;'A0.Support'!$B$6,Input_!E$234,Input_!E$216)</f>
        <v>0.46838876692920056</v>
      </c>
      <c r="F144" s="81">
        <f>IF('RPM &amp; Discounts'!$B$3&lt;&gt;'A0.Support'!$B$6,Input_!F$234,Input_!F$216)</f>
        <v>0.46838876692920056</v>
      </c>
      <c r="G144" s="81">
        <f>IF('RPM &amp; Discounts'!$B$3&lt;&gt;'A0.Support'!$B$6,Input_!G$234,Input_!G$216)</f>
        <v>0.46838876692920056</v>
      </c>
    </row>
    <row r="145" spans="2:7" ht="14.4" customHeight="1" x14ac:dyDescent="0.3">
      <c r="B145" s="36" t="str">
        <f t="shared" ref="B145" si="42">B49</f>
        <v>GRMS 03219</v>
      </c>
      <c r="C145" s="36" t="str">
        <f t="shared" si="0"/>
        <v>Domestic exit</v>
      </c>
      <c r="D145" s="81">
        <f>IF('RPM &amp; Discounts'!$B$3&lt;&gt;'A0.Support'!$B$6,Input_!D$234,Input_!D$216)</f>
        <v>0.46838876692920056</v>
      </c>
      <c r="E145" s="81">
        <f>IF('RPM &amp; Discounts'!$B$3&lt;&gt;'A0.Support'!$B$6,Input_!E$234,Input_!E$216)</f>
        <v>0.46838876692920056</v>
      </c>
      <c r="F145" s="81">
        <f>IF('RPM &amp; Discounts'!$B$3&lt;&gt;'A0.Support'!$B$6,Input_!F$234,Input_!F$216)</f>
        <v>0.46838876692920056</v>
      </c>
      <c r="G145" s="81">
        <f>IF('RPM &amp; Discounts'!$B$3&lt;&gt;'A0.Support'!$B$6,Input_!G$234,Input_!G$216)</f>
        <v>0.46838876692920056</v>
      </c>
    </row>
    <row r="146" spans="2:7" ht="14.4" customHeight="1" x14ac:dyDescent="0.3">
      <c r="B146" s="36" t="str">
        <f t="shared" ref="B146" si="43">B50</f>
        <v>GRMS 03229</v>
      </c>
      <c r="C146" s="36" t="str">
        <f t="shared" si="0"/>
        <v>Domestic exit</v>
      </c>
      <c r="D146" s="81">
        <f>IF('RPM &amp; Discounts'!$B$3&lt;&gt;'A0.Support'!$B$6,Input_!D$234,Input_!D$216)</f>
        <v>0.46838876692920056</v>
      </c>
      <c r="E146" s="81">
        <f>IF('RPM &amp; Discounts'!$B$3&lt;&gt;'A0.Support'!$B$6,Input_!E$234,Input_!E$216)</f>
        <v>0.46838876692920056</v>
      </c>
      <c r="F146" s="81">
        <f>IF('RPM &amp; Discounts'!$B$3&lt;&gt;'A0.Support'!$B$6,Input_!F$234,Input_!F$216)</f>
        <v>0.46838876692920056</v>
      </c>
      <c r="G146" s="81">
        <f>IF('RPM &amp; Discounts'!$B$3&lt;&gt;'A0.Support'!$B$6,Input_!G$234,Input_!G$216)</f>
        <v>0.46838876692920056</v>
      </c>
    </row>
    <row r="147" spans="2:7" ht="14.4" customHeight="1" x14ac:dyDescent="0.3">
      <c r="B147" s="36" t="str">
        <f t="shared" ref="B147" si="44">B51</f>
        <v>GRMS 03259</v>
      </c>
      <c r="C147" s="36" t="str">
        <f t="shared" si="0"/>
        <v>Domestic exit</v>
      </c>
      <c r="D147" s="81">
        <f>IF('RPM &amp; Discounts'!$B$3&lt;&gt;'A0.Support'!$B$6,Input_!D$234,Input_!D$216)</f>
        <v>0.46838876692920056</v>
      </c>
      <c r="E147" s="81">
        <f>IF('RPM &amp; Discounts'!$B$3&lt;&gt;'A0.Support'!$B$6,Input_!E$234,Input_!E$216)</f>
        <v>0.46838876692920056</v>
      </c>
      <c r="F147" s="81">
        <f>IF('RPM &amp; Discounts'!$B$3&lt;&gt;'A0.Support'!$B$6,Input_!F$234,Input_!F$216)</f>
        <v>0.46838876692920056</v>
      </c>
      <c r="G147" s="81">
        <f>IF('RPM &amp; Discounts'!$B$3&lt;&gt;'A0.Support'!$B$6,Input_!G$234,Input_!G$216)</f>
        <v>0.46838876692920056</v>
      </c>
    </row>
    <row r="148" spans="2:7" ht="14.4" customHeight="1" x14ac:dyDescent="0.3">
      <c r="B148" s="36" t="str">
        <f t="shared" ref="B148" si="45">B52</f>
        <v>GRMS 03269</v>
      </c>
      <c r="C148" s="36" t="str">
        <f t="shared" si="0"/>
        <v>Domestic exit</v>
      </c>
      <c r="D148" s="81">
        <f>IF('RPM &amp; Discounts'!$B$3&lt;&gt;'A0.Support'!$B$6,Input_!D$234,Input_!D$216)</f>
        <v>0.46838876692920056</v>
      </c>
      <c r="E148" s="81">
        <f>IF('RPM &amp; Discounts'!$B$3&lt;&gt;'A0.Support'!$B$6,Input_!E$234,Input_!E$216)</f>
        <v>0.46838876692920056</v>
      </c>
      <c r="F148" s="81">
        <f>IF('RPM &amp; Discounts'!$B$3&lt;&gt;'A0.Support'!$B$6,Input_!F$234,Input_!F$216)</f>
        <v>0.46838876692920056</v>
      </c>
      <c r="G148" s="81">
        <f>IF('RPM &amp; Discounts'!$B$3&lt;&gt;'A0.Support'!$B$6,Input_!G$234,Input_!G$216)</f>
        <v>0.46838876692920056</v>
      </c>
    </row>
    <row r="149" spans="2:7" ht="14.4" customHeight="1" x14ac:dyDescent="0.3">
      <c r="B149" s="36" t="str">
        <f t="shared" ref="B149" si="46">B53</f>
        <v>GRMS 03309</v>
      </c>
      <c r="C149" s="36" t="str">
        <f t="shared" si="0"/>
        <v>Domestic exit</v>
      </c>
      <c r="D149" s="81">
        <f>IF('RPM &amp; Discounts'!$B$3&lt;&gt;'A0.Support'!$B$6,Input_!D$234,Input_!D$216)</f>
        <v>0.46838876692920056</v>
      </c>
      <c r="E149" s="81">
        <f>IF('RPM &amp; Discounts'!$B$3&lt;&gt;'A0.Support'!$B$6,Input_!E$234,Input_!E$216)</f>
        <v>0.46838876692920056</v>
      </c>
      <c r="F149" s="81">
        <f>IF('RPM &amp; Discounts'!$B$3&lt;&gt;'A0.Support'!$B$6,Input_!F$234,Input_!F$216)</f>
        <v>0.46838876692920056</v>
      </c>
      <c r="G149" s="81">
        <f>IF('RPM &amp; Discounts'!$B$3&lt;&gt;'A0.Support'!$B$6,Input_!G$234,Input_!G$216)</f>
        <v>0.46838876692920056</v>
      </c>
    </row>
    <row r="150" spans="2:7" ht="14.4" customHeight="1" x14ac:dyDescent="0.3">
      <c r="B150" s="36" t="str">
        <f t="shared" ref="B150" si="47">B54</f>
        <v>GRMS 03359</v>
      </c>
      <c r="C150" s="36" t="str">
        <f t="shared" si="0"/>
        <v>Domestic exit</v>
      </c>
      <c r="D150" s="81">
        <f>IF('RPM &amp; Discounts'!$B$3&lt;&gt;'A0.Support'!$B$6,Input_!D$234,Input_!D$216)</f>
        <v>0.46838876692920056</v>
      </c>
      <c r="E150" s="81">
        <f>IF('RPM &amp; Discounts'!$B$3&lt;&gt;'A0.Support'!$B$6,Input_!E$234,Input_!E$216)</f>
        <v>0.46838876692920056</v>
      </c>
      <c r="F150" s="81">
        <f>IF('RPM &amp; Discounts'!$B$3&lt;&gt;'A0.Support'!$B$6,Input_!F$234,Input_!F$216)</f>
        <v>0.46838876692920056</v>
      </c>
      <c r="G150" s="81">
        <f>IF('RPM &amp; Discounts'!$B$3&lt;&gt;'A0.Support'!$B$6,Input_!G$234,Input_!G$216)</f>
        <v>0.46838876692920056</v>
      </c>
    </row>
    <row r="151" spans="2:7" ht="14.4" customHeight="1" x14ac:dyDescent="0.3">
      <c r="B151" s="36" t="str">
        <f t="shared" ref="B151" si="48">B55</f>
        <v>GRMS 03369</v>
      </c>
      <c r="C151" s="36" t="str">
        <f t="shared" si="0"/>
        <v>Domestic exit</v>
      </c>
      <c r="D151" s="81">
        <f>IF('RPM &amp; Discounts'!$B$3&lt;&gt;'A0.Support'!$B$6,Input_!D$234,Input_!D$216)</f>
        <v>0.46838876692920056</v>
      </c>
      <c r="E151" s="81">
        <f>IF('RPM &amp; Discounts'!$B$3&lt;&gt;'A0.Support'!$B$6,Input_!E$234,Input_!E$216)</f>
        <v>0.46838876692920056</v>
      </c>
      <c r="F151" s="81">
        <f>IF('RPM &amp; Discounts'!$B$3&lt;&gt;'A0.Support'!$B$6,Input_!F$234,Input_!F$216)</f>
        <v>0.46838876692920056</v>
      </c>
      <c r="G151" s="81">
        <f>IF('RPM &amp; Discounts'!$B$3&lt;&gt;'A0.Support'!$B$6,Input_!G$234,Input_!G$216)</f>
        <v>0.46838876692920056</v>
      </c>
    </row>
    <row r="152" spans="2:7" ht="14.4" customHeight="1" x14ac:dyDescent="0.3">
      <c r="B152" s="36" t="str">
        <f t="shared" ref="B152" si="49">B56</f>
        <v>GRMS 03459</v>
      </c>
      <c r="C152" s="36" t="str">
        <f t="shared" si="0"/>
        <v>Domestic exit</v>
      </c>
      <c r="D152" s="81">
        <f>IF('RPM &amp; Discounts'!$B$3&lt;&gt;'A0.Support'!$B$6,Input_!D$234,Input_!D$216)</f>
        <v>0.46838876692920056</v>
      </c>
      <c r="E152" s="81">
        <f>IF('RPM &amp; Discounts'!$B$3&lt;&gt;'A0.Support'!$B$6,Input_!E$234,Input_!E$216)</f>
        <v>0.46838876692920056</v>
      </c>
      <c r="F152" s="81">
        <f>IF('RPM &amp; Discounts'!$B$3&lt;&gt;'A0.Support'!$B$6,Input_!F$234,Input_!F$216)</f>
        <v>0.46838876692920056</v>
      </c>
      <c r="G152" s="81">
        <f>IF('RPM &amp; Discounts'!$B$3&lt;&gt;'A0.Support'!$B$6,Input_!G$234,Input_!G$216)</f>
        <v>0.46838876692920056</v>
      </c>
    </row>
    <row r="153" spans="2:7" ht="14.4" customHeight="1" x14ac:dyDescent="0.3">
      <c r="B153" s="36" t="str">
        <f t="shared" ref="B153" si="50">B57</f>
        <v>GRMS 03559</v>
      </c>
      <c r="C153" s="36" t="str">
        <f t="shared" si="0"/>
        <v>Domestic exit</v>
      </c>
      <c r="D153" s="81">
        <f>IF('RPM &amp; Discounts'!$B$3&lt;&gt;'A0.Support'!$B$6,Input_!D$234,Input_!D$216)</f>
        <v>0.46838876692920056</v>
      </c>
      <c r="E153" s="81">
        <f>IF('RPM &amp; Discounts'!$B$3&lt;&gt;'A0.Support'!$B$6,Input_!E$234,Input_!E$216)</f>
        <v>0.46838876692920056</v>
      </c>
      <c r="F153" s="81">
        <f>IF('RPM &amp; Discounts'!$B$3&lt;&gt;'A0.Support'!$B$6,Input_!F$234,Input_!F$216)</f>
        <v>0.46838876692920056</v>
      </c>
      <c r="G153" s="81">
        <f>IF('RPM &amp; Discounts'!$B$3&lt;&gt;'A0.Support'!$B$6,Input_!G$234,Input_!G$216)</f>
        <v>0.46838876692920056</v>
      </c>
    </row>
    <row r="154" spans="2:7" ht="14.4" customHeight="1" x14ac:dyDescent="0.3">
      <c r="B154" s="36" t="str">
        <f t="shared" ref="B154" si="51">B58</f>
        <v>GRMS 03609</v>
      </c>
      <c r="C154" s="36" t="str">
        <f t="shared" si="0"/>
        <v>Domestic exit</v>
      </c>
      <c r="D154" s="81">
        <f>IF('RPM &amp; Discounts'!$B$3&lt;&gt;'A0.Support'!$B$6,Input_!D$234,Input_!D$216)</f>
        <v>0.46838876692920056</v>
      </c>
      <c r="E154" s="81">
        <f>IF('RPM &amp; Discounts'!$B$3&lt;&gt;'A0.Support'!$B$6,Input_!E$234,Input_!E$216)</f>
        <v>0.46838876692920056</v>
      </c>
      <c r="F154" s="81">
        <f>IF('RPM &amp; Discounts'!$B$3&lt;&gt;'A0.Support'!$B$6,Input_!F$234,Input_!F$216)</f>
        <v>0.46838876692920056</v>
      </c>
      <c r="G154" s="81">
        <f>IF('RPM &amp; Discounts'!$B$3&lt;&gt;'A0.Support'!$B$6,Input_!G$234,Input_!G$216)</f>
        <v>0.46838876692920056</v>
      </c>
    </row>
    <row r="155" spans="2:7" ht="14.4" customHeight="1" x14ac:dyDescent="0.3">
      <c r="B155" s="36" t="str">
        <f t="shared" ref="B155" si="52">B59</f>
        <v>GRMS 03619</v>
      </c>
      <c r="C155" s="36" t="str">
        <f t="shared" si="0"/>
        <v>Domestic exit</v>
      </c>
      <c r="D155" s="81">
        <f>IF('RPM &amp; Discounts'!$B$3&lt;&gt;'A0.Support'!$B$6,Input_!D$234,Input_!D$216)</f>
        <v>0.46838876692920056</v>
      </c>
      <c r="E155" s="81">
        <f>IF('RPM &amp; Discounts'!$B$3&lt;&gt;'A0.Support'!$B$6,Input_!E$234,Input_!E$216)</f>
        <v>0.46838876692920056</v>
      </c>
      <c r="F155" s="81">
        <f>IF('RPM &amp; Discounts'!$B$3&lt;&gt;'A0.Support'!$B$6,Input_!F$234,Input_!F$216)</f>
        <v>0.46838876692920056</v>
      </c>
      <c r="G155" s="81">
        <f>IF('RPM &amp; Discounts'!$B$3&lt;&gt;'A0.Support'!$B$6,Input_!G$234,Input_!G$216)</f>
        <v>0.46838876692920056</v>
      </c>
    </row>
    <row r="156" spans="2:7" ht="14.4" customHeight="1" x14ac:dyDescent="0.3">
      <c r="B156" s="36" t="str">
        <f t="shared" ref="B156" si="53">B60</f>
        <v>GRMS 03659</v>
      </c>
      <c r="C156" s="36" t="str">
        <f t="shared" si="0"/>
        <v>Domestic exit</v>
      </c>
      <c r="D156" s="81">
        <f>IF('RPM &amp; Discounts'!$B$3&lt;&gt;'A0.Support'!$B$6,Input_!D$234,Input_!D$216)</f>
        <v>0.46838876692920056</v>
      </c>
      <c r="E156" s="81">
        <f>IF('RPM &amp; Discounts'!$B$3&lt;&gt;'A0.Support'!$B$6,Input_!E$234,Input_!E$216)</f>
        <v>0.46838876692920056</v>
      </c>
      <c r="F156" s="81">
        <f>IF('RPM &amp; Discounts'!$B$3&lt;&gt;'A0.Support'!$B$6,Input_!F$234,Input_!F$216)</f>
        <v>0.46838876692920056</v>
      </c>
      <c r="G156" s="81">
        <f>IF('RPM &amp; Discounts'!$B$3&lt;&gt;'A0.Support'!$B$6,Input_!G$234,Input_!G$216)</f>
        <v>0.46838876692920056</v>
      </c>
    </row>
    <row r="157" spans="2:7" ht="14.4" customHeight="1" x14ac:dyDescent="0.3">
      <c r="B157" s="36" t="str">
        <f t="shared" ref="B157" si="54">B61</f>
        <v>GRMS 04059</v>
      </c>
      <c r="C157" s="36" t="str">
        <f t="shared" si="0"/>
        <v>Domestic exit</v>
      </c>
      <c r="D157" s="81">
        <f>IF('RPM &amp; Discounts'!$B$3&lt;&gt;'A0.Support'!$B$6,Input_!D$234,Input_!D$216)</f>
        <v>0.46838876692920056</v>
      </c>
      <c r="E157" s="81">
        <f>IF('RPM &amp; Discounts'!$B$3&lt;&gt;'A0.Support'!$B$6,Input_!E$234,Input_!E$216)</f>
        <v>0.46838876692920056</v>
      </c>
      <c r="F157" s="81">
        <f>IF('RPM &amp; Discounts'!$B$3&lt;&gt;'A0.Support'!$B$6,Input_!F$234,Input_!F$216)</f>
        <v>0.46838876692920056</v>
      </c>
      <c r="G157" s="81">
        <f>IF('RPM &amp; Discounts'!$B$3&lt;&gt;'A0.Support'!$B$6,Input_!G$234,Input_!G$216)</f>
        <v>0.46838876692920056</v>
      </c>
    </row>
    <row r="158" spans="2:7" ht="14.4" customHeight="1" x14ac:dyDescent="0.3">
      <c r="B158" s="36" t="str">
        <f t="shared" ref="B158" si="55">B62</f>
        <v>GRMS 04109</v>
      </c>
      <c r="C158" s="36" t="str">
        <f t="shared" si="0"/>
        <v>Domestic exit</v>
      </c>
      <c r="D158" s="81">
        <f>IF('RPM &amp; Discounts'!$B$3&lt;&gt;'A0.Support'!$B$6,Input_!D$234,Input_!D$216)</f>
        <v>0.46838876692920056</v>
      </c>
      <c r="E158" s="81">
        <f>IF('RPM &amp; Discounts'!$B$3&lt;&gt;'A0.Support'!$B$6,Input_!E$234,Input_!E$216)</f>
        <v>0.46838876692920056</v>
      </c>
      <c r="F158" s="81">
        <f>IF('RPM &amp; Discounts'!$B$3&lt;&gt;'A0.Support'!$B$6,Input_!F$234,Input_!F$216)</f>
        <v>0.46838876692920056</v>
      </c>
      <c r="G158" s="81">
        <f>IF('RPM &amp; Discounts'!$B$3&lt;&gt;'A0.Support'!$B$6,Input_!G$234,Input_!G$216)</f>
        <v>0.46838876692920056</v>
      </c>
    </row>
    <row r="159" spans="2:7" ht="14.4" customHeight="1" x14ac:dyDescent="0.3">
      <c r="B159" s="36" t="str">
        <f t="shared" ref="B159" si="56">B63</f>
        <v>GRMS 04149</v>
      </c>
      <c r="C159" s="36" t="str">
        <f t="shared" si="0"/>
        <v>Domestic exit</v>
      </c>
      <c r="D159" s="81">
        <f>IF('RPM &amp; Discounts'!$B$3&lt;&gt;'A0.Support'!$B$6,Input_!D$234,Input_!D$216)</f>
        <v>0.46838876692920056</v>
      </c>
      <c r="E159" s="81">
        <f>IF('RPM &amp; Discounts'!$B$3&lt;&gt;'A0.Support'!$B$6,Input_!E$234,Input_!E$216)</f>
        <v>0.46838876692920056</v>
      </c>
      <c r="F159" s="81">
        <f>IF('RPM &amp; Discounts'!$B$3&lt;&gt;'A0.Support'!$B$6,Input_!F$234,Input_!F$216)</f>
        <v>0.46838876692920056</v>
      </c>
      <c r="G159" s="81">
        <f>IF('RPM &amp; Discounts'!$B$3&lt;&gt;'A0.Support'!$B$6,Input_!G$234,Input_!G$216)</f>
        <v>0.46838876692920056</v>
      </c>
    </row>
    <row r="160" spans="2:7" ht="14.4" customHeight="1" x14ac:dyDescent="0.3">
      <c r="B160" s="36" t="str">
        <f t="shared" ref="B160" si="57">B64</f>
        <v>GRMS 04159</v>
      </c>
      <c r="C160" s="36" t="str">
        <f t="shared" si="0"/>
        <v>Domestic exit</v>
      </c>
      <c r="D160" s="81">
        <f>IF('RPM &amp; Discounts'!$B$3&lt;&gt;'A0.Support'!$B$6,Input_!D$234,Input_!D$216)</f>
        <v>0.46838876692920056</v>
      </c>
      <c r="E160" s="81">
        <f>IF('RPM &amp; Discounts'!$B$3&lt;&gt;'A0.Support'!$B$6,Input_!E$234,Input_!E$216)</f>
        <v>0.46838876692920056</v>
      </c>
      <c r="F160" s="81">
        <f>IF('RPM &amp; Discounts'!$B$3&lt;&gt;'A0.Support'!$B$6,Input_!F$234,Input_!F$216)</f>
        <v>0.46838876692920056</v>
      </c>
      <c r="G160" s="81">
        <f>IF('RPM &amp; Discounts'!$B$3&lt;&gt;'A0.Support'!$B$6,Input_!G$234,Input_!G$216)</f>
        <v>0.46838876692920056</v>
      </c>
    </row>
    <row r="161" spans="2:7" ht="14.4" customHeight="1" x14ac:dyDescent="0.3">
      <c r="B161" s="36" t="str">
        <f t="shared" ref="B161" si="58">B65</f>
        <v>GRMS 04209</v>
      </c>
      <c r="C161" s="36" t="str">
        <f t="shared" si="0"/>
        <v>Domestic exit</v>
      </c>
      <c r="D161" s="81">
        <f>IF('RPM &amp; Discounts'!$B$3&lt;&gt;'A0.Support'!$B$6,Input_!D$234,Input_!D$216)</f>
        <v>0.46838876692920056</v>
      </c>
      <c r="E161" s="81">
        <f>IF('RPM &amp; Discounts'!$B$3&lt;&gt;'A0.Support'!$B$6,Input_!E$234,Input_!E$216)</f>
        <v>0.46838876692920056</v>
      </c>
      <c r="F161" s="81">
        <f>IF('RPM &amp; Discounts'!$B$3&lt;&gt;'A0.Support'!$B$6,Input_!F$234,Input_!F$216)</f>
        <v>0.46838876692920056</v>
      </c>
      <c r="G161" s="81">
        <f>IF('RPM &amp; Discounts'!$B$3&lt;&gt;'A0.Support'!$B$6,Input_!G$234,Input_!G$216)</f>
        <v>0.46838876692920056</v>
      </c>
    </row>
    <row r="162" spans="2:7" ht="14.4" customHeight="1" x14ac:dyDescent="0.3">
      <c r="B162" s="36" t="str">
        <f t="shared" ref="B162" si="59">B66</f>
        <v>GRMS 05009</v>
      </c>
      <c r="C162" s="36" t="str">
        <f t="shared" si="0"/>
        <v>Domestic exit</v>
      </c>
      <c r="D162" s="81">
        <f>IF('RPM &amp; Discounts'!$B$3&lt;&gt;'A0.Support'!$B$6,Input_!D$234,Input_!D$216)</f>
        <v>0.46838876692920056</v>
      </c>
      <c r="E162" s="81">
        <f>IF('RPM &amp; Discounts'!$B$3&lt;&gt;'A0.Support'!$B$6,Input_!E$234,Input_!E$216)</f>
        <v>0.46838876692920056</v>
      </c>
      <c r="F162" s="81">
        <f>IF('RPM &amp; Discounts'!$B$3&lt;&gt;'A0.Support'!$B$6,Input_!F$234,Input_!F$216)</f>
        <v>0.46838876692920056</v>
      </c>
      <c r="G162" s="81">
        <f>IF('RPM &amp; Discounts'!$B$3&lt;&gt;'A0.Support'!$B$6,Input_!G$234,Input_!G$216)</f>
        <v>0.46838876692920056</v>
      </c>
    </row>
    <row r="163" spans="2:7" ht="14.4" customHeight="1" x14ac:dyDescent="0.3">
      <c r="B163" s="36" t="str">
        <f t="shared" ref="B163" si="60">B67</f>
        <v>GRMS 05119</v>
      </c>
      <c r="C163" s="36" t="str">
        <f t="shared" si="0"/>
        <v>Domestic exit</v>
      </c>
      <c r="D163" s="81">
        <f>IF('RPM &amp; Discounts'!$B$3&lt;&gt;'A0.Support'!$B$6,Input_!D$234,Input_!D$216)</f>
        <v>0.46838876692920056</v>
      </c>
      <c r="E163" s="81">
        <f>IF('RPM &amp; Discounts'!$B$3&lt;&gt;'A0.Support'!$B$6,Input_!E$234,Input_!E$216)</f>
        <v>0.46838876692920056</v>
      </c>
      <c r="F163" s="81">
        <f>IF('RPM &amp; Discounts'!$B$3&lt;&gt;'A0.Support'!$B$6,Input_!F$234,Input_!F$216)</f>
        <v>0.46838876692920056</v>
      </c>
      <c r="G163" s="81">
        <f>IF('RPM &amp; Discounts'!$B$3&lt;&gt;'A0.Support'!$B$6,Input_!G$234,Input_!G$216)</f>
        <v>0.46838876692920056</v>
      </c>
    </row>
    <row r="164" spans="2:7" ht="14.4" customHeight="1" x14ac:dyDescent="0.3">
      <c r="B164" s="36" t="str">
        <f t="shared" ref="B164" si="61">B68</f>
        <v>GRMS 05179</v>
      </c>
      <c r="C164" s="36" t="str">
        <f t="shared" si="0"/>
        <v>Domestic exit</v>
      </c>
      <c r="D164" s="81">
        <f>IF('RPM &amp; Discounts'!$B$3&lt;&gt;'A0.Support'!$B$6,Input_!D$234,Input_!D$216)</f>
        <v>0.46838876692920056</v>
      </c>
      <c r="E164" s="81">
        <f>IF('RPM &amp; Discounts'!$B$3&lt;&gt;'A0.Support'!$B$6,Input_!E$234,Input_!E$216)</f>
        <v>0.46838876692920056</v>
      </c>
      <c r="F164" s="81">
        <f>IF('RPM &amp; Discounts'!$B$3&lt;&gt;'A0.Support'!$B$6,Input_!F$234,Input_!F$216)</f>
        <v>0.46838876692920056</v>
      </c>
      <c r="G164" s="81">
        <f>IF('RPM &amp; Discounts'!$B$3&lt;&gt;'A0.Support'!$B$6,Input_!G$234,Input_!G$216)</f>
        <v>0.46838876692920056</v>
      </c>
    </row>
    <row r="165" spans="2:7" ht="14.4" customHeight="1" x14ac:dyDescent="0.3">
      <c r="B165" s="36" t="str">
        <f t="shared" ref="B165" si="62">B69</f>
        <v>GRMS 05309</v>
      </c>
      <c r="C165" s="36" t="str">
        <f t="shared" si="0"/>
        <v>Domestic exit</v>
      </c>
      <c r="D165" s="81">
        <f>IF('RPM &amp; Discounts'!$B$3&lt;&gt;'A0.Support'!$B$6,Input_!D$234,Input_!D$216)</f>
        <v>0.46838876692920056</v>
      </c>
      <c r="E165" s="81">
        <f>IF('RPM &amp; Discounts'!$B$3&lt;&gt;'A0.Support'!$B$6,Input_!E$234,Input_!E$216)</f>
        <v>0.46838876692920056</v>
      </c>
      <c r="F165" s="81">
        <f>IF('RPM &amp; Discounts'!$B$3&lt;&gt;'A0.Support'!$B$6,Input_!F$234,Input_!F$216)</f>
        <v>0.46838876692920056</v>
      </c>
      <c r="G165" s="81">
        <f>IF('RPM &amp; Discounts'!$B$3&lt;&gt;'A0.Support'!$B$6,Input_!G$234,Input_!G$216)</f>
        <v>0.46838876692920056</v>
      </c>
    </row>
    <row r="166" spans="2:7" ht="14.4" customHeight="1" x14ac:dyDescent="0.3">
      <c r="B166" s="36" t="str">
        <f t="shared" ref="B166" si="63">B70</f>
        <v>GRMS 05609</v>
      </c>
      <c r="C166" s="36" t="str">
        <f t="shared" si="0"/>
        <v>Domestic exit</v>
      </c>
      <c r="D166" s="81">
        <f>IF('RPM &amp; Discounts'!$B$3&lt;&gt;'A0.Support'!$B$6,Input_!D$234,Input_!D$216)</f>
        <v>0.46838876692920056</v>
      </c>
      <c r="E166" s="81">
        <f>IF('RPM &amp; Discounts'!$B$3&lt;&gt;'A0.Support'!$B$6,Input_!E$234,Input_!E$216)</f>
        <v>0.46838876692920056</v>
      </c>
      <c r="F166" s="81">
        <f>IF('RPM &amp; Discounts'!$B$3&lt;&gt;'A0.Support'!$B$6,Input_!F$234,Input_!F$216)</f>
        <v>0.46838876692920056</v>
      </c>
      <c r="G166" s="81">
        <f>IF('RPM &amp; Discounts'!$B$3&lt;&gt;'A0.Support'!$B$6,Input_!G$234,Input_!G$216)</f>
        <v>0.46838876692920056</v>
      </c>
    </row>
    <row r="167" spans="2:7" ht="14.4" customHeight="1" x14ac:dyDescent="0.3">
      <c r="B167" s="36" t="str">
        <f t="shared" ref="B167" si="64">B71</f>
        <v>GRMS 07009</v>
      </c>
      <c r="C167" s="36" t="str">
        <f t="shared" si="0"/>
        <v>Domestic exit</v>
      </c>
      <c r="D167" s="81">
        <f>IF('RPM &amp; Discounts'!$B$3&lt;&gt;'A0.Support'!$B$6,Input_!D$234,Input_!D$216)</f>
        <v>0.46838876692920056</v>
      </c>
      <c r="E167" s="81">
        <f>IF('RPM &amp; Discounts'!$B$3&lt;&gt;'A0.Support'!$B$6,Input_!E$234,Input_!E$216)</f>
        <v>0.46838876692920056</v>
      </c>
      <c r="F167" s="81">
        <f>IF('RPM &amp; Discounts'!$B$3&lt;&gt;'A0.Support'!$B$6,Input_!F$234,Input_!F$216)</f>
        <v>0.46838876692920056</v>
      </c>
      <c r="G167" s="81">
        <f>IF('RPM &amp; Discounts'!$B$3&lt;&gt;'A0.Support'!$B$6,Input_!G$234,Input_!G$216)</f>
        <v>0.46838876692920056</v>
      </c>
    </row>
    <row r="168" spans="2:7" ht="14.4" customHeight="1" x14ac:dyDescent="0.3">
      <c r="B168" s="36" t="str">
        <f t="shared" ref="B168:C183" si="65">B72</f>
        <v>GRMS 08009</v>
      </c>
      <c r="C168" s="36" t="str">
        <f t="shared" si="65"/>
        <v>Domestic exit</v>
      </c>
      <c r="D168" s="81">
        <f>IF('RPM &amp; Discounts'!$B$3&lt;&gt;'A0.Support'!$B$6,Input_!D$234,Input_!D$216)</f>
        <v>0.46838876692920056</v>
      </c>
      <c r="E168" s="81">
        <f>IF('RPM &amp; Discounts'!$B$3&lt;&gt;'A0.Support'!$B$6,Input_!E$234,Input_!E$216)</f>
        <v>0.46838876692920056</v>
      </c>
      <c r="F168" s="81">
        <f>IF('RPM &amp; Discounts'!$B$3&lt;&gt;'A0.Support'!$B$6,Input_!F$234,Input_!F$216)</f>
        <v>0.46838876692920056</v>
      </c>
      <c r="G168" s="81">
        <f>IF('RPM &amp; Discounts'!$B$3&lt;&gt;'A0.Support'!$B$6,Input_!G$234,Input_!G$216)</f>
        <v>0.46838876692920056</v>
      </c>
    </row>
    <row r="169" spans="2:7" ht="14.4" customHeight="1" x14ac:dyDescent="0.3">
      <c r="B169" s="36" t="str">
        <f t="shared" ref="B169" si="66">B73</f>
        <v>GRMS 08109</v>
      </c>
      <c r="C169" s="36" t="str">
        <f t="shared" si="65"/>
        <v>Domestic exit</v>
      </c>
      <c r="D169" s="81">
        <f>IF('RPM &amp; Discounts'!$B$3&lt;&gt;'A0.Support'!$B$6,Input_!D$234,Input_!D$216)</f>
        <v>0.46838876692920056</v>
      </c>
      <c r="E169" s="81">
        <f>IF('RPM &amp; Discounts'!$B$3&lt;&gt;'A0.Support'!$B$6,Input_!E$234,Input_!E$216)</f>
        <v>0.46838876692920056</v>
      </c>
      <c r="F169" s="81">
        <f>IF('RPM &amp; Discounts'!$B$3&lt;&gt;'A0.Support'!$B$6,Input_!F$234,Input_!F$216)</f>
        <v>0.46838876692920056</v>
      </c>
      <c r="G169" s="81">
        <f>IF('RPM &amp; Discounts'!$B$3&lt;&gt;'A0.Support'!$B$6,Input_!G$234,Input_!G$216)</f>
        <v>0.46838876692920056</v>
      </c>
    </row>
    <row r="170" spans="2:7" ht="14.4" customHeight="1" x14ac:dyDescent="0.3">
      <c r="B170" s="36" t="str">
        <f t="shared" ref="B170" si="67">B74</f>
        <v>GRMS 08119</v>
      </c>
      <c r="C170" s="36" t="str">
        <f t="shared" si="65"/>
        <v>Domestic exit</v>
      </c>
      <c r="D170" s="81">
        <f>IF('RPM &amp; Discounts'!$B$3&lt;&gt;'A0.Support'!$B$6,Input_!D$234,Input_!D$216)</f>
        <v>0.46838876692920056</v>
      </c>
      <c r="E170" s="81">
        <f>IF('RPM &amp; Discounts'!$B$3&lt;&gt;'A0.Support'!$B$6,Input_!E$234,Input_!E$216)</f>
        <v>0.46838876692920056</v>
      </c>
      <c r="F170" s="81">
        <f>IF('RPM &amp; Discounts'!$B$3&lt;&gt;'A0.Support'!$B$6,Input_!F$234,Input_!F$216)</f>
        <v>0.46838876692920056</v>
      </c>
      <c r="G170" s="81">
        <f>IF('RPM &amp; Discounts'!$B$3&lt;&gt;'A0.Support'!$B$6,Input_!G$234,Input_!G$216)</f>
        <v>0.46838876692920056</v>
      </c>
    </row>
    <row r="171" spans="2:7" ht="14.4" customHeight="1" x14ac:dyDescent="0.3">
      <c r="B171" s="36" t="str">
        <f t="shared" ref="B171" si="68">B75</f>
        <v>GRMS 08209</v>
      </c>
      <c r="C171" s="36" t="str">
        <f t="shared" si="65"/>
        <v>Domestic exit</v>
      </c>
      <c r="D171" s="81">
        <f>IF('RPM &amp; Discounts'!$B$3&lt;&gt;'A0.Support'!$B$6,Input_!D$234,Input_!D$216)</f>
        <v>0.46838876692920056</v>
      </c>
      <c r="E171" s="81">
        <f>IF('RPM &amp; Discounts'!$B$3&lt;&gt;'A0.Support'!$B$6,Input_!E$234,Input_!E$216)</f>
        <v>0.46838876692920056</v>
      </c>
      <c r="F171" s="81">
        <f>IF('RPM &amp; Discounts'!$B$3&lt;&gt;'A0.Support'!$B$6,Input_!F$234,Input_!F$216)</f>
        <v>0.46838876692920056</v>
      </c>
      <c r="G171" s="81">
        <f>IF('RPM &amp; Discounts'!$B$3&lt;&gt;'A0.Support'!$B$6,Input_!G$234,Input_!G$216)</f>
        <v>0.46838876692920056</v>
      </c>
    </row>
    <row r="172" spans="2:7" ht="14.4" customHeight="1" x14ac:dyDescent="0.3">
      <c r="B172" s="36" t="str">
        <f t="shared" ref="B172" si="69">B76</f>
        <v>GRMS 08309</v>
      </c>
      <c r="C172" s="36" t="str">
        <f t="shared" si="65"/>
        <v>Domestic exit</v>
      </c>
      <c r="D172" s="81">
        <f>IF('RPM &amp; Discounts'!$B$3&lt;&gt;'A0.Support'!$B$6,Input_!D$234,Input_!D$216)</f>
        <v>0.46838876692920056</v>
      </c>
      <c r="E172" s="81">
        <f>IF('RPM &amp; Discounts'!$B$3&lt;&gt;'A0.Support'!$B$6,Input_!E$234,Input_!E$216)</f>
        <v>0.46838876692920056</v>
      </c>
      <c r="F172" s="81">
        <f>IF('RPM &amp; Discounts'!$B$3&lt;&gt;'A0.Support'!$B$6,Input_!F$234,Input_!F$216)</f>
        <v>0.46838876692920056</v>
      </c>
      <c r="G172" s="81">
        <f>IF('RPM &amp; Discounts'!$B$3&lt;&gt;'A0.Support'!$B$6,Input_!G$234,Input_!G$216)</f>
        <v>0.46838876692920056</v>
      </c>
    </row>
    <row r="173" spans="2:7" ht="14.4" customHeight="1" x14ac:dyDescent="0.3">
      <c r="B173" s="36" t="str">
        <f t="shared" ref="B173" si="70">B77</f>
        <v>GRMS 08409</v>
      </c>
      <c r="C173" s="36" t="str">
        <f t="shared" si="65"/>
        <v>Domestic exit</v>
      </c>
      <c r="D173" s="81">
        <f>IF('RPM &amp; Discounts'!$B$3&lt;&gt;'A0.Support'!$B$6,Input_!D$234,Input_!D$216)</f>
        <v>0.46838876692920056</v>
      </c>
      <c r="E173" s="81">
        <f>IF('RPM &amp; Discounts'!$B$3&lt;&gt;'A0.Support'!$B$6,Input_!E$234,Input_!E$216)</f>
        <v>0.46838876692920056</v>
      </c>
      <c r="F173" s="81">
        <f>IF('RPM &amp; Discounts'!$B$3&lt;&gt;'A0.Support'!$B$6,Input_!F$234,Input_!F$216)</f>
        <v>0.46838876692920056</v>
      </c>
      <c r="G173" s="81">
        <f>IF('RPM &amp; Discounts'!$B$3&lt;&gt;'A0.Support'!$B$6,Input_!G$234,Input_!G$216)</f>
        <v>0.46838876692920056</v>
      </c>
    </row>
    <row r="174" spans="2:7" ht="14.4" customHeight="1" x14ac:dyDescent="0.3">
      <c r="B174" s="36" t="str">
        <f t="shared" ref="B174" si="71">B78</f>
        <v>GRMS 08559</v>
      </c>
      <c r="C174" s="36" t="str">
        <f t="shared" si="65"/>
        <v>Domestic exit</v>
      </c>
      <c r="D174" s="81">
        <f>IF('RPM &amp; Discounts'!$B$3&lt;&gt;'A0.Support'!$B$6,Input_!D$234,Input_!D$216)</f>
        <v>0.46838876692920056</v>
      </c>
      <c r="E174" s="81">
        <f>IF('RPM &amp; Discounts'!$B$3&lt;&gt;'A0.Support'!$B$6,Input_!E$234,Input_!E$216)</f>
        <v>0.46838876692920056</v>
      </c>
      <c r="F174" s="81">
        <f>IF('RPM &amp; Discounts'!$B$3&lt;&gt;'A0.Support'!$B$6,Input_!F$234,Input_!F$216)</f>
        <v>0.46838876692920056</v>
      </c>
      <c r="G174" s="81">
        <f>IF('RPM &amp; Discounts'!$B$3&lt;&gt;'A0.Support'!$B$6,Input_!G$234,Input_!G$216)</f>
        <v>0.46838876692920056</v>
      </c>
    </row>
    <row r="175" spans="2:7" ht="14.4" customHeight="1" x14ac:dyDescent="0.3">
      <c r="B175" s="36" t="str">
        <f t="shared" ref="B175" si="72">B79</f>
        <v>GRMS 10079</v>
      </c>
      <c r="C175" s="36" t="str">
        <f t="shared" si="65"/>
        <v>Domestic exit</v>
      </c>
      <c r="D175" s="81">
        <f>IF('RPM &amp; Discounts'!$B$3&lt;&gt;'A0.Support'!$B$6,Input_!D$234,Input_!D$216)</f>
        <v>0.46838876692920056</v>
      </c>
      <c r="E175" s="81">
        <f>IF('RPM &amp; Discounts'!$B$3&lt;&gt;'A0.Support'!$B$6,Input_!E$234,Input_!E$216)</f>
        <v>0.46838876692920056</v>
      </c>
      <c r="F175" s="81">
        <f>IF('RPM &amp; Discounts'!$B$3&lt;&gt;'A0.Support'!$B$6,Input_!F$234,Input_!F$216)</f>
        <v>0.46838876692920056</v>
      </c>
      <c r="G175" s="81">
        <f>IF('RPM &amp; Discounts'!$B$3&lt;&gt;'A0.Support'!$B$6,Input_!G$234,Input_!G$216)</f>
        <v>0.46838876692920056</v>
      </c>
    </row>
    <row r="176" spans="2:7" ht="14.4" customHeight="1" x14ac:dyDescent="0.3">
      <c r="B176" s="36" t="str">
        <f t="shared" ref="B176" si="73">B80</f>
        <v>GRMS 10159</v>
      </c>
      <c r="C176" s="36" t="str">
        <f t="shared" si="65"/>
        <v>Domestic exit</v>
      </c>
      <c r="D176" s="81">
        <f>IF('RPM &amp; Discounts'!$B$3&lt;&gt;'A0.Support'!$B$6,Input_!D$234,Input_!D$216)</f>
        <v>0.46838876692920056</v>
      </c>
      <c r="E176" s="81">
        <f>IF('RPM &amp; Discounts'!$B$3&lt;&gt;'A0.Support'!$B$6,Input_!E$234,Input_!E$216)</f>
        <v>0.46838876692920056</v>
      </c>
      <c r="F176" s="81">
        <f>IF('RPM &amp; Discounts'!$B$3&lt;&gt;'A0.Support'!$B$6,Input_!F$234,Input_!F$216)</f>
        <v>0.46838876692920056</v>
      </c>
      <c r="G176" s="81">
        <f>IF('RPM &amp; Discounts'!$B$3&lt;&gt;'A0.Support'!$B$6,Input_!G$234,Input_!G$216)</f>
        <v>0.46838876692920056</v>
      </c>
    </row>
    <row r="177" spans="2:15" ht="14.4" customHeight="1" x14ac:dyDescent="0.3">
      <c r="B177" s="36" t="str">
        <f t="shared" ref="B177" si="74">B81</f>
        <v>GRMS 10209</v>
      </c>
      <c r="C177" s="36" t="str">
        <f t="shared" si="65"/>
        <v>Domestic exit</v>
      </c>
      <c r="D177" s="81">
        <f>IF('RPM &amp; Discounts'!$B$3&lt;&gt;'A0.Support'!$B$6,Input_!D$234,Input_!D$216)</f>
        <v>0.46838876692920056</v>
      </c>
      <c r="E177" s="81">
        <f>IF('RPM &amp; Discounts'!$B$3&lt;&gt;'A0.Support'!$B$6,Input_!E$234,Input_!E$216)</f>
        <v>0.46838876692920056</v>
      </c>
      <c r="F177" s="81">
        <f>IF('RPM &amp; Discounts'!$B$3&lt;&gt;'A0.Support'!$B$6,Input_!F$234,Input_!F$216)</f>
        <v>0.46838876692920056</v>
      </c>
      <c r="G177" s="81">
        <f>IF('RPM &amp; Discounts'!$B$3&lt;&gt;'A0.Support'!$B$6,Input_!G$234,Input_!G$216)</f>
        <v>0.46838876692920056</v>
      </c>
    </row>
    <row r="178" spans="2:15" ht="14.4" customHeight="1" x14ac:dyDescent="0.3">
      <c r="B178" s="36" t="str">
        <f t="shared" ref="B178" si="75">B82</f>
        <v>GRMS 10309</v>
      </c>
      <c r="C178" s="36" t="str">
        <f t="shared" si="65"/>
        <v>Domestic exit</v>
      </c>
      <c r="D178" s="81">
        <f>IF('RPM &amp; Discounts'!$B$3&lt;&gt;'A0.Support'!$B$6,Input_!D$234,Input_!D$216)</f>
        <v>0.46838876692920056</v>
      </c>
      <c r="E178" s="81">
        <f>IF('RPM &amp; Discounts'!$B$3&lt;&gt;'A0.Support'!$B$6,Input_!E$234,Input_!E$216)</f>
        <v>0.46838876692920056</v>
      </c>
      <c r="F178" s="81">
        <f>IF('RPM &amp; Discounts'!$B$3&lt;&gt;'A0.Support'!$B$6,Input_!F$234,Input_!F$216)</f>
        <v>0.46838876692920056</v>
      </c>
      <c r="G178" s="81">
        <f>IF('RPM &amp; Discounts'!$B$3&lt;&gt;'A0.Support'!$B$6,Input_!G$234,Input_!G$216)</f>
        <v>0.46838876692920056</v>
      </c>
    </row>
    <row r="179" spans="2:15" ht="14.4" customHeight="1" x14ac:dyDescent="0.3">
      <c r="B179" s="36" t="str">
        <f t="shared" ref="B179" si="76">B83</f>
        <v>GRMS 10359</v>
      </c>
      <c r="C179" s="36" t="str">
        <f t="shared" si="65"/>
        <v>Domestic exit</v>
      </c>
      <c r="D179" s="81">
        <f>IF('RPM &amp; Discounts'!$B$3&lt;&gt;'A0.Support'!$B$6,Input_!D$234,Input_!D$216)</f>
        <v>0.46838876692920056</v>
      </c>
      <c r="E179" s="81">
        <f>IF('RPM &amp; Discounts'!$B$3&lt;&gt;'A0.Support'!$B$6,Input_!E$234,Input_!E$216)</f>
        <v>0.46838876692920056</v>
      </c>
      <c r="F179" s="81">
        <f>IF('RPM &amp; Discounts'!$B$3&lt;&gt;'A0.Support'!$B$6,Input_!F$234,Input_!F$216)</f>
        <v>0.46838876692920056</v>
      </c>
      <c r="G179" s="81">
        <f>IF('RPM &amp; Discounts'!$B$3&lt;&gt;'A0.Support'!$B$6,Input_!G$234,Input_!G$216)</f>
        <v>0.46838876692920056</v>
      </c>
    </row>
    <row r="180" spans="2:15" ht="14.4" customHeight="1" x14ac:dyDescent="0.3">
      <c r="B180" s="36" t="str">
        <f t="shared" ref="B180" si="77">B84</f>
        <v>GRMS 10459</v>
      </c>
      <c r="C180" s="36" t="str">
        <f t="shared" si="65"/>
        <v>Domestic exit</v>
      </c>
      <c r="D180" s="81">
        <f>IF('RPM &amp; Discounts'!$B$3&lt;&gt;'A0.Support'!$B$6,Input_!D$234,Input_!D$216)</f>
        <v>0.46838876692920056</v>
      </c>
      <c r="E180" s="81">
        <f>IF('RPM &amp; Discounts'!$B$3&lt;&gt;'A0.Support'!$B$6,Input_!E$234,Input_!E$216)</f>
        <v>0.46838876692920056</v>
      </c>
      <c r="F180" s="81">
        <f>IF('RPM &amp; Discounts'!$B$3&lt;&gt;'A0.Support'!$B$6,Input_!F$234,Input_!F$216)</f>
        <v>0.46838876692920056</v>
      </c>
      <c r="G180" s="81">
        <f>IF('RPM &amp; Discounts'!$B$3&lt;&gt;'A0.Support'!$B$6,Input_!G$234,Input_!G$216)</f>
        <v>0.46838876692920056</v>
      </c>
    </row>
    <row r="181" spans="2:15" ht="14.4" customHeight="1" x14ac:dyDescent="0.3">
      <c r="B181" s="36" t="str">
        <f t="shared" ref="B181" si="78">B85</f>
        <v>GRMS 11109</v>
      </c>
      <c r="C181" s="36" t="str">
        <f t="shared" si="65"/>
        <v>Domestic exit</v>
      </c>
      <c r="D181" s="81">
        <f>IF('RPM &amp; Discounts'!$B$3&lt;&gt;'A0.Support'!$B$6,Input_!D$234,Input_!D$216)</f>
        <v>0.46838876692920056</v>
      </c>
      <c r="E181" s="81">
        <f>IF('RPM &amp; Discounts'!$B$3&lt;&gt;'A0.Support'!$B$6,Input_!E$234,Input_!E$216)</f>
        <v>0.46838876692920056</v>
      </c>
      <c r="F181" s="81">
        <f>IF('RPM &amp; Discounts'!$B$3&lt;&gt;'A0.Support'!$B$6,Input_!F$234,Input_!F$216)</f>
        <v>0.46838876692920056</v>
      </c>
      <c r="G181" s="81">
        <f>IF('RPM &amp; Discounts'!$B$3&lt;&gt;'A0.Support'!$B$6,Input_!G$234,Input_!G$216)</f>
        <v>0.46838876692920056</v>
      </c>
    </row>
    <row r="182" spans="2:15" ht="14.4" customHeight="1" x14ac:dyDescent="0.3">
      <c r="B182" s="36" t="str">
        <f t="shared" ref="B182" si="79">B86</f>
        <v>GRMS 11159</v>
      </c>
      <c r="C182" s="36" t="str">
        <f t="shared" si="65"/>
        <v>Domestic exit</v>
      </c>
      <c r="D182" s="81">
        <f>IF('RPM &amp; Discounts'!$B$3&lt;&gt;'A0.Support'!$B$6,Input_!D$234,Input_!D$216)</f>
        <v>0.46838876692920056</v>
      </c>
      <c r="E182" s="81">
        <f>IF('RPM &amp; Discounts'!$B$3&lt;&gt;'A0.Support'!$B$6,Input_!E$234,Input_!E$216)</f>
        <v>0.46838876692920056</v>
      </c>
      <c r="F182" s="81">
        <f>IF('RPM &amp; Discounts'!$B$3&lt;&gt;'A0.Support'!$B$6,Input_!F$234,Input_!F$216)</f>
        <v>0.46838876692920056</v>
      </c>
      <c r="G182" s="81">
        <f>IF('RPM &amp; Discounts'!$B$3&lt;&gt;'A0.Support'!$B$6,Input_!G$234,Input_!G$216)</f>
        <v>0.46838876692920056</v>
      </c>
    </row>
    <row r="183" spans="2:15" ht="14.4" customHeight="1" x14ac:dyDescent="0.3">
      <c r="B183" s="36" t="str">
        <f t="shared" ref="B183" si="80">B87</f>
        <v>GRMS 11209</v>
      </c>
      <c r="C183" s="36" t="str">
        <f t="shared" si="65"/>
        <v>Domestic exit</v>
      </c>
      <c r="D183" s="81">
        <f>IF('RPM &amp; Discounts'!$B$3&lt;&gt;'A0.Support'!$B$6,Input_!D$234,Input_!D$216)</f>
        <v>0.46838876692920056</v>
      </c>
      <c r="E183" s="81">
        <f>IF('RPM &amp; Discounts'!$B$3&lt;&gt;'A0.Support'!$B$6,Input_!E$234,Input_!E$216)</f>
        <v>0.46838876692920056</v>
      </c>
      <c r="F183" s="81">
        <f>IF('RPM &amp; Discounts'!$B$3&lt;&gt;'A0.Support'!$B$6,Input_!F$234,Input_!F$216)</f>
        <v>0.46838876692920056</v>
      </c>
      <c r="G183" s="81">
        <f>IF('RPM &amp; Discounts'!$B$3&lt;&gt;'A0.Support'!$B$6,Input_!G$234,Input_!G$216)</f>
        <v>0.46838876692920056</v>
      </c>
    </row>
    <row r="184" spans="2:15" ht="14.4" customHeight="1" x14ac:dyDescent="0.3">
      <c r="B184" s="36" t="str">
        <f t="shared" ref="B184:C185" si="81">B88</f>
        <v>GRMS 11279</v>
      </c>
      <c r="C184" s="36" t="str">
        <f t="shared" si="81"/>
        <v>Domestic exit</v>
      </c>
      <c r="D184" s="81">
        <f>IF('RPM &amp; Discounts'!$B$3&lt;&gt;'A0.Support'!$B$6,Input_!D$234,Input_!D$216)</f>
        <v>0.46838876692920056</v>
      </c>
      <c r="E184" s="81">
        <f>IF('RPM &amp; Discounts'!$B$3&lt;&gt;'A0.Support'!$B$6,Input_!E$234,Input_!E$216)</f>
        <v>0.46838876692920056</v>
      </c>
      <c r="F184" s="81">
        <f>IF('RPM &amp; Discounts'!$B$3&lt;&gt;'A0.Support'!$B$6,Input_!F$234,Input_!F$216)</f>
        <v>0.46838876692920056</v>
      </c>
      <c r="G184" s="81">
        <f>IF('RPM &amp; Discounts'!$B$3&lt;&gt;'A0.Support'!$B$6,Input_!G$234,Input_!G$216)</f>
        <v>0.46838876692920056</v>
      </c>
    </row>
    <row r="185" spans="2:15" ht="14.4" customHeight="1" x14ac:dyDescent="0.3">
      <c r="B185" s="36" t="str">
        <f t="shared" ref="B185" si="82">B89</f>
        <v>GRMS 11309</v>
      </c>
      <c r="C185" s="36" t="str">
        <f t="shared" si="81"/>
        <v>Domestic exit</v>
      </c>
      <c r="D185" s="81">
        <f>IF('RPM &amp; Discounts'!$B$3&lt;&gt;'A0.Support'!$B$6,Input_!D$234,Input_!D$216)</f>
        <v>0.46838876692920056</v>
      </c>
      <c r="E185" s="81">
        <f>IF('RPM &amp; Discounts'!$B$3&lt;&gt;'A0.Support'!$B$6,Input_!E$234,Input_!E$216)</f>
        <v>0.46838876692920056</v>
      </c>
      <c r="F185" s="81">
        <f>IF('RPM &amp; Discounts'!$B$3&lt;&gt;'A0.Support'!$B$6,Input_!F$234,Input_!F$216)</f>
        <v>0.46838876692920056</v>
      </c>
      <c r="G185" s="81">
        <f>IF('RPM &amp; Discounts'!$B$3&lt;&gt;'A0.Support'!$B$6,Input_!G$234,Input_!G$216)</f>
        <v>0.46838876692920056</v>
      </c>
    </row>
    <row r="186" spans="2:15" ht="14.4" customHeight="1" x14ac:dyDescent="0.3">
      <c r="B186" s="36" t="str">
        <f t="shared" ref="B186:C186" si="83">B90</f>
        <v>GRMS 12209</v>
      </c>
      <c r="C186" s="36" t="str">
        <f t="shared" si="83"/>
        <v>Domestic exit</v>
      </c>
      <c r="D186" s="81">
        <f>IF('RPM &amp; Discounts'!$B$3&lt;&gt;'A0.Support'!$B$6,Input_!D$234,Input_!D$216)</f>
        <v>0.46838876692920056</v>
      </c>
      <c r="E186" s="81">
        <f>IF('RPM &amp; Discounts'!$B$3&lt;&gt;'A0.Support'!$B$6,Input_!E$234,Input_!E$216)</f>
        <v>0.46838876692920056</v>
      </c>
      <c r="F186" s="81">
        <f>IF('RPM &amp; Discounts'!$B$3&lt;&gt;'A0.Support'!$B$6,Input_!F$234,Input_!F$216)</f>
        <v>0.46838876692920056</v>
      </c>
      <c r="G186" s="81">
        <f>IF('RPM &amp; Discounts'!$B$3&lt;&gt;'A0.Support'!$B$6,Input_!G$234,Input_!G$216)</f>
        <v>0.46838876692920056</v>
      </c>
    </row>
    <row r="187" spans="2:15" ht="14.4" customHeight="1" x14ac:dyDescent="0.3">
      <c r="B187" s="36" t="str">
        <f t="shared" ref="B187:C187" si="84">B91</f>
        <v>GRMS 12609</v>
      </c>
      <c r="C187" s="36" t="str">
        <f t="shared" si="84"/>
        <v>Domestic exit</v>
      </c>
      <c r="D187" s="81">
        <f>IF('RPM &amp; Discounts'!$B$3&lt;&gt;'A0.Support'!$B$6,Input_!D$234,Input_!D$216)</f>
        <v>0.46838876692920056</v>
      </c>
      <c r="E187" s="81">
        <f>IF('RPM &amp; Discounts'!$B$3&lt;&gt;'A0.Support'!$B$6,Input_!E$234,Input_!E$216)</f>
        <v>0.46838876692920056</v>
      </c>
      <c r="F187" s="81">
        <f>IF('RPM &amp; Discounts'!$B$3&lt;&gt;'A0.Support'!$B$6,Input_!F$234,Input_!F$216)</f>
        <v>0.46838876692920056</v>
      </c>
      <c r="G187" s="81">
        <f>IF('RPM &amp; Discounts'!$B$3&lt;&gt;'A0.Support'!$B$6,Input_!G$234,Input_!G$216)</f>
        <v>0.46838876692920056</v>
      </c>
    </row>
    <row r="188" spans="2:15" ht="14.4" customHeight="1" x14ac:dyDescent="0.3">
      <c r="B188" s="36" t="str">
        <f t="shared" ref="B188:C188" si="85">B92</f>
        <v>GRMS 12619</v>
      </c>
      <c r="C188" s="36" t="str">
        <f t="shared" si="85"/>
        <v>Domestic exit</v>
      </c>
      <c r="D188" s="81">
        <f>IF('RPM &amp; Discounts'!$B$3&lt;&gt;'A0.Support'!$B$6,Input_!D$234,Input_!D$216)</f>
        <v>0.46838876692920056</v>
      </c>
      <c r="E188" s="81">
        <f>IF('RPM &amp; Discounts'!$B$3&lt;&gt;'A0.Support'!$B$6,Input_!E$234,Input_!E$216)</f>
        <v>0.46838876692920056</v>
      </c>
      <c r="F188" s="81">
        <f>IF('RPM &amp; Discounts'!$B$3&lt;&gt;'A0.Support'!$B$6,Input_!F$234,Input_!F$216)</f>
        <v>0.46838876692920056</v>
      </c>
      <c r="G188" s="81">
        <f>IF('RPM &amp; Discounts'!$B$3&lt;&gt;'A0.Support'!$B$6,Input_!G$234,Input_!G$216)</f>
        <v>0.46838876692920056</v>
      </c>
    </row>
    <row r="189" spans="2:15" ht="14.4" customHeight="1" x14ac:dyDescent="0.3">
      <c r="B189" s="36" t="str">
        <f t="shared" ref="B189:C189" si="86">B93</f>
        <v>GRMS 12619B</v>
      </c>
      <c r="C189" s="36" t="str">
        <f t="shared" si="86"/>
        <v>Domestic exit</v>
      </c>
      <c r="D189" s="81">
        <f>IF('RPM &amp; Discounts'!$B$3&lt;&gt;'A0.Support'!$B$6,Input_!D$234,Input_!D$216)</f>
        <v>0.46838876692920056</v>
      </c>
      <c r="E189" s="81">
        <f>IF('RPM &amp; Discounts'!$B$3&lt;&gt;'A0.Support'!$B$6,Input_!E$234,Input_!E$216)</f>
        <v>0.46838876692920056</v>
      </c>
      <c r="F189" s="81">
        <f>IF('RPM &amp; Discounts'!$B$3&lt;&gt;'A0.Support'!$B$6,Input_!F$234,Input_!F$216)</f>
        <v>0.46838876692920056</v>
      </c>
      <c r="G189" s="81">
        <f>IF('RPM &amp; Discounts'!$B$3&lt;&gt;'A0.Support'!$B$6,Input_!G$234,Input_!G$216)</f>
        <v>0.46838876692920056</v>
      </c>
    </row>
    <row r="190" spans="2:15" ht="14.4" customHeight="1" x14ac:dyDescent="0.3">
      <c r="B190" s="36" t="str">
        <f t="shared" ref="B190:C190" si="87">B94</f>
        <v>GRMS 12629</v>
      </c>
      <c r="C190" s="36" t="str">
        <f t="shared" si="87"/>
        <v>Domestic exit</v>
      </c>
      <c r="D190" s="81">
        <f>IF('RPM &amp; Discounts'!$B$3&lt;&gt;'A0.Support'!$B$6,Input_!D$234,Input_!D$216)</f>
        <v>0.46838876692920056</v>
      </c>
      <c r="E190" s="81">
        <f>IF('RPM &amp; Discounts'!$B$3&lt;&gt;'A0.Support'!$B$6,Input_!E$234,Input_!E$216)</f>
        <v>0.46838876692920056</v>
      </c>
      <c r="F190" s="81">
        <f>IF('RPM &amp; Discounts'!$B$3&lt;&gt;'A0.Support'!$B$6,Input_!F$234,Input_!F$216)</f>
        <v>0.46838876692920056</v>
      </c>
      <c r="G190" s="81">
        <f>IF('RPM &amp; Discounts'!$B$3&lt;&gt;'A0.Support'!$B$6,Input_!G$234,Input_!G$216)</f>
        <v>0.46838876692920056</v>
      </c>
      <c r="K190"/>
      <c r="L190"/>
      <c r="M190"/>
      <c r="N190"/>
      <c r="O190"/>
    </row>
    <row r="191" spans="2:15" ht="14.4" customHeight="1" x14ac:dyDescent="0.3">
      <c r="B191" s="36" t="str">
        <f t="shared" ref="B191:C191" si="88">B95</f>
        <v>GRMS 12809</v>
      </c>
      <c r="C191" s="36" t="str">
        <f t="shared" si="88"/>
        <v>Domestic exit</v>
      </c>
      <c r="D191" s="81">
        <f>IF('RPM &amp; Discounts'!$B$3&lt;&gt;'A0.Support'!$B$6,Input_!D$234,Input_!D$216)</f>
        <v>0.46838876692920056</v>
      </c>
      <c r="E191" s="81">
        <f>IF('RPM &amp; Discounts'!$B$3&lt;&gt;'A0.Support'!$B$6,Input_!E$234,Input_!E$216)</f>
        <v>0.46838876692920056</v>
      </c>
      <c r="F191" s="81">
        <f>IF('RPM &amp; Discounts'!$B$3&lt;&gt;'A0.Support'!$B$6,Input_!F$234,Input_!F$216)</f>
        <v>0.46838876692920056</v>
      </c>
      <c r="G191" s="81">
        <f>IF('RPM &amp; Discounts'!$B$3&lt;&gt;'A0.Support'!$B$6,Input_!G$234,Input_!G$216)</f>
        <v>0.46838876692920056</v>
      </c>
      <c r="K191"/>
      <c r="L191"/>
      <c r="M191"/>
      <c r="N191"/>
      <c r="O191"/>
    </row>
    <row r="192" spans="2:15" ht="14.4" customHeight="1" x14ac:dyDescent="0.3">
      <c r="B192"/>
      <c r="C192"/>
      <c r="K192"/>
      <c r="L192"/>
      <c r="M192"/>
      <c r="N192"/>
      <c r="O192"/>
    </row>
    <row r="193" spans="2:16" ht="14.4" customHeight="1" x14ac:dyDescent="0.3">
      <c r="K193"/>
      <c r="L193"/>
      <c r="M193"/>
      <c r="N193"/>
      <c r="O193"/>
    </row>
    <row r="194" spans="2:16" ht="28.8" customHeight="1" x14ac:dyDescent="0.3">
      <c r="B194" s="32" t="str">
        <f>IF('RPM &amp; Discounts'!$B$3&lt;&gt;'A0.Support'!$B$3,"3. Effective capacity at exit points","3. Forecasted capacity at exit points")&amp;", in kWh/day"</f>
        <v>3. Effective capacity at exit points, in kWh/day</v>
      </c>
      <c r="C194" s="5"/>
      <c r="D194" s="5"/>
      <c r="E194" s="5"/>
      <c r="F194" s="5"/>
      <c r="G194" s="5"/>
      <c r="K194"/>
      <c r="L194"/>
      <c r="M194"/>
      <c r="N194"/>
      <c r="O194"/>
    </row>
    <row r="195" spans="2:16" ht="14.4" customHeight="1" x14ac:dyDescent="0.3">
      <c r="B195" s="37" t="str">
        <f>'Entry Tariff_1'!B27</f>
        <v>Effective capacity by default. Forecasted capacity in CWD.</v>
      </c>
      <c r="K195"/>
      <c r="L195"/>
      <c r="M195"/>
      <c r="N195"/>
      <c r="O195"/>
    </row>
    <row r="196" spans="2:16" ht="14.4" customHeight="1" x14ac:dyDescent="0.3">
      <c r="B196" s="9" t="s">
        <v>1</v>
      </c>
      <c r="C196" s="9" t="s">
        <v>214</v>
      </c>
      <c r="D196" s="6"/>
      <c r="E196" s="6"/>
      <c r="F196" s="6"/>
      <c r="G196" s="6"/>
      <c r="K196"/>
      <c r="L196"/>
      <c r="M196"/>
      <c r="N196"/>
      <c r="O196"/>
    </row>
    <row r="197" spans="2:16" ht="14.4" customHeight="1" x14ac:dyDescent="0.3">
      <c r="B197" s="25"/>
      <c r="C197" s="25"/>
      <c r="D197" s="23" t="str">
        <f>Input_!D$5</f>
        <v>2023-24</v>
      </c>
      <c r="E197" s="23" t="str">
        <f>Input_!E$5</f>
        <v>2024-25</v>
      </c>
      <c r="F197" s="23" t="str">
        <f>Input_!F$5</f>
        <v>2025-26</v>
      </c>
      <c r="G197" s="23" t="str">
        <f>Input_!G$5</f>
        <v>2026-27</v>
      </c>
      <c r="K197"/>
      <c r="L197"/>
      <c r="M197"/>
      <c r="N197"/>
      <c r="O197"/>
    </row>
    <row r="198" spans="2:16" ht="14.4" customHeight="1" x14ac:dyDescent="0.3">
      <c r="B198" s="24"/>
      <c r="C198" s="24"/>
      <c r="D198" s="8"/>
      <c r="E198" s="8"/>
      <c r="F198" s="8"/>
      <c r="G198" s="8"/>
      <c r="K198"/>
      <c r="L198"/>
      <c r="M198"/>
      <c r="N198"/>
      <c r="O198"/>
    </row>
    <row r="199" spans="2:16" ht="14.4" customHeight="1" x14ac:dyDescent="0.3">
      <c r="B199" s="36" t="s">
        <v>0</v>
      </c>
      <c r="C199" s="3" t="s">
        <v>216</v>
      </c>
      <c r="D199" s="38">
        <f>IF(OR('RPM &amp; Discounts'!$B$3='A0.Support'!$B$3,'RPM &amp; Discounts'!$B$3='A0.Support'!$B$4),D7,D7*D103)</f>
        <v>2358335.3579910798</v>
      </c>
      <c r="E199" s="38">
        <f>IF(OR('RPM &amp; Discounts'!$B$3='A0.Support'!$B$3,'RPM &amp; Discounts'!$B$3='A0.Support'!$B$4),E7,E7*E103)</f>
        <v>5284438.496243096</v>
      </c>
      <c r="F199" s="38">
        <f>IF(OR('RPM &amp; Discounts'!$B$3='A0.Support'!$B$3,'RPM &amp; Discounts'!$B$3='A0.Support'!$B$4),F7,F7*F103)</f>
        <v>5284438.496243096</v>
      </c>
      <c r="G199" s="38">
        <f>IF(OR('RPM &amp; Discounts'!$B$3='A0.Support'!$B$3,'RPM &amp; Discounts'!$B$3='A0.Support'!$B$4),G7,G7*G103)</f>
        <v>5284438.496243096</v>
      </c>
      <c r="I199"/>
      <c r="J199"/>
      <c r="K199"/>
      <c r="L199"/>
      <c r="M199"/>
      <c r="N199"/>
      <c r="O199"/>
      <c r="P199"/>
    </row>
    <row r="200" spans="2:16" ht="14.4" customHeight="1" x14ac:dyDescent="0.3">
      <c r="B200" s="36" t="s">
        <v>215</v>
      </c>
      <c r="C200" s="3" t="s">
        <v>216</v>
      </c>
      <c r="D200" s="38">
        <f>IF(OR('RPM &amp; Discounts'!$B$3='A0.Support'!$B$3,'RPM &amp; Discounts'!$B$3='A0.Support'!$B$4),D8,D8*D104)</f>
        <v>1071970.6172686727</v>
      </c>
      <c r="E200" s="38">
        <f>IF(OR('RPM &amp; Discounts'!$B$3='A0.Support'!$B$3,'RPM &amp; Discounts'!$B$3='A0.Support'!$B$4),E8,E8*E104)</f>
        <v>2402017.4982923162</v>
      </c>
      <c r="F200" s="38">
        <f>IF(OR('RPM &amp; Discounts'!$B$3='A0.Support'!$B$3,'RPM &amp; Discounts'!$B$3='A0.Support'!$B$4),F8,F8*F104)</f>
        <v>2402017.4982923162</v>
      </c>
      <c r="G200" s="38">
        <f>IF(OR('RPM &amp; Discounts'!$B$3='A0.Support'!$B$3,'RPM &amp; Discounts'!$B$3='A0.Support'!$B$4),G8,G8*G104)</f>
        <v>2402017.4982923162</v>
      </c>
      <c r="J200"/>
      <c r="K200"/>
      <c r="L200"/>
      <c r="M200"/>
      <c r="N200"/>
      <c r="O200"/>
      <c r="P200"/>
    </row>
    <row r="201" spans="2:16" ht="14.4" customHeight="1" x14ac:dyDescent="0.3">
      <c r="B201" s="36" t="s">
        <v>217</v>
      </c>
      <c r="C201" s="3" t="s">
        <v>14</v>
      </c>
      <c r="D201" s="38">
        <f>IF(OR('RPM &amp; Discounts'!$B$3='A0.Support'!$B$3,'RPM &amp; Discounts'!$B$3='A0.Support'!$B$4),D9,D9*D105)</f>
        <v>0</v>
      </c>
      <c r="E201" s="38">
        <f>IF(OR('RPM &amp; Discounts'!$B$3='A0.Support'!$B$3,'RPM &amp; Discounts'!$B$3='A0.Support'!$B$4),E9,E9*E105)</f>
        <v>0</v>
      </c>
      <c r="F201" s="38">
        <f>IF(OR('RPM &amp; Discounts'!$B$3='A0.Support'!$B$3,'RPM &amp; Discounts'!$B$3='A0.Support'!$B$4),F9,F9*F105)</f>
        <v>0</v>
      </c>
      <c r="G201" s="38">
        <f>IF(OR('RPM &amp; Discounts'!$B$3='A0.Support'!$B$3,'RPM &amp; Discounts'!$B$3='A0.Support'!$B$4),G9,G9*G105)</f>
        <v>0</v>
      </c>
      <c r="J201"/>
      <c r="K201"/>
      <c r="L201"/>
      <c r="M201"/>
      <c r="N201"/>
      <c r="O201"/>
      <c r="P201"/>
    </row>
    <row r="202" spans="2:16" ht="14.4" customHeight="1" x14ac:dyDescent="0.3">
      <c r="B202" s="36" t="s">
        <v>218</v>
      </c>
      <c r="C202" s="3" t="s">
        <v>15</v>
      </c>
      <c r="D202" s="38">
        <f>IF(OR('RPM &amp; Discounts'!$B$3='A0.Support'!$B$3,'RPM &amp; Discounts'!$B$3='A0.Support'!$B$4),D10,D10*D106)</f>
        <v>6281806.7360896068</v>
      </c>
      <c r="E202" s="38">
        <f>IF(OR('RPM &amp; Discounts'!$B$3='A0.Support'!$B$3,'RPM &amp; Discounts'!$B$3='A0.Support'!$B$4),E10,E10*E106)</f>
        <v>3761653.5990670798</v>
      </c>
      <c r="F202" s="38">
        <f>IF(OR('RPM &amp; Discounts'!$B$3='A0.Support'!$B$3,'RPM &amp; Discounts'!$B$3='A0.Support'!$B$4),F10,F10*F106)</f>
        <v>3761653.5990670798</v>
      </c>
      <c r="G202" s="38">
        <f>IF(OR('RPM &amp; Discounts'!$B$3='A0.Support'!$B$3,'RPM &amp; Discounts'!$B$3='A0.Support'!$B$4),G10,G10*G106)</f>
        <v>3761653.5990670798</v>
      </c>
      <c r="J202"/>
      <c r="K202"/>
      <c r="L202"/>
      <c r="M202"/>
      <c r="N202"/>
      <c r="O202"/>
      <c r="P202"/>
    </row>
    <row r="203" spans="2:16" ht="14.4" customHeight="1" x14ac:dyDescent="0.3">
      <c r="B203" s="36" t="s">
        <v>54</v>
      </c>
      <c r="C203" s="3" t="s">
        <v>220</v>
      </c>
      <c r="D203" s="38">
        <f>IF(OR('RPM &amp; Discounts'!$B$3='A0.Support'!$B$3,'RPM &amp; Discounts'!$B$3='A0.Support'!$B$4),D11,D11*D107)</f>
        <v>364514.67640581576</v>
      </c>
      <c r="E203" s="38">
        <f>IF(OR('RPM &amp; Discounts'!$B$3='A0.Support'!$B$3,'RPM &amp; Discounts'!$B$3='A0.Support'!$B$4),E11,E11*E107)</f>
        <v>361737.17230441375</v>
      </c>
      <c r="F203" s="38">
        <f>IF(OR('RPM &amp; Discounts'!$B$3='A0.Support'!$B$3,'RPM &amp; Discounts'!$B$3='A0.Support'!$B$4),F11,F11*F107)</f>
        <v>361737.17230441375</v>
      </c>
      <c r="G203" s="38">
        <f>IF(OR('RPM &amp; Discounts'!$B$3='A0.Support'!$B$3,'RPM &amp; Discounts'!$B$3='A0.Support'!$B$4),G11,G11*G107)</f>
        <v>361737.17230441375</v>
      </c>
      <c r="J203"/>
      <c r="K203"/>
      <c r="L203"/>
      <c r="M203"/>
      <c r="N203"/>
      <c r="O203"/>
      <c r="P203"/>
    </row>
    <row r="204" spans="2:16" ht="14.4" customHeight="1" x14ac:dyDescent="0.3">
      <c r="B204" s="36" t="s">
        <v>56</v>
      </c>
      <c r="C204" s="3" t="s">
        <v>220</v>
      </c>
      <c r="D204" s="38">
        <f>IF(OR('RPM &amp; Discounts'!$B$3='A0.Support'!$B$3,'RPM &amp; Discounts'!$B$3='A0.Support'!$B$4),D12,D12*D108)</f>
        <v>1274692.6267307706</v>
      </c>
      <c r="E204" s="38">
        <f>IF(OR('RPM &amp; Discounts'!$B$3='A0.Support'!$B$3,'RPM &amp; Discounts'!$B$3='A0.Support'!$B$4),E12,E12*E108)</f>
        <v>1264979.8106826451</v>
      </c>
      <c r="F204" s="38">
        <f>IF(OR('RPM &amp; Discounts'!$B$3='A0.Support'!$B$3,'RPM &amp; Discounts'!$B$3='A0.Support'!$B$4),F12,F12*F108)</f>
        <v>1264979.8106826451</v>
      </c>
      <c r="G204" s="38">
        <f>IF(OR('RPM &amp; Discounts'!$B$3='A0.Support'!$B$3,'RPM &amp; Discounts'!$B$3='A0.Support'!$B$4),G12,G12*G108)</f>
        <v>1264979.8106826451</v>
      </c>
      <c r="J204"/>
      <c r="K204"/>
      <c r="L204"/>
      <c r="M204"/>
      <c r="N204"/>
      <c r="O204"/>
      <c r="P204"/>
    </row>
    <row r="205" spans="2:16" ht="14.4" customHeight="1" x14ac:dyDescent="0.3">
      <c r="B205" s="36" t="s">
        <v>58</v>
      </c>
      <c r="C205" s="3" t="s">
        <v>220</v>
      </c>
      <c r="D205" s="38">
        <f>IF(OR('RPM &amp; Discounts'!$B$3='A0.Support'!$B$3,'RPM &amp; Discounts'!$B$3='A0.Support'!$B$4),D13,D13*D109)</f>
        <v>439043.74432880827</v>
      </c>
      <c r="E205" s="38">
        <f>IF(OR('RPM &amp; Discounts'!$B$3='A0.Support'!$B$3,'RPM &amp; Discounts'!$B$3='A0.Support'!$B$4),E13,E13*E109)</f>
        <v>435698.34871238994</v>
      </c>
      <c r="F205" s="38">
        <f>IF(OR('RPM &amp; Discounts'!$B$3='A0.Support'!$B$3,'RPM &amp; Discounts'!$B$3='A0.Support'!$B$4),F13,F13*F109)</f>
        <v>435698.34871238994</v>
      </c>
      <c r="G205" s="38">
        <f>IF(OR('RPM &amp; Discounts'!$B$3='A0.Support'!$B$3,'RPM &amp; Discounts'!$B$3='A0.Support'!$B$4),G13,G13*G109)</f>
        <v>435698.34871238994</v>
      </c>
      <c r="K205"/>
      <c r="L205"/>
      <c r="M205"/>
      <c r="N205"/>
      <c r="O205"/>
    </row>
    <row r="206" spans="2:16" ht="14.4" customHeight="1" x14ac:dyDescent="0.3">
      <c r="B206" s="36" t="s">
        <v>60</v>
      </c>
      <c r="C206" s="3" t="s">
        <v>220</v>
      </c>
      <c r="D206" s="38">
        <f>IF(OR('RPM &amp; Discounts'!$B$3='A0.Support'!$B$3,'RPM &amp; Discounts'!$B$3='A0.Support'!$B$4),D14,D14*D110)</f>
        <v>726529.24376787641</v>
      </c>
      <c r="E206" s="38">
        <f>IF(OR('RPM &amp; Discounts'!$B$3='A0.Support'!$B$3,'RPM &amp; Discounts'!$B$3='A0.Support'!$B$4),E14,E14*E110)</f>
        <v>720993.28572566237</v>
      </c>
      <c r="F206" s="38">
        <f>IF(OR('RPM &amp; Discounts'!$B$3='A0.Support'!$B$3,'RPM &amp; Discounts'!$B$3='A0.Support'!$B$4),F14,F14*F110)</f>
        <v>720993.28572566237</v>
      </c>
      <c r="G206" s="38">
        <f>IF(OR('RPM &amp; Discounts'!$B$3='A0.Support'!$B$3,'RPM &amp; Discounts'!$B$3='A0.Support'!$B$4),G14,G14*G110)</f>
        <v>720993.28572566237</v>
      </c>
      <c r="K206"/>
      <c r="L206"/>
      <c r="M206"/>
      <c r="N206"/>
      <c r="O206"/>
    </row>
    <row r="207" spans="2:16" ht="14.4" customHeight="1" x14ac:dyDescent="0.3">
      <c r="B207" s="36" t="s">
        <v>61</v>
      </c>
      <c r="C207" s="3" t="s">
        <v>220</v>
      </c>
      <c r="D207" s="38">
        <f>IF(OR('RPM &amp; Discounts'!$B$3='A0.Support'!$B$3,'RPM &amp; Discounts'!$B$3='A0.Support'!$B$4),D15,D15*D111)</f>
        <v>188461.77929911966</v>
      </c>
      <c r="E207" s="38">
        <f>IF(OR('RPM &amp; Discounts'!$B$3='A0.Support'!$B$3,'RPM &amp; Discounts'!$B$3='A0.Support'!$B$4),E15,E15*E111)</f>
        <v>187025.75107078554</v>
      </c>
      <c r="F207" s="38">
        <f>IF(OR('RPM &amp; Discounts'!$B$3='A0.Support'!$B$3,'RPM &amp; Discounts'!$B$3='A0.Support'!$B$4),F15,F15*F111)</f>
        <v>187025.75107078554</v>
      </c>
      <c r="G207" s="38">
        <f>IF(OR('RPM &amp; Discounts'!$B$3='A0.Support'!$B$3,'RPM &amp; Discounts'!$B$3='A0.Support'!$B$4),G15,G15*G111)</f>
        <v>187025.75107078554</v>
      </c>
      <c r="K207"/>
      <c r="L207"/>
      <c r="M207"/>
      <c r="N207"/>
      <c r="O207"/>
    </row>
    <row r="208" spans="2:16" ht="14.4" customHeight="1" x14ac:dyDescent="0.3">
      <c r="B208" s="36" t="s">
        <v>63</v>
      </c>
      <c r="C208" s="3" t="s">
        <v>220</v>
      </c>
      <c r="D208" s="38">
        <f>IF(OR('RPM &amp; Discounts'!$B$3='A0.Support'!$B$3,'RPM &amp; Discounts'!$B$3='A0.Support'!$B$4),D16,D16*D112)</f>
        <v>412597.12796568329</v>
      </c>
      <c r="E208" s="38">
        <f>IF(OR('RPM &amp; Discounts'!$B$3='A0.Support'!$B$3,'RPM &amp; Discounts'!$B$3='A0.Support'!$B$4),E16,E16*E112)</f>
        <v>409453.24847514788</v>
      </c>
      <c r="F208" s="38">
        <f>IF(OR('RPM &amp; Discounts'!$B$3='A0.Support'!$B$3,'RPM &amp; Discounts'!$B$3='A0.Support'!$B$4),F16,F16*F112)</f>
        <v>409453.24847514788</v>
      </c>
      <c r="G208" s="38">
        <f>IF(OR('RPM &amp; Discounts'!$B$3='A0.Support'!$B$3,'RPM &amp; Discounts'!$B$3='A0.Support'!$B$4),G16,G16*G112)</f>
        <v>409453.24847514788</v>
      </c>
      <c r="K208"/>
      <c r="L208"/>
      <c r="M208"/>
      <c r="N208"/>
      <c r="O208"/>
    </row>
    <row r="209" spans="2:15" ht="14.4" customHeight="1" x14ac:dyDescent="0.3">
      <c r="B209" s="36" t="s">
        <v>65</v>
      </c>
      <c r="C209" s="3" t="s">
        <v>220</v>
      </c>
      <c r="D209" s="38">
        <f>IF(OR('RPM &amp; Discounts'!$B$3='A0.Support'!$B$3,'RPM &amp; Discounts'!$B$3='A0.Support'!$B$4),D17,D17*D113)</f>
        <v>948507.30310924188</v>
      </c>
      <c r="E209" s="38">
        <f>IF(OR('RPM &amp; Discounts'!$B$3='A0.Support'!$B$3,'RPM &amp; Discounts'!$B$3='A0.Support'!$B$4),E17,E17*E113)</f>
        <v>941279.93177107733</v>
      </c>
      <c r="F209" s="38">
        <f>IF(OR('RPM &amp; Discounts'!$B$3='A0.Support'!$B$3,'RPM &amp; Discounts'!$B$3='A0.Support'!$B$4),F17,F17*F113)</f>
        <v>941279.93177107733</v>
      </c>
      <c r="G209" s="38">
        <f>IF(OR('RPM &amp; Discounts'!$B$3='A0.Support'!$B$3,'RPM &amp; Discounts'!$B$3='A0.Support'!$B$4),G17,G17*G113)</f>
        <v>941279.93177107733</v>
      </c>
      <c r="K209"/>
      <c r="L209"/>
      <c r="M209"/>
      <c r="N209"/>
      <c r="O209"/>
    </row>
    <row r="210" spans="2:15" ht="14.4" customHeight="1" x14ac:dyDescent="0.3">
      <c r="B210" s="36" t="s">
        <v>67</v>
      </c>
      <c r="C210" s="3" t="s">
        <v>220</v>
      </c>
      <c r="D210" s="38">
        <f>IF(OR('RPM &amp; Discounts'!$B$3='A0.Support'!$B$3,'RPM &amp; Discounts'!$B$3='A0.Support'!$B$4),D18,D18*D114)</f>
        <v>1122508.0178276238</v>
      </c>
      <c r="E210" s="38">
        <f>IF(OR('RPM &amp; Discounts'!$B$3='A0.Support'!$B$3,'RPM &amp; Discounts'!$B$3='A0.Support'!$B$4),E18,E18*E114)</f>
        <v>1113954.8076959639</v>
      </c>
      <c r="F210" s="38">
        <f>IF(OR('RPM &amp; Discounts'!$B$3='A0.Support'!$B$3,'RPM &amp; Discounts'!$B$3='A0.Support'!$B$4),F18,F18*F114)</f>
        <v>1113954.8076959639</v>
      </c>
      <c r="G210" s="38">
        <f>IF(OR('RPM &amp; Discounts'!$B$3='A0.Support'!$B$3,'RPM &amp; Discounts'!$B$3='A0.Support'!$B$4),G18,G18*G114)</f>
        <v>1113954.8076959639</v>
      </c>
      <c r="K210"/>
      <c r="L210"/>
      <c r="M210"/>
      <c r="N210"/>
      <c r="O210"/>
    </row>
    <row r="211" spans="2:15" ht="14.4" customHeight="1" x14ac:dyDescent="0.3">
      <c r="B211" s="36" t="s">
        <v>69</v>
      </c>
      <c r="C211" s="3" t="s">
        <v>220</v>
      </c>
      <c r="D211" s="38">
        <f>IF(OR('RPM &amp; Discounts'!$B$3='A0.Support'!$B$3,'RPM &amp; Discounts'!$B$3='A0.Support'!$B$4),D19,D19*D115)</f>
        <v>800676.38241440163</v>
      </c>
      <c r="E211" s="38">
        <f>IF(OR('RPM &amp; Discounts'!$B$3='A0.Support'!$B$3,'RPM &amp; Discounts'!$B$3='A0.Support'!$B$4),E19,E19*E115)</f>
        <v>794575.44305585604</v>
      </c>
      <c r="F211" s="38">
        <f>IF(OR('RPM &amp; Discounts'!$B$3='A0.Support'!$B$3,'RPM &amp; Discounts'!$B$3='A0.Support'!$B$4),F19,F19*F115)</f>
        <v>794575.44305585604</v>
      </c>
      <c r="G211" s="38">
        <f>IF(OR('RPM &amp; Discounts'!$B$3='A0.Support'!$B$3,'RPM &amp; Discounts'!$B$3='A0.Support'!$B$4),G19,G19*G115)</f>
        <v>794575.44305585604</v>
      </c>
      <c r="K211"/>
      <c r="L211"/>
      <c r="M211"/>
      <c r="N211"/>
      <c r="O211"/>
    </row>
    <row r="212" spans="2:15" ht="14.4" customHeight="1" x14ac:dyDescent="0.3">
      <c r="B212" s="36" t="s">
        <v>71</v>
      </c>
      <c r="C212" s="3" t="s">
        <v>220</v>
      </c>
      <c r="D212" s="38">
        <f>IF(OR('RPM &amp; Discounts'!$B$3='A0.Support'!$B$3,'RPM &amp; Discounts'!$B$3='A0.Support'!$B$4),D20,D20*D116)</f>
        <v>5922145.4045530679</v>
      </c>
      <c r="E212" s="38">
        <f>IF(OR('RPM &amp; Discounts'!$B$3='A0.Support'!$B$3,'RPM &amp; Discounts'!$B$3='A0.Support'!$B$4),E20,E20*E116)</f>
        <v>5877020.2444019504</v>
      </c>
      <c r="F212" s="38">
        <f>IF(OR('RPM &amp; Discounts'!$B$3='A0.Support'!$B$3,'RPM &amp; Discounts'!$B$3='A0.Support'!$B$4),F20,F20*F116)</f>
        <v>5877020.2444019504</v>
      </c>
      <c r="G212" s="38">
        <f>IF(OR('RPM &amp; Discounts'!$B$3='A0.Support'!$B$3,'RPM &amp; Discounts'!$B$3='A0.Support'!$B$4),G20,G20*G116)</f>
        <v>5877020.2444019504</v>
      </c>
      <c r="K212"/>
      <c r="L212"/>
      <c r="M212"/>
      <c r="N212"/>
      <c r="O212"/>
    </row>
    <row r="213" spans="2:15" ht="14.4" customHeight="1" x14ac:dyDescent="0.3">
      <c r="B213" s="36" t="s">
        <v>73</v>
      </c>
      <c r="C213" s="3" t="s">
        <v>220</v>
      </c>
      <c r="D213" s="38">
        <f>IF(OR('RPM &amp; Discounts'!$B$3='A0.Support'!$B$3,'RPM &amp; Discounts'!$B$3='A0.Support'!$B$4),D21,D21*D117)</f>
        <v>0</v>
      </c>
      <c r="E213" s="38">
        <f>IF(OR('RPM &amp; Discounts'!$B$3='A0.Support'!$B$3,'RPM &amp; Discounts'!$B$3='A0.Support'!$B$4),E21,E21*E117)</f>
        <v>0</v>
      </c>
      <c r="F213" s="38">
        <f>IF(OR('RPM &amp; Discounts'!$B$3='A0.Support'!$B$3,'RPM &amp; Discounts'!$B$3='A0.Support'!$B$4),F21,F21*F117)</f>
        <v>0</v>
      </c>
      <c r="G213" s="38">
        <f>IF(OR('RPM &amp; Discounts'!$B$3='A0.Support'!$B$3,'RPM &amp; Discounts'!$B$3='A0.Support'!$B$4),G21,G21*G117)</f>
        <v>0</v>
      </c>
      <c r="K213"/>
      <c r="L213"/>
      <c r="M213"/>
      <c r="N213"/>
      <c r="O213"/>
    </row>
    <row r="214" spans="2:15" ht="14.4" customHeight="1" x14ac:dyDescent="0.3">
      <c r="B214" s="36" t="s">
        <v>75</v>
      </c>
      <c r="C214" s="3" t="s">
        <v>220</v>
      </c>
      <c r="D214" s="38">
        <f>IF(OR('RPM &amp; Discounts'!$B$3='A0.Support'!$B$3,'RPM &amp; Discounts'!$B$3='A0.Support'!$B$4),D22,D22*D118)</f>
        <v>315093.48634607485</v>
      </c>
      <c r="E214" s="38">
        <f>IF(OR('RPM &amp; Discounts'!$B$3='A0.Support'!$B$3,'RPM &amp; Discounts'!$B$3='A0.Support'!$B$4),E22,E22*E118)</f>
        <v>312692.55846223584</v>
      </c>
      <c r="F214" s="38">
        <f>IF(OR('RPM &amp; Discounts'!$B$3='A0.Support'!$B$3,'RPM &amp; Discounts'!$B$3='A0.Support'!$B$4),F22,F22*F118)</f>
        <v>312692.55846223584</v>
      </c>
      <c r="G214" s="38">
        <f>IF(OR('RPM &amp; Discounts'!$B$3='A0.Support'!$B$3,'RPM &amp; Discounts'!$B$3='A0.Support'!$B$4),G22,G22*G118)</f>
        <v>312692.55846223584</v>
      </c>
      <c r="K214"/>
      <c r="L214"/>
      <c r="M214"/>
      <c r="N214"/>
      <c r="O214"/>
    </row>
    <row r="215" spans="2:15" ht="14.4" customHeight="1" x14ac:dyDescent="0.3">
      <c r="B215" s="36" t="s">
        <v>77</v>
      </c>
      <c r="C215" s="3" t="s">
        <v>220</v>
      </c>
      <c r="D215" s="38">
        <f>IF(OR('RPM &amp; Discounts'!$B$3='A0.Support'!$B$3,'RPM &amp; Discounts'!$B$3='A0.Support'!$B$4),D23,D23*D119)</f>
        <v>1290891.6222911449</v>
      </c>
      <c r="E215" s="38">
        <f>IF(OR('RPM &amp; Discounts'!$B$3='A0.Support'!$B$3,'RPM &amp; Discounts'!$B$3='A0.Support'!$B$4),E23,E23*E119)</f>
        <v>1281055.3742400857</v>
      </c>
      <c r="F215" s="38">
        <f>IF(OR('RPM &amp; Discounts'!$B$3='A0.Support'!$B$3,'RPM &amp; Discounts'!$B$3='A0.Support'!$B$4),F23,F23*F119)</f>
        <v>1281055.3742400857</v>
      </c>
      <c r="G215" s="38">
        <f>IF(OR('RPM &amp; Discounts'!$B$3='A0.Support'!$B$3,'RPM &amp; Discounts'!$B$3='A0.Support'!$B$4),G23,G23*G119)</f>
        <v>1281055.3742400857</v>
      </c>
      <c r="K215"/>
      <c r="L215"/>
      <c r="M215"/>
      <c r="N215"/>
      <c r="O215"/>
    </row>
    <row r="216" spans="2:15" ht="14.4" customHeight="1" x14ac:dyDescent="0.3">
      <c r="B216" s="36" t="s">
        <v>79</v>
      </c>
      <c r="C216" s="3" t="s">
        <v>220</v>
      </c>
      <c r="D216" s="38">
        <f>IF(OR('RPM &amp; Discounts'!$B$3='A0.Support'!$B$3,'RPM &amp; Discounts'!$B$3='A0.Support'!$B$4),D24,D24*D120)</f>
        <v>792009.79604451545</v>
      </c>
      <c r="E216" s="38">
        <f>IF(OR('RPM &amp; Discounts'!$B$3='A0.Support'!$B$3,'RPM &amp; Discounts'!$B$3='A0.Support'!$B$4),E24,E24*E120)</f>
        <v>785974.89375044382</v>
      </c>
      <c r="F216" s="38">
        <f>IF(OR('RPM &amp; Discounts'!$B$3='A0.Support'!$B$3,'RPM &amp; Discounts'!$B$3='A0.Support'!$B$4),F24,F24*F120)</f>
        <v>785974.89375044382</v>
      </c>
      <c r="G216" s="38">
        <f>IF(OR('RPM &amp; Discounts'!$B$3='A0.Support'!$B$3,'RPM &amp; Discounts'!$B$3='A0.Support'!$B$4),G24,G24*G120)</f>
        <v>785974.89375044382</v>
      </c>
      <c r="K216"/>
      <c r="L216"/>
      <c r="M216"/>
      <c r="N216"/>
      <c r="O216"/>
    </row>
    <row r="217" spans="2:15" ht="14.4" customHeight="1" x14ac:dyDescent="0.3">
      <c r="B217" s="36" t="s">
        <v>81</v>
      </c>
      <c r="C217" s="3" t="s">
        <v>220</v>
      </c>
      <c r="D217" s="38">
        <f>IF(OR('RPM &amp; Discounts'!$B$3='A0.Support'!$B$3,'RPM &amp; Discounts'!$B$3='A0.Support'!$B$4),D25,D25*D121)</f>
        <v>18246514.133908242</v>
      </c>
      <c r="E217" s="38">
        <f>IF(OR('RPM &amp; Discounts'!$B$3='A0.Support'!$B$3,'RPM &amp; Discounts'!$B$3='A0.Support'!$B$4),E25,E25*E121)</f>
        <v>18107480.588419944</v>
      </c>
      <c r="F217" s="38">
        <f>IF(OR('RPM &amp; Discounts'!$B$3='A0.Support'!$B$3,'RPM &amp; Discounts'!$B$3='A0.Support'!$B$4),F25,F25*F121)</f>
        <v>18107480.588419944</v>
      </c>
      <c r="G217" s="38">
        <f>IF(OR('RPM &amp; Discounts'!$B$3='A0.Support'!$B$3,'RPM &amp; Discounts'!$B$3='A0.Support'!$B$4),G25,G25*G121)</f>
        <v>18107480.588419944</v>
      </c>
      <c r="K217"/>
      <c r="L217"/>
      <c r="M217"/>
      <c r="N217"/>
      <c r="O217"/>
    </row>
    <row r="218" spans="2:15" ht="14.4" customHeight="1" x14ac:dyDescent="0.3">
      <c r="B218" s="36" t="s">
        <v>82</v>
      </c>
      <c r="C218" s="3" t="s">
        <v>220</v>
      </c>
      <c r="D218" s="38">
        <f>IF(OR('RPM &amp; Discounts'!$B$3='A0.Support'!$B$3,'RPM &amp; Discounts'!$B$3='A0.Support'!$B$4),D26,D26*D122)</f>
        <v>309047.69867130759</v>
      </c>
      <c r="E218" s="38">
        <f>IF(OR('RPM &amp; Discounts'!$B$3='A0.Support'!$B$3,'RPM &amp; Discounts'!$B$3='A0.Support'!$B$4),E26,E26*E122)</f>
        <v>306692.83806856809</v>
      </c>
      <c r="F218" s="38">
        <f>IF(OR('RPM &amp; Discounts'!$B$3='A0.Support'!$B$3,'RPM &amp; Discounts'!$B$3='A0.Support'!$B$4),F26,F26*F122)</f>
        <v>306692.83806856809</v>
      </c>
      <c r="G218" s="38">
        <f>IF(OR('RPM &amp; Discounts'!$B$3='A0.Support'!$B$3,'RPM &amp; Discounts'!$B$3='A0.Support'!$B$4),G26,G26*G122)</f>
        <v>306692.83806856809</v>
      </c>
      <c r="K218"/>
      <c r="L218"/>
      <c r="M218"/>
      <c r="N218"/>
      <c r="O218"/>
    </row>
    <row r="219" spans="2:15" ht="14.4" customHeight="1" x14ac:dyDescent="0.3">
      <c r="B219" s="36" t="s">
        <v>83</v>
      </c>
      <c r="C219" s="3" t="s">
        <v>220</v>
      </c>
      <c r="D219" s="38">
        <f>IF(OR('RPM &amp; Discounts'!$B$3='A0.Support'!$B$3,'RPM &amp; Discounts'!$B$3='A0.Support'!$B$4),D27,D27*D123)</f>
        <v>222550.80048435598</v>
      </c>
      <c r="E219" s="38">
        <f>IF(OR('RPM &amp; Discounts'!$B$3='A0.Support'!$B$3,'RPM &amp; Discounts'!$B$3='A0.Support'!$B$4),E27,E27*E123)</f>
        <v>220855.02305445782</v>
      </c>
      <c r="F219" s="38">
        <f>IF(OR('RPM &amp; Discounts'!$B$3='A0.Support'!$B$3,'RPM &amp; Discounts'!$B$3='A0.Support'!$B$4),F27,F27*F123)</f>
        <v>220855.02305445782</v>
      </c>
      <c r="G219" s="38">
        <f>IF(OR('RPM &amp; Discounts'!$B$3='A0.Support'!$B$3,'RPM &amp; Discounts'!$B$3='A0.Support'!$B$4),G27,G27*G123)</f>
        <v>220855.02305445782</v>
      </c>
      <c r="K219"/>
      <c r="L219"/>
      <c r="M219"/>
      <c r="N219"/>
      <c r="O219"/>
    </row>
    <row r="220" spans="2:15" ht="14.4" customHeight="1" x14ac:dyDescent="0.3">
      <c r="B220" s="36" t="s">
        <v>85</v>
      </c>
      <c r="C220" s="3" t="s">
        <v>220</v>
      </c>
      <c r="D220" s="38">
        <f>IF(OR('RPM &amp; Discounts'!$B$3='A0.Support'!$B$3,'RPM &amp; Discounts'!$B$3='A0.Support'!$B$4),D28,D28*D124)</f>
        <v>21760.49691258146</v>
      </c>
      <c r="E220" s="38">
        <f>IF(OR('RPM &amp; Discounts'!$B$3='A0.Support'!$B$3,'RPM &amp; Discounts'!$B$3='A0.Support'!$B$4),E28,E28*E124)</f>
        <v>21594.687760480399</v>
      </c>
      <c r="F220" s="38">
        <f>IF(OR('RPM &amp; Discounts'!$B$3='A0.Support'!$B$3,'RPM &amp; Discounts'!$B$3='A0.Support'!$B$4),F28,F28*F124)</f>
        <v>21594.687760480399</v>
      </c>
      <c r="G220" s="38">
        <f>IF(OR('RPM &amp; Discounts'!$B$3='A0.Support'!$B$3,'RPM &amp; Discounts'!$B$3='A0.Support'!$B$4),G28,G28*G124)</f>
        <v>21594.687760480399</v>
      </c>
      <c r="K220"/>
      <c r="L220"/>
      <c r="M220"/>
      <c r="N220"/>
      <c r="O220"/>
    </row>
    <row r="221" spans="2:15" ht="14.4" customHeight="1" x14ac:dyDescent="0.3">
      <c r="B221" s="36" t="s">
        <v>87</v>
      </c>
      <c r="C221" s="3" t="s">
        <v>220</v>
      </c>
      <c r="D221" s="38">
        <f>IF(OR('RPM &amp; Discounts'!$B$3='A0.Support'!$B$3,'RPM &amp; Discounts'!$B$3='A0.Support'!$B$4),D29,D29*D125)</f>
        <v>0</v>
      </c>
      <c r="E221" s="38">
        <f>IF(OR('RPM &amp; Discounts'!$B$3='A0.Support'!$B$3,'RPM &amp; Discounts'!$B$3='A0.Support'!$B$4),E29,E29*E125)</f>
        <v>0</v>
      </c>
      <c r="F221" s="38">
        <f>IF(OR('RPM &amp; Discounts'!$B$3='A0.Support'!$B$3,'RPM &amp; Discounts'!$B$3='A0.Support'!$B$4),F29,F29*F125)</f>
        <v>0</v>
      </c>
      <c r="G221" s="38">
        <f>IF(OR('RPM &amp; Discounts'!$B$3='A0.Support'!$B$3,'RPM &amp; Discounts'!$B$3='A0.Support'!$B$4),G29,G29*G125)</f>
        <v>0</v>
      </c>
      <c r="K221"/>
      <c r="L221"/>
      <c r="M221"/>
      <c r="N221"/>
      <c r="O221"/>
    </row>
    <row r="222" spans="2:15" ht="14.4" customHeight="1" x14ac:dyDescent="0.3">
      <c r="B222" s="36" t="s">
        <v>89</v>
      </c>
      <c r="C222" s="3" t="s">
        <v>220</v>
      </c>
      <c r="D222" s="38">
        <f>IF(OR('RPM &amp; Discounts'!$B$3='A0.Support'!$B$3,'RPM &amp; Discounts'!$B$3='A0.Support'!$B$4),D30,D30*D126)</f>
        <v>716821.51819034026</v>
      </c>
      <c r="E222" s="38">
        <f>IF(OR('RPM &amp; Discounts'!$B$3='A0.Support'!$B$3,'RPM &amp; Discounts'!$B$3='A0.Support'!$B$4),E30,E30*E126)</f>
        <v>711359.53041421471</v>
      </c>
      <c r="F222" s="38">
        <f>IF(OR('RPM &amp; Discounts'!$B$3='A0.Support'!$B$3,'RPM &amp; Discounts'!$B$3='A0.Support'!$B$4),F30,F30*F126)</f>
        <v>711359.53041421471</v>
      </c>
      <c r="G222" s="38">
        <f>IF(OR('RPM &amp; Discounts'!$B$3='A0.Support'!$B$3,'RPM &amp; Discounts'!$B$3='A0.Support'!$B$4),G30,G30*G126)</f>
        <v>711359.53041421471</v>
      </c>
      <c r="K222"/>
      <c r="L222"/>
      <c r="M222"/>
      <c r="N222"/>
      <c r="O222"/>
    </row>
    <row r="223" spans="2:15" ht="14.4" customHeight="1" x14ac:dyDescent="0.3">
      <c r="B223" s="36" t="s">
        <v>90</v>
      </c>
      <c r="C223" s="3" t="s">
        <v>220</v>
      </c>
      <c r="D223" s="38">
        <f>IF(OR('RPM &amp; Discounts'!$B$3='A0.Support'!$B$3,'RPM &amp; Discounts'!$B$3='A0.Support'!$B$4),D31,D31*D127)</f>
        <v>406712.36167387461</v>
      </c>
      <c r="E223" s="38">
        <f>IF(OR('RPM &amp; Discounts'!$B$3='A0.Support'!$B$3,'RPM &amp; Discounts'!$B$3='A0.Support'!$B$4),E31,E31*E127)</f>
        <v>403613.32252467325</v>
      </c>
      <c r="F223" s="38">
        <f>IF(OR('RPM &amp; Discounts'!$B$3='A0.Support'!$B$3,'RPM &amp; Discounts'!$B$3='A0.Support'!$B$4),F31,F31*F127)</f>
        <v>403613.32252467325</v>
      </c>
      <c r="G223" s="38">
        <f>IF(OR('RPM &amp; Discounts'!$B$3='A0.Support'!$B$3,'RPM &amp; Discounts'!$B$3='A0.Support'!$B$4),G31,G31*G127)</f>
        <v>403613.32252467325</v>
      </c>
      <c r="K223"/>
      <c r="L223"/>
      <c r="M223"/>
      <c r="N223"/>
      <c r="O223"/>
    </row>
    <row r="224" spans="2:15" ht="14.4" customHeight="1" x14ac:dyDescent="0.3">
      <c r="B224" s="36" t="s">
        <v>92</v>
      </c>
      <c r="C224" s="3" t="s">
        <v>220</v>
      </c>
      <c r="D224" s="38">
        <f>IF(OR('RPM &amp; Discounts'!$B$3='A0.Support'!$B$3,'RPM &amp; Discounts'!$B$3='A0.Support'!$B$4),D32,D32*D128)</f>
        <v>738063.35514547909</v>
      </c>
      <c r="E224" s="38">
        <f>IF(OR('RPM &amp; Discounts'!$B$3='A0.Support'!$B$3,'RPM &amp; Discounts'!$B$3='A0.Support'!$B$4),E32,E32*E128)</f>
        <v>732439.51026706642</v>
      </c>
      <c r="F224" s="38">
        <f>IF(OR('RPM &amp; Discounts'!$B$3='A0.Support'!$B$3,'RPM &amp; Discounts'!$B$3='A0.Support'!$B$4),F32,F32*F128)</f>
        <v>732439.51026706642</v>
      </c>
      <c r="G224" s="38">
        <f>IF(OR('RPM &amp; Discounts'!$B$3='A0.Support'!$B$3,'RPM &amp; Discounts'!$B$3='A0.Support'!$B$4),G32,G32*G128)</f>
        <v>732439.51026706642</v>
      </c>
      <c r="K224"/>
      <c r="L224"/>
      <c r="M224"/>
      <c r="N224"/>
      <c r="O224"/>
    </row>
    <row r="225" spans="2:15" ht="14.4" customHeight="1" x14ac:dyDescent="0.3">
      <c r="B225" s="36" t="s">
        <v>94</v>
      </c>
      <c r="C225" s="3" t="s">
        <v>220</v>
      </c>
      <c r="D225" s="38">
        <f>IF(OR('RPM &amp; Discounts'!$B$3='A0.Support'!$B$3,'RPM &amp; Discounts'!$B$3='A0.Support'!$B$4),D33,D33*D129)</f>
        <v>750727.6716380039</v>
      </c>
      <c r="E225" s="38">
        <f>IF(OR('RPM &amp; Discounts'!$B$3='A0.Support'!$B$3,'RPM &amp; Discounts'!$B$3='A0.Support'!$B$4),E33,E33*E129)</f>
        <v>745007.3280634447</v>
      </c>
      <c r="F225" s="38">
        <f>IF(OR('RPM &amp; Discounts'!$B$3='A0.Support'!$B$3,'RPM &amp; Discounts'!$B$3='A0.Support'!$B$4),F33,F33*F129)</f>
        <v>745007.3280634447</v>
      </c>
      <c r="G225" s="38">
        <f>IF(OR('RPM &amp; Discounts'!$B$3='A0.Support'!$B$3,'RPM &amp; Discounts'!$B$3='A0.Support'!$B$4),G33,G33*G129)</f>
        <v>745007.3280634447</v>
      </c>
      <c r="K225"/>
      <c r="L225"/>
      <c r="M225"/>
      <c r="N225"/>
      <c r="O225"/>
    </row>
    <row r="226" spans="2:15" ht="14.4" customHeight="1" x14ac:dyDescent="0.3">
      <c r="B226" s="36" t="s">
        <v>96</v>
      </c>
      <c r="C226" s="3" t="s">
        <v>220</v>
      </c>
      <c r="D226" s="38">
        <f>IF(OR('RPM &amp; Discounts'!$B$3='A0.Support'!$B$3,'RPM &amp; Discounts'!$B$3='A0.Support'!$B$4),D34,D34*D130)</f>
        <v>1926900.8776454735</v>
      </c>
      <c r="E226" s="38">
        <f>IF(OR('RPM &amp; Discounts'!$B$3='A0.Support'!$B$3,'RPM &amp; Discounts'!$B$3='A0.Support'!$B$4),E34,E34*E130)</f>
        <v>1912218.409593907</v>
      </c>
      <c r="F226" s="38">
        <f>IF(OR('RPM &amp; Discounts'!$B$3='A0.Support'!$B$3,'RPM &amp; Discounts'!$B$3='A0.Support'!$B$4),F34,F34*F130)</f>
        <v>1912218.409593907</v>
      </c>
      <c r="G226" s="38">
        <f>IF(OR('RPM &amp; Discounts'!$B$3='A0.Support'!$B$3,'RPM &amp; Discounts'!$B$3='A0.Support'!$B$4),G34,G34*G130)</f>
        <v>1912218.409593907</v>
      </c>
      <c r="K226"/>
      <c r="L226"/>
      <c r="M226"/>
      <c r="N226"/>
      <c r="O226"/>
    </row>
    <row r="227" spans="2:15" ht="14.4" customHeight="1" x14ac:dyDescent="0.3">
      <c r="B227" s="36" t="s">
        <v>98</v>
      </c>
      <c r="C227" s="3" t="s">
        <v>220</v>
      </c>
      <c r="D227" s="38">
        <f>IF(OR('RPM &amp; Discounts'!$B$3='A0.Support'!$B$3,'RPM &amp; Discounts'!$B$3='A0.Support'!$B$4),D35,D35*D131)</f>
        <v>0</v>
      </c>
      <c r="E227" s="38">
        <f>IF(OR('RPM &amp; Discounts'!$B$3='A0.Support'!$B$3,'RPM &amp; Discounts'!$B$3='A0.Support'!$B$4),E35,E35*E131)</f>
        <v>0</v>
      </c>
      <c r="F227" s="38">
        <f>IF(OR('RPM &amp; Discounts'!$B$3='A0.Support'!$B$3,'RPM &amp; Discounts'!$B$3='A0.Support'!$B$4),F35,F35*F131)</f>
        <v>0</v>
      </c>
      <c r="G227" s="38">
        <f>IF(OR('RPM &amp; Discounts'!$B$3='A0.Support'!$B$3,'RPM &amp; Discounts'!$B$3='A0.Support'!$B$4),G35,G35*G131)</f>
        <v>0</v>
      </c>
      <c r="K227"/>
      <c r="L227"/>
      <c r="M227"/>
      <c r="N227"/>
      <c r="O227"/>
    </row>
    <row r="228" spans="2:15" ht="14.4" customHeight="1" x14ac:dyDescent="0.3">
      <c r="B228" s="36" t="s">
        <v>100</v>
      </c>
      <c r="C228" s="3" t="s">
        <v>220</v>
      </c>
      <c r="D228" s="38">
        <f>IF(OR('RPM &amp; Discounts'!$B$3='A0.Support'!$B$3,'RPM &amp; Discounts'!$B$3='A0.Support'!$B$4),D36,D36*D132)</f>
        <v>4284705.2117928416</v>
      </c>
      <c r="E228" s="38">
        <f>IF(OR('RPM &amp; Discounts'!$B$3='A0.Support'!$B$3,'RPM &amp; Discounts'!$B$3='A0.Support'!$B$4),E36,E36*E132)</f>
        <v>4252056.9068839774</v>
      </c>
      <c r="F228" s="38">
        <f>IF(OR('RPM &amp; Discounts'!$B$3='A0.Support'!$B$3,'RPM &amp; Discounts'!$B$3='A0.Support'!$B$4),F36,F36*F132)</f>
        <v>4252056.9068839774</v>
      </c>
      <c r="G228" s="38">
        <f>IF(OR('RPM &amp; Discounts'!$B$3='A0.Support'!$B$3,'RPM &amp; Discounts'!$B$3='A0.Support'!$B$4),G36,G36*G132)</f>
        <v>4252056.9068839774</v>
      </c>
      <c r="K228"/>
      <c r="L228"/>
      <c r="M228"/>
      <c r="N228"/>
      <c r="O228"/>
    </row>
    <row r="229" spans="2:15" ht="14.4" customHeight="1" x14ac:dyDescent="0.3">
      <c r="B229" s="36" t="s">
        <v>102</v>
      </c>
      <c r="C229" s="3" t="s">
        <v>220</v>
      </c>
      <c r="D229" s="38">
        <f>IF(OR('RPM &amp; Discounts'!$B$3='A0.Support'!$B$3,'RPM &amp; Discounts'!$B$3='A0.Support'!$B$4),D37,D37*D133)</f>
        <v>0</v>
      </c>
      <c r="E229" s="38">
        <f>IF(OR('RPM &amp; Discounts'!$B$3='A0.Support'!$B$3,'RPM &amp; Discounts'!$B$3='A0.Support'!$B$4),E37,E37*E133)</f>
        <v>0</v>
      </c>
      <c r="F229" s="38">
        <f>IF(OR('RPM &amp; Discounts'!$B$3='A0.Support'!$B$3,'RPM &amp; Discounts'!$B$3='A0.Support'!$B$4),F37,F37*F133)</f>
        <v>0</v>
      </c>
      <c r="G229" s="38">
        <f>IF(OR('RPM &amp; Discounts'!$B$3='A0.Support'!$B$3,'RPM &amp; Discounts'!$B$3='A0.Support'!$B$4),G37,G37*G133)</f>
        <v>0</v>
      </c>
      <c r="K229"/>
      <c r="L229"/>
      <c r="M229"/>
      <c r="N229"/>
      <c r="O229"/>
    </row>
    <row r="230" spans="2:15" ht="14.4" customHeight="1" x14ac:dyDescent="0.3">
      <c r="B230" s="36" t="s">
        <v>103</v>
      </c>
      <c r="C230" s="3" t="s">
        <v>220</v>
      </c>
      <c r="D230" s="38">
        <f>IF(OR('RPM &amp; Discounts'!$B$3='A0.Support'!$B$3,'RPM &amp; Discounts'!$B$3='A0.Support'!$B$4),D38,D38*D134)</f>
        <v>15738114.016647832</v>
      </c>
      <c r="E230" s="38">
        <f>IF(OR('RPM &amp; Discounts'!$B$3='A0.Support'!$B$3,'RPM &amp; Discounts'!$B$3='A0.Support'!$B$4),E38,E38*E134)</f>
        <v>15618193.80750677</v>
      </c>
      <c r="F230" s="38">
        <f>IF(OR('RPM &amp; Discounts'!$B$3='A0.Support'!$B$3,'RPM &amp; Discounts'!$B$3='A0.Support'!$B$4),F38,F38*F134)</f>
        <v>15618193.80750677</v>
      </c>
      <c r="G230" s="38">
        <f>IF(OR('RPM &amp; Discounts'!$B$3='A0.Support'!$B$3,'RPM &amp; Discounts'!$B$3='A0.Support'!$B$4),G38,G38*G134)</f>
        <v>15618193.80750677</v>
      </c>
      <c r="K230"/>
      <c r="L230"/>
      <c r="M230"/>
      <c r="N230"/>
      <c r="O230"/>
    </row>
    <row r="231" spans="2:15" ht="14.4" customHeight="1" x14ac:dyDescent="0.3">
      <c r="B231" s="36" t="s">
        <v>105</v>
      </c>
      <c r="C231" s="3" t="s">
        <v>220</v>
      </c>
      <c r="D231" s="38">
        <f>IF(OR('RPM &amp; Discounts'!$B$3='A0.Support'!$B$3,'RPM &amp; Discounts'!$B$3='A0.Support'!$B$4),D39,D39*D135)</f>
        <v>564364.3645555065</v>
      </c>
      <c r="E231" s="38">
        <f>IF(OR('RPM &amp; Discounts'!$B$3='A0.Support'!$B$3,'RPM &amp; Discounts'!$B$3='A0.Support'!$B$4),E39,E39*E135)</f>
        <v>560064.05941362807</v>
      </c>
      <c r="F231" s="38">
        <f>IF(OR('RPM &amp; Discounts'!$B$3='A0.Support'!$B$3,'RPM &amp; Discounts'!$B$3='A0.Support'!$B$4),F39,F39*F135)</f>
        <v>560064.05941362807</v>
      </c>
      <c r="G231" s="38">
        <f>IF(OR('RPM &amp; Discounts'!$B$3='A0.Support'!$B$3,'RPM &amp; Discounts'!$B$3='A0.Support'!$B$4),G39,G39*G135)</f>
        <v>560064.05941362807</v>
      </c>
      <c r="K231"/>
      <c r="L231"/>
      <c r="M231"/>
      <c r="N231"/>
      <c r="O231"/>
    </row>
    <row r="232" spans="2:15" ht="14.4" customHeight="1" x14ac:dyDescent="0.3">
      <c r="B232" s="36" t="s">
        <v>107</v>
      </c>
      <c r="C232" s="3" t="s">
        <v>220</v>
      </c>
      <c r="D232" s="38">
        <f>IF(OR('RPM &amp; Discounts'!$B$3='A0.Support'!$B$3,'RPM &amp; Discounts'!$B$3='A0.Support'!$B$4),D40,D40*D136)</f>
        <v>0</v>
      </c>
      <c r="E232" s="38">
        <f>IF(OR('RPM &amp; Discounts'!$B$3='A0.Support'!$B$3,'RPM &amp; Discounts'!$B$3='A0.Support'!$B$4),E40,E40*E136)</f>
        <v>0</v>
      </c>
      <c r="F232" s="38">
        <f>IF(OR('RPM &amp; Discounts'!$B$3='A0.Support'!$B$3,'RPM &amp; Discounts'!$B$3='A0.Support'!$B$4),F40,F40*F136)</f>
        <v>0</v>
      </c>
      <c r="G232" s="38">
        <f>IF(OR('RPM &amp; Discounts'!$B$3='A0.Support'!$B$3,'RPM &amp; Discounts'!$B$3='A0.Support'!$B$4),G40,G40*G136)</f>
        <v>0</v>
      </c>
      <c r="K232"/>
      <c r="L232"/>
      <c r="M232"/>
      <c r="N232"/>
      <c r="O232"/>
    </row>
    <row r="233" spans="2:15" ht="14.4" customHeight="1" x14ac:dyDescent="0.3">
      <c r="B233" s="36" t="s">
        <v>108</v>
      </c>
      <c r="C233" s="3" t="s">
        <v>220</v>
      </c>
      <c r="D233" s="38">
        <f>IF(OR('RPM &amp; Discounts'!$B$3='A0.Support'!$B$3,'RPM &amp; Discounts'!$B$3='A0.Support'!$B$4),D41,D41*D137)</f>
        <v>20869.226753017298</v>
      </c>
      <c r="E233" s="38">
        <f>IF(OR('RPM &amp; Discounts'!$B$3='A0.Support'!$B$3,'RPM &amp; Discounts'!$B$3='A0.Support'!$B$4),E41,E41*E137)</f>
        <v>20710.208840566873</v>
      </c>
      <c r="F233" s="38">
        <f>IF(OR('RPM &amp; Discounts'!$B$3='A0.Support'!$B$3,'RPM &amp; Discounts'!$B$3='A0.Support'!$B$4),F41,F41*F137)</f>
        <v>20710.208840566873</v>
      </c>
      <c r="G233" s="38">
        <f>IF(OR('RPM &amp; Discounts'!$B$3='A0.Support'!$B$3,'RPM &amp; Discounts'!$B$3='A0.Support'!$B$4),G41,G41*G137)</f>
        <v>20710.208840566873</v>
      </c>
      <c r="K233"/>
      <c r="L233"/>
      <c r="M233"/>
      <c r="N233"/>
      <c r="O233"/>
    </row>
    <row r="234" spans="2:15" ht="14.4" customHeight="1" x14ac:dyDescent="0.3">
      <c r="B234" s="36" t="s">
        <v>110</v>
      </c>
      <c r="C234" s="3" t="s">
        <v>220</v>
      </c>
      <c r="D234" s="38">
        <f>IF(OR('RPM &amp; Discounts'!$B$3='A0.Support'!$B$3,'RPM &amp; Discounts'!$B$3='A0.Support'!$B$4),D42,D42*D138)</f>
        <v>736429.46170075191</v>
      </c>
      <c r="E234" s="38">
        <f>IF(OR('RPM &amp; Discounts'!$B$3='A0.Support'!$B$3,'RPM &amp; Discounts'!$B$3='A0.Support'!$B$4),E42,E42*E138)</f>
        <v>730818.06665231229</v>
      </c>
      <c r="F234" s="38">
        <f>IF(OR('RPM &amp; Discounts'!$B$3='A0.Support'!$B$3,'RPM &amp; Discounts'!$B$3='A0.Support'!$B$4),F42,F42*F138)</f>
        <v>730818.06665231229</v>
      </c>
      <c r="G234" s="38">
        <f>IF(OR('RPM &amp; Discounts'!$B$3='A0.Support'!$B$3,'RPM &amp; Discounts'!$B$3='A0.Support'!$B$4),G42,G42*G138)</f>
        <v>730818.06665231229</v>
      </c>
      <c r="K234"/>
      <c r="L234"/>
      <c r="M234"/>
      <c r="N234"/>
      <c r="O234"/>
    </row>
    <row r="235" spans="2:15" ht="14.4" customHeight="1" x14ac:dyDescent="0.3">
      <c r="B235" s="36" t="s">
        <v>112</v>
      </c>
      <c r="C235" s="3" t="s">
        <v>220</v>
      </c>
      <c r="D235" s="38">
        <f>IF(OR('RPM &amp; Discounts'!$B$3='A0.Support'!$B$3,'RPM &amp; Discounts'!$B$3='A0.Support'!$B$4),D43,D43*D139)</f>
        <v>209875.17888524762</v>
      </c>
      <c r="E235" s="38">
        <f>IF(OR('RPM &amp; Discounts'!$B$3='A0.Support'!$B$3,'RPM &amp; Discounts'!$B$3='A0.Support'!$B$4),E43,E43*E139)</f>
        <v>208275.98629337709</v>
      </c>
      <c r="F235" s="38">
        <f>IF(OR('RPM &amp; Discounts'!$B$3='A0.Support'!$B$3,'RPM &amp; Discounts'!$B$3='A0.Support'!$B$4),F43,F43*F139)</f>
        <v>208275.98629337709</v>
      </c>
      <c r="G235" s="38">
        <f>IF(OR('RPM &amp; Discounts'!$B$3='A0.Support'!$B$3,'RPM &amp; Discounts'!$B$3='A0.Support'!$B$4),G43,G43*G139)</f>
        <v>208275.98629337709</v>
      </c>
      <c r="K235"/>
      <c r="L235"/>
      <c r="M235"/>
      <c r="N235"/>
      <c r="O235"/>
    </row>
    <row r="236" spans="2:15" ht="14.4" customHeight="1" x14ac:dyDescent="0.3">
      <c r="B236" s="36" t="s">
        <v>114</v>
      </c>
      <c r="C236" s="3" t="s">
        <v>220</v>
      </c>
      <c r="D236" s="38">
        <f>IF(OR('RPM &amp; Discounts'!$B$3='A0.Support'!$B$3,'RPM &amp; Discounts'!$B$3='A0.Support'!$B$4),D44,D44*D140)</f>
        <v>0</v>
      </c>
      <c r="E236" s="38">
        <f>IF(OR('RPM &amp; Discounts'!$B$3='A0.Support'!$B$3,'RPM &amp; Discounts'!$B$3='A0.Support'!$B$4),E44,E44*E140)</f>
        <v>0</v>
      </c>
      <c r="F236" s="38">
        <f>IF(OR('RPM &amp; Discounts'!$B$3='A0.Support'!$B$3,'RPM &amp; Discounts'!$B$3='A0.Support'!$B$4),F44,F44*F140)</f>
        <v>0</v>
      </c>
      <c r="G236" s="38">
        <f>IF(OR('RPM &amp; Discounts'!$B$3='A0.Support'!$B$3,'RPM &amp; Discounts'!$B$3='A0.Support'!$B$4),G44,G44*G140)</f>
        <v>0</v>
      </c>
      <c r="K236"/>
      <c r="L236"/>
      <c r="M236"/>
      <c r="N236"/>
      <c r="O236"/>
    </row>
    <row r="237" spans="2:15" ht="14.4" customHeight="1" x14ac:dyDescent="0.3">
      <c r="B237" s="36" t="s">
        <v>116</v>
      </c>
      <c r="C237" s="3" t="s">
        <v>220</v>
      </c>
      <c r="D237" s="38">
        <f>IF(OR('RPM &amp; Discounts'!$B$3='A0.Support'!$B$3,'RPM &amp; Discounts'!$B$3='A0.Support'!$B$4),D45,D45*D141)</f>
        <v>499670.43381667946</v>
      </c>
      <c r="E237" s="38">
        <f>IF(OR('RPM &amp; Discounts'!$B$3='A0.Support'!$B$3,'RPM &amp; Discounts'!$B$3='A0.Support'!$B$4),E45,E45*E141)</f>
        <v>495863.07908144762</v>
      </c>
      <c r="F237" s="38">
        <f>IF(OR('RPM &amp; Discounts'!$B$3='A0.Support'!$B$3,'RPM &amp; Discounts'!$B$3='A0.Support'!$B$4),F45,F45*F141)</f>
        <v>495863.07908144762</v>
      </c>
      <c r="G237" s="38">
        <f>IF(OR('RPM &amp; Discounts'!$B$3='A0.Support'!$B$3,'RPM &amp; Discounts'!$B$3='A0.Support'!$B$4),G45,G45*G141)</f>
        <v>495863.07908144762</v>
      </c>
      <c r="K237"/>
      <c r="L237"/>
      <c r="M237"/>
      <c r="N237"/>
      <c r="O237"/>
    </row>
    <row r="238" spans="2:15" ht="14.4" customHeight="1" x14ac:dyDescent="0.3">
      <c r="B238" s="36" t="s">
        <v>118</v>
      </c>
      <c r="C238" s="3" t="s">
        <v>220</v>
      </c>
      <c r="D238" s="38">
        <f>IF(OR('RPM &amp; Discounts'!$B$3='A0.Support'!$B$3,'RPM &amp; Discounts'!$B$3='A0.Support'!$B$4),D46,D46*D142)</f>
        <v>0</v>
      </c>
      <c r="E238" s="38">
        <f>IF(OR('RPM &amp; Discounts'!$B$3='A0.Support'!$B$3,'RPM &amp; Discounts'!$B$3='A0.Support'!$B$4),E46,E46*E142)</f>
        <v>0</v>
      </c>
      <c r="F238" s="38">
        <f>IF(OR('RPM &amp; Discounts'!$B$3='A0.Support'!$B$3,'RPM &amp; Discounts'!$B$3='A0.Support'!$B$4),F46,F46*F142)</f>
        <v>0</v>
      </c>
      <c r="G238" s="38">
        <f>IF(OR('RPM &amp; Discounts'!$B$3='A0.Support'!$B$3,'RPM &amp; Discounts'!$B$3='A0.Support'!$B$4),G46,G46*G142)</f>
        <v>0</v>
      </c>
      <c r="K238"/>
      <c r="L238"/>
      <c r="M238"/>
      <c r="N238"/>
      <c r="O238"/>
    </row>
    <row r="239" spans="2:15" ht="14.4" customHeight="1" x14ac:dyDescent="0.3">
      <c r="B239" s="36" t="s">
        <v>120</v>
      </c>
      <c r="C239" s="3" t="s">
        <v>220</v>
      </c>
      <c r="D239" s="38">
        <f>IF(OR('RPM &amp; Discounts'!$B$3='A0.Support'!$B$3,'RPM &amp; Discounts'!$B$3='A0.Support'!$B$4),D47,D47*D143)</f>
        <v>224647.13389702988</v>
      </c>
      <c r="E239" s="38">
        <f>IF(OR('RPM &amp; Discounts'!$B$3='A0.Support'!$B$3,'RPM &amp; Discounts'!$B$3='A0.Support'!$B$4),E47,E47*E143)</f>
        <v>222935.38296859112</v>
      </c>
      <c r="F239" s="38">
        <f>IF(OR('RPM &amp; Discounts'!$B$3='A0.Support'!$B$3,'RPM &amp; Discounts'!$B$3='A0.Support'!$B$4),F47,F47*F143)</f>
        <v>222935.38296859112</v>
      </c>
      <c r="G239" s="38">
        <f>IF(OR('RPM &amp; Discounts'!$B$3='A0.Support'!$B$3,'RPM &amp; Discounts'!$B$3='A0.Support'!$B$4),G47,G47*G143)</f>
        <v>222935.38296859112</v>
      </c>
      <c r="K239"/>
      <c r="L239"/>
      <c r="M239"/>
      <c r="N239"/>
      <c r="O239"/>
    </row>
    <row r="240" spans="2:15" ht="14.4" customHeight="1" x14ac:dyDescent="0.3">
      <c r="B240" s="36" t="s">
        <v>122</v>
      </c>
      <c r="C240" s="3" t="s">
        <v>220</v>
      </c>
      <c r="D240" s="38">
        <f>IF(OR('RPM &amp; Discounts'!$B$3='A0.Support'!$B$3,'RPM &amp; Discounts'!$B$3='A0.Support'!$B$4),D48,D48*D144)</f>
        <v>638900.91829231777</v>
      </c>
      <c r="E240" s="38">
        <f>IF(OR('RPM &amp; Discounts'!$B$3='A0.Support'!$B$3,'RPM &amp; Discounts'!$B$3='A0.Support'!$B$4),E48,E48*E144)</f>
        <v>634032.66459552874</v>
      </c>
      <c r="F240" s="38">
        <f>IF(OR('RPM &amp; Discounts'!$B$3='A0.Support'!$B$3,'RPM &amp; Discounts'!$B$3='A0.Support'!$B$4),F48,F48*F144)</f>
        <v>634032.66459552874</v>
      </c>
      <c r="G240" s="38">
        <f>IF(OR('RPM &amp; Discounts'!$B$3='A0.Support'!$B$3,'RPM &amp; Discounts'!$B$3='A0.Support'!$B$4),G48,G48*G144)</f>
        <v>634032.66459552874</v>
      </c>
      <c r="K240"/>
      <c r="L240"/>
      <c r="M240"/>
      <c r="N240"/>
      <c r="O240"/>
    </row>
    <row r="241" spans="2:15" ht="14.4" customHeight="1" x14ac:dyDescent="0.3">
      <c r="B241" s="36" t="s">
        <v>124</v>
      </c>
      <c r="C241" s="3" t="s">
        <v>220</v>
      </c>
      <c r="D241" s="38">
        <f>IF(OR('RPM &amp; Discounts'!$B$3='A0.Support'!$B$3,'RPM &amp; Discounts'!$B$3='A0.Support'!$B$4),D49,D49*D145)</f>
        <v>1330342.1666594301</v>
      </c>
      <c r="E241" s="38">
        <f>IF(OR('RPM &amp; Discounts'!$B$3='A0.Support'!$B$3,'RPM &amp; Discounts'!$B$3='A0.Support'!$B$4),E49,E49*E145)</f>
        <v>1320205.3160376707</v>
      </c>
      <c r="F241" s="38">
        <f>IF(OR('RPM &amp; Discounts'!$B$3='A0.Support'!$B$3,'RPM &amp; Discounts'!$B$3='A0.Support'!$B$4),F49,F49*F145)</f>
        <v>1320205.3160376707</v>
      </c>
      <c r="G241" s="38">
        <f>IF(OR('RPM &amp; Discounts'!$B$3='A0.Support'!$B$3,'RPM &amp; Discounts'!$B$3='A0.Support'!$B$4),G49,G49*G145)</f>
        <v>1320205.3160376707</v>
      </c>
      <c r="K241"/>
      <c r="L241"/>
      <c r="M241"/>
      <c r="N241"/>
      <c r="O241"/>
    </row>
    <row r="242" spans="2:15" ht="14.4" customHeight="1" x14ac:dyDescent="0.3">
      <c r="B242" s="36" t="s">
        <v>126</v>
      </c>
      <c r="C242" s="3" t="s">
        <v>220</v>
      </c>
      <c r="D242" s="38">
        <f>IF(OR('RPM &amp; Discounts'!$B$3='A0.Support'!$B$3,'RPM &amp; Discounts'!$B$3='A0.Support'!$B$4),D50,D50*D146)</f>
        <v>341981.15463766438</v>
      </c>
      <c r="E242" s="38">
        <f>IF(OR('RPM &amp; Discounts'!$B$3='A0.Support'!$B$3,'RPM &amp; Discounts'!$B$3='A0.Support'!$B$4),E50,E50*E146)</f>
        <v>339375.34993050131</v>
      </c>
      <c r="F242" s="38">
        <f>IF(OR('RPM &amp; Discounts'!$B$3='A0.Support'!$B$3,'RPM &amp; Discounts'!$B$3='A0.Support'!$B$4),F50,F50*F146)</f>
        <v>339375.34993050131</v>
      </c>
      <c r="G242" s="38">
        <f>IF(OR('RPM &amp; Discounts'!$B$3='A0.Support'!$B$3,'RPM &amp; Discounts'!$B$3='A0.Support'!$B$4),G50,G50*G146)</f>
        <v>339375.34993050131</v>
      </c>
      <c r="K242"/>
      <c r="L242"/>
      <c r="M242"/>
      <c r="N242"/>
      <c r="O242"/>
    </row>
    <row r="243" spans="2:15" ht="14.4" customHeight="1" x14ac:dyDescent="0.3">
      <c r="B243" s="36" t="s">
        <v>128</v>
      </c>
      <c r="C243" s="3" t="s">
        <v>220</v>
      </c>
      <c r="D243" s="38">
        <f>IF(OR('RPM &amp; Discounts'!$B$3='A0.Support'!$B$3,'RPM &amp; Discounts'!$B$3='A0.Support'!$B$4),D51,D51*D147)</f>
        <v>1269093.6963094699</v>
      </c>
      <c r="E243" s="38">
        <f>IF(OR('RPM &amp; Discounts'!$B$3='A0.Support'!$B$3,'RPM &amp; Discounts'!$B$3='A0.Support'!$B$4),E51,E51*E147)</f>
        <v>1259423.5426099827</v>
      </c>
      <c r="F243" s="38">
        <f>IF(OR('RPM &amp; Discounts'!$B$3='A0.Support'!$B$3,'RPM &amp; Discounts'!$B$3='A0.Support'!$B$4),F51,F51*F147)</f>
        <v>1259423.5426099827</v>
      </c>
      <c r="G243" s="38">
        <f>IF(OR('RPM &amp; Discounts'!$B$3='A0.Support'!$B$3,'RPM &amp; Discounts'!$B$3='A0.Support'!$B$4),G51,G51*G147)</f>
        <v>1259423.5426099827</v>
      </c>
      <c r="K243"/>
      <c r="L243"/>
      <c r="M243"/>
      <c r="N243"/>
      <c r="O243"/>
    </row>
    <row r="244" spans="2:15" ht="14.4" customHeight="1" x14ac:dyDescent="0.3">
      <c r="B244" s="36" t="s">
        <v>130</v>
      </c>
      <c r="C244" s="3" t="s">
        <v>220</v>
      </c>
      <c r="D244" s="38">
        <f>IF(OR('RPM &amp; Discounts'!$B$3='A0.Support'!$B$3,'RPM &amp; Discounts'!$B$3='A0.Support'!$B$4),D52,D52*D148)</f>
        <v>947879.86969386134</v>
      </c>
      <c r="E244" s="38">
        <f>IF(OR('RPM &amp; Discounts'!$B$3='A0.Support'!$B$3,'RPM &amp; Discounts'!$B$3='A0.Support'!$B$4),E52,E52*E148)</f>
        <v>940657.27923009603</v>
      </c>
      <c r="F244" s="38">
        <f>IF(OR('RPM &amp; Discounts'!$B$3='A0.Support'!$B$3,'RPM &amp; Discounts'!$B$3='A0.Support'!$B$4),F52,F52*F148)</f>
        <v>940657.27923009603</v>
      </c>
      <c r="G244" s="38">
        <f>IF(OR('RPM &amp; Discounts'!$B$3='A0.Support'!$B$3,'RPM &amp; Discounts'!$B$3='A0.Support'!$B$4),G52,G52*G148)</f>
        <v>940657.27923009603</v>
      </c>
      <c r="K244"/>
      <c r="L244"/>
      <c r="M244"/>
      <c r="N244"/>
      <c r="O244"/>
    </row>
    <row r="245" spans="2:15" ht="14.4" customHeight="1" x14ac:dyDescent="0.3">
      <c r="B245" s="36" t="s">
        <v>131</v>
      </c>
      <c r="C245" s="3" t="s">
        <v>220</v>
      </c>
      <c r="D245" s="38">
        <f>IF(OR('RPM &amp; Discounts'!$B$3='A0.Support'!$B$3,'RPM &amp; Discounts'!$B$3='A0.Support'!$B$4),D53,D53*D149)</f>
        <v>30143.844531039373</v>
      </c>
      <c r="E245" s="38">
        <f>IF(OR('RPM &amp; Discounts'!$B$3='A0.Support'!$B$3,'RPM &amp; Discounts'!$B$3='A0.Support'!$B$4),E53,E53*E149)</f>
        <v>29914.156517808937</v>
      </c>
      <c r="F245" s="38">
        <f>IF(OR('RPM &amp; Discounts'!$B$3='A0.Support'!$B$3,'RPM &amp; Discounts'!$B$3='A0.Support'!$B$4),F53,F53*F149)</f>
        <v>29914.156517808937</v>
      </c>
      <c r="G245" s="38">
        <f>IF(OR('RPM &amp; Discounts'!$B$3='A0.Support'!$B$3,'RPM &amp; Discounts'!$B$3='A0.Support'!$B$4),G53,G53*G149)</f>
        <v>29914.156517808937</v>
      </c>
      <c r="K245"/>
      <c r="L245"/>
      <c r="M245"/>
      <c r="N245"/>
      <c r="O245"/>
    </row>
    <row r="246" spans="2:15" ht="14.4" customHeight="1" x14ac:dyDescent="0.3">
      <c r="B246" s="36" t="s">
        <v>133</v>
      </c>
      <c r="C246" s="3" t="s">
        <v>220</v>
      </c>
      <c r="D246" s="38">
        <f>IF(OR('RPM &amp; Discounts'!$B$3='A0.Support'!$B$3,'RPM &amp; Discounts'!$B$3='A0.Support'!$B$4),D54,D54*D150)</f>
        <v>1274224.534209532</v>
      </c>
      <c r="E246" s="38">
        <f>IF(OR('RPM &amp; Discounts'!$B$3='A0.Support'!$B$3,'RPM &amp; Discounts'!$B$3='A0.Support'!$B$4),E54,E54*E150)</f>
        <v>1264515.2849009146</v>
      </c>
      <c r="F246" s="38">
        <f>IF(OR('RPM &amp; Discounts'!$B$3='A0.Support'!$B$3,'RPM &amp; Discounts'!$B$3='A0.Support'!$B$4),F54,F54*F150)</f>
        <v>1264515.2849009146</v>
      </c>
      <c r="G246" s="38">
        <f>IF(OR('RPM &amp; Discounts'!$B$3='A0.Support'!$B$3,'RPM &amp; Discounts'!$B$3='A0.Support'!$B$4),G54,G54*G150)</f>
        <v>1264515.2849009146</v>
      </c>
      <c r="K246"/>
      <c r="L246"/>
      <c r="M246"/>
      <c r="N246"/>
      <c r="O246"/>
    </row>
    <row r="247" spans="2:15" ht="14.4" customHeight="1" x14ac:dyDescent="0.3">
      <c r="B247" s="36" t="s">
        <v>135</v>
      </c>
      <c r="C247" s="3" t="s">
        <v>220</v>
      </c>
      <c r="D247" s="38">
        <f>IF(OR('RPM &amp; Discounts'!$B$3='A0.Support'!$B$3,'RPM &amp; Discounts'!$B$3='A0.Support'!$B$4),D55,D55*D151)</f>
        <v>990237.81248632586</v>
      </c>
      <c r="E247" s="38">
        <f>IF(OR('RPM &amp; Discounts'!$B$3='A0.Support'!$B$3,'RPM &amp; Discounts'!$B$3='A0.Support'!$B$4),E55,E55*E151)</f>
        <v>982692.46585539309</v>
      </c>
      <c r="F247" s="38">
        <f>IF(OR('RPM &amp; Discounts'!$B$3='A0.Support'!$B$3,'RPM &amp; Discounts'!$B$3='A0.Support'!$B$4),F55,F55*F151)</f>
        <v>982692.46585539309</v>
      </c>
      <c r="G247" s="38">
        <f>IF(OR('RPM &amp; Discounts'!$B$3='A0.Support'!$B$3,'RPM &amp; Discounts'!$B$3='A0.Support'!$B$4),G55,G55*G151)</f>
        <v>982692.46585539309</v>
      </c>
      <c r="K247"/>
      <c r="L247"/>
      <c r="M247"/>
      <c r="N247"/>
      <c r="O247"/>
    </row>
    <row r="248" spans="2:15" ht="14.4" customHeight="1" x14ac:dyDescent="0.3">
      <c r="B248" s="36" t="s">
        <v>136</v>
      </c>
      <c r="C248" s="3" t="s">
        <v>220</v>
      </c>
      <c r="D248" s="38">
        <f>IF(OR('RPM &amp; Discounts'!$B$3='A0.Support'!$B$3,'RPM &amp; Discounts'!$B$3='A0.Support'!$B$4),D56,D56*D152)</f>
        <v>1636808.6345086605</v>
      </c>
      <c r="E248" s="38">
        <f>IF(OR('RPM &amp; Discounts'!$B$3='A0.Support'!$B$3,'RPM &amp; Discounts'!$B$3='A0.Support'!$B$4),E56,E56*E152)</f>
        <v>1624336.5915709524</v>
      </c>
      <c r="F248" s="38">
        <f>IF(OR('RPM &amp; Discounts'!$B$3='A0.Support'!$B$3,'RPM &amp; Discounts'!$B$3='A0.Support'!$B$4),F56,F56*F152)</f>
        <v>1624336.5915709524</v>
      </c>
      <c r="G248" s="38">
        <f>IF(OR('RPM &amp; Discounts'!$B$3='A0.Support'!$B$3,'RPM &amp; Discounts'!$B$3='A0.Support'!$B$4),G56,G56*G152)</f>
        <v>1624336.5915709524</v>
      </c>
      <c r="K248"/>
      <c r="L248"/>
      <c r="M248"/>
      <c r="N248"/>
      <c r="O248"/>
    </row>
    <row r="249" spans="2:15" ht="14.4" customHeight="1" x14ac:dyDescent="0.3">
      <c r="B249" s="36" t="s">
        <v>138</v>
      </c>
      <c r="C249" s="3" t="s">
        <v>220</v>
      </c>
      <c r="D249" s="38">
        <f>IF(OR('RPM &amp; Discounts'!$B$3='A0.Support'!$B$3,'RPM &amp; Discounts'!$B$3='A0.Support'!$B$4),D57,D57*D153)</f>
        <v>369608.39078020526</v>
      </c>
      <c r="E249" s="38">
        <f>IF(OR('RPM &amp; Discounts'!$B$3='A0.Support'!$B$3,'RPM &amp; Discounts'!$B$3='A0.Support'!$B$4),E57,E57*E153)</f>
        <v>366792.07394098502</v>
      </c>
      <c r="F249" s="38">
        <f>IF(OR('RPM &amp; Discounts'!$B$3='A0.Support'!$B$3,'RPM &amp; Discounts'!$B$3='A0.Support'!$B$4),F57,F57*F153)</f>
        <v>366792.07394098502</v>
      </c>
      <c r="G249" s="38">
        <f>IF(OR('RPM &amp; Discounts'!$B$3='A0.Support'!$B$3,'RPM &amp; Discounts'!$B$3='A0.Support'!$B$4),G57,G57*G153)</f>
        <v>366792.07394098502</v>
      </c>
      <c r="K249"/>
      <c r="L249"/>
      <c r="M249"/>
      <c r="N249"/>
      <c r="O249"/>
    </row>
    <row r="250" spans="2:15" ht="14.4" customHeight="1" x14ac:dyDescent="0.3">
      <c r="B250" s="36" t="s">
        <v>140</v>
      </c>
      <c r="C250" s="3" t="s">
        <v>220</v>
      </c>
      <c r="D250" s="38">
        <f>IF(OR('RPM &amp; Discounts'!$B$3='A0.Support'!$B$3,'RPM &amp; Discounts'!$B$3='A0.Support'!$B$4),D58,D58*D154)</f>
        <v>797360.93075124396</v>
      </c>
      <c r="E250" s="38">
        <f>IF(OR('RPM &amp; Discounts'!$B$3='A0.Support'!$B$3,'RPM &amp; Discounts'!$B$3='A0.Support'!$B$4),E58,E58*E154)</f>
        <v>791285.25424544048</v>
      </c>
      <c r="F250" s="38">
        <f>IF(OR('RPM &amp; Discounts'!$B$3='A0.Support'!$B$3,'RPM &amp; Discounts'!$B$3='A0.Support'!$B$4),F58,F58*F154)</f>
        <v>791285.25424544048</v>
      </c>
      <c r="G250" s="38">
        <f>IF(OR('RPM &amp; Discounts'!$B$3='A0.Support'!$B$3,'RPM &amp; Discounts'!$B$3='A0.Support'!$B$4),G58,G58*G154)</f>
        <v>791285.25424544048</v>
      </c>
      <c r="K250"/>
      <c r="L250"/>
      <c r="M250"/>
      <c r="N250"/>
      <c r="O250"/>
    </row>
    <row r="251" spans="2:15" ht="14.4" customHeight="1" x14ac:dyDescent="0.3">
      <c r="B251" s="36" t="s">
        <v>142</v>
      </c>
      <c r="C251" s="3" t="s">
        <v>220</v>
      </c>
      <c r="D251" s="38">
        <f>IF(OR('RPM &amp; Discounts'!$B$3='A0.Support'!$B$3,'RPM &amp; Discounts'!$B$3='A0.Support'!$B$4),D59,D59*D155)</f>
        <v>698325.44718958042</v>
      </c>
      <c r="E251" s="38">
        <f>IF(OR('RPM &amp; Discounts'!$B$3='A0.Support'!$B$3,'RPM &amp; Discounts'!$B$3='A0.Support'!$B$4),E59,E59*E155)</f>
        <v>693004.39451535803</v>
      </c>
      <c r="F251" s="38">
        <f>IF(OR('RPM &amp; Discounts'!$B$3='A0.Support'!$B$3,'RPM &amp; Discounts'!$B$3='A0.Support'!$B$4),F59,F59*F155)</f>
        <v>693004.39451535803</v>
      </c>
      <c r="G251" s="38">
        <f>IF(OR('RPM &amp; Discounts'!$B$3='A0.Support'!$B$3,'RPM &amp; Discounts'!$B$3='A0.Support'!$B$4),G59,G59*G155)</f>
        <v>693004.39451535803</v>
      </c>
      <c r="K251"/>
      <c r="L251"/>
      <c r="M251"/>
      <c r="N251"/>
      <c r="O251"/>
    </row>
    <row r="252" spans="2:15" ht="14.4" customHeight="1" x14ac:dyDescent="0.3">
      <c r="B252" s="36" t="s">
        <v>144</v>
      </c>
      <c r="C252" s="3" t="s">
        <v>220</v>
      </c>
      <c r="D252" s="38">
        <f>IF(OR('RPM &amp; Discounts'!$B$3='A0.Support'!$B$3,'RPM &amp; Discounts'!$B$3='A0.Support'!$B$4),D60,D60*D156)</f>
        <v>18579101.356061917</v>
      </c>
      <c r="E252" s="38">
        <f>IF(OR('RPM &amp; Discounts'!$B$3='A0.Support'!$B$3,'RPM &amp; Discounts'!$B$3='A0.Support'!$B$4),E60,E60*E156)</f>
        <v>18437533.585113302</v>
      </c>
      <c r="F252" s="38">
        <f>IF(OR('RPM &amp; Discounts'!$B$3='A0.Support'!$B$3,'RPM &amp; Discounts'!$B$3='A0.Support'!$B$4),F60,F60*F156)</f>
        <v>18437533.585113302</v>
      </c>
      <c r="G252" s="38">
        <f>IF(OR('RPM &amp; Discounts'!$B$3='A0.Support'!$B$3,'RPM &amp; Discounts'!$B$3='A0.Support'!$B$4),G60,G60*G156)</f>
        <v>18437533.585113302</v>
      </c>
      <c r="K252"/>
      <c r="L252"/>
      <c r="M252"/>
      <c r="N252"/>
      <c r="O252"/>
    </row>
    <row r="253" spans="2:15" ht="14.4" customHeight="1" x14ac:dyDescent="0.3">
      <c r="B253" s="36" t="s">
        <v>146</v>
      </c>
      <c r="C253" s="3" t="s">
        <v>220</v>
      </c>
      <c r="D253" s="38">
        <f>IF(OR('RPM &amp; Discounts'!$B$3='A0.Support'!$B$3,'RPM &amp; Discounts'!$B$3='A0.Support'!$B$4),D61,D61*D157)</f>
        <v>2283426.662989567</v>
      </c>
      <c r="E253" s="38">
        <f>IF(OR('RPM &amp; Discounts'!$B$3='A0.Support'!$B$3,'RPM &amp; Discounts'!$B$3='A0.Support'!$B$4),E61,E61*E157)</f>
        <v>2266027.5640445263</v>
      </c>
      <c r="F253" s="38">
        <f>IF(OR('RPM &amp; Discounts'!$B$3='A0.Support'!$B$3,'RPM &amp; Discounts'!$B$3='A0.Support'!$B$4),F61,F61*F157)</f>
        <v>2266027.5640445263</v>
      </c>
      <c r="G253" s="38">
        <f>IF(OR('RPM &amp; Discounts'!$B$3='A0.Support'!$B$3,'RPM &amp; Discounts'!$B$3='A0.Support'!$B$4),G61,G61*G157)</f>
        <v>2266027.5640445263</v>
      </c>
      <c r="K253"/>
      <c r="L253"/>
      <c r="M253"/>
      <c r="N253"/>
      <c r="O253"/>
    </row>
    <row r="254" spans="2:15" ht="14.4" customHeight="1" x14ac:dyDescent="0.3">
      <c r="B254" s="36" t="s">
        <v>148</v>
      </c>
      <c r="C254" s="3" t="s">
        <v>220</v>
      </c>
      <c r="D254" s="38">
        <f>IF(OR('RPM &amp; Discounts'!$B$3='A0.Support'!$B$3,'RPM &amp; Discounts'!$B$3='A0.Support'!$B$4),D62,D62*D158)</f>
        <v>1945380.6020732003</v>
      </c>
      <c r="E254" s="38">
        <f>IF(OR('RPM &amp; Discounts'!$B$3='A0.Support'!$B$3,'RPM &amp; Discounts'!$B$3='A0.Support'!$B$4),E62,E62*E158)</f>
        <v>1930557.3234762345</v>
      </c>
      <c r="F254" s="38">
        <f>IF(OR('RPM &amp; Discounts'!$B$3='A0.Support'!$B$3,'RPM &amp; Discounts'!$B$3='A0.Support'!$B$4),F62,F62*F158)</f>
        <v>1930557.3234762345</v>
      </c>
      <c r="G254" s="38">
        <f>IF(OR('RPM &amp; Discounts'!$B$3='A0.Support'!$B$3,'RPM &amp; Discounts'!$B$3='A0.Support'!$B$4),G62,G62*G158)</f>
        <v>1930557.3234762345</v>
      </c>
      <c r="K254"/>
      <c r="L254"/>
      <c r="M254"/>
      <c r="N254"/>
      <c r="O254"/>
    </row>
    <row r="255" spans="2:15" ht="14.4" customHeight="1" x14ac:dyDescent="0.3">
      <c r="B255" s="36" t="s">
        <v>150</v>
      </c>
      <c r="C255" s="3" t="s">
        <v>220</v>
      </c>
      <c r="D255" s="38">
        <f>IF(OR('RPM &amp; Discounts'!$B$3='A0.Support'!$B$3,'RPM &amp; Discounts'!$B$3='A0.Support'!$B$4),D63,D63*D159)</f>
        <v>5473803.2100593867</v>
      </c>
      <c r="E255" s="38">
        <f>IF(OR('RPM &amp; Discounts'!$B$3='A0.Support'!$B$3,'RPM &amp; Discounts'!$B$3='A0.Support'!$B$4),E63,E63*E159)</f>
        <v>5432094.2972218646</v>
      </c>
      <c r="F255" s="38">
        <f>IF(OR('RPM &amp; Discounts'!$B$3='A0.Support'!$B$3,'RPM &amp; Discounts'!$B$3='A0.Support'!$B$4),F63,F63*F159)</f>
        <v>5432094.2972218646</v>
      </c>
      <c r="G255" s="38">
        <f>IF(OR('RPM &amp; Discounts'!$B$3='A0.Support'!$B$3,'RPM &amp; Discounts'!$B$3='A0.Support'!$B$4),G63,G63*G159)</f>
        <v>5432094.2972218646</v>
      </c>
      <c r="K255"/>
      <c r="L255"/>
      <c r="M255"/>
      <c r="N255"/>
      <c r="O255"/>
    </row>
    <row r="256" spans="2:15" ht="14.4" customHeight="1" x14ac:dyDescent="0.3">
      <c r="B256" s="36" t="s">
        <v>152</v>
      </c>
      <c r="C256" s="3" t="s">
        <v>220</v>
      </c>
      <c r="D256" s="38">
        <f>IF(OR('RPM &amp; Discounts'!$B$3='A0.Support'!$B$3,'RPM &amp; Discounts'!$B$3='A0.Support'!$B$4),D64,D64*D160)</f>
        <v>3806542.4377077217</v>
      </c>
      <c r="E256" s="38">
        <f>IF(OR('RPM &amp; Discounts'!$B$3='A0.Support'!$B$3,'RPM &amp; Discounts'!$B$3='A0.Support'!$B$4),E64,E64*E160)</f>
        <v>3777537.6049335171</v>
      </c>
      <c r="F256" s="38">
        <f>IF(OR('RPM &amp; Discounts'!$B$3='A0.Support'!$B$3,'RPM &amp; Discounts'!$B$3='A0.Support'!$B$4),F64,F64*F160)</f>
        <v>3777537.6049335171</v>
      </c>
      <c r="G256" s="38">
        <f>IF(OR('RPM &amp; Discounts'!$B$3='A0.Support'!$B$3,'RPM &amp; Discounts'!$B$3='A0.Support'!$B$4),G64,G64*G160)</f>
        <v>3777537.6049335171</v>
      </c>
      <c r="K256"/>
      <c r="L256"/>
      <c r="M256"/>
      <c r="N256"/>
      <c r="O256"/>
    </row>
    <row r="257" spans="2:15" ht="14.4" customHeight="1" x14ac:dyDescent="0.3">
      <c r="B257" s="36" t="s">
        <v>154</v>
      </c>
      <c r="C257" s="3" t="s">
        <v>220</v>
      </c>
      <c r="D257" s="38">
        <f>IF(OR('RPM &amp; Discounts'!$B$3='A0.Support'!$B$3,'RPM &amp; Discounts'!$B$3='A0.Support'!$B$4),D65,D65*D161)</f>
        <v>3500058.2483400628</v>
      </c>
      <c r="E257" s="38">
        <f>IF(OR('RPM &amp; Discounts'!$B$3='A0.Support'!$B$3,'RPM &amp; Discounts'!$B$3='A0.Support'!$B$4),E65,E65*E161)</f>
        <v>3473388.7429150254</v>
      </c>
      <c r="F257" s="38">
        <f>IF(OR('RPM &amp; Discounts'!$B$3='A0.Support'!$B$3,'RPM &amp; Discounts'!$B$3='A0.Support'!$B$4),F65,F65*F161)</f>
        <v>3473388.7429150254</v>
      </c>
      <c r="G257" s="38">
        <f>IF(OR('RPM &amp; Discounts'!$B$3='A0.Support'!$B$3,'RPM &amp; Discounts'!$B$3='A0.Support'!$B$4),G65,G65*G161)</f>
        <v>3473388.7429150254</v>
      </c>
      <c r="K257"/>
      <c r="L257"/>
      <c r="M257"/>
      <c r="N257"/>
      <c r="O257"/>
    </row>
    <row r="258" spans="2:15" ht="14.4" customHeight="1" x14ac:dyDescent="0.3">
      <c r="B258" s="36" t="s">
        <v>156</v>
      </c>
      <c r="C258" s="3" t="s">
        <v>220</v>
      </c>
      <c r="D258" s="38">
        <f>IF(OR('RPM &amp; Discounts'!$B$3='A0.Support'!$B$3,'RPM &amp; Discounts'!$B$3='A0.Support'!$B$4),D66,D66*D162)</f>
        <v>439099.35323146195</v>
      </c>
      <c r="E258" s="38">
        <f>IF(OR('RPM &amp; Discounts'!$B$3='A0.Support'!$B$3,'RPM &amp; Discounts'!$B$3='A0.Support'!$B$4),E66,E66*E162)</f>
        <v>435753.5338901151</v>
      </c>
      <c r="F258" s="38">
        <f>IF(OR('RPM &amp; Discounts'!$B$3='A0.Support'!$B$3,'RPM &amp; Discounts'!$B$3='A0.Support'!$B$4),F66,F66*F162)</f>
        <v>435753.5338901151</v>
      </c>
      <c r="G258" s="38">
        <f>IF(OR('RPM &amp; Discounts'!$B$3='A0.Support'!$B$3,'RPM &amp; Discounts'!$B$3='A0.Support'!$B$4),G66,G66*G162)</f>
        <v>435753.5338901151</v>
      </c>
      <c r="K258"/>
      <c r="L258"/>
      <c r="M258"/>
      <c r="N258"/>
      <c r="O258"/>
    </row>
    <row r="259" spans="2:15" ht="14.4" customHeight="1" x14ac:dyDescent="0.3">
      <c r="B259" s="36" t="s">
        <v>158</v>
      </c>
      <c r="C259" s="3" t="s">
        <v>220</v>
      </c>
      <c r="D259" s="38">
        <f>IF(OR('RPM &amp; Discounts'!$B$3='A0.Support'!$B$3,'RPM &amp; Discounts'!$B$3='A0.Support'!$B$4),D67,D67*D163)</f>
        <v>1877149.7006908651</v>
      </c>
      <c r="E259" s="38">
        <f>IF(OR('RPM &amp; Discounts'!$B$3='A0.Support'!$B$3,'RPM &amp; Discounts'!$B$3='A0.Support'!$B$4),E67,E67*E163)</f>
        <v>1862846.3232685251</v>
      </c>
      <c r="F259" s="38">
        <f>IF(OR('RPM &amp; Discounts'!$B$3='A0.Support'!$B$3,'RPM &amp; Discounts'!$B$3='A0.Support'!$B$4),F67,F67*F163)</f>
        <v>1862846.3232685251</v>
      </c>
      <c r="G259" s="38">
        <f>IF(OR('RPM &amp; Discounts'!$B$3='A0.Support'!$B$3,'RPM &amp; Discounts'!$B$3='A0.Support'!$B$4),G67,G67*G163)</f>
        <v>1862846.3232685251</v>
      </c>
      <c r="K259"/>
      <c r="L259"/>
      <c r="M259"/>
      <c r="N259"/>
      <c r="O259"/>
    </row>
    <row r="260" spans="2:15" ht="14.4" customHeight="1" x14ac:dyDescent="0.3">
      <c r="B260" s="36" t="s">
        <v>160</v>
      </c>
      <c r="C260" s="3" t="s">
        <v>220</v>
      </c>
      <c r="D260" s="38">
        <f>IF(OR('RPM &amp; Discounts'!$B$3='A0.Support'!$B$3,'RPM &amp; Discounts'!$B$3='A0.Support'!$B$4),D68,D68*D164)</f>
        <v>2520582.8973211651</v>
      </c>
      <c r="E260" s="38">
        <f>IF(OR('RPM &amp; Discounts'!$B$3='A0.Support'!$B$3,'RPM &amp; Discounts'!$B$3='A0.Support'!$B$4),E68,E68*E164)</f>
        <v>2501376.7314562849</v>
      </c>
      <c r="F260" s="38">
        <f>IF(OR('RPM &amp; Discounts'!$B$3='A0.Support'!$B$3,'RPM &amp; Discounts'!$B$3='A0.Support'!$B$4),F68,F68*F164)</f>
        <v>2501376.7314562849</v>
      </c>
      <c r="G260" s="38">
        <f>IF(OR('RPM &amp; Discounts'!$B$3='A0.Support'!$B$3,'RPM &amp; Discounts'!$B$3='A0.Support'!$B$4),G68,G68*G164)</f>
        <v>2501376.7314562849</v>
      </c>
      <c r="K260"/>
      <c r="L260"/>
      <c r="M260"/>
      <c r="N260"/>
      <c r="O260"/>
    </row>
    <row r="261" spans="2:15" ht="14.4" customHeight="1" x14ac:dyDescent="0.3">
      <c r="B261" s="36" t="s">
        <v>162</v>
      </c>
      <c r="C261" s="3" t="s">
        <v>220</v>
      </c>
      <c r="D261" s="38">
        <f>IF(OR('RPM &amp; Discounts'!$B$3='A0.Support'!$B$3,'RPM &amp; Discounts'!$B$3='A0.Support'!$B$4),D69,D69*D165)</f>
        <v>26627.956383591711</v>
      </c>
      <c r="E261" s="38">
        <f>IF(OR('RPM &amp; Discounts'!$B$3='A0.Support'!$B$3,'RPM &amp; Discounts'!$B$3='A0.Support'!$B$4),E69,E69*E165)</f>
        <v>26425.058495373236</v>
      </c>
      <c r="F261" s="38">
        <f>IF(OR('RPM &amp; Discounts'!$B$3='A0.Support'!$B$3,'RPM &amp; Discounts'!$B$3='A0.Support'!$B$4),F69,F69*F165)</f>
        <v>26425.058495373236</v>
      </c>
      <c r="G261" s="38">
        <f>IF(OR('RPM &amp; Discounts'!$B$3='A0.Support'!$B$3,'RPM &amp; Discounts'!$B$3='A0.Support'!$B$4),G69,G69*G165)</f>
        <v>26425.058495373236</v>
      </c>
      <c r="K261"/>
      <c r="L261"/>
      <c r="M261"/>
      <c r="N261"/>
      <c r="O261"/>
    </row>
    <row r="262" spans="2:15" ht="14.4" customHeight="1" x14ac:dyDescent="0.3">
      <c r="B262" s="36" t="s">
        <v>164</v>
      </c>
      <c r="C262" s="3" t="s">
        <v>220</v>
      </c>
      <c r="D262" s="38">
        <f>IF(OR('RPM &amp; Discounts'!$B$3='A0.Support'!$B$3,'RPM &amp; Discounts'!$B$3='A0.Support'!$B$4),D70,D70*D166)</f>
        <v>90254.012865416109</v>
      </c>
      <c r="E262" s="38">
        <f>IF(OR('RPM &amp; Discounts'!$B$3='A0.Support'!$B$3,'RPM &amp; Discounts'!$B$3='A0.Support'!$B$4),E70,E70*E166)</f>
        <v>89566.301486073455</v>
      </c>
      <c r="F262" s="38">
        <f>IF(OR('RPM &amp; Discounts'!$B$3='A0.Support'!$B$3,'RPM &amp; Discounts'!$B$3='A0.Support'!$B$4),F70,F70*F166)</f>
        <v>89566.301486073455</v>
      </c>
      <c r="G262" s="38">
        <f>IF(OR('RPM &amp; Discounts'!$B$3='A0.Support'!$B$3,'RPM &amp; Discounts'!$B$3='A0.Support'!$B$4),G70,G70*G166)</f>
        <v>89566.301486073455</v>
      </c>
      <c r="K262"/>
      <c r="L262"/>
      <c r="M262"/>
      <c r="N262"/>
      <c r="O262"/>
    </row>
    <row r="263" spans="2:15" ht="14.4" customHeight="1" x14ac:dyDescent="0.3">
      <c r="B263" s="36" t="s">
        <v>166</v>
      </c>
      <c r="C263" s="3" t="s">
        <v>220</v>
      </c>
      <c r="D263" s="38">
        <f>IF(OR('RPM &amp; Discounts'!$B$3='A0.Support'!$B$3,'RPM &amp; Discounts'!$B$3='A0.Support'!$B$4),D71,D71*D167)</f>
        <v>81159.971249307797</v>
      </c>
      <c r="E263" s="38">
        <f>IF(OR('RPM &amp; Discounts'!$B$3='A0.Support'!$B$3,'RPM &amp; Discounts'!$B$3='A0.Support'!$B$4),E71,E71*E167)</f>
        <v>80541.554028807019</v>
      </c>
      <c r="F263" s="38">
        <f>IF(OR('RPM &amp; Discounts'!$B$3='A0.Support'!$B$3,'RPM &amp; Discounts'!$B$3='A0.Support'!$B$4),F71,F71*F167)</f>
        <v>80541.554028807019</v>
      </c>
      <c r="G263" s="38">
        <f>IF(OR('RPM &amp; Discounts'!$B$3='A0.Support'!$B$3,'RPM &amp; Discounts'!$B$3='A0.Support'!$B$4),G71,G71*G167)</f>
        <v>80541.554028807019</v>
      </c>
      <c r="K263"/>
      <c r="L263"/>
      <c r="M263"/>
      <c r="N263"/>
      <c r="O263"/>
    </row>
    <row r="264" spans="2:15" ht="14.4" customHeight="1" x14ac:dyDescent="0.3">
      <c r="B264" s="36" t="s">
        <v>168</v>
      </c>
      <c r="C264" s="3" t="s">
        <v>220</v>
      </c>
      <c r="D264" s="38">
        <f>IF(OR('RPM &amp; Discounts'!$B$3='A0.Support'!$B$3,'RPM &amp; Discounts'!$B$3='A0.Support'!$B$4),D72,D72*D168)</f>
        <v>28378.872958628541</v>
      </c>
      <c r="E264" s="38">
        <f>IF(OR('RPM &amp; Discounts'!$B$3='A0.Support'!$B$3,'RPM &amp; Discounts'!$B$3='A0.Support'!$B$4),E72,E72*E168)</f>
        <v>28162.633555559885</v>
      </c>
      <c r="F264" s="38">
        <f>IF(OR('RPM &amp; Discounts'!$B$3='A0.Support'!$B$3,'RPM &amp; Discounts'!$B$3='A0.Support'!$B$4),F72,F72*F168)</f>
        <v>28162.633555559885</v>
      </c>
      <c r="G264" s="38">
        <f>IF(OR('RPM &amp; Discounts'!$B$3='A0.Support'!$B$3,'RPM &amp; Discounts'!$B$3='A0.Support'!$B$4),G72,G72*G168)</f>
        <v>28162.633555559885</v>
      </c>
      <c r="K264"/>
      <c r="L264"/>
      <c r="M264"/>
      <c r="N264"/>
      <c r="O264"/>
    </row>
    <row r="265" spans="2:15" ht="14.4" customHeight="1" x14ac:dyDescent="0.3">
      <c r="B265" s="36" t="s">
        <v>170</v>
      </c>
      <c r="C265" s="3" t="s">
        <v>220</v>
      </c>
      <c r="D265" s="38">
        <f>IF(OR('RPM &amp; Discounts'!$B$3='A0.Support'!$B$3,'RPM &amp; Discounts'!$B$3='A0.Support'!$B$4),D73,D73*D169)</f>
        <v>100294.93354374223</v>
      </c>
      <c r="E265" s="38">
        <f>IF(OR('RPM &amp; Discounts'!$B$3='A0.Support'!$B$3,'RPM &amp; Discounts'!$B$3='A0.Support'!$B$4),E73,E73*E169)</f>
        <v>99530.71304097856</v>
      </c>
      <c r="F265" s="38">
        <f>IF(OR('RPM &amp; Discounts'!$B$3='A0.Support'!$B$3,'RPM &amp; Discounts'!$B$3='A0.Support'!$B$4),F73,F73*F169)</f>
        <v>99530.71304097856</v>
      </c>
      <c r="G265" s="38">
        <f>IF(OR('RPM &amp; Discounts'!$B$3='A0.Support'!$B$3,'RPM &amp; Discounts'!$B$3='A0.Support'!$B$4),G73,G73*G169)</f>
        <v>99530.71304097856</v>
      </c>
      <c r="K265"/>
      <c r="L265"/>
      <c r="M265"/>
      <c r="N265"/>
      <c r="O265"/>
    </row>
    <row r="266" spans="2:15" ht="14.4" customHeight="1" x14ac:dyDescent="0.3">
      <c r="B266" s="36" t="s">
        <v>172</v>
      </c>
      <c r="C266" s="3" t="s">
        <v>220</v>
      </c>
      <c r="D266" s="38">
        <f>IF(OR('RPM &amp; Discounts'!$B$3='A0.Support'!$B$3,'RPM &amp; Discounts'!$B$3='A0.Support'!$B$4),D74,D74*D170)</f>
        <v>14513321.824832913</v>
      </c>
      <c r="E266" s="38">
        <f>IF(OR('RPM &amp; Discounts'!$B$3='A0.Support'!$B$3,'RPM &amp; Discounts'!$B$3='A0.Support'!$B$4),E74,E74*E170)</f>
        <v>14402734.203805102</v>
      </c>
      <c r="F266" s="38">
        <f>IF(OR('RPM &amp; Discounts'!$B$3='A0.Support'!$B$3,'RPM &amp; Discounts'!$B$3='A0.Support'!$B$4),F74,F74*F170)</f>
        <v>14402734.203805102</v>
      </c>
      <c r="G266" s="38">
        <f>IF(OR('RPM &amp; Discounts'!$B$3='A0.Support'!$B$3,'RPM &amp; Discounts'!$B$3='A0.Support'!$B$4),G74,G74*G170)</f>
        <v>14402734.203805102</v>
      </c>
      <c r="K266"/>
      <c r="L266"/>
      <c r="M266"/>
      <c r="N266"/>
      <c r="O266"/>
    </row>
    <row r="267" spans="2:15" ht="14.4" customHeight="1" x14ac:dyDescent="0.3">
      <c r="B267" s="36" t="s">
        <v>174</v>
      </c>
      <c r="C267" s="3" t="s">
        <v>220</v>
      </c>
      <c r="D267" s="38">
        <f>IF(OR('RPM &amp; Discounts'!$B$3='A0.Support'!$B$3,'RPM &amp; Discounts'!$B$3='A0.Support'!$B$4),D75,D75*D171)</f>
        <v>229750.16734576516</v>
      </c>
      <c r="E267" s="38">
        <f>IF(OR('RPM &amp; Discounts'!$B$3='A0.Support'!$B$3,'RPM &amp; Discounts'!$B$3='A0.Support'!$B$4),E75,E75*E171)</f>
        <v>227999.53267066026</v>
      </c>
      <c r="F267" s="38">
        <f>IF(OR('RPM &amp; Discounts'!$B$3='A0.Support'!$B$3,'RPM &amp; Discounts'!$B$3='A0.Support'!$B$4),F75,F75*F171)</f>
        <v>227999.53267066026</v>
      </c>
      <c r="G267" s="38">
        <f>IF(OR('RPM &amp; Discounts'!$B$3='A0.Support'!$B$3,'RPM &amp; Discounts'!$B$3='A0.Support'!$B$4),G75,G75*G171)</f>
        <v>227999.53267066026</v>
      </c>
      <c r="K267"/>
      <c r="L267"/>
      <c r="M267"/>
      <c r="N267"/>
      <c r="O267"/>
    </row>
    <row r="268" spans="2:15" ht="14.4" customHeight="1" x14ac:dyDescent="0.3">
      <c r="B268" s="36" t="s">
        <v>176</v>
      </c>
      <c r="C268" s="3" t="s">
        <v>220</v>
      </c>
      <c r="D268" s="38">
        <f>IF(OR('RPM &amp; Discounts'!$B$3='A0.Support'!$B$3,'RPM &amp; Discounts'!$B$3='A0.Support'!$B$4),D76,D76*D172)</f>
        <v>1241390.5326267674</v>
      </c>
      <c r="E268" s="38">
        <f>IF(OR('RPM &amp; Discounts'!$B$3='A0.Support'!$B$3,'RPM &amp; Discounts'!$B$3='A0.Support'!$B$4),E76,E76*E172)</f>
        <v>1231931.4696068361</v>
      </c>
      <c r="F268" s="38">
        <f>IF(OR('RPM &amp; Discounts'!$B$3='A0.Support'!$B$3,'RPM &amp; Discounts'!$B$3='A0.Support'!$B$4),F76,F76*F172)</f>
        <v>1231931.4696068361</v>
      </c>
      <c r="G268" s="38">
        <f>IF(OR('RPM &amp; Discounts'!$B$3='A0.Support'!$B$3,'RPM &amp; Discounts'!$B$3='A0.Support'!$B$4),G76,G76*G172)</f>
        <v>1231931.4696068361</v>
      </c>
      <c r="K268"/>
      <c r="L268"/>
      <c r="M268"/>
      <c r="N268"/>
      <c r="O268"/>
    </row>
    <row r="269" spans="2:15" ht="14.4" customHeight="1" x14ac:dyDescent="0.3">
      <c r="B269" s="36" t="s">
        <v>178</v>
      </c>
      <c r="C269" s="3" t="s">
        <v>220</v>
      </c>
      <c r="D269" s="38">
        <f>IF(OR('RPM &amp; Discounts'!$B$3='A0.Support'!$B$3,'RPM &amp; Discounts'!$B$3='A0.Support'!$B$4),D77,D77*D173)</f>
        <v>247091.74252961957</v>
      </c>
      <c r="E269" s="38">
        <f>IF(OR('RPM &amp; Discounts'!$B$3='A0.Support'!$B$3,'RPM &amp; Discounts'!$B$3='A0.Support'!$B$4),E77,E77*E173)</f>
        <v>245208.96970119569</v>
      </c>
      <c r="F269" s="38">
        <f>IF(OR('RPM &amp; Discounts'!$B$3='A0.Support'!$B$3,'RPM &amp; Discounts'!$B$3='A0.Support'!$B$4),F77,F77*F173)</f>
        <v>245208.96970119569</v>
      </c>
      <c r="G269" s="38">
        <f>IF(OR('RPM &amp; Discounts'!$B$3='A0.Support'!$B$3,'RPM &amp; Discounts'!$B$3='A0.Support'!$B$4),G77,G77*G173)</f>
        <v>245208.96970119569</v>
      </c>
      <c r="K269"/>
      <c r="L269"/>
      <c r="M269"/>
      <c r="N269"/>
      <c r="O269"/>
    </row>
    <row r="270" spans="2:15" ht="14.4" customHeight="1" x14ac:dyDescent="0.3">
      <c r="B270" s="36" t="s">
        <v>180</v>
      </c>
      <c r="C270" s="3" t="s">
        <v>220</v>
      </c>
      <c r="D270" s="38">
        <f>IF(OR('RPM &amp; Discounts'!$B$3='A0.Support'!$B$3,'RPM &amp; Discounts'!$B$3='A0.Support'!$B$4),D78,D78*D174)</f>
        <v>707874.90127494838</v>
      </c>
      <c r="E270" s="38">
        <f>IF(OR('RPM &amp; Discounts'!$B$3='A0.Support'!$B$3,'RPM &amp; Discounts'!$B$3='A0.Support'!$B$4),E78,E78*E174)</f>
        <v>702481.08432097244</v>
      </c>
      <c r="F270" s="38">
        <f>IF(OR('RPM &amp; Discounts'!$B$3='A0.Support'!$B$3,'RPM &amp; Discounts'!$B$3='A0.Support'!$B$4),F78,F78*F174)</f>
        <v>702481.08432097244</v>
      </c>
      <c r="G270" s="38">
        <f>IF(OR('RPM &amp; Discounts'!$B$3='A0.Support'!$B$3,'RPM &amp; Discounts'!$B$3='A0.Support'!$B$4),G78,G78*G174)</f>
        <v>702481.08432097244</v>
      </c>
      <c r="K270"/>
      <c r="L270"/>
      <c r="M270"/>
      <c r="N270"/>
      <c r="O270"/>
    </row>
    <row r="271" spans="2:15" ht="14.4" customHeight="1" x14ac:dyDescent="0.3">
      <c r="B271" s="36" t="s">
        <v>182</v>
      </c>
      <c r="C271" s="3" t="s">
        <v>220</v>
      </c>
      <c r="D271" s="38">
        <f>IF(OR('RPM &amp; Discounts'!$B$3='A0.Support'!$B$3,'RPM &amp; Discounts'!$B$3='A0.Support'!$B$4),D79,D79*D175)</f>
        <v>215530.02375262292</v>
      </c>
      <c r="E271" s="38">
        <f>IF(OR('RPM &amp; Discounts'!$B$3='A0.Support'!$B$3,'RPM &amp; Discounts'!$B$3='A0.Support'!$B$4),E79,E79*E175)</f>
        <v>213887.74275902656</v>
      </c>
      <c r="F271" s="38">
        <f>IF(OR('RPM &amp; Discounts'!$B$3='A0.Support'!$B$3,'RPM &amp; Discounts'!$B$3='A0.Support'!$B$4),F79,F79*F175)</f>
        <v>213887.74275902656</v>
      </c>
      <c r="G271" s="38">
        <f>IF(OR('RPM &amp; Discounts'!$B$3='A0.Support'!$B$3,'RPM &amp; Discounts'!$B$3='A0.Support'!$B$4),G79,G79*G175)</f>
        <v>213887.74275902656</v>
      </c>
      <c r="K271"/>
      <c r="L271"/>
      <c r="M271"/>
      <c r="N271"/>
      <c r="O271"/>
    </row>
    <row r="272" spans="2:15" ht="14.4" customHeight="1" x14ac:dyDescent="0.3">
      <c r="B272" s="36" t="s">
        <v>184</v>
      </c>
      <c r="C272" s="3" t="s">
        <v>220</v>
      </c>
      <c r="D272" s="38">
        <f>IF(OR('RPM &amp; Discounts'!$B$3='A0.Support'!$B$3,'RPM &amp; Discounts'!$B$3='A0.Support'!$B$4),D80,D80*D176)</f>
        <v>818449.53768066398</v>
      </c>
      <c r="E272" s="38">
        <f>IF(OR('RPM &amp; Discounts'!$B$3='A0.Support'!$B$3,'RPM &amp; Discounts'!$B$3='A0.Support'!$B$4),E80,E80*E176)</f>
        <v>812213.1716442859</v>
      </c>
      <c r="F272" s="38">
        <f>IF(OR('RPM &amp; Discounts'!$B$3='A0.Support'!$B$3,'RPM &amp; Discounts'!$B$3='A0.Support'!$B$4),F80,F80*F176)</f>
        <v>812213.1716442859</v>
      </c>
      <c r="G272" s="38">
        <f>IF(OR('RPM &amp; Discounts'!$B$3='A0.Support'!$B$3,'RPM &amp; Discounts'!$B$3='A0.Support'!$B$4),G80,G80*G176)</f>
        <v>812213.1716442859</v>
      </c>
      <c r="K272"/>
      <c r="L272"/>
      <c r="M272"/>
      <c r="N272"/>
      <c r="O272"/>
    </row>
    <row r="273" spans="2:15" ht="14.4" customHeight="1" x14ac:dyDescent="0.3">
      <c r="B273" s="36" t="s">
        <v>186</v>
      </c>
      <c r="C273" s="3" t="s">
        <v>220</v>
      </c>
      <c r="D273" s="38">
        <f>IF(OR('RPM &amp; Discounts'!$B$3='A0.Support'!$B$3,'RPM &amp; Discounts'!$B$3='A0.Support'!$B$4),D81,D81*D177)</f>
        <v>126861.93401480975</v>
      </c>
      <c r="E273" s="38">
        <f>IF(OR('RPM &amp; Discounts'!$B$3='A0.Support'!$B$3,'RPM &amp; Discounts'!$B$3='A0.Support'!$B$4),E81,E81*E177)</f>
        <v>125895.2800915377</v>
      </c>
      <c r="F273" s="38">
        <f>IF(OR('RPM &amp; Discounts'!$B$3='A0.Support'!$B$3,'RPM &amp; Discounts'!$B$3='A0.Support'!$B$4),F81,F81*F177)</f>
        <v>125895.2800915377</v>
      </c>
      <c r="G273" s="38">
        <f>IF(OR('RPM &amp; Discounts'!$B$3='A0.Support'!$B$3,'RPM &amp; Discounts'!$B$3='A0.Support'!$B$4),G81,G81*G177)</f>
        <v>125895.2800915377</v>
      </c>
      <c r="K273"/>
      <c r="L273"/>
      <c r="M273"/>
      <c r="N273"/>
      <c r="O273"/>
    </row>
    <row r="274" spans="2:15" ht="14.4" customHeight="1" x14ac:dyDescent="0.3">
      <c r="B274" s="36" t="s">
        <v>188</v>
      </c>
      <c r="C274" s="3" t="s">
        <v>220</v>
      </c>
      <c r="D274" s="38">
        <f>IF(OR('RPM &amp; Discounts'!$B$3='A0.Support'!$B$3,'RPM &amp; Discounts'!$B$3='A0.Support'!$B$4),D82,D82*D178)</f>
        <v>35313.944760722334</v>
      </c>
      <c r="E274" s="38">
        <f>IF(OR('RPM &amp; Discounts'!$B$3='A0.Support'!$B$3,'RPM &amp; Discounts'!$B$3='A0.Support'!$B$4),E82,E82*E178)</f>
        <v>35044.861969936719</v>
      </c>
      <c r="F274" s="38">
        <f>IF(OR('RPM &amp; Discounts'!$B$3='A0.Support'!$B$3,'RPM &amp; Discounts'!$B$3='A0.Support'!$B$4),F82,F82*F178)</f>
        <v>35044.861969936719</v>
      </c>
      <c r="G274" s="38">
        <f>IF(OR('RPM &amp; Discounts'!$B$3='A0.Support'!$B$3,'RPM &amp; Discounts'!$B$3='A0.Support'!$B$4),G82,G82*G178)</f>
        <v>35044.861969936719</v>
      </c>
      <c r="K274"/>
      <c r="L274"/>
      <c r="M274"/>
      <c r="N274"/>
      <c r="O274"/>
    </row>
    <row r="275" spans="2:15" ht="14.4" customHeight="1" x14ac:dyDescent="0.3">
      <c r="B275" s="36" t="s">
        <v>190</v>
      </c>
      <c r="C275" s="3" t="s">
        <v>220</v>
      </c>
      <c r="D275" s="38">
        <f>IF(OR('RPM &amp; Discounts'!$B$3='A0.Support'!$B$3,'RPM &amp; Discounts'!$B$3='A0.Support'!$B$4),D83,D83*D179)</f>
        <v>196097.00385083337</v>
      </c>
      <c r="E275" s="38">
        <f>IF(OR('RPM &amp; Discounts'!$B$3='A0.Support'!$B$3,'RPM &amp; Discounts'!$B$3='A0.Support'!$B$4),E83,E83*E179)</f>
        <v>194602.79725855347</v>
      </c>
      <c r="F275" s="38">
        <f>IF(OR('RPM &amp; Discounts'!$B$3='A0.Support'!$B$3,'RPM &amp; Discounts'!$B$3='A0.Support'!$B$4),F83,F83*F179)</f>
        <v>194602.79725855347</v>
      </c>
      <c r="G275" s="38">
        <f>IF(OR('RPM &amp; Discounts'!$B$3='A0.Support'!$B$3,'RPM &amp; Discounts'!$B$3='A0.Support'!$B$4),G83,G83*G179)</f>
        <v>194602.79725855347</v>
      </c>
      <c r="K275"/>
      <c r="L275"/>
      <c r="M275"/>
      <c r="N275"/>
      <c r="O275"/>
    </row>
    <row r="276" spans="2:15" ht="14.4" customHeight="1" x14ac:dyDescent="0.3">
      <c r="B276" s="36" t="s">
        <v>192</v>
      </c>
      <c r="C276" s="3" t="s">
        <v>220</v>
      </c>
      <c r="D276" s="38">
        <f>IF(OR('RPM &amp; Discounts'!$B$3='A0.Support'!$B$3,'RPM &amp; Discounts'!$B$3='A0.Support'!$B$4),D84,D84*D180)</f>
        <v>199799.88457203942</v>
      </c>
      <c r="E276" s="38">
        <f>IF(OR('RPM &amp; Discounts'!$B$3='A0.Support'!$B$3,'RPM &amp; Discounts'!$B$3='A0.Support'!$B$4),E84,E84*E180)</f>
        <v>198277.46302147154</v>
      </c>
      <c r="F276" s="38">
        <f>IF(OR('RPM &amp; Discounts'!$B$3='A0.Support'!$B$3,'RPM &amp; Discounts'!$B$3='A0.Support'!$B$4),F84,F84*F180)</f>
        <v>198277.46302147154</v>
      </c>
      <c r="G276" s="38">
        <f>IF(OR('RPM &amp; Discounts'!$B$3='A0.Support'!$B$3,'RPM &amp; Discounts'!$B$3='A0.Support'!$B$4),G84,G84*G180)</f>
        <v>198277.46302147154</v>
      </c>
      <c r="K276"/>
      <c r="L276"/>
      <c r="M276"/>
      <c r="N276"/>
      <c r="O276"/>
    </row>
    <row r="277" spans="2:15" ht="14.4" customHeight="1" x14ac:dyDescent="0.3">
      <c r="B277" s="36" t="s">
        <v>194</v>
      </c>
      <c r="C277" s="3" t="s">
        <v>220</v>
      </c>
      <c r="D277" s="38">
        <f>IF(OR('RPM &amp; Discounts'!$B$3='A0.Support'!$B$3,'RPM &amp; Discounts'!$B$3='A0.Support'!$B$4),D85,D85*D181)</f>
        <v>137924.89743696246</v>
      </c>
      <c r="E277" s="38">
        <f>IF(OR('RPM &amp; Discounts'!$B$3='A0.Support'!$B$3,'RPM &amp; Discounts'!$B$3='A0.Support'!$B$4),E85,E85*E181)</f>
        <v>136873.9466985891</v>
      </c>
      <c r="F277" s="38">
        <f>IF(OR('RPM &amp; Discounts'!$B$3='A0.Support'!$B$3,'RPM &amp; Discounts'!$B$3='A0.Support'!$B$4),F85,F85*F181)</f>
        <v>136873.9466985891</v>
      </c>
      <c r="G277" s="38">
        <f>IF(OR('RPM &amp; Discounts'!$B$3='A0.Support'!$B$3,'RPM &amp; Discounts'!$B$3='A0.Support'!$B$4),G85,G85*G181)</f>
        <v>136873.9466985891</v>
      </c>
      <c r="K277"/>
      <c r="L277"/>
      <c r="M277"/>
      <c r="N277"/>
      <c r="O277"/>
    </row>
    <row r="278" spans="2:15" ht="14.4" customHeight="1" x14ac:dyDescent="0.3">
      <c r="B278" s="36" t="s">
        <v>196</v>
      </c>
      <c r="C278" s="3" t="s">
        <v>220</v>
      </c>
      <c r="D278" s="38">
        <f>IF(OR('RPM &amp; Discounts'!$B$3='A0.Support'!$B$3,'RPM &amp; Discounts'!$B$3='A0.Support'!$B$4),D86,D86*D182)</f>
        <v>81553.511175779713</v>
      </c>
      <c r="E278" s="38">
        <f>IF(OR('RPM &amp; Discounts'!$B$3='A0.Support'!$B$3,'RPM &amp; Discounts'!$B$3='A0.Support'!$B$4),E86,E86*E182)</f>
        <v>80932.095286554206</v>
      </c>
      <c r="F278" s="38">
        <f>IF(OR('RPM &amp; Discounts'!$B$3='A0.Support'!$B$3,'RPM &amp; Discounts'!$B$3='A0.Support'!$B$4),F86,F86*F182)</f>
        <v>80932.095286554206</v>
      </c>
      <c r="G278" s="38">
        <f>IF(OR('RPM &amp; Discounts'!$B$3='A0.Support'!$B$3,'RPM &amp; Discounts'!$B$3='A0.Support'!$B$4),G86,G86*G182)</f>
        <v>80932.095286554206</v>
      </c>
      <c r="K278"/>
      <c r="L278"/>
      <c r="M278"/>
      <c r="N278"/>
      <c r="O278"/>
    </row>
    <row r="279" spans="2:15" ht="14.4" customHeight="1" x14ac:dyDescent="0.3">
      <c r="B279" s="36" t="s">
        <v>198</v>
      </c>
      <c r="C279" s="3" t="s">
        <v>220</v>
      </c>
      <c r="D279" s="38">
        <f>IF(OR('RPM &amp; Discounts'!$B$3='A0.Support'!$B$3,'RPM &amp; Discounts'!$B$3='A0.Support'!$B$4),D87,D87*D183)</f>
        <v>99169.464351848292</v>
      </c>
      <c r="E279" s="38">
        <f>IF(OR('RPM &amp; Discounts'!$B$3='A0.Support'!$B$3,'RPM &amp; Discounts'!$B$3='A0.Support'!$B$4),E87,E87*E183)</f>
        <v>98413.819622568728</v>
      </c>
      <c r="F279" s="38">
        <f>IF(OR('RPM &amp; Discounts'!$B$3='A0.Support'!$B$3,'RPM &amp; Discounts'!$B$3='A0.Support'!$B$4),F87,F87*F183)</f>
        <v>98413.819622568728</v>
      </c>
      <c r="G279" s="38">
        <f>IF(OR('RPM &amp; Discounts'!$B$3='A0.Support'!$B$3,'RPM &amp; Discounts'!$B$3='A0.Support'!$B$4),G87,G87*G183)</f>
        <v>98413.819622568728</v>
      </c>
      <c r="K279"/>
      <c r="L279"/>
      <c r="M279"/>
      <c r="N279"/>
      <c r="O279"/>
    </row>
    <row r="280" spans="2:15" ht="14.4" customHeight="1" x14ac:dyDescent="0.3">
      <c r="B280" s="36" t="s">
        <v>200</v>
      </c>
      <c r="C280" s="3" t="s">
        <v>220</v>
      </c>
      <c r="D280" s="38">
        <f>IF(OR('RPM &amp; Discounts'!$B$3='A0.Support'!$B$3,'RPM &amp; Discounts'!$B$3='A0.Support'!$B$4),D88,D88*D184)</f>
        <v>327044.66449358006</v>
      </c>
      <c r="E280" s="38">
        <f>IF(OR('RPM &amp; Discounts'!$B$3='A0.Support'!$B$3,'RPM &amp; Discounts'!$B$3='A0.Support'!$B$4),E88,E88*E184)</f>
        <v>324552.67183657858</v>
      </c>
      <c r="F280" s="38">
        <f>IF(OR('RPM &amp; Discounts'!$B$3='A0.Support'!$B$3,'RPM &amp; Discounts'!$B$3='A0.Support'!$B$4),F88,F88*F184)</f>
        <v>324552.67183657858</v>
      </c>
      <c r="G280" s="38">
        <f>IF(OR('RPM &amp; Discounts'!$B$3='A0.Support'!$B$3,'RPM &amp; Discounts'!$B$3='A0.Support'!$B$4),G88,G88*G184)</f>
        <v>324552.67183657858</v>
      </c>
      <c r="K280"/>
      <c r="L280"/>
      <c r="M280"/>
      <c r="N280"/>
      <c r="O280"/>
    </row>
    <row r="281" spans="2:15" ht="14.4" customHeight="1" x14ac:dyDescent="0.3">
      <c r="B281" s="36" t="s">
        <v>202</v>
      </c>
      <c r="C281" s="3" t="s">
        <v>220</v>
      </c>
      <c r="D281" s="38">
        <f>IF(OR('RPM &amp; Discounts'!$B$3='A0.Support'!$B$3,'RPM &amp; Discounts'!$B$3='A0.Support'!$B$4),D89,D89*D185)</f>
        <v>409587.37249541015</v>
      </c>
      <c r="E281" s="38">
        <f>IF(OR('RPM &amp; Discounts'!$B$3='A0.Support'!$B$3,'RPM &amp; Discounts'!$B$3='A0.Support'!$B$4),E89,E89*E185)</f>
        <v>406466.42653458973</v>
      </c>
      <c r="F281" s="38">
        <f>IF(OR('RPM &amp; Discounts'!$B$3='A0.Support'!$B$3,'RPM &amp; Discounts'!$B$3='A0.Support'!$B$4),F89,F89*F185)</f>
        <v>406466.42653458973</v>
      </c>
      <c r="G281" s="38">
        <f>IF(OR('RPM &amp; Discounts'!$B$3='A0.Support'!$B$3,'RPM &amp; Discounts'!$B$3='A0.Support'!$B$4),G89,G89*G185)</f>
        <v>406466.42653458973</v>
      </c>
      <c r="K281"/>
      <c r="L281"/>
      <c r="M281"/>
      <c r="N281"/>
      <c r="O281"/>
    </row>
    <row r="282" spans="2:15" ht="14.4" customHeight="1" x14ac:dyDescent="0.3">
      <c r="B282" s="36" t="s">
        <v>204</v>
      </c>
      <c r="C282" s="3" t="s">
        <v>220</v>
      </c>
      <c r="D282" s="38">
        <f>IF(OR('RPM &amp; Discounts'!$B$3='A0.Support'!$B$3,'RPM &amp; Discounts'!$B$3='A0.Support'!$B$4),D90,D90*D186)</f>
        <v>2952244.7125944132</v>
      </c>
      <c r="E282" s="38">
        <f>IF(OR('RPM &amp; Discounts'!$B$3='A0.Support'!$B$3,'RPM &amp; Discounts'!$B$3='A0.Support'!$B$4),E90,E90*E186)</f>
        <v>2929749.3994332924</v>
      </c>
      <c r="F282" s="38">
        <f>IF(OR('RPM &amp; Discounts'!$B$3='A0.Support'!$B$3,'RPM &amp; Discounts'!$B$3='A0.Support'!$B$4),F90,F90*F186)</f>
        <v>2929749.3994332924</v>
      </c>
      <c r="G282" s="38">
        <f>IF(OR('RPM &amp; Discounts'!$B$3='A0.Support'!$B$3,'RPM &amp; Discounts'!$B$3='A0.Support'!$B$4),G90,G90*G186)</f>
        <v>2929749.3994332924</v>
      </c>
      <c r="K282"/>
      <c r="L282"/>
      <c r="M282"/>
      <c r="N282"/>
      <c r="O282"/>
    </row>
    <row r="283" spans="2:15" ht="14.4" customHeight="1" x14ac:dyDescent="0.3">
      <c r="B283" s="36" t="s">
        <v>206</v>
      </c>
      <c r="C283" s="3" t="s">
        <v>220</v>
      </c>
      <c r="D283" s="38">
        <f>IF(OR('RPM &amp; Discounts'!$B$3='A0.Support'!$B$3,'RPM &amp; Discounts'!$B$3='A0.Support'!$B$4),D91,D91*D187)</f>
        <v>6359764.2471372327</v>
      </c>
      <c r="E283" s="38">
        <f>IF(OR('RPM &amp; Discounts'!$B$3='A0.Support'!$B$3,'RPM &amp; Discounts'!$B$3='A0.Support'!$B$4),E91,E91*E187)</f>
        <v>6311304.548738949</v>
      </c>
      <c r="F283" s="38">
        <f>IF(OR('RPM &amp; Discounts'!$B$3='A0.Support'!$B$3,'RPM &amp; Discounts'!$B$3='A0.Support'!$B$4),F91,F91*F187)</f>
        <v>6311304.548738949</v>
      </c>
      <c r="G283" s="38">
        <f>IF(OR('RPM &amp; Discounts'!$B$3='A0.Support'!$B$3,'RPM &amp; Discounts'!$B$3='A0.Support'!$B$4),G91,G91*G187)</f>
        <v>6311304.548738949</v>
      </c>
      <c r="K283"/>
      <c r="L283"/>
      <c r="M283"/>
      <c r="N283"/>
      <c r="O283"/>
    </row>
    <row r="284" spans="2:15" ht="14.4" customHeight="1" x14ac:dyDescent="0.3">
      <c r="B284" s="36" t="s">
        <v>208</v>
      </c>
      <c r="C284" s="3" t="s">
        <v>220</v>
      </c>
      <c r="D284" s="38">
        <f>IF(OR('RPM &amp; Discounts'!$B$3='A0.Support'!$B$3,'RPM &amp; Discounts'!$B$3='A0.Support'!$B$4),D92,D92*D188)</f>
        <v>2681785.1619851268</v>
      </c>
      <c r="E284" s="38">
        <f>IF(OR('RPM &amp; Discounts'!$B$3='A0.Support'!$B$3,'RPM &amp; Discounts'!$B$3='A0.Support'!$B$4),E92,E92*E188)</f>
        <v>2661350.6780846757</v>
      </c>
      <c r="F284" s="38">
        <f>IF(OR('RPM &amp; Discounts'!$B$3='A0.Support'!$B$3,'RPM &amp; Discounts'!$B$3='A0.Support'!$B$4),F92,F92*F188)</f>
        <v>2661350.6780846757</v>
      </c>
      <c r="G284" s="38">
        <f>IF(OR('RPM &amp; Discounts'!$B$3='A0.Support'!$B$3,'RPM &amp; Discounts'!$B$3='A0.Support'!$B$4),G92,G92*G188)</f>
        <v>2661350.6780846757</v>
      </c>
      <c r="K284"/>
      <c r="L284"/>
      <c r="M284"/>
      <c r="N284"/>
      <c r="O284"/>
    </row>
    <row r="285" spans="2:15" ht="14.4" customHeight="1" x14ac:dyDescent="0.3">
      <c r="B285" s="36" t="s">
        <v>209</v>
      </c>
      <c r="C285" s="3" t="s">
        <v>220</v>
      </c>
      <c r="D285" s="38">
        <f>IF(OR('RPM &amp; Discounts'!$B$3='A0.Support'!$B$3,'RPM &amp; Discounts'!$B$3='A0.Support'!$B$4),D93,D93*D189)</f>
        <v>66223.481105223414</v>
      </c>
      <c r="E285" s="38">
        <f>IF(OR('RPM &amp; Discounts'!$B$3='A0.Support'!$B$3,'RPM &amp; Discounts'!$B$3='A0.Support'!$B$4),E93,E93*E189)</f>
        <v>65718.875934884258</v>
      </c>
      <c r="F285" s="38">
        <f>IF(OR('RPM &amp; Discounts'!$B$3='A0.Support'!$B$3,'RPM &amp; Discounts'!$B$3='A0.Support'!$B$4),F93,F93*F189)</f>
        <v>65718.875934884258</v>
      </c>
      <c r="G285" s="38">
        <f>IF(OR('RPM &amp; Discounts'!$B$3='A0.Support'!$B$3,'RPM &amp; Discounts'!$B$3='A0.Support'!$B$4),G93,G93*G189)</f>
        <v>65718.875934884258</v>
      </c>
      <c r="K285"/>
      <c r="L285"/>
      <c r="M285"/>
      <c r="N285"/>
      <c r="O285"/>
    </row>
    <row r="286" spans="2:15" ht="14.4" customHeight="1" x14ac:dyDescent="0.3">
      <c r="B286" s="36" t="s">
        <v>211</v>
      </c>
      <c r="C286" s="3" t="s">
        <v>220</v>
      </c>
      <c r="D286" s="38">
        <f>IF(OR('RPM &amp; Discounts'!$B$3='A0.Support'!$B$3,'RPM &amp; Discounts'!$B$3='A0.Support'!$B$4),D94,D94*D190)</f>
        <v>5207389.2071181526</v>
      </c>
      <c r="E286" s="38">
        <f>IF(OR('RPM &amp; Discounts'!$B$3='A0.Support'!$B$3,'RPM &amp; Discounts'!$B$3='A0.Support'!$B$4),E94,E94*E190)</f>
        <v>5167710.2975527523</v>
      </c>
      <c r="F286" s="38">
        <f>IF(OR('RPM &amp; Discounts'!$B$3='A0.Support'!$B$3,'RPM &amp; Discounts'!$B$3='A0.Support'!$B$4),F94,F94*F190)</f>
        <v>5167710.2975527523</v>
      </c>
      <c r="G286" s="38">
        <f>IF(OR('RPM &amp; Discounts'!$B$3='A0.Support'!$B$3,'RPM &amp; Discounts'!$B$3='A0.Support'!$B$4),G94,G94*G190)</f>
        <v>5167710.2975527523</v>
      </c>
      <c r="K286"/>
      <c r="L286"/>
      <c r="M286"/>
      <c r="N286"/>
      <c r="O286"/>
    </row>
    <row r="287" spans="2:15" ht="14.4" customHeight="1" x14ac:dyDescent="0.3">
      <c r="B287" s="36" t="s">
        <v>212</v>
      </c>
      <c r="C287" s="3" t="s">
        <v>220</v>
      </c>
      <c r="D287" s="38">
        <f>IF(OR('RPM &amp; Discounts'!$B$3='A0.Support'!$B$3,'RPM &amp; Discounts'!$B$3='A0.Support'!$B$4),D95,D95*D191)</f>
        <v>19421.256480074353</v>
      </c>
      <c r="E287" s="38">
        <f>IF(OR('RPM &amp; Discounts'!$B$3='A0.Support'!$B$3,'RPM &amp; Discounts'!$B$3='A0.Support'!$B$4),E95,E95*E191)</f>
        <v>19273.271712877398</v>
      </c>
      <c r="F287" s="38">
        <f>IF(OR('RPM &amp; Discounts'!$B$3='A0.Support'!$B$3,'RPM &amp; Discounts'!$B$3='A0.Support'!$B$4),F95,F95*F191)</f>
        <v>19273.271712877398</v>
      </c>
      <c r="G287" s="38">
        <f>IF(OR('RPM &amp; Discounts'!$B$3='A0.Support'!$B$3,'RPM &amp; Discounts'!$B$3='A0.Support'!$B$4),G95,G95*G191)</f>
        <v>19273.271712877398</v>
      </c>
      <c r="K287"/>
      <c r="L287"/>
      <c r="M287"/>
      <c r="N287"/>
      <c r="O287"/>
    </row>
    <row r="290" spans="2:21" ht="28.8" customHeight="1" x14ac:dyDescent="0.3">
      <c r="B290" s="32" t="s">
        <v>631</v>
      </c>
      <c r="C290" s="5"/>
      <c r="D290" s="5"/>
      <c r="E290" s="5"/>
      <c r="F290" s="5"/>
      <c r="G290" s="5"/>
    </row>
    <row r="291" spans="2:21" ht="14.4" customHeight="1" x14ac:dyDescent="0.3">
      <c r="B291" s="37"/>
    </row>
    <row r="292" spans="2:21" ht="14.4" customHeight="1" x14ac:dyDescent="0.3">
      <c r="B292" s="9" t="s">
        <v>1</v>
      </c>
      <c r="C292" s="9" t="s">
        <v>214</v>
      </c>
      <c r="D292" s="6"/>
      <c r="E292" s="6"/>
      <c r="F292" s="6"/>
      <c r="G292" s="6"/>
    </row>
    <row r="293" spans="2:21" ht="14.4" customHeight="1" x14ac:dyDescent="0.3">
      <c r="B293" s="25"/>
      <c r="C293" s="25"/>
      <c r="D293" s="23" t="str">
        <f>Input_!D$5</f>
        <v>2023-24</v>
      </c>
      <c r="E293" s="23" t="str">
        <f>Input_!E$5</f>
        <v>2024-25</v>
      </c>
      <c r="F293" s="23" t="str">
        <f>Input_!F$5</f>
        <v>2025-26</v>
      </c>
      <c r="G293" s="23" t="str">
        <f>Input_!G$5</f>
        <v>2026-27</v>
      </c>
    </row>
    <row r="294" spans="2:21" ht="14.4" customHeight="1" x14ac:dyDescent="0.3">
      <c r="B294" s="24"/>
      <c r="C294" s="24"/>
      <c r="D294" s="8"/>
      <c r="E294" s="8"/>
      <c r="F294" s="8"/>
      <c r="G294" s="8"/>
    </row>
    <row r="295" spans="2:21" ht="14.4" customHeight="1" x14ac:dyDescent="0.3">
      <c r="B295" s="36" t="s">
        <v>0</v>
      </c>
      <c r="C295" s="3" t="s">
        <v>216</v>
      </c>
      <c r="D295" s="55">
        <f>SUMPRODUCT('Entry Tariff_1'!D$31:D$35,'Distance Matrix_Entry'!$C$5:$C$9)/SUMIFS('Entry Tariff_1'!D$31:D$35,'Distance Matrix_Entry'!$C$5:$C$9,"&gt;0")</f>
        <v>480.25320267869751</v>
      </c>
      <c r="E295" s="55">
        <f>SUMPRODUCT('Entry Tariff_1'!E$31:E$35,'Distance Matrix_Entry'!$C$5:$C$9)/SUMIFS('Entry Tariff_1'!E$31:E$35,'Distance Matrix_Entry'!$C$5:$C$9,"&gt;0")</f>
        <v>480.5035097816239</v>
      </c>
      <c r="F295" s="55">
        <f>SUMPRODUCT('Entry Tariff_1'!F$31:F$35,'Distance Matrix_Entry'!$C$5:$C$9)/SUMIFS('Entry Tariff_1'!F$31:F$35,'Distance Matrix_Entry'!$C$5:$C$9,"&gt;0")</f>
        <v>480.5035097816239</v>
      </c>
      <c r="G295" s="55">
        <f>SUMPRODUCT('Entry Tariff_1'!G$31:G$35,'Distance Matrix_Entry'!$C$5:$C$9)/SUMIFS('Entry Tariff_1'!G$31:G$35,'Distance Matrix_Entry'!$C$5:$C$9,"&gt;0")</f>
        <v>480.5035097816239</v>
      </c>
      <c r="I295"/>
      <c r="K295"/>
      <c r="L295"/>
      <c r="M295"/>
      <c r="N295"/>
      <c r="O295"/>
      <c r="P295"/>
      <c r="Q295"/>
      <c r="R295"/>
      <c r="S295"/>
      <c r="T295"/>
      <c r="U295"/>
    </row>
    <row r="296" spans="2:21" ht="14.4" customHeight="1" x14ac:dyDescent="0.3">
      <c r="B296" s="36" t="s">
        <v>215</v>
      </c>
      <c r="C296" s="3" t="s">
        <v>216</v>
      </c>
      <c r="D296" s="55">
        <f>SUMPRODUCT('Entry Tariff_1'!D$31:D$35,'Distance Matrix_Entry'!$D$5:$D$9)/SUMIFS('Entry Tariff_1'!D$31:D$35,'Distance Matrix_Entry'!$D$5:$D$9,"&gt;0")</f>
        <v>546.42441219953173</v>
      </c>
      <c r="E296" s="55">
        <f>SUMPRODUCT('Entry Tariff_1'!E$31:E$35,'Distance Matrix_Entry'!$D$5:$D$9)/SUMIFS('Entry Tariff_1'!E$31:E$35,'Distance Matrix_Entry'!$D$5:$D$9,"&gt;0")</f>
        <v>546.60075633932377</v>
      </c>
      <c r="F296" s="55">
        <f>SUMPRODUCT('Entry Tariff_1'!F$31:F$35,'Distance Matrix_Entry'!$D$5:$D$9)/SUMIFS('Entry Tariff_1'!F$31:F$35,'Distance Matrix_Entry'!$D$5:$D$9,"&gt;0")</f>
        <v>546.60075633932377</v>
      </c>
      <c r="G296" s="55">
        <f>SUMPRODUCT('Entry Tariff_1'!G$31:G$35,'Distance Matrix_Entry'!$D$5:$D$9)/SUMIFS('Entry Tariff_1'!G$31:G$35,'Distance Matrix_Entry'!$D$5:$D$9,"&gt;0")</f>
        <v>546.60075633932377</v>
      </c>
      <c r="I296"/>
      <c r="J296"/>
      <c r="K296"/>
    </row>
    <row r="297" spans="2:21" ht="14.4" customHeight="1" x14ac:dyDescent="0.3">
      <c r="B297" s="36" t="s">
        <v>217</v>
      </c>
      <c r="C297" s="3" t="s">
        <v>14</v>
      </c>
      <c r="D297" s="55">
        <f>SUMPRODUCT('Entry Tariff_1'!D$31:D$35,'Distance Matrix_Entry'!$E$5:$E$9)/SUMIFS('Entry Tariff_1'!D$31:D$35,'Distance Matrix_Entry'!$E$5:$E$9,"&gt;0")</f>
        <v>464.56461263495726</v>
      </c>
      <c r="E297" s="55">
        <f>SUMPRODUCT('Entry Tariff_1'!E$31:E$35,'Distance Matrix_Entry'!$E$5:$E$9)/SUMIFS('Entry Tariff_1'!E$31:E$35,'Distance Matrix_Entry'!$E$5:$E$9,"&gt;0")</f>
        <v>468.5517046985795</v>
      </c>
      <c r="F297" s="55">
        <f>SUMPRODUCT('Entry Tariff_1'!F$31:F$35,'Distance Matrix_Entry'!$E$5:$E$9)/SUMIFS('Entry Tariff_1'!F$31:F$35,'Distance Matrix_Entry'!$E$5:$E$9,"&gt;0")</f>
        <v>468.5517046985795</v>
      </c>
      <c r="G297" s="55">
        <f>SUMPRODUCT('Entry Tariff_1'!G$31:G$35,'Distance Matrix_Entry'!$E$5:$E$9)/SUMIFS('Entry Tariff_1'!G$31:G$35,'Distance Matrix_Entry'!$E$5:$E$9,"&gt;0")</f>
        <v>468.5517046985795</v>
      </c>
      <c r="I297"/>
      <c r="J297"/>
      <c r="K297"/>
    </row>
    <row r="298" spans="2:21" ht="14.4" customHeight="1" x14ac:dyDescent="0.3">
      <c r="B298" s="36" t="s">
        <v>218</v>
      </c>
      <c r="C298" s="3" t="s">
        <v>15</v>
      </c>
      <c r="D298" s="55">
        <f>SUMPRODUCT('Entry Tariff_1'!D$31:D$35,'Distance Matrix_Entry'!$F$5:$F$9)/SUMIFS('Entry Tariff_1'!D$31:D$35,'Distance Matrix_Entry'!$F$5:$F$9,"&gt;0")</f>
        <v>278.45757994835736</v>
      </c>
      <c r="E298" s="55">
        <f>SUMPRODUCT('Entry Tariff_1'!E$31:E$35,'Distance Matrix_Entry'!$F$5:$F$9)/SUMIFS('Entry Tariff_1'!E$31:E$35,'Distance Matrix_Entry'!$F$5:$F$9,"&gt;0")</f>
        <v>278.4005176006674</v>
      </c>
      <c r="F298" s="55">
        <f>SUMPRODUCT('Entry Tariff_1'!F$31:F$35,'Distance Matrix_Entry'!$F$5:$F$9)/SUMIFS('Entry Tariff_1'!F$31:F$35,'Distance Matrix_Entry'!$F$5:$F$9,"&gt;0")</f>
        <v>278.4005176006674</v>
      </c>
      <c r="G298" s="55">
        <f>SUMPRODUCT('Entry Tariff_1'!G$31:G$35,'Distance Matrix_Entry'!$F$5:$F$9)/SUMIFS('Entry Tariff_1'!G$31:G$35,'Distance Matrix_Entry'!$F$5:$F$9,"&gt;0")</f>
        <v>278.4005176006674</v>
      </c>
      <c r="I298"/>
      <c r="J298"/>
      <c r="K298"/>
    </row>
    <row r="299" spans="2:21" ht="14.4" customHeight="1" x14ac:dyDescent="0.3">
      <c r="B299" s="36" t="s">
        <v>54</v>
      </c>
      <c r="C299" s="3" t="s">
        <v>220</v>
      </c>
      <c r="D299" s="55">
        <f>SUMPRODUCT('Entry Tariff_1'!D$31:D$35,'Distance Matrix_Entry'!$G$5:$G$9)/SUMIFS('Entry Tariff_1'!D$31:D$35,'Distance Matrix_Entry'!$G$5:$G$9,"&gt;0")</f>
        <v>264.50483997522315</v>
      </c>
      <c r="E299" s="55">
        <f>SUMPRODUCT('Entry Tariff_1'!E$31:E$35,'Distance Matrix_Entry'!$G$5:$G$9)/SUMIFS('Entry Tariff_1'!E$31:E$35,'Distance Matrix_Entry'!$G$5:$G$9,"&gt;0")</f>
        <v>265.54265448527468</v>
      </c>
      <c r="F299" s="55">
        <f>SUMPRODUCT('Entry Tariff_1'!F$31:F$35,'Distance Matrix_Entry'!$G$5:$G$9)/SUMIFS('Entry Tariff_1'!F$31:F$35,'Distance Matrix_Entry'!$G$5:$G$9,"&gt;0")</f>
        <v>265.54265448527468</v>
      </c>
      <c r="G299" s="55">
        <f>SUMPRODUCT('Entry Tariff_1'!G$31:G$35,'Distance Matrix_Entry'!$G$5:$G$9)/SUMIFS('Entry Tariff_1'!G$31:G$35,'Distance Matrix_Entry'!$G$5:$G$9,"&gt;0")</f>
        <v>265.54265448527468</v>
      </c>
      <c r="I299"/>
      <c r="J299"/>
      <c r="K299"/>
    </row>
    <row r="300" spans="2:21" ht="14.4" customHeight="1" x14ac:dyDescent="0.3">
      <c r="B300" s="36" t="s">
        <v>56</v>
      </c>
      <c r="C300" s="3" t="s">
        <v>220</v>
      </c>
      <c r="D300" s="55">
        <f>SUMPRODUCT('Entry Tariff_1'!D$31:D$35,'Distance Matrix_Entry'!$H$5:$H$9)/SUMIFS('Entry Tariff_1'!D$31:D$35,'Distance Matrix_Entry'!$H$5:$H$9,"&gt;0")</f>
        <v>330.00953694207465</v>
      </c>
      <c r="E300" s="55">
        <f>SUMPRODUCT('Entry Tariff_1'!E$31:E$35,'Distance Matrix_Entry'!$H$5:$H$9)/SUMIFS('Entry Tariff_1'!E$31:E$35,'Distance Matrix_Entry'!$H$5:$H$9,"&gt;0")</f>
        <v>331.02547424032798</v>
      </c>
      <c r="F300" s="55">
        <f>SUMPRODUCT('Entry Tariff_1'!F$31:F$35,'Distance Matrix_Entry'!$H$5:$H$9)/SUMIFS('Entry Tariff_1'!F$31:F$35,'Distance Matrix_Entry'!$H$5:$H$9,"&gt;0")</f>
        <v>331.02547424032798</v>
      </c>
      <c r="G300" s="55">
        <f>SUMPRODUCT('Entry Tariff_1'!G$31:G$35,'Distance Matrix_Entry'!$H$5:$H$9)/SUMIFS('Entry Tariff_1'!G$31:G$35,'Distance Matrix_Entry'!$H$5:$H$9,"&gt;0")</f>
        <v>331.02547424032798</v>
      </c>
      <c r="I300"/>
      <c r="J300"/>
      <c r="K300"/>
    </row>
    <row r="301" spans="2:21" ht="14.4" customHeight="1" x14ac:dyDescent="0.3">
      <c r="B301" s="36" t="s">
        <v>58</v>
      </c>
      <c r="C301" s="3" t="s">
        <v>220</v>
      </c>
      <c r="D301" s="55">
        <f>SUMPRODUCT('Entry Tariff_1'!D$31:D$35,'Distance Matrix_Entry'!$I$5:$I$9)/SUMIFS('Entry Tariff_1'!D$31:D$35,'Distance Matrix_Entry'!$I$5:$I$9,"&gt;0")</f>
        <v>308.6383940849318</v>
      </c>
      <c r="E301" s="55">
        <f>SUMPRODUCT('Entry Tariff_1'!E$31:E$35,'Distance Matrix_Entry'!$I$5:$I$9)/SUMIFS('Entry Tariff_1'!E$31:E$35,'Distance Matrix_Entry'!$I$5:$I$9,"&gt;0")</f>
        <v>309.65433138318514</v>
      </c>
      <c r="F301" s="55">
        <f>SUMPRODUCT('Entry Tariff_1'!F$31:F$35,'Distance Matrix_Entry'!$I$5:$I$9)/SUMIFS('Entry Tariff_1'!F$31:F$35,'Distance Matrix_Entry'!$I$5:$I$9,"&gt;0")</f>
        <v>309.65433138318514</v>
      </c>
      <c r="G301" s="55">
        <f>SUMPRODUCT('Entry Tariff_1'!G$31:G$35,'Distance Matrix_Entry'!$I$5:$I$9)/SUMIFS('Entry Tariff_1'!G$31:G$35,'Distance Matrix_Entry'!$I$5:$I$9,"&gt;0")</f>
        <v>309.65433138318514</v>
      </c>
      <c r="I301"/>
      <c r="J301"/>
      <c r="K301"/>
    </row>
    <row r="302" spans="2:21" ht="14.4" customHeight="1" x14ac:dyDescent="0.3">
      <c r="B302" s="36" t="s">
        <v>60</v>
      </c>
      <c r="C302" s="3" t="s">
        <v>220</v>
      </c>
      <c r="D302" s="55">
        <f>SUMPRODUCT('Entry Tariff_1'!D$31:D$35,'Distance Matrix_Entry'!$J$5:$J$9)/SUMIFS('Entry Tariff_1'!D$31:D$35,'Distance Matrix_Entry'!$J$5:$J$9,"&gt;0")</f>
        <v>330.00696551350319</v>
      </c>
      <c r="E302" s="55">
        <f>SUMPRODUCT('Entry Tariff_1'!E$31:E$35,'Distance Matrix_Entry'!$J$5:$J$9)/SUMIFS('Entry Tariff_1'!E$31:E$35,'Distance Matrix_Entry'!$J$5:$J$9,"&gt;0")</f>
        <v>331.02290281175647</v>
      </c>
      <c r="F302" s="55">
        <f>SUMPRODUCT('Entry Tariff_1'!F$31:F$35,'Distance Matrix_Entry'!$J$5:$J$9)/SUMIFS('Entry Tariff_1'!F$31:F$35,'Distance Matrix_Entry'!$J$5:$J$9,"&gt;0")</f>
        <v>331.02290281175647</v>
      </c>
      <c r="G302" s="55">
        <f>SUMPRODUCT('Entry Tariff_1'!G$31:G$35,'Distance Matrix_Entry'!$J$5:$J$9)/SUMIFS('Entry Tariff_1'!G$31:G$35,'Distance Matrix_Entry'!$J$5:$J$9,"&gt;0")</f>
        <v>331.02290281175647</v>
      </c>
      <c r="I302"/>
      <c r="J302"/>
      <c r="K302"/>
    </row>
    <row r="303" spans="2:21" ht="14.4" customHeight="1" x14ac:dyDescent="0.3">
      <c r="B303" s="36" t="s">
        <v>61</v>
      </c>
      <c r="C303" s="3" t="s">
        <v>220</v>
      </c>
      <c r="D303" s="55">
        <f>SUMPRODUCT('Entry Tariff_1'!D$31:D$35,'Distance Matrix_Entry'!$K$5:$K$9)/SUMIFS('Entry Tariff_1'!D$31:D$35,'Distance Matrix_Entry'!$K$5:$K$9,"&gt;0")</f>
        <v>301.07335111273909</v>
      </c>
      <c r="E303" s="55">
        <f>SUMPRODUCT('Entry Tariff_1'!E$31:E$35,'Distance Matrix_Entry'!$K$5:$K$9)/SUMIFS('Entry Tariff_1'!E$31:E$35,'Distance Matrix_Entry'!$K$5:$K$9,"&gt;0")</f>
        <v>302.05828186194901</v>
      </c>
      <c r="F303" s="55">
        <f>SUMPRODUCT('Entry Tariff_1'!F$31:F$35,'Distance Matrix_Entry'!$K$5:$K$9)/SUMIFS('Entry Tariff_1'!F$31:F$35,'Distance Matrix_Entry'!$K$5:$K$9,"&gt;0")</f>
        <v>302.05828186194901</v>
      </c>
      <c r="G303" s="55">
        <f>SUMPRODUCT('Entry Tariff_1'!G$31:G$35,'Distance Matrix_Entry'!$K$5:$K$9)/SUMIFS('Entry Tariff_1'!G$31:G$35,'Distance Matrix_Entry'!$K$5:$K$9,"&gt;0")</f>
        <v>302.05828186194901</v>
      </c>
      <c r="I303"/>
      <c r="J303"/>
      <c r="K303"/>
    </row>
    <row r="304" spans="2:21" ht="14.4" customHeight="1" x14ac:dyDescent="0.3">
      <c r="B304" s="36" t="s">
        <v>63</v>
      </c>
      <c r="C304" s="3" t="s">
        <v>220</v>
      </c>
      <c r="D304" s="55">
        <f>SUMPRODUCT('Entry Tariff_1'!D$31:D$35,'Distance Matrix_Entry'!$L$5:$L$9)/SUMIFS('Entry Tariff_1'!D$31:D$35,'Distance Matrix_Entry'!$L$5:$L$9,"&gt;0")</f>
        <v>329.51552644191815</v>
      </c>
      <c r="E304" s="55">
        <f>SUMPRODUCT('Entry Tariff_1'!E$31:E$35,'Distance Matrix_Entry'!$L$5:$L$9)/SUMIFS('Entry Tariff_1'!E$31:E$35,'Distance Matrix_Entry'!$L$5:$L$9,"&gt;0")</f>
        <v>330.4593253771402</v>
      </c>
      <c r="F304" s="55">
        <f>SUMPRODUCT('Entry Tariff_1'!F$31:F$35,'Distance Matrix_Entry'!$L$5:$L$9)/SUMIFS('Entry Tariff_1'!F$31:F$35,'Distance Matrix_Entry'!$L$5:$L$9,"&gt;0")</f>
        <v>330.4593253771402</v>
      </c>
      <c r="G304" s="55">
        <f>SUMPRODUCT('Entry Tariff_1'!G$31:G$35,'Distance Matrix_Entry'!$L$5:$L$9)/SUMIFS('Entry Tariff_1'!G$31:G$35,'Distance Matrix_Entry'!$L$5:$L$9,"&gt;0")</f>
        <v>330.4593253771402</v>
      </c>
      <c r="I304"/>
      <c r="J304"/>
      <c r="K304"/>
    </row>
    <row r="305" spans="2:11" ht="14.4" customHeight="1" x14ac:dyDescent="0.3">
      <c r="B305" s="36" t="s">
        <v>65</v>
      </c>
      <c r="C305" s="3" t="s">
        <v>220</v>
      </c>
      <c r="D305" s="55">
        <f>SUMPRODUCT('Entry Tariff_1'!D$31:D$35,'Distance Matrix_Entry'!$M$5:$M$9)/SUMIFS('Entry Tariff_1'!D$31:D$35,'Distance Matrix_Entry'!$M$5:$M$9,"&gt;0")</f>
        <v>346.10410837064603</v>
      </c>
      <c r="E305" s="55">
        <f>SUMPRODUCT('Entry Tariff_1'!E$31:E$35,'Distance Matrix_Entry'!$M$5:$M$9)/SUMIFS('Entry Tariff_1'!E$31:E$35,'Distance Matrix_Entry'!$M$5:$M$9,"&gt;0")</f>
        <v>347.12004566889937</v>
      </c>
      <c r="F305" s="55">
        <f>SUMPRODUCT('Entry Tariff_1'!F$31:F$35,'Distance Matrix_Entry'!$M$5:$M$9)/SUMIFS('Entry Tariff_1'!F$31:F$35,'Distance Matrix_Entry'!$M$5:$M$9,"&gt;0")</f>
        <v>347.12004566889937</v>
      </c>
      <c r="G305" s="55">
        <f>SUMPRODUCT('Entry Tariff_1'!G$31:G$35,'Distance Matrix_Entry'!$M$5:$M$9)/SUMIFS('Entry Tariff_1'!G$31:G$35,'Distance Matrix_Entry'!$M$5:$M$9,"&gt;0")</f>
        <v>347.12004566889937</v>
      </c>
      <c r="I305"/>
      <c r="J305"/>
      <c r="K305"/>
    </row>
    <row r="306" spans="2:11" ht="14.4" customHeight="1" x14ac:dyDescent="0.3">
      <c r="B306" s="36" t="s">
        <v>67</v>
      </c>
      <c r="C306" s="3" t="s">
        <v>220</v>
      </c>
      <c r="D306" s="55">
        <f>SUMPRODUCT('Entry Tariff_1'!D$31:D$35,'Distance Matrix_Entry'!$N$5:$N$9)/SUMIFS('Entry Tariff_1'!D$31:D$35,'Distance Matrix_Entry'!$N$5:$N$9,"&gt;0")</f>
        <v>367.85163039650178</v>
      </c>
      <c r="E306" s="55">
        <f>SUMPRODUCT('Entry Tariff_1'!E$31:E$35,'Distance Matrix_Entry'!$N$5:$N$9)/SUMIFS('Entry Tariff_1'!E$31:E$35,'Distance Matrix_Entry'!$N$5:$N$9,"&gt;0")</f>
        <v>368.73998935645341</v>
      </c>
      <c r="F306" s="55">
        <f>SUMPRODUCT('Entry Tariff_1'!F$31:F$35,'Distance Matrix_Entry'!$N$5:$N$9)/SUMIFS('Entry Tariff_1'!F$31:F$35,'Distance Matrix_Entry'!$N$5:$N$9,"&gt;0")</f>
        <v>368.73998935645341</v>
      </c>
      <c r="G306" s="55">
        <f>SUMPRODUCT('Entry Tariff_1'!G$31:G$35,'Distance Matrix_Entry'!$N$5:$N$9)/SUMIFS('Entry Tariff_1'!G$31:G$35,'Distance Matrix_Entry'!$N$5:$N$9,"&gt;0")</f>
        <v>368.73998935645341</v>
      </c>
      <c r="I306"/>
      <c r="J306"/>
      <c r="K306"/>
    </row>
    <row r="307" spans="2:11" ht="14.4" customHeight="1" x14ac:dyDescent="0.3">
      <c r="B307" s="36" t="s">
        <v>69</v>
      </c>
      <c r="C307" s="3" t="s">
        <v>220</v>
      </c>
      <c r="D307" s="55">
        <f>SUMPRODUCT('Entry Tariff_1'!D$31:D$35,'Distance Matrix_Entry'!$O$5:$O$9)/SUMIFS('Entry Tariff_1'!D$31:D$35,'Distance Matrix_Entry'!$O$5:$O$9,"&gt;0")</f>
        <v>396.45449598177788</v>
      </c>
      <c r="E307" s="55">
        <f>SUMPRODUCT('Entry Tariff_1'!E$31:E$35,'Distance Matrix_Entry'!$O$5:$O$9)/SUMIFS('Entry Tariff_1'!E$31:E$35,'Distance Matrix_Entry'!$O$5:$O$9,"&gt;0")</f>
        <v>397.30149074461178</v>
      </c>
      <c r="F307" s="55">
        <f>SUMPRODUCT('Entry Tariff_1'!F$31:F$35,'Distance Matrix_Entry'!$O$5:$O$9)/SUMIFS('Entry Tariff_1'!F$31:F$35,'Distance Matrix_Entry'!$O$5:$O$9,"&gt;0")</f>
        <v>397.30149074461178</v>
      </c>
      <c r="G307" s="55">
        <f>SUMPRODUCT('Entry Tariff_1'!G$31:G$35,'Distance Matrix_Entry'!$O$5:$O$9)/SUMIFS('Entry Tariff_1'!G$31:G$35,'Distance Matrix_Entry'!$O$5:$O$9,"&gt;0")</f>
        <v>397.30149074461178</v>
      </c>
      <c r="I307"/>
      <c r="J307"/>
      <c r="K307"/>
    </row>
    <row r="308" spans="2:11" ht="14.4" customHeight="1" x14ac:dyDescent="0.3">
      <c r="B308" s="36" t="s">
        <v>71</v>
      </c>
      <c r="C308" s="3" t="s">
        <v>220</v>
      </c>
      <c r="D308" s="55">
        <f>SUMPRODUCT('Entry Tariff_1'!D$31:D$35,'Distance Matrix_Entry'!$P$5:$P$9)/SUMIFS('Entry Tariff_1'!D$31:D$35,'Distance Matrix_Entry'!$P$5:$P$9,"&gt;0")</f>
        <v>490.04567120300516</v>
      </c>
      <c r="E308" s="55">
        <f>SUMPRODUCT('Entry Tariff_1'!E$31:E$35,'Distance Matrix_Entry'!$P$5:$P$9)/SUMIFS('Entry Tariff_1'!E$31:E$35,'Distance Matrix_Entry'!$P$5:$P$9,"&gt;0")</f>
        <v>490.88015047441576</v>
      </c>
      <c r="F308" s="55">
        <f>SUMPRODUCT('Entry Tariff_1'!F$31:F$35,'Distance Matrix_Entry'!$P$5:$P$9)/SUMIFS('Entry Tariff_1'!F$31:F$35,'Distance Matrix_Entry'!$P$5:$P$9,"&gt;0")</f>
        <v>490.88015047441576</v>
      </c>
      <c r="G308" s="55">
        <f>SUMPRODUCT('Entry Tariff_1'!G$31:G$35,'Distance Matrix_Entry'!$P$5:$P$9)/SUMIFS('Entry Tariff_1'!G$31:G$35,'Distance Matrix_Entry'!$P$5:$P$9,"&gt;0")</f>
        <v>490.88015047441576</v>
      </c>
      <c r="I308"/>
      <c r="J308"/>
      <c r="K308"/>
    </row>
    <row r="309" spans="2:11" ht="14.4" customHeight="1" x14ac:dyDescent="0.3">
      <c r="B309" s="36" t="s">
        <v>73</v>
      </c>
      <c r="C309" s="3" t="s">
        <v>220</v>
      </c>
      <c r="D309" s="55">
        <f>SUMPRODUCT('Entry Tariff_1'!D$31:D$35,'Distance Matrix_Entry'!$Q$5:$Q$9)/SUMIFS('Entry Tariff_1'!D$31:D$35,'Distance Matrix_Entry'!$Q$5:$Q$9,"&gt;0")</f>
        <v>405.46881406014796</v>
      </c>
      <c r="E309" s="55">
        <f>SUMPRODUCT('Entry Tariff_1'!E$31:E$35,'Distance Matrix_Entry'!$Q$5:$Q$9)/SUMIFS('Entry Tariff_1'!E$31:E$35,'Distance Matrix_Entry'!$Q$5:$Q$9,"&gt;0")</f>
        <v>406.30329333155851</v>
      </c>
      <c r="F309" s="55">
        <f>SUMPRODUCT('Entry Tariff_1'!F$31:F$35,'Distance Matrix_Entry'!$Q$5:$Q$9)/SUMIFS('Entry Tariff_1'!F$31:F$35,'Distance Matrix_Entry'!$Q$5:$Q$9,"&gt;0")</f>
        <v>406.30329333155851</v>
      </c>
      <c r="G309" s="55">
        <f>SUMPRODUCT('Entry Tariff_1'!G$31:G$35,'Distance Matrix_Entry'!$Q$5:$Q$9)/SUMIFS('Entry Tariff_1'!G$31:G$35,'Distance Matrix_Entry'!$Q$5:$Q$9,"&gt;0")</f>
        <v>406.30329333155851</v>
      </c>
      <c r="I309"/>
      <c r="J309"/>
      <c r="K309"/>
    </row>
    <row r="310" spans="2:11" ht="14.4" customHeight="1" x14ac:dyDescent="0.3">
      <c r="B310" s="36" t="s">
        <v>75</v>
      </c>
      <c r="C310" s="3" t="s">
        <v>220</v>
      </c>
      <c r="D310" s="55">
        <f>SUMPRODUCT('Entry Tariff_1'!D$31:D$35,'Distance Matrix_Entry'!$R$5:$R$9)/SUMIFS('Entry Tariff_1'!D$31:D$35,'Distance Matrix_Entry'!$R$5:$R$9,"&gt;0")</f>
        <v>458.90567120300506</v>
      </c>
      <c r="E310" s="55">
        <f>SUMPRODUCT('Entry Tariff_1'!E$31:E$35,'Distance Matrix_Entry'!$R$5:$R$9)/SUMIFS('Entry Tariff_1'!E$31:E$35,'Distance Matrix_Entry'!$R$5:$R$9,"&gt;0")</f>
        <v>459.74015047441566</v>
      </c>
      <c r="F310" s="55">
        <f>SUMPRODUCT('Entry Tariff_1'!F$31:F$35,'Distance Matrix_Entry'!$R$5:$R$9)/SUMIFS('Entry Tariff_1'!F$31:F$35,'Distance Matrix_Entry'!$R$5:$R$9,"&gt;0")</f>
        <v>459.74015047441566</v>
      </c>
      <c r="G310" s="55">
        <f>SUMPRODUCT('Entry Tariff_1'!G$31:G$35,'Distance Matrix_Entry'!$R$5:$R$9)/SUMIFS('Entry Tariff_1'!G$31:G$35,'Distance Matrix_Entry'!$R$5:$R$9,"&gt;0")</f>
        <v>459.74015047441566</v>
      </c>
      <c r="I310"/>
      <c r="J310"/>
      <c r="K310"/>
    </row>
    <row r="311" spans="2:11" ht="14.4" customHeight="1" x14ac:dyDescent="0.3">
      <c r="B311" s="36" t="s">
        <v>77</v>
      </c>
      <c r="C311" s="3" t="s">
        <v>220</v>
      </c>
      <c r="D311" s="55">
        <f>SUMPRODUCT('Entry Tariff_1'!D$31:D$35,'Distance Matrix_Entry'!$S$5:$S$9)/SUMIFS('Entry Tariff_1'!D$31:D$35,'Distance Matrix_Entry'!$S$5:$S$9,"&gt;0")</f>
        <v>476.31681406014798</v>
      </c>
      <c r="E311" s="55">
        <f>SUMPRODUCT('Entry Tariff_1'!E$31:E$35,'Distance Matrix_Entry'!$S$5:$S$9)/SUMIFS('Entry Tariff_1'!E$31:E$35,'Distance Matrix_Entry'!$S$5:$S$9,"&gt;0")</f>
        <v>477.15129333155858</v>
      </c>
      <c r="F311" s="55">
        <f>SUMPRODUCT('Entry Tariff_1'!F$31:F$35,'Distance Matrix_Entry'!$S$5:$S$9)/SUMIFS('Entry Tariff_1'!F$31:F$35,'Distance Matrix_Entry'!$S$5:$S$9,"&gt;0")</f>
        <v>477.15129333155858</v>
      </c>
      <c r="G311" s="55">
        <f>SUMPRODUCT('Entry Tariff_1'!G$31:G$35,'Distance Matrix_Entry'!$S$5:$S$9)/SUMIFS('Entry Tariff_1'!G$31:G$35,'Distance Matrix_Entry'!$S$5:$S$9,"&gt;0")</f>
        <v>477.15129333155858</v>
      </c>
      <c r="I311"/>
      <c r="J311"/>
      <c r="K311"/>
    </row>
    <row r="312" spans="2:11" ht="14.4" customHeight="1" x14ac:dyDescent="0.3">
      <c r="B312" s="36" t="s">
        <v>79</v>
      </c>
      <c r="C312" s="3" t="s">
        <v>220</v>
      </c>
      <c r="D312" s="55">
        <f>SUMPRODUCT('Entry Tariff_1'!D$31:D$35,'Distance Matrix_Entry'!$T$5:$T$9)/SUMIFS('Entry Tariff_1'!D$31:D$35,'Distance Matrix_Entry'!$T$5:$T$9,"&gt;0")</f>
        <v>410.687061521803</v>
      </c>
      <c r="E312" s="55">
        <f>SUMPRODUCT('Entry Tariff_1'!E$31:E$35,'Distance Matrix_Entry'!$T$5:$T$9)/SUMIFS('Entry Tariff_1'!E$31:E$35,'Distance Matrix_Entry'!$T$5:$T$9,"&gt;0")</f>
        <v>411.51347377884787</v>
      </c>
      <c r="F312" s="55">
        <f>SUMPRODUCT('Entry Tariff_1'!F$31:F$35,'Distance Matrix_Entry'!$T$5:$T$9)/SUMIFS('Entry Tariff_1'!F$31:F$35,'Distance Matrix_Entry'!$T$5:$T$9,"&gt;0")</f>
        <v>411.51347377884787</v>
      </c>
      <c r="G312" s="55">
        <f>SUMPRODUCT('Entry Tariff_1'!G$31:G$35,'Distance Matrix_Entry'!$T$5:$T$9)/SUMIFS('Entry Tariff_1'!G$31:G$35,'Distance Matrix_Entry'!$T$5:$T$9,"&gt;0")</f>
        <v>411.51347377884787</v>
      </c>
      <c r="I312"/>
      <c r="J312"/>
      <c r="K312"/>
    </row>
    <row r="313" spans="2:11" ht="14.4" customHeight="1" x14ac:dyDescent="0.3">
      <c r="B313" s="36" t="s">
        <v>81</v>
      </c>
      <c r="C313" s="3" t="s">
        <v>220</v>
      </c>
      <c r="D313" s="55">
        <f>SUMPRODUCT('Entry Tariff_1'!D$31:D$35,'Distance Matrix_Entry'!$U$5:$U$9)/SUMIFS('Entry Tariff_1'!D$31:D$35,'Distance Matrix_Entry'!$U$5:$U$9,"&gt;0")</f>
        <v>405.47138548871936</v>
      </c>
      <c r="E313" s="55">
        <f>SUMPRODUCT('Entry Tariff_1'!E$31:E$35,'Distance Matrix_Entry'!$U$5:$U$9)/SUMIFS('Entry Tariff_1'!E$31:E$35,'Distance Matrix_Entry'!$U$5:$U$9,"&gt;0")</f>
        <v>406.30586476012991</v>
      </c>
      <c r="F313" s="55">
        <f>SUMPRODUCT('Entry Tariff_1'!F$31:F$35,'Distance Matrix_Entry'!$U$5:$U$9)/SUMIFS('Entry Tariff_1'!F$31:F$35,'Distance Matrix_Entry'!$U$5:$U$9,"&gt;0")</f>
        <v>406.30586476012991</v>
      </c>
      <c r="G313" s="55">
        <f>SUMPRODUCT('Entry Tariff_1'!G$31:G$35,'Distance Matrix_Entry'!$U$5:$U$9)/SUMIFS('Entry Tariff_1'!G$31:G$35,'Distance Matrix_Entry'!$U$5:$U$9,"&gt;0")</f>
        <v>406.30586476012991</v>
      </c>
      <c r="I313"/>
      <c r="J313"/>
      <c r="K313"/>
    </row>
    <row r="314" spans="2:11" ht="14.4" customHeight="1" x14ac:dyDescent="0.3">
      <c r="B314" s="36" t="s">
        <v>82</v>
      </c>
      <c r="C314" s="3" t="s">
        <v>220</v>
      </c>
      <c r="D314" s="55">
        <f>SUMPRODUCT('Entry Tariff_1'!D$31:D$35,'Distance Matrix_Entry'!$V$5:$V$9)/SUMIFS('Entry Tariff_1'!D$31:D$35,'Distance Matrix_Entry'!$V$5:$V$9,"&gt;0")</f>
        <v>476.31424263157652</v>
      </c>
      <c r="E314" s="55">
        <f>SUMPRODUCT('Entry Tariff_1'!E$31:E$35,'Distance Matrix_Entry'!$V$5:$V$9)/SUMIFS('Entry Tariff_1'!E$31:E$35,'Distance Matrix_Entry'!$V$5:$V$9,"&gt;0")</f>
        <v>477.14872190298712</v>
      </c>
      <c r="F314" s="55">
        <f>SUMPRODUCT('Entry Tariff_1'!F$31:F$35,'Distance Matrix_Entry'!$V$5:$V$9)/SUMIFS('Entry Tariff_1'!F$31:F$35,'Distance Matrix_Entry'!$V$5:$V$9,"&gt;0")</f>
        <v>477.14872190298712</v>
      </c>
      <c r="G314" s="55">
        <f>SUMPRODUCT('Entry Tariff_1'!G$31:G$35,'Distance Matrix_Entry'!$V$5:$V$9)/SUMIFS('Entry Tariff_1'!G$31:G$35,'Distance Matrix_Entry'!$V$5:$V$9,"&gt;0")</f>
        <v>477.14872190298712</v>
      </c>
      <c r="I314"/>
      <c r="J314"/>
      <c r="K314"/>
    </row>
    <row r="315" spans="2:11" ht="14.4" customHeight="1" x14ac:dyDescent="0.3">
      <c r="B315" s="36" t="s">
        <v>83</v>
      </c>
      <c r="C315" s="3" t="s">
        <v>220</v>
      </c>
      <c r="D315" s="55">
        <f>SUMPRODUCT('Entry Tariff_1'!D$31:D$35,'Distance Matrix_Entry'!$W$5:$W$9)/SUMIFS('Entry Tariff_1'!D$31:D$35,'Distance Matrix_Entry'!$W$5:$W$9,"&gt;0")</f>
        <v>471.39013428128658</v>
      </c>
      <c r="E315" s="55">
        <f>SUMPRODUCT('Entry Tariff_1'!E$31:E$35,'Distance Matrix_Entry'!$W$5:$W$9)/SUMIFS('Entry Tariff_1'!E$31:E$35,'Distance Matrix_Entry'!$W$5:$W$9,"&gt;0")</f>
        <v>472.17126502559574</v>
      </c>
      <c r="F315" s="55">
        <f>SUMPRODUCT('Entry Tariff_1'!F$31:F$35,'Distance Matrix_Entry'!$W$5:$W$9)/SUMIFS('Entry Tariff_1'!F$31:F$35,'Distance Matrix_Entry'!$W$5:$W$9,"&gt;0")</f>
        <v>472.17126502559574</v>
      </c>
      <c r="G315" s="55">
        <f>SUMPRODUCT('Entry Tariff_1'!G$31:G$35,'Distance Matrix_Entry'!$W$5:$W$9)/SUMIFS('Entry Tariff_1'!G$31:G$35,'Distance Matrix_Entry'!$W$5:$W$9,"&gt;0")</f>
        <v>472.17126502559574</v>
      </c>
      <c r="I315"/>
      <c r="J315"/>
      <c r="K315"/>
    </row>
    <row r="316" spans="2:11" ht="14.4" customHeight="1" x14ac:dyDescent="0.3">
      <c r="B316" s="36" t="s">
        <v>85</v>
      </c>
      <c r="C316" s="3" t="s">
        <v>220</v>
      </c>
      <c r="D316" s="55">
        <f>SUMPRODUCT('Entry Tariff_1'!D$31:D$35,'Distance Matrix_Entry'!$X$5:$X$9)/SUMIFS('Entry Tariff_1'!D$31:D$35,'Distance Matrix_Entry'!$X$5:$X$9,"&gt;0")</f>
        <v>441.99870570985803</v>
      </c>
      <c r="E316" s="55">
        <f>SUMPRODUCT('Entry Tariff_1'!E$31:E$35,'Distance Matrix_Entry'!$X$5:$X$9)/SUMIFS('Entry Tariff_1'!E$31:E$35,'Distance Matrix_Entry'!$X$5:$X$9,"&gt;0")</f>
        <v>442.7798364541672</v>
      </c>
      <c r="F316" s="55">
        <f>SUMPRODUCT('Entry Tariff_1'!F$31:F$35,'Distance Matrix_Entry'!$X$5:$X$9)/SUMIFS('Entry Tariff_1'!F$31:F$35,'Distance Matrix_Entry'!$X$5:$X$9,"&gt;0")</f>
        <v>442.7798364541672</v>
      </c>
      <c r="G316" s="55">
        <f>SUMPRODUCT('Entry Tariff_1'!G$31:G$35,'Distance Matrix_Entry'!$X$5:$X$9)/SUMIFS('Entry Tariff_1'!G$31:G$35,'Distance Matrix_Entry'!$X$5:$X$9,"&gt;0")</f>
        <v>442.7798364541672</v>
      </c>
      <c r="I316"/>
      <c r="J316"/>
      <c r="K316"/>
    </row>
    <row r="317" spans="2:11" ht="14.4" customHeight="1" x14ac:dyDescent="0.3">
      <c r="B317" s="36" t="s">
        <v>87</v>
      </c>
      <c r="C317" s="3" t="s">
        <v>220</v>
      </c>
      <c r="D317" s="55">
        <f>SUMPRODUCT('Entry Tariff_1'!D$31:D$35,'Distance Matrix_Entry'!$Y$5:$Y$9)/SUMIFS('Entry Tariff_1'!D$31:D$35,'Distance Matrix_Entry'!$Y$5:$Y$9,"&gt;0")</f>
        <v>503.02127713842947</v>
      </c>
      <c r="E317" s="55">
        <f>SUMPRODUCT('Entry Tariff_1'!E$31:E$35,'Distance Matrix_Entry'!$Y$5:$Y$9)/SUMIFS('Entry Tariff_1'!E$31:E$35,'Distance Matrix_Entry'!$Y$5:$Y$9,"&gt;0")</f>
        <v>503.80240788273863</v>
      </c>
      <c r="F317" s="55">
        <f>SUMPRODUCT('Entry Tariff_1'!F$31:F$35,'Distance Matrix_Entry'!$Y$5:$Y$9)/SUMIFS('Entry Tariff_1'!F$31:F$35,'Distance Matrix_Entry'!$Y$5:$Y$9,"&gt;0")</f>
        <v>503.80240788273863</v>
      </c>
      <c r="G317" s="55">
        <f>SUMPRODUCT('Entry Tariff_1'!G$31:G$35,'Distance Matrix_Entry'!$Y$5:$Y$9)/SUMIFS('Entry Tariff_1'!G$31:G$35,'Distance Matrix_Entry'!$Y$5:$Y$9,"&gt;0")</f>
        <v>503.80240788273863</v>
      </c>
      <c r="I317"/>
      <c r="J317"/>
      <c r="K317"/>
    </row>
    <row r="318" spans="2:11" ht="14.4" customHeight="1" x14ac:dyDescent="0.3">
      <c r="B318" s="36" t="s">
        <v>89</v>
      </c>
      <c r="C318" s="3" t="s">
        <v>220</v>
      </c>
      <c r="D318" s="55">
        <f>SUMPRODUCT('Entry Tariff_1'!D$31:D$35,'Distance Matrix_Entry'!$Z$5:$Z$9)/SUMIFS('Entry Tariff_1'!D$31:D$35,'Distance Matrix_Entry'!$Z$5:$Z$9,"&gt;0")</f>
        <v>503.01870570985801</v>
      </c>
      <c r="E318" s="55">
        <f>SUMPRODUCT('Entry Tariff_1'!E$31:E$35,'Distance Matrix_Entry'!$Z$5:$Z$9)/SUMIFS('Entry Tariff_1'!E$31:E$35,'Distance Matrix_Entry'!$Z$5:$Z$9,"&gt;0")</f>
        <v>503.79983645416718</v>
      </c>
      <c r="F318" s="55">
        <f>SUMPRODUCT('Entry Tariff_1'!F$31:F$35,'Distance Matrix_Entry'!$Z$5:$Z$9)/SUMIFS('Entry Tariff_1'!F$31:F$35,'Distance Matrix_Entry'!$Z$5:$Z$9,"&gt;0")</f>
        <v>503.79983645416718</v>
      </c>
      <c r="G318" s="55">
        <f>SUMPRODUCT('Entry Tariff_1'!G$31:G$35,'Distance Matrix_Entry'!$Z$5:$Z$9)/SUMIFS('Entry Tariff_1'!G$31:G$35,'Distance Matrix_Entry'!$Z$5:$Z$9,"&gt;0")</f>
        <v>503.79983645416718</v>
      </c>
      <c r="I318"/>
      <c r="J318"/>
      <c r="K318"/>
    </row>
    <row r="319" spans="2:11" ht="14.4" customHeight="1" x14ac:dyDescent="0.3">
      <c r="B319" s="36" t="s">
        <v>90</v>
      </c>
      <c r="C319" s="3" t="s">
        <v>220</v>
      </c>
      <c r="D319" s="55">
        <f>SUMPRODUCT('Entry Tariff_1'!D$31:D$35,'Distance Matrix_Entry'!$AA$5:$AA$9)/SUMIFS('Entry Tariff_1'!D$31:D$35,'Distance Matrix_Entry'!$AA$5:$AA$9,"&gt;0")</f>
        <v>498.46985285253805</v>
      </c>
      <c r="E319" s="55">
        <f>SUMPRODUCT('Entry Tariff_1'!E$31:E$35,'Distance Matrix_Entry'!$AA$5:$AA$9)/SUMIFS('Entry Tariff_1'!E$31:E$35,'Distance Matrix_Entry'!$AA$5:$AA$9,"&gt;0")</f>
        <v>499.16931752549095</v>
      </c>
      <c r="F319" s="55">
        <f>SUMPRODUCT('Entry Tariff_1'!F$31:F$35,'Distance Matrix_Entry'!$AA$5:$AA$9)/SUMIFS('Entry Tariff_1'!F$31:F$35,'Distance Matrix_Entry'!$AA$5:$AA$9,"&gt;0")</f>
        <v>499.16931752549095</v>
      </c>
      <c r="G319" s="55">
        <f>SUMPRODUCT('Entry Tariff_1'!G$31:G$35,'Distance Matrix_Entry'!$AA$5:$AA$9)/SUMIFS('Entry Tariff_1'!G$31:G$35,'Distance Matrix_Entry'!$AA$5:$AA$9,"&gt;0")</f>
        <v>499.16931752549095</v>
      </c>
      <c r="I319"/>
      <c r="J319"/>
      <c r="K319"/>
    </row>
    <row r="320" spans="2:11" ht="14.4" customHeight="1" x14ac:dyDescent="0.3">
      <c r="B320" s="36" t="s">
        <v>92</v>
      </c>
      <c r="C320" s="3" t="s">
        <v>220</v>
      </c>
      <c r="D320" s="55">
        <f>SUMPRODUCT('Entry Tariff_1'!D$31:D$35,'Distance Matrix_Entry'!$AB$5:$AB$9)/SUMIFS('Entry Tariff_1'!D$31:D$35,'Distance Matrix_Entry'!$AB$5:$AB$9,"&gt;0")</f>
        <v>576.38167130873967</v>
      </c>
      <c r="E320" s="55">
        <f>SUMPRODUCT('Entry Tariff_1'!E$31:E$35,'Distance Matrix_Entry'!$AB$5:$AB$9)/SUMIFS('Entry Tariff_1'!E$31:E$35,'Distance Matrix_Entry'!$AB$5:$AB$9,"&gt;0")</f>
        <v>576.96846336129306</v>
      </c>
      <c r="F320" s="55">
        <f>SUMPRODUCT('Entry Tariff_1'!F$31:F$35,'Distance Matrix_Entry'!$AB$5:$AB$9)/SUMIFS('Entry Tariff_1'!F$31:F$35,'Distance Matrix_Entry'!$AB$5:$AB$9,"&gt;0")</f>
        <v>576.96846336129306</v>
      </c>
      <c r="G320" s="55">
        <f>SUMPRODUCT('Entry Tariff_1'!G$31:G$35,'Distance Matrix_Entry'!$AB$5:$AB$9)/SUMIFS('Entry Tariff_1'!G$31:G$35,'Distance Matrix_Entry'!$AB$5:$AB$9,"&gt;0")</f>
        <v>576.96846336129306</v>
      </c>
      <c r="I320"/>
      <c r="J320"/>
      <c r="K320"/>
    </row>
    <row r="321" spans="2:11" ht="14.4" customHeight="1" x14ac:dyDescent="0.3">
      <c r="B321" s="36" t="s">
        <v>94</v>
      </c>
      <c r="C321" s="3" t="s">
        <v>220</v>
      </c>
      <c r="D321" s="55">
        <f>SUMPRODUCT('Entry Tariff_1'!D$31:D$35,'Distance Matrix_Entry'!$AC$5:$AC$9)/SUMIFS('Entry Tariff_1'!D$31:D$35,'Distance Matrix_Entry'!$AC$5:$AC$9,"&gt;0")</f>
        <v>605.48956341317808</v>
      </c>
      <c r="E321" s="55">
        <f>SUMPRODUCT('Entry Tariff_1'!E$31:E$35,'Distance Matrix_Entry'!$AC$5:$AC$9)/SUMIFS('Entry Tariff_1'!E$31:E$35,'Distance Matrix_Entry'!$AC$5:$AC$9,"&gt;0")</f>
        <v>606.03426092163386</v>
      </c>
      <c r="F321" s="55">
        <f>SUMPRODUCT('Entry Tariff_1'!F$31:F$35,'Distance Matrix_Entry'!$AC$5:$AC$9)/SUMIFS('Entry Tariff_1'!F$31:F$35,'Distance Matrix_Entry'!$AC$5:$AC$9,"&gt;0")</f>
        <v>606.03426092163386</v>
      </c>
      <c r="G321" s="55">
        <f>SUMPRODUCT('Entry Tariff_1'!G$31:G$35,'Distance Matrix_Entry'!$AC$5:$AC$9)/SUMIFS('Entry Tariff_1'!G$31:G$35,'Distance Matrix_Entry'!$AC$5:$AC$9,"&gt;0")</f>
        <v>606.03426092163386</v>
      </c>
      <c r="I321"/>
      <c r="J321"/>
      <c r="K321"/>
    </row>
    <row r="322" spans="2:11" ht="14.4" customHeight="1" x14ac:dyDescent="0.3">
      <c r="B322" s="36" t="s">
        <v>96</v>
      </c>
      <c r="C322" s="3" t="s">
        <v>220</v>
      </c>
      <c r="D322" s="55">
        <f>SUMPRODUCT('Entry Tariff_1'!D$31:D$35,'Distance Matrix_Entry'!$AD$5:$AD$9)/SUMIFS('Entry Tariff_1'!D$31:D$35,'Distance Matrix_Entry'!$AD$5:$AD$9,"&gt;0")</f>
        <v>620.57149173543041</v>
      </c>
      <c r="E322" s="55">
        <f>SUMPRODUCT('Entry Tariff_1'!E$31:E$35,'Distance Matrix_Entry'!$AD$5:$AD$9)/SUMIFS('Entry Tariff_1'!E$31:E$35,'Distance Matrix_Entry'!$AD$5:$AD$9,"&gt;0")</f>
        <v>621.094378427268</v>
      </c>
      <c r="F322" s="55">
        <f>SUMPRODUCT('Entry Tariff_1'!F$31:F$35,'Distance Matrix_Entry'!$AD$5:$AD$9)/SUMIFS('Entry Tariff_1'!F$31:F$35,'Distance Matrix_Entry'!$AD$5:$AD$9,"&gt;0")</f>
        <v>621.094378427268</v>
      </c>
      <c r="G322" s="55">
        <f>SUMPRODUCT('Entry Tariff_1'!G$31:G$35,'Distance Matrix_Entry'!$AD$5:$AD$9)/SUMIFS('Entry Tariff_1'!G$31:G$35,'Distance Matrix_Entry'!$AD$5:$AD$9,"&gt;0")</f>
        <v>621.094378427268</v>
      </c>
      <c r="I322"/>
      <c r="J322"/>
      <c r="K322"/>
    </row>
    <row r="323" spans="2:11" ht="14.4" customHeight="1" x14ac:dyDescent="0.3">
      <c r="B323" s="36" t="s">
        <v>98</v>
      </c>
      <c r="C323" s="3" t="s">
        <v>220</v>
      </c>
      <c r="D323" s="55">
        <f>SUMPRODUCT('Entry Tariff_1'!D$31:D$35,'Distance Matrix_Entry'!$AE$5:$AE$9)/SUMIFS('Entry Tariff_1'!D$31:D$35,'Distance Matrix_Entry'!$AE$5:$AE$9,"&gt;0")</f>
        <v>711.9782950093753</v>
      </c>
      <c r="E323" s="55">
        <f>SUMPRODUCT('Entry Tariff_1'!E$31:E$35,'Distance Matrix_Entry'!$AE$5:$AE$9)/SUMIFS('Entry Tariff_1'!E$31:E$35,'Distance Matrix_Entry'!$AE$5:$AE$9,"&gt;0")</f>
        <v>712.53531756102302</v>
      </c>
      <c r="F323" s="55">
        <f>SUMPRODUCT('Entry Tariff_1'!F$31:F$35,'Distance Matrix_Entry'!$AE$5:$AE$9)/SUMIFS('Entry Tariff_1'!F$31:F$35,'Distance Matrix_Entry'!$AE$5:$AE$9,"&gt;0")</f>
        <v>712.53531756102302</v>
      </c>
      <c r="G323" s="55">
        <f>SUMPRODUCT('Entry Tariff_1'!G$31:G$35,'Distance Matrix_Entry'!$AE$5:$AE$9)/SUMIFS('Entry Tariff_1'!G$31:G$35,'Distance Matrix_Entry'!$AE$5:$AE$9,"&gt;0")</f>
        <v>712.53531756102302</v>
      </c>
      <c r="I323"/>
      <c r="J323"/>
      <c r="K323"/>
    </row>
    <row r="324" spans="2:11" ht="14.4" customHeight="1" x14ac:dyDescent="0.3">
      <c r="B324" s="36" t="s">
        <v>100</v>
      </c>
      <c r="C324" s="3" t="s">
        <v>220</v>
      </c>
      <c r="D324" s="55">
        <f>SUMPRODUCT('Entry Tariff_1'!D$31:D$35,'Distance Matrix_Entry'!$AF$5:$AF$9)/SUMIFS('Entry Tariff_1'!D$31:D$35,'Distance Matrix_Entry'!$AF$5:$AF$9,"&gt;0")</f>
        <v>737.46115215223256</v>
      </c>
      <c r="E324" s="55">
        <f>SUMPRODUCT('Entry Tariff_1'!E$31:E$35,'Distance Matrix_Entry'!$AF$5:$AF$9)/SUMIFS('Entry Tariff_1'!E$31:E$35,'Distance Matrix_Entry'!$AF$5:$AF$9,"&gt;0")</f>
        <v>738.01817470388039</v>
      </c>
      <c r="F324" s="55">
        <f>SUMPRODUCT('Entry Tariff_1'!F$31:F$35,'Distance Matrix_Entry'!$AF$5:$AF$9)/SUMIFS('Entry Tariff_1'!F$31:F$35,'Distance Matrix_Entry'!$AF$5:$AF$9,"&gt;0")</f>
        <v>738.01817470388039</v>
      </c>
      <c r="G324" s="55">
        <f>SUMPRODUCT('Entry Tariff_1'!G$31:G$35,'Distance Matrix_Entry'!$AF$5:$AF$9)/SUMIFS('Entry Tariff_1'!G$31:G$35,'Distance Matrix_Entry'!$AF$5:$AF$9,"&gt;0")</f>
        <v>738.01817470388039</v>
      </c>
      <c r="I324"/>
      <c r="J324"/>
      <c r="K324"/>
    </row>
    <row r="325" spans="2:11" ht="14.4" customHeight="1" x14ac:dyDescent="0.3">
      <c r="B325" s="36" t="s">
        <v>102</v>
      </c>
      <c r="C325" s="3" t="s">
        <v>220</v>
      </c>
      <c r="D325" s="55">
        <f>SUMPRODUCT('Entry Tariff_1'!D$31:D$35,'Distance Matrix_Entry'!$AG$5:$AG$9)/SUMIFS('Entry Tariff_1'!D$31:D$35,'Distance Matrix_Entry'!$AG$5:$AG$9,"&gt;0")</f>
        <v>737.74400929508977</v>
      </c>
      <c r="E325" s="55">
        <f>SUMPRODUCT('Entry Tariff_1'!E$31:E$35,'Distance Matrix_Entry'!$AG$5:$AG$9)/SUMIFS('Entry Tariff_1'!E$31:E$35,'Distance Matrix_Entry'!$AG$5:$AG$9,"&gt;0")</f>
        <v>738.3010318467376</v>
      </c>
      <c r="F325" s="55">
        <f>SUMPRODUCT('Entry Tariff_1'!F$31:F$35,'Distance Matrix_Entry'!$AG$5:$AG$9)/SUMIFS('Entry Tariff_1'!F$31:F$35,'Distance Matrix_Entry'!$AG$5:$AG$9,"&gt;0")</f>
        <v>738.3010318467376</v>
      </c>
      <c r="G325" s="55">
        <f>SUMPRODUCT('Entry Tariff_1'!G$31:G$35,'Distance Matrix_Entry'!$AG$5:$AG$9)/SUMIFS('Entry Tariff_1'!G$31:G$35,'Distance Matrix_Entry'!$AG$5:$AG$9,"&gt;0")</f>
        <v>738.3010318467376</v>
      </c>
      <c r="I325"/>
      <c r="J325"/>
      <c r="K325"/>
    </row>
    <row r="326" spans="2:11" ht="14.4" customHeight="1" x14ac:dyDescent="0.3">
      <c r="B326" s="36" t="s">
        <v>103</v>
      </c>
      <c r="C326" s="3" t="s">
        <v>220</v>
      </c>
      <c r="D326" s="55">
        <f>SUMPRODUCT('Entry Tariff_1'!D$31:D$35,'Distance Matrix_Entry'!$AH$5:$AH$9)/SUMIFS('Entry Tariff_1'!D$31:D$35,'Distance Matrix_Entry'!$AH$5:$AH$9,"&gt;0")</f>
        <v>771.35258072366105</v>
      </c>
      <c r="E326" s="55">
        <f>SUMPRODUCT('Entry Tariff_1'!E$31:E$35,'Distance Matrix_Entry'!$AH$5:$AH$9)/SUMIFS('Entry Tariff_1'!E$31:E$35,'Distance Matrix_Entry'!$AH$5:$AH$9,"&gt;0")</f>
        <v>771.90960327530888</v>
      </c>
      <c r="F326" s="55">
        <f>SUMPRODUCT('Entry Tariff_1'!F$31:F$35,'Distance Matrix_Entry'!$AH$5:$AH$9)/SUMIFS('Entry Tariff_1'!F$31:F$35,'Distance Matrix_Entry'!$AH$5:$AH$9,"&gt;0")</f>
        <v>771.90960327530888</v>
      </c>
      <c r="G326" s="55">
        <f>SUMPRODUCT('Entry Tariff_1'!G$31:G$35,'Distance Matrix_Entry'!$AH$5:$AH$9)/SUMIFS('Entry Tariff_1'!G$31:G$35,'Distance Matrix_Entry'!$AH$5:$AH$9,"&gt;0")</f>
        <v>771.90960327530888</v>
      </c>
      <c r="I326"/>
      <c r="J326"/>
      <c r="K326"/>
    </row>
    <row r="327" spans="2:11" ht="14.4" customHeight="1" x14ac:dyDescent="0.3">
      <c r="B327" s="36" t="s">
        <v>105</v>
      </c>
      <c r="C327" s="3" t="s">
        <v>220</v>
      </c>
      <c r="D327" s="55">
        <f>SUMPRODUCT('Entry Tariff_1'!D$31:D$35,'Distance Matrix_Entry'!$AI$5:$AI$9)/SUMIFS('Entry Tariff_1'!D$31:D$35,'Distance Matrix_Entry'!$AI$5:$AI$9,"&gt;0")</f>
        <v>687.12337449807478</v>
      </c>
      <c r="E327" s="55">
        <f>SUMPRODUCT('Entry Tariff_1'!E$31:E$35,'Distance Matrix_Entry'!$AI$5:$AI$9)/SUMIFS('Entry Tariff_1'!E$31:E$35,'Distance Matrix_Entry'!$AI$5:$AI$9,"&gt;0")</f>
        <v>687.57877805348801</v>
      </c>
      <c r="F327" s="55">
        <f>SUMPRODUCT('Entry Tariff_1'!F$31:F$35,'Distance Matrix_Entry'!$AI$5:$AI$9)/SUMIFS('Entry Tariff_1'!F$31:F$35,'Distance Matrix_Entry'!$AI$5:$AI$9,"&gt;0")</f>
        <v>687.57877805348801</v>
      </c>
      <c r="G327" s="55">
        <f>SUMPRODUCT('Entry Tariff_1'!G$31:G$35,'Distance Matrix_Entry'!$AI$5:$AI$9)/SUMIFS('Entry Tariff_1'!G$31:G$35,'Distance Matrix_Entry'!$AI$5:$AI$9,"&gt;0")</f>
        <v>687.57877805348801</v>
      </c>
      <c r="I327"/>
      <c r="J327"/>
      <c r="K327"/>
    </row>
    <row r="328" spans="2:11" ht="14.4" customHeight="1" x14ac:dyDescent="0.3">
      <c r="B328" s="36" t="s">
        <v>107</v>
      </c>
      <c r="C328" s="3" t="s">
        <v>220</v>
      </c>
      <c r="D328" s="55">
        <f>SUMPRODUCT('Entry Tariff_1'!D$31:D$35,'Distance Matrix_Entry'!$AJ$5:$AJ$9)/SUMIFS('Entry Tariff_1'!D$31:D$35,'Distance Matrix_Entry'!$AJ$5:$AJ$9,"&gt;0")</f>
        <v>771.35515215223245</v>
      </c>
      <c r="E328" s="55">
        <f>SUMPRODUCT('Entry Tariff_1'!E$31:E$35,'Distance Matrix_Entry'!$AJ$5:$AJ$9)/SUMIFS('Entry Tariff_1'!E$31:E$35,'Distance Matrix_Entry'!$AJ$5:$AJ$9,"&gt;0")</f>
        <v>771.91217470388005</v>
      </c>
      <c r="F328" s="55">
        <f>SUMPRODUCT('Entry Tariff_1'!F$31:F$35,'Distance Matrix_Entry'!$AJ$5:$AJ$9)/SUMIFS('Entry Tariff_1'!F$31:F$35,'Distance Matrix_Entry'!$AJ$5:$AJ$9,"&gt;0")</f>
        <v>771.91217470388005</v>
      </c>
      <c r="G328" s="55">
        <f>SUMPRODUCT('Entry Tariff_1'!G$31:G$35,'Distance Matrix_Entry'!$AJ$5:$AJ$9)/SUMIFS('Entry Tariff_1'!G$31:G$35,'Distance Matrix_Entry'!$AJ$5:$AJ$9,"&gt;0")</f>
        <v>771.91217470388005</v>
      </c>
      <c r="I328"/>
      <c r="J328"/>
      <c r="K328"/>
    </row>
    <row r="329" spans="2:11" ht="14.4" customHeight="1" x14ac:dyDescent="0.3">
      <c r="B329" s="36" t="s">
        <v>108</v>
      </c>
      <c r="C329" s="3" t="s">
        <v>220</v>
      </c>
      <c r="D329" s="55">
        <f>SUMPRODUCT('Entry Tariff_1'!D$31:D$35,'Distance Matrix_Entry'!$AK$5:$AK$9)/SUMIFS('Entry Tariff_1'!D$31:D$35,'Distance Matrix_Entry'!$AK$5:$AK$9,"&gt;0")</f>
        <v>746.64009342793167</v>
      </c>
      <c r="E329" s="55">
        <f>SUMPRODUCT('Entry Tariff_1'!E$31:E$35,'Distance Matrix_Entry'!$AK$5:$AK$9)/SUMIFS('Entry Tariff_1'!E$31:E$35,'Distance Matrix_Entry'!$AK$5:$AK$9,"&gt;0")</f>
        <v>747.08462822445813</v>
      </c>
      <c r="F329" s="55">
        <f>SUMPRODUCT('Entry Tariff_1'!F$31:F$35,'Distance Matrix_Entry'!$AK$5:$AK$9)/SUMIFS('Entry Tariff_1'!F$31:F$35,'Distance Matrix_Entry'!$AK$5:$AK$9,"&gt;0")</f>
        <v>747.08462822445813</v>
      </c>
      <c r="G329" s="55">
        <f>SUMPRODUCT('Entry Tariff_1'!G$31:G$35,'Distance Matrix_Entry'!$AK$5:$AK$9)/SUMIFS('Entry Tariff_1'!G$31:G$35,'Distance Matrix_Entry'!$AK$5:$AK$9,"&gt;0")</f>
        <v>747.08462822445813</v>
      </c>
      <c r="I329"/>
      <c r="J329"/>
      <c r="K329"/>
    </row>
    <row r="330" spans="2:11" ht="14.4" customHeight="1" x14ac:dyDescent="0.3">
      <c r="B330" s="36" t="s">
        <v>110</v>
      </c>
      <c r="C330" s="3" t="s">
        <v>220</v>
      </c>
      <c r="D330" s="55">
        <f>SUMPRODUCT('Entry Tariff_1'!D$31:D$35,'Distance Matrix_Entry'!$AL$5:$AL$9)/SUMIFS('Entry Tariff_1'!D$31:D$35,'Distance Matrix_Entry'!$AL$5:$AL$9,"&gt;0")</f>
        <v>772.14866485650339</v>
      </c>
      <c r="E330" s="55">
        <f>SUMPRODUCT('Entry Tariff_1'!E$31:E$35,'Distance Matrix_Entry'!$AL$5:$AL$9)/SUMIFS('Entry Tariff_1'!E$31:E$35,'Distance Matrix_Entry'!$AL$5:$AL$9,"&gt;0")</f>
        <v>772.59319965302961</v>
      </c>
      <c r="F330" s="55">
        <f>SUMPRODUCT('Entry Tariff_1'!F$31:F$35,'Distance Matrix_Entry'!$AL$5:$AL$9)/SUMIFS('Entry Tariff_1'!F$31:F$35,'Distance Matrix_Entry'!$AL$5:$AL$9,"&gt;0")</f>
        <v>772.59319965302961</v>
      </c>
      <c r="G330" s="55">
        <f>SUMPRODUCT('Entry Tariff_1'!G$31:G$35,'Distance Matrix_Entry'!$AL$5:$AL$9)/SUMIFS('Entry Tariff_1'!G$31:G$35,'Distance Matrix_Entry'!$AL$5:$AL$9,"&gt;0")</f>
        <v>772.59319965302961</v>
      </c>
      <c r="I330"/>
      <c r="J330"/>
      <c r="K330"/>
    </row>
    <row r="331" spans="2:11" ht="14.4" customHeight="1" x14ac:dyDescent="0.3">
      <c r="B331" s="36" t="s">
        <v>112</v>
      </c>
      <c r="C331" s="3" t="s">
        <v>220</v>
      </c>
      <c r="D331" s="55">
        <f>SUMPRODUCT('Entry Tariff_1'!D$31:D$35,'Distance Matrix_Entry'!$AM$5:$AM$9)/SUMIFS('Entry Tariff_1'!D$31:D$35,'Distance Matrix_Entry'!$AM$5:$AM$9,"&gt;0")</f>
        <v>761.4533183178753</v>
      </c>
      <c r="E331" s="55">
        <f>SUMPRODUCT('Entry Tariff_1'!E$31:E$35,'Distance Matrix_Entry'!$AM$5:$AM$9)/SUMIFS('Entry Tariff_1'!E$31:E$35,'Distance Matrix_Entry'!$AM$5:$AM$9,"&gt;0")</f>
        <v>761.89180845705278</v>
      </c>
      <c r="F331" s="55">
        <f>SUMPRODUCT('Entry Tariff_1'!F$31:F$35,'Distance Matrix_Entry'!$AM$5:$AM$9)/SUMIFS('Entry Tariff_1'!F$31:F$35,'Distance Matrix_Entry'!$AM$5:$AM$9,"&gt;0")</f>
        <v>761.89180845705278</v>
      </c>
      <c r="G331" s="55">
        <f>SUMPRODUCT('Entry Tariff_1'!G$31:G$35,'Distance Matrix_Entry'!$AM$5:$AM$9)/SUMIFS('Entry Tariff_1'!G$31:G$35,'Distance Matrix_Entry'!$AM$5:$AM$9,"&gt;0")</f>
        <v>761.89180845705278</v>
      </c>
      <c r="I331"/>
      <c r="J331"/>
      <c r="K331"/>
    </row>
    <row r="332" spans="2:11" ht="14.4" customHeight="1" x14ac:dyDescent="0.3">
      <c r="B332" s="36" t="s">
        <v>114</v>
      </c>
      <c r="C332" s="3" t="s">
        <v>220</v>
      </c>
      <c r="D332" s="55">
        <f>SUMPRODUCT('Entry Tariff_1'!D$31:D$35,'Distance Matrix_Entry'!$AN$5:$AN$9)/SUMIFS('Entry Tariff_1'!D$31:D$35,'Distance Matrix_Entry'!$AN$5:$AN$9,"&gt;0")</f>
        <v>775.88507716948607</v>
      </c>
      <c r="E332" s="55">
        <f>SUMPRODUCT('Entry Tariff_1'!E$31:E$35,'Distance Matrix_Entry'!$AN$5:$AN$9)/SUMIFS('Entry Tariff_1'!E$31:E$35,'Distance Matrix_Entry'!$AN$5:$AN$9,"&gt;0")</f>
        <v>776.32028343231536</v>
      </c>
      <c r="F332" s="55">
        <f>SUMPRODUCT('Entry Tariff_1'!F$31:F$35,'Distance Matrix_Entry'!$AN$5:$AN$9)/SUMIFS('Entry Tariff_1'!F$31:F$35,'Distance Matrix_Entry'!$AN$5:$AN$9,"&gt;0")</f>
        <v>776.32028343231536</v>
      </c>
      <c r="G332" s="55">
        <f>SUMPRODUCT('Entry Tariff_1'!G$31:G$35,'Distance Matrix_Entry'!$AN$5:$AN$9)/SUMIFS('Entry Tariff_1'!G$31:G$35,'Distance Matrix_Entry'!$AN$5:$AN$9,"&gt;0")</f>
        <v>776.32028343231536</v>
      </c>
      <c r="I332"/>
      <c r="J332"/>
      <c r="K332"/>
    </row>
    <row r="333" spans="2:11" ht="14.4" customHeight="1" x14ac:dyDescent="0.3">
      <c r="B333" s="36" t="s">
        <v>116</v>
      </c>
      <c r="C333" s="3" t="s">
        <v>220</v>
      </c>
      <c r="D333" s="55">
        <f>SUMPRODUCT('Entry Tariff_1'!D$31:D$35,'Distance Matrix_Entry'!$AO$5:$AO$9)/SUMIFS('Entry Tariff_1'!D$31:D$35,'Distance Matrix_Entry'!$AO$5:$AO$9,"&gt;0")</f>
        <v>810.77672777355747</v>
      </c>
      <c r="E333" s="55">
        <f>SUMPRODUCT('Entry Tariff_1'!E$31:E$35,'Distance Matrix_Entry'!$AO$5:$AO$9)/SUMIFS('Entry Tariff_1'!E$31:E$35,'Distance Matrix_Entry'!$AO$5:$AO$9,"&gt;0")</f>
        <v>811.20399461144575</v>
      </c>
      <c r="F333" s="55">
        <f>SUMPRODUCT('Entry Tariff_1'!F$31:F$35,'Distance Matrix_Entry'!$AO$5:$AO$9)/SUMIFS('Entry Tariff_1'!F$31:F$35,'Distance Matrix_Entry'!$AO$5:$AO$9,"&gt;0")</f>
        <v>811.20399461144575</v>
      </c>
      <c r="G333" s="55">
        <f>SUMPRODUCT('Entry Tariff_1'!G$31:G$35,'Distance Matrix_Entry'!$AO$5:$AO$9)/SUMIFS('Entry Tariff_1'!G$31:G$35,'Distance Matrix_Entry'!$AO$5:$AO$9,"&gt;0")</f>
        <v>811.20399461144575</v>
      </c>
      <c r="I333"/>
      <c r="J333"/>
      <c r="K333"/>
    </row>
    <row r="334" spans="2:11" ht="14.4" customHeight="1" x14ac:dyDescent="0.3">
      <c r="B334" s="36" t="s">
        <v>118</v>
      </c>
      <c r="C334" s="3" t="s">
        <v>220</v>
      </c>
      <c r="D334" s="55">
        <f>SUMPRODUCT('Entry Tariff_1'!D$31:D$35,'Distance Matrix_Entry'!$AP$5:$AP$9)/SUMIFS('Entry Tariff_1'!D$31:D$35,'Distance Matrix_Entry'!$AP$5:$AP$9,"&gt;0")</f>
        <v>828.91221234814805</v>
      </c>
      <c r="E334" s="55">
        <f>SUMPRODUCT('Entry Tariff_1'!E$31:E$35,'Distance Matrix_Entry'!$AP$5:$AP$9)/SUMIFS('Entry Tariff_1'!E$31:E$35,'Distance Matrix_Entry'!$AP$5:$AP$9,"&gt;0")</f>
        <v>829.33535254496155</v>
      </c>
      <c r="F334" s="55">
        <f>SUMPRODUCT('Entry Tariff_1'!F$31:F$35,'Distance Matrix_Entry'!$AP$5:$AP$9)/SUMIFS('Entry Tariff_1'!F$31:F$35,'Distance Matrix_Entry'!$AP$5:$AP$9,"&gt;0")</f>
        <v>829.33535254496155</v>
      </c>
      <c r="G334" s="55">
        <f>SUMPRODUCT('Entry Tariff_1'!G$31:G$35,'Distance Matrix_Entry'!$AP$5:$AP$9)/SUMIFS('Entry Tariff_1'!G$31:G$35,'Distance Matrix_Entry'!$AP$5:$AP$9,"&gt;0")</f>
        <v>829.33535254496155</v>
      </c>
      <c r="I334"/>
      <c r="J334"/>
      <c r="K334"/>
    </row>
    <row r="335" spans="2:11" ht="14.4" customHeight="1" x14ac:dyDescent="0.3">
      <c r="B335" s="36" t="s">
        <v>120</v>
      </c>
      <c r="C335" s="3" t="s">
        <v>220</v>
      </c>
      <c r="D335" s="55">
        <f>SUMPRODUCT('Entry Tariff_1'!D$31:D$35,'Distance Matrix_Entry'!$AQ$5:$AQ$9)/SUMIFS('Entry Tariff_1'!D$31:D$35,'Distance Matrix_Entry'!$AQ$5:$AQ$9,"&gt;0")</f>
        <v>841.27499338209418</v>
      </c>
      <c r="E335" s="55">
        <f>SUMPRODUCT('Entry Tariff_1'!E$31:E$35,'Distance Matrix_Entry'!$AQ$5:$AQ$9)/SUMIFS('Entry Tariff_1'!E$31:E$35,'Distance Matrix_Entry'!$AQ$5:$AQ$9,"&gt;0")</f>
        <v>841.69532048837232</v>
      </c>
      <c r="F335" s="55">
        <f>SUMPRODUCT('Entry Tariff_1'!F$31:F$35,'Distance Matrix_Entry'!$AQ$5:$AQ$9)/SUMIFS('Entry Tariff_1'!F$31:F$35,'Distance Matrix_Entry'!$AQ$5:$AQ$9,"&gt;0")</f>
        <v>841.69532048837232</v>
      </c>
      <c r="G335" s="55">
        <f>SUMPRODUCT('Entry Tariff_1'!G$31:G$35,'Distance Matrix_Entry'!$AQ$5:$AQ$9)/SUMIFS('Entry Tariff_1'!G$31:G$35,'Distance Matrix_Entry'!$AQ$5:$AQ$9,"&gt;0")</f>
        <v>841.69532048837232</v>
      </c>
      <c r="I335"/>
      <c r="J335"/>
      <c r="K335"/>
    </row>
    <row r="336" spans="2:11" ht="14.4" customHeight="1" x14ac:dyDescent="0.3">
      <c r="B336" s="36" t="s">
        <v>122</v>
      </c>
      <c r="C336" s="3" t="s">
        <v>220</v>
      </c>
      <c r="D336" s="55">
        <f>SUMPRODUCT('Entry Tariff_1'!D$31:D$35,'Distance Matrix_Entry'!$AR$5:$AR$9)/SUMIFS('Entry Tariff_1'!D$31:D$35,'Distance Matrix_Entry'!$AR$5:$AR$9,"&gt;0")</f>
        <v>854.02091845634891</v>
      </c>
      <c r="E336" s="55">
        <f>SUMPRODUCT('Entry Tariff_1'!E$31:E$35,'Distance Matrix_Entry'!$AR$5:$AR$9)/SUMIFS('Entry Tariff_1'!E$31:E$35,'Distance Matrix_Entry'!$AR$5:$AR$9,"&gt;0")</f>
        <v>854.43834528953357</v>
      </c>
      <c r="F336" s="55">
        <f>SUMPRODUCT('Entry Tariff_1'!F$31:F$35,'Distance Matrix_Entry'!$AR$5:$AR$9)/SUMIFS('Entry Tariff_1'!F$31:F$35,'Distance Matrix_Entry'!$AR$5:$AR$9,"&gt;0")</f>
        <v>854.43834528953357</v>
      </c>
      <c r="G336" s="55">
        <f>SUMPRODUCT('Entry Tariff_1'!G$31:G$35,'Distance Matrix_Entry'!$AR$5:$AR$9)/SUMIFS('Entry Tariff_1'!G$31:G$35,'Distance Matrix_Entry'!$AR$5:$AR$9,"&gt;0")</f>
        <v>854.43834528953357</v>
      </c>
      <c r="I336"/>
      <c r="J336"/>
      <c r="K336"/>
    </row>
    <row r="337" spans="2:11" ht="14.4" customHeight="1" x14ac:dyDescent="0.3">
      <c r="B337" s="36" t="s">
        <v>124</v>
      </c>
      <c r="C337" s="3" t="s">
        <v>220</v>
      </c>
      <c r="D337" s="55">
        <f>SUMPRODUCT('Entry Tariff_1'!D$31:D$35,'Distance Matrix_Entry'!$AS$5:$AS$9)/SUMIFS('Entry Tariff_1'!D$31:D$35,'Distance Matrix_Entry'!$AS$5:$AS$9,"&gt;0")</f>
        <v>895.73253297790666</v>
      </c>
      <c r="E337" s="55">
        <f>SUMPRODUCT('Entry Tariff_1'!E$31:E$35,'Distance Matrix_Entry'!$AS$5:$AS$9)/SUMIFS('Entry Tariff_1'!E$31:E$35,'Distance Matrix_Entry'!$AS$5:$AS$9,"&gt;0")</f>
        <v>896.14046853661978</v>
      </c>
      <c r="F337" s="55">
        <f>SUMPRODUCT('Entry Tariff_1'!F$31:F$35,'Distance Matrix_Entry'!$AS$5:$AS$9)/SUMIFS('Entry Tariff_1'!F$31:F$35,'Distance Matrix_Entry'!$AS$5:$AS$9,"&gt;0")</f>
        <v>896.14046853661978</v>
      </c>
      <c r="G337" s="55">
        <f>SUMPRODUCT('Entry Tariff_1'!G$31:G$35,'Distance Matrix_Entry'!$AS$5:$AS$9)/SUMIFS('Entry Tariff_1'!G$31:G$35,'Distance Matrix_Entry'!$AS$5:$AS$9,"&gt;0")</f>
        <v>896.14046853661978</v>
      </c>
      <c r="I337"/>
      <c r="J337"/>
      <c r="K337"/>
    </row>
    <row r="338" spans="2:11" ht="14.4" customHeight="1" x14ac:dyDescent="0.3">
      <c r="B338" s="36" t="s">
        <v>126</v>
      </c>
      <c r="C338" s="3" t="s">
        <v>220</v>
      </c>
      <c r="D338" s="55">
        <f>SUMPRODUCT('Entry Tariff_1'!D$31:D$35,'Distance Matrix_Entry'!$AT$5:$AT$9)/SUMIFS('Entry Tariff_1'!D$31:D$35,'Distance Matrix_Entry'!$AT$5:$AT$9,"&gt;0")</f>
        <v>913.81693168045626</v>
      </c>
      <c r="E338" s="55">
        <f>SUMPRODUCT('Entry Tariff_1'!E$31:E$35,'Distance Matrix_Entry'!$AT$5:$AT$9)/SUMIFS('Entry Tariff_1'!E$31:E$35,'Distance Matrix_Entry'!$AT$5:$AT$9,"&gt;0")</f>
        <v>914.22075222243552</v>
      </c>
      <c r="F338" s="55">
        <f>SUMPRODUCT('Entry Tariff_1'!F$31:F$35,'Distance Matrix_Entry'!$AT$5:$AT$9)/SUMIFS('Entry Tariff_1'!F$31:F$35,'Distance Matrix_Entry'!$AT$5:$AT$9,"&gt;0")</f>
        <v>914.22075222243552</v>
      </c>
      <c r="G338" s="55">
        <f>SUMPRODUCT('Entry Tariff_1'!G$31:G$35,'Distance Matrix_Entry'!$AT$5:$AT$9)/SUMIFS('Entry Tariff_1'!G$31:G$35,'Distance Matrix_Entry'!$AT$5:$AT$9,"&gt;0")</f>
        <v>914.22075222243552</v>
      </c>
      <c r="I338"/>
      <c r="J338"/>
      <c r="K338"/>
    </row>
    <row r="339" spans="2:11" ht="14.4" customHeight="1" x14ac:dyDescent="0.3">
      <c r="B339" s="36" t="s">
        <v>128</v>
      </c>
      <c r="C339" s="3" t="s">
        <v>220</v>
      </c>
      <c r="D339" s="55">
        <f>SUMPRODUCT('Entry Tariff_1'!D$31:D$35,'Distance Matrix_Entry'!$AU$5:$AU$9)/SUMIFS('Entry Tariff_1'!D$31:D$35,'Distance Matrix_Entry'!$AU$5:$AU$9,"&gt;0")</f>
        <v>946.68789076870007</v>
      </c>
      <c r="E339" s="55">
        <f>SUMPRODUCT('Entry Tariff_1'!E$31:E$35,'Distance Matrix_Entry'!$AU$5:$AU$9)/SUMIFS('Entry Tariff_1'!E$31:E$35,'Distance Matrix_Entry'!$AU$5:$AU$9,"&gt;0")</f>
        <v>947.08840999781989</v>
      </c>
      <c r="F339" s="55">
        <f>SUMPRODUCT('Entry Tariff_1'!F$31:F$35,'Distance Matrix_Entry'!$AU$5:$AU$9)/SUMIFS('Entry Tariff_1'!F$31:F$35,'Distance Matrix_Entry'!$AU$5:$AU$9,"&gt;0")</f>
        <v>947.08840999781989</v>
      </c>
      <c r="G339" s="55">
        <f>SUMPRODUCT('Entry Tariff_1'!G$31:G$35,'Distance Matrix_Entry'!$AU$5:$AU$9)/SUMIFS('Entry Tariff_1'!G$31:G$35,'Distance Matrix_Entry'!$AU$5:$AU$9,"&gt;0")</f>
        <v>947.08840999781989</v>
      </c>
      <c r="I339"/>
      <c r="J339"/>
      <c r="K339"/>
    </row>
    <row r="340" spans="2:11" ht="14.4" customHeight="1" x14ac:dyDescent="0.3">
      <c r="B340" s="36" t="s">
        <v>130</v>
      </c>
      <c r="C340" s="3" t="s">
        <v>220</v>
      </c>
      <c r="D340" s="55">
        <f>SUMPRODUCT('Entry Tariff_1'!D$31:D$35,'Distance Matrix_Entry'!$AV$5:$AV$9)/SUMIFS('Entry Tariff_1'!D$31:D$35,'Distance Matrix_Entry'!$AV$5:$AV$9,"&gt;0")</f>
        <v>946.68531934012844</v>
      </c>
      <c r="E340" s="55">
        <f>SUMPRODUCT('Entry Tariff_1'!E$31:E$35,'Distance Matrix_Entry'!$AV$5:$AV$9)/SUMIFS('Entry Tariff_1'!E$31:E$35,'Distance Matrix_Entry'!$AV$5:$AV$9,"&gt;0")</f>
        <v>947.08583856924804</v>
      </c>
      <c r="F340" s="55">
        <f>SUMPRODUCT('Entry Tariff_1'!F$31:F$35,'Distance Matrix_Entry'!$AV$5:$AV$9)/SUMIFS('Entry Tariff_1'!F$31:F$35,'Distance Matrix_Entry'!$AV$5:$AV$9,"&gt;0")</f>
        <v>947.08583856924804</v>
      </c>
      <c r="G340" s="55">
        <f>SUMPRODUCT('Entry Tariff_1'!G$31:G$35,'Distance Matrix_Entry'!$AV$5:$AV$9)/SUMIFS('Entry Tariff_1'!G$31:G$35,'Distance Matrix_Entry'!$AV$5:$AV$9,"&gt;0")</f>
        <v>947.08583856924804</v>
      </c>
      <c r="I340"/>
      <c r="J340"/>
      <c r="K340"/>
    </row>
    <row r="341" spans="2:11" ht="14.4" customHeight="1" x14ac:dyDescent="0.3">
      <c r="B341" s="36" t="s">
        <v>131</v>
      </c>
      <c r="C341" s="3" t="s">
        <v>220</v>
      </c>
      <c r="D341" s="55">
        <f>SUMPRODUCT('Entry Tariff_1'!D$31:D$35,'Distance Matrix_Entry'!$AW$5:$AW$9)/SUMIFS('Entry Tariff_1'!D$31:D$35,'Distance Matrix_Entry'!$AW$5:$AW$9,"&gt;0")</f>
        <v>958.10838274009006</v>
      </c>
      <c r="E341" s="55">
        <f>SUMPRODUCT('Entry Tariff_1'!E$31:E$35,'Distance Matrix_Entry'!$AW$5:$AW$9)/SUMIFS('Entry Tariff_1'!E$31:E$35,'Distance Matrix_Entry'!$AW$5:$AW$9,"&gt;0")</f>
        <v>958.50212497837413</v>
      </c>
      <c r="F341" s="55">
        <f>SUMPRODUCT('Entry Tariff_1'!F$31:F$35,'Distance Matrix_Entry'!$AW$5:$AW$9)/SUMIFS('Entry Tariff_1'!F$31:F$35,'Distance Matrix_Entry'!$AW$5:$AW$9,"&gt;0")</f>
        <v>958.50212497837413</v>
      </c>
      <c r="G341" s="55">
        <f>SUMPRODUCT('Entry Tariff_1'!G$31:G$35,'Distance Matrix_Entry'!$AW$5:$AW$9)/SUMIFS('Entry Tariff_1'!G$31:G$35,'Distance Matrix_Entry'!$AW$5:$AW$9,"&gt;0")</f>
        <v>958.50212497837413</v>
      </c>
      <c r="I341"/>
      <c r="J341"/>
      <c r="K341"/>
    </row>
    <row r="342" spans="2:11" ht="14.4" customHeight="1" x14ac:dyDescent="0.3">
      <c r="B342" s="36" t="s">
        <v>133</v>
      </c>
      <c r="C342" s="3" t="s">
        <v>220</v>
      </c>
      <c r="D342" s="55">
        <f>SUMPRODUCT('Entry Tariff_1'!D$31:D$35,'Distance Matrix_Entry'!$AX$5:$AX$9)/SUMIFS('Entry Tariff_1'!D$31:D$35,'Distance Matrix_Entry'!$AX$5:$AX$9,"&gt;0")</f>
        <v>980.48656612266325</v>
      </c>
      <c r="E342" s="55">
        <f>SUMPRODUCT('Entry Tariff_1'!E$31:E$35,'Distance Matrix_Entry'!$AX$5:$AX$9)/SUMIFS('Entry Tariff_1'!E$31:E$35,'Distance Matrix_Entry'!$AX$5:$AX$9,"&gt;0")</f>
        <v>980.8752168995652</v>
      </c>
      <c r="F342" s="55">
        <f>SUMPRODUCT('Entry Tariff_1'!F$31:F$35,'Distance Matrix_Entry'!$AX$5:$AX$9)/SUMIFS('Entry Tariff_1'!F$31:F$35,'Distance Matrix_Entry'!$AX$5:$AX$9,"&gt;0")</f>
        <v>980.8752168995652</v>
      </c>
      <c r="G342" s="55">
        <f>SUMPRODUCT('Entry Tariff_1'!G$31:G$35,'Distance Matrix_Entry'!$AX$5:$AX$9)/SUMIFS('Entry Tariff_1'!G$31:G$35,'Distance Matrix_Entry'!$AX$5:$AX$9,"&gt;0")</f>
        <v>980.8752168995652</v>
      </c>
      <c r="I342"/>
      <c r="J342"/>
      <c r="K342"/>
    </row>
    <row r="343" spans="2:11" ht="14.4" customHeight="1" x14ac:dyDescent="0.3">
      <c r="B343" s="36" t="s">
        <v>135</v>
      </c>
      <c r="C343" s="3" t="s">
        <v>220</v>
      </c>
      <c r="D343" s="55">
        <f>SUMPRODUCT('Entry Tariff_1'!D$31:D$35,'Distance Matrix_Entry'!$AY$5:$AY$9)/SUMIFS('Entry Tariff_1'!D$31:D$35,'Distance Matrix_Entry'!$AY$5:$AY$9,"&gt;0")</f>
        <v>980.48399469409162</v>
      </c>
      <c r="E343" s="55">
        <f>SUMPRODUCT('Entry Tariff_1'!E$31:E$35,'Distance Matrix_Entry'!$AY$5:$AY$9)/SUMIFS('Entry Tariff_1'!E$31:E$35,'Distance Matrix_Entry'!$AY$5:$AY$9,"&gt;0")</f>
        <v>980.87264547099358</v>
      </c>
      <c r="F343" s="55">
        <f>SUMPRODUCT('Entry Tariff_1'!F$31:F$35,'Distance Matrix_Entry'!$AY$5:$AY$9)/SUMIFS('Entry Tariff_1'!F$31:F$35,'Distance Matrix_Entry'!$AY$5:$AY$9,"&gt;0")</f>
        <v>980.87264547099358</v>
      </c>
      <c r="G343" s="55">
        <f>SUMPRODUCT('Entry Tariff_1'!G$31:G$35,'Distance Matrix_Entry'!$AY$5:$AY$9)/SUMIFS('Entry Tariff_1'!G$31:G$35,'Distance Matrix_Entry'!$AY$5:$AY$9,"&gt;0")</f>
        <v>980.87264547099358</v>
      </c>
      <c r="I343"/>
      <c r="J343"/>
      <c r="K343"/>
    </row>
    <row r="344" spans="2:11" ht="14.4" customHeight="1" x14ac:dyDescent="0.3">
      <c r="B344" s="36" t="s">
        <v>136</v>
      </c>
      <c r="C344" s="3" t="s">
        <v>220</v>
      </c>
      <c r="D344" s="55">
        <f>SUMPRODUCT('Entry Tariff_1'!D$31:D$35,'Distance Matrix_Entry'!$AZ$5:$AZ$9)/SUMIFS('Entry Tariff_1'!D$31:D$35,'Distance Matrix_Entry'!$AZ$5:$AZ$9,"&gt;0")</f>
        <v>1014.0984984971356</v>
      </c>
      <c r="E344" s="55">
        <f>SUMPRODUCT('Entry Tariff_1'!E$31:E$35,'Distance Matrix_Entry'!$AZ$5:$AZ$9)/SUMIFS('Entry Tariff_1'!E$31:E$35,'Distance Matrix_Entry'!$AZ$5:$AZ$9,"&gt;0")</f>
        <v>1014.4795004576229</v>
      </c>
      <c r="F344" s="55">
        <f>SUMPRODUCT('Entry Tariff_1'!F$31:F$35,'Distance Matrix_Entry'!$AZ$5:$AZ$9)/SUMIFS('Entry Tariff_1'!F$31:F$35,'Distance Matrix_Entry'!$AZ$5:$AZ$9,"&gt;0")</f>
        <v>1014.4795004576229</v>
      </c>
      <c r="G344" s="55">
        <f>SUMPRODUCT('Entry Tariff_1'!G$31:G$35,'Distance Matrix_Entry'!$AZ$5:$AZ$9)/SUMIFS('Entry Tariff_1'!G$31:G$35,'Distance Matrix_Entry'!$AZ$5:$AZ$9,"&gt;0")</f>
        <v>1014.4795004576229</v>
      </c>
      <c r="I344"/>
      <c r="J344"/>
      <c r="K344"/>
    </row>
    <row r="345" spans="2:11" ht="14.4" customHeight="1" x14ac:dyDescent="0.3">
      <c r="B345" s="36" t="s">
        <v>138</v>
      </c>
      <c r="C345" s="3" t="s">
        <v>220</v>
      </c>
      <c r="D345" s="55">
        <f>SUMPRODUCT('Entry Tariff_1'!D$31:D$35,'Distance Matrix_Entry'!$BA$5:$BA$9)/SUMIFS('Entry Tariff_1'!D$31:D$35,'Distance Matrix_Entry'!$BA$5:$BA$9,"&gt;0")</f>
        <v>1058.9518941492213</v>
      </c>
      <c r="E345" s="55">
        <f>SUMPRODUCT('Entry Tariff_1'!E$31:E$35,'Distance Matrix_Entry'!$BA$5:$BA$9)/SUMIFS('Entry Tariff_1'!E$31:E$35,'Distance Matrix_Entry'!$BA$5:$BA$9,"&gt;0")</f>
        <v>1059.3226899382619</v>
      </c>
      <c r="F345" s="55">
        <f>SUMPRODUCT('Entry Tariff_1'!F$31:F$35,'Distance Matrix_Entry'!$BA$5:$BA$9)/SUMIFS('Entry Tariff_1'!F$31:F$35,'Distance Matrix_Entry'!$BA$5:$BA$9,"&gt;0")</f>
        <v>1059.3226899382619</v>
      </c>
      <c r="G345" s="55">
        <f>SUMPRODUCT('Entry Tariff_1'!G$31:G$35,'Distance Matrix_Entry'!$BA$5:$BA$9)/SUMIFS('Entry Tariff_1'!G$31:G$35,'Distance Matrix_Entry'!$BA$5:$BA$9,"&gt;0")</f>
        <v>1059.3226899382619</v>
      </c>
      <c r="I345"/>
      <c r="J345"/>
      <c r="K345"/>
    </row>
    <row r="346" spans="2:11" ht="14.4" customHeight="1" x14ac:dyDescent="0.3">
      <c r="B346" s="36" t="s">
        <v>140</v>
      </c>
      <c r="C346" s="3" t="s">
        <v>220</v>
      </c>
      <c r="D346" s="55">
        <f>SUMPRODUCT('Entry Tariff_1'!D$31:D$35,'Distance Matrix_Entry'!$BB$5:$BB$9)/SUMIFS('Entry Tariff_1'!D$31:D$35,'Distance Matrix_Entry'!$BB$5:$BB$9,"&gt;0")</f>
        <v>1095.8527982243058</v>
      </c>
      <c r="E346" s="55">
        <f>SUMPRODUCT('Entry Tariff_1'!E$31:E$35,'Distance Matrix_Entry'!$BB$5:$BB$9)/SUMIFS('Entry Tariff_1'!E$31:E$35,'Distance Matrix_Entry'!$BB$5:$BB$9,"&gt;0")</f>
        <v>1096.2201357718825</v>
      </c>
      <c r="F346" s="55">
        <f>SUMPRODUCT('Entry Tariff_1'!F$31:F$35,'Distance Matrix_Entry'!$BB$5:$BB$9)/SUMIFS('Entry Tariff_1'!F$31:F$35,'Distance Matrix_Entry'!$BB$5:$BB$9,"&gt;0")</f>
        <v>1096.2201357718825</v>
      </c>
      <c r="G346" s="55">
        <f>SUMPRODUCT('Entry Tariff_1'!G$31:G$35,'Distance Matrix_Entry'!$BB$5:$BB$9)/SUMIFS('Entry Tariff_1'!G$31:G$35,'Distance Matrix_Entry'!$BB$5:$BB$9,"&gt;0")</f>
        <v>1096.2201357718825</v>
      </c>
      <c r="I346"/>
      <c r="J346"/>
      <c r="K346"/>
    </row>
    <row r="347" spans="2:11" ht="14.4" customHeight="1" x14ac:dyDescent="0.3">
      <c r="B347" s="36" t="s">
        <v>142</v>
      </c>
      <c r="C347" s="3" t="s">
        <v>220</v>
      </c>
      <c r="D347" s="55">
        <f>SUMPRODUCT('Entry Tariff_1'!D$31:D$35,'Distance Matrix_Entry'!$BC$5:$BC$9)/SUMIFS('Entry Tariff_1'!D$31:D$35,'Distance Matrix_Entry'!$BC$5:$BC$9,"&gt;0")</f>
        <v>1088.8070839385914</v>
      </c>
      <c r="E347" s="55">
        <f>SUMPRODUCT('Entry Tariff_1'!E$31:E$35,'Distance Matrix_Entry'!$BC$5:$BC$9)/SUMIFS('Entry Tariff_1'!E$31:E$35,'Distance Matrix_Entry'!$BC$5:$BC$9,"&gt;0")</f>
        <v>1089.1744214861681</v>
      </c>
      <c r="F347" s="55">
        <f>SUMPRODUCT('Entry Tariff_1'!F$31:F$35,'Distance Matrix_Entry'!$BC$5:$BC$9)/SUMIFS('Entry Tariff_1'!F$31:F$35,'Distance Matrix_Entry'!$BC$5:$BC$9,"&gt;0")</f>
        <v>1089.1744214861681</v>
      </c>
      <c r="G347" s="55">
        <f>SUMPRODUCT('Entry Tariff_1'!G$31:G$35,'Distance Matrix_Entry'!$BC$5:$BC$9)/SUMIFS('Entry Tariff_1'!G$31:G$35,'Distance Matrix_Entry'!$BC$5:$BC$9,"&gt;0")</f>
        <v>1089.1744214861681</v>
      </c>
      <c r="I347"/>
      <c r="J347"/>
      <c r="K347"/>
    </row>
    <row r="348" spans="2:11" ht="14.4" customHeight="1" x14ac:dyDescent="0.3">
      <c r="B348" s="36" t="s">
        <v>144</v>
      </c>
      <c r="C348" s="3" t="s">
        <v>220</v>
      </c>
      <c r="D348" s="55">
        <f>SUMPRODUCT('Entry Tariff_1'!D$31:D$35,'Distance Matrix_Entry'!$BD$5:$BD$9)/SUMIFS('Entry Tariff_1'!D$31:D$35,'Distance Matrix_Entry'!$BD$5:$BD$9,"&gt;0")</f>
        <v>1100.8091677421089</v>
      </c>
      <c r="E348" s="55">
        <f>SUMPRODUCT('Entry Tariff_1'!E$31:E$35,'Distance Matrix_Entry'!$BD$5:$BD$9)/SUMIFS('Entry Tariff_1'!E$31:E$35,'Distance Matrix_Entry'!$BD$5:$BD$9,"&gt;0")</f>
        <v>1101.174540776047</v>
      </c>
      <c r="F348" s="55">
        <f>SUMPRODUCT('Entry Tariff_1'!F$31:F$35,'Distance Matrix_Entry'!$BD$5:$BD$9)/SUMIFS('Entry Tariff_1'!F$31:F$35,'Distance Matrix_Entry'!$BD$5:$BD$9,"&gt;0")</f>
        <v>1101.174540776047</v>
      </c>
      <c r="G348" s="55">
        <f>SUMPRODUCT('Entry Tariff_1'!G$31:G$35,'Distance Matrix_Entry'!$BD$5:$BD$9)/SUMIFS('Entry Tariff_1'!G$31:G$35,'Distance Matrix_Entry'!$BD$5:$BD$9,"&gt;0")</f>
        <v>1101.174540776047</v>
      </c>
      <c r="I348"/>
      <c r="J348"/>
      <c r="K348"/>
    </row>
    <row r="349" spans="2:11" ht="14.4" customHeight="1" x14ac:dyDescent="0.3">
      <c r="B349" s="36" t="s">
        <v>146</v>
      </c>
      <c r="C349" s="3" t="s">
        <v>220</v>
      </c>
      <c r="D349" s="55">
        <f>SUMPRODUCT('Entry Tariff_1'!D$31:D$35,'Distance Matrix_Entry'!$BE$5:$BE$9)/SUMIFS('Entry Tariff_1'!D$31:D$35,'Distance Matrix_Entry'!$BE$5:$BE$9,"&gt;0")</f>
        <v>1116.9343589158702</v>
      </c>
      <c r="E349" s="55">
        <f>SUMPRODUCT('Entry Tariff_1'!E$31:E$35,'Distance Matrix_Entry'!$BE$5:$BE$9)/SUMIFS('Entry Tariff_1'!E$31:E$35,'Distance Matrix_Entry'!$BE$5:$BE$9,"&gt;0")</f>
        <v>1117.2919610778126</v>
      </c>
      <c r="F349" s="55">
        <f>SUMPRODUCT('Entry Tariff_1'!F$31:F$35,'Distance Matrix_Entry'!$BE$5:$BE$9)/SUMIFS('Entry Tariff_1'!F$31:F$35,'Distance Matrix_Entry'!$BE$5:$BE$9,"&gt;0")</f>
        <v>1117.2919610778126</v>
      </c>
      <c r="G349" s="55">
        <f>SUMPRODUCT('Entry Tariff_1'!G$31:G$35,'Distance Matrix_Entry'!$BE$5:$BE$9)/SUMIFS('Entry Tariff_1'!G$31:G$35,'Distance Matrix_Entry'!$BE$5:$BE$9,"&gt;0")</f>
        <v>1117.2919610778126</v>
      </c>
      <c r="I349"/>
      <c r="J349"/>
      <c r="K349"/>
    </row>
    <row r="350" spans="2:11" ht="14.4" customHeight="1" x14ac:dyDescent="0.3">
      <c r="B350" s="36" t="s">
        <v>148</v>
      </c>
      <c r="C350" s="3" t="s">
        <v>220</v>
      </c>
      <c r="D350" s="55">
        <f>SUMPRODUCT('Entry Tariff_1'!D$31:D$35,'Distance Matrix_Entry'!$BF$5:$BF$9)/SUMIFS('Entry Tariff_1'!D$31:D$35,'Distance Matrix_Entry'!$BF$5:$BF$9,"&gt;0")</f>
        <v>1141.1746051993719</v>
      </c>
      <c r="E350" s="55">
        <f>SUMPRODUCT('Entry Tariff_1'!E$31:E$35,'Distance Matrix_Entry'!$BF$5:$BF$9)/SUMIFS('Entry Tariff_1'!E$31:E$35,'Distance Matrix_Entry'!$BF$5:$BF$9,"&gt;0")</f>
        <v>1141.5266916114836</v>
      </c>
      <c r="F350" s="55">
        <f>SUMPRODUCT('Entry Tariff_1'!F$31:F$35,'Distance Matrix_Entry'!$BF$5:$BF$9)/SUMIFS('Entry Tariff_1'!F$31:F$35,'Distance Matrix_Entry'!$BF$5:$BF$9,"&gt;0")</f>
        <v>1141.5266916114836</v>
      </c>
      <c r="G350" s="55">
        <f>SUMPRODUCT('Entry Tariff_1'!G$31:G$35,'Distance Matrix_Entry'!$BF$5:$BF$9)/SUMIFS('Entry Tariff_1'!G$31:G$35,'Distance Matrix_Entry'!$BF$5:$BF$9,"&gt;0")</f>
        <v>1141.5266916114836</v>
      </c>
      <c r="I350"/>
      <c r="J350"/>
      <c r="K350"/>
    </row>
    <row r="351" spans="2:11" ht="14.4" customHeight="1" x14ac:dyDescent="0.3">
      <c r="B351" s="36" t="s">
        <v>150</v>
      </c>
      <c r="C351" s="3" t="s">
        <v>220</v>
      </c>
      <c r="D351" s="55">
        <f>SUMPRODUCT('Entry Tariff_1'!D$31:D$35,'Distance Matrix_Entry'!$BG$5:$BG$9)/SUMIFS('Entry Tariff_1'!D$31:D$35,'Distance Matrix_Entry'!$BG$5:$BG$9,"&gt;0")</f>
        <v>1221.5563220526426</v>
      </c>
      <c r="E351" s="55">
        <f>SUMPRODUCT('Entry Tariff_1'!E$31:E$35,'Distance Matrix_Entry'!$BG$5:$BG$9)/SUMIFS('Entry Tariff_1'!E$31:E$35,'Distance Matrix_Entry'!$BG$5:$BG$9,"&gt;0")</f>
        <v>1221.9040086516648</v>
      </c>
      <c r="F351" s="55">
        <f>SUMPRODUCT('Entry Tariff_1'!F$31:F$35,'Distance Matrix_Entry'!$BG$5:$BG$9)/SUMIFS('Entry Tariff_1'!F$31:F$35,'Distance Matrix_Entry'!$BG$5:$BG$9,"&gt;0")</f>
        <v>1221.9040086516648</v>
      </c>
      <c r="G351" s="55">
        <f>SUMPRODUCT('Entry Tariff_1'!G$31:G$35,'Distance Matrix_Entry'!$BG$5:$BG$9)/SUMIFS('Entry Tariff_1'!G$31:G$35,'Distance Matrix_Entry'!$BG$5:$BG$9,"&gt;0")</f>
        <v>1221.9040086516648</v>
      </c>
      <c r="I351"/>
      <c r="J351"/>
      <c r="K351"/>
    </row>
    <row r="352" spans="2:11" ht="14.4" customHeight="1" x14ac:dyDescent="0.3">
      <c r="B352" s="36" t="s">
        <v>152</v>
      </c>
      <c r="C352" s="3" t="s">
        <v>220</v>
      </c>
      <c r="D352" s="55">
        <f>SUMPRODUCT('Entry Tariff_1'!D$31:D$35,'Distance Matrix_Entry'!$BH$5:$BH$9)/SUMIFS('Entry Tariff_1'!D$31:D$35,'Distance Matrix_Entry'!$BH$5:$BH$9,"&gt;0")</f>
        <v>1167.4838293005384</v>
      </c>
      <c r="E352" s="55">
        <f>SUMPRODUCT('Entry Tariff_1'!E$31:E$35,'Distance Matrix_Entry'!$BH$5:$BH$9)/SUMIFS('Entry Tariff_1'!E$31:E$35,'Distance Matrix_Entry'!$BH$5:$BH$9,"&gt;0")</f>
        <v>1167.8299291770068</v>
      </c>
      <c r="F352" s="55">
        <f>SUMPRODUCT('Entry Tariff_1'!F$31:F$35,'Distance Matrix_Entry'!$BH$5:$BH$9)/SUMIFS('Entry Tariff_1'!F$31:F$35,'Distance Matrix_Entry'!$BH$5:$BH$9,"&gt;0")</f>
        <v>1167.8299291770068</v>
      </c>
      <c r="G352" s="55">
        <f>SUMPRODUCT('Entry Tariff_1'!G$31:G$35,'Distance Matrix_Entry'!$BH$5:$BH$9)/SUMIFS('Entry Tariff_1'!G$31:G$35,'Distance Matrix_Entry'!$BH$5:$BH$9,"&gt;0")</f>
        <v>1167.8299291770068</v>
      </c>
      <c r="I352"/>
      <c r="J352"/>
      <c r="K352"/>
    </row>
    <row r="353" spans="2:11" ht="14.4" customHeight="1" x14ac:dyDescent="0.3">
      <c r="B353" s="36" t="s">
        <v>154</v>
      </c>
      <c r="C353" s="3" t="s">
        <v>220</v>
      </c>
      <c r="D353" s="55">
        <f>SUMPRODUCT('Entry Tariff_1'!D$31:D$35,'Distance Matrix_Entry'!$BI$5:$BI$9)/SUMIFS('Entry Tariff_1'!D$31:D$35,'Distance Matrix_Entry'!$BI$5:$BI$9,"&gt;0")</f>
        <v>1190.7023581432186</v>
      </c>
      <c r="E353" s="55">
        <f>SUMPRODUCT('Entry Tariff_1'!E$31:E$35,'Distance Matrix_Entry'!$BI$5:$BI$9)/SUMIFS('Entry Tariff_1'!E$31:E$35,'Distance Matrix_Entry'!$BI$5:$BI$9,"&gt;0")</f>
        <v>1191.0431747566768</v>
      </c>
      <c r="F353" s="55">
        <f>SUMPRODUCT('Entry Tariff_1'!F$31:F$35,'Distance Matrix_Entry'!$BI$5:$BI$9)/SUMIFS('Entry Tariff_1'!F$31:F$35,'Distance Matrix_Entry'!$BI$5:$BI$9,"&gt;0")</f>
        <v>1191.0431747566768</v>
      </c>
      <c r="G353" s="55">
        <f>SUMPRODUCT('Entry Tariff_1'!G$31:G$35,'Distance Matrix_Entry'!$BI$5:$BI$9)/SUMIFS('Entry Tariff_1'!G$31:G$35,'Distance Matrix_Entry'!$BI$5:$BI$9,"&gt;0")</f>
        <v>1191.0431747566768</v>
      </c>
      <c r="I353"/>
      <c r="J353"/>
      <c r="K353"/>
    </row>
    <row r="354" spans="2:11" ht="14.4" customHeight="1" x14ac:dyDescent="0.3">
      <c r="B354" s="36" t="s">
        <v>156</v>
      </c>
      <c r="C354" s="3" t="s">
        <v>220</v>
      </c>
      <c r="D354" s="55">
        <f>SUMPRODUCT('Entry Tariff_1'!D$31:D$35,'Distance Matrix_Entry'!$BJ$5:$BJ$9)/SUMIFS('Entry Tariff_1'!D$31:D$35,'Distance Matrix_Entry'!$BJ$5:$BJ$9,"&gt;0")</f>
        <v>1226.9059040411839</v>
      </c>
      <c r="E354" s="55">
        <f>SUMPRODUCT('Entry Tariff_1'!E$31:E$35,'Distance Matrix_Entry'!$BJ$5:$BJ$9)/SUMIFS('Entry Tariff_1'!E$31:E$35,'Distance Matrix_Entry'!$BJ$5:$BJ$9,"&gt;0")</f>
        <v>1227.2422859685296</v>
      </c>
      <c r="F354" s="55">
        <f>SUMPRODUCT('Entry Tariff_1'!F$31:F$35,'Distance Matrix_Entry'!$BJ$5:$BJ$9)/SUMIFS('Entry Tariff_1'!F$31:F$35,'Distance Matrix_Entry'!$BJ$5:$BJ$9,"&gt;0")</f>
        <v>1227.2422859685296</v>
      </c>
      <c r="G354" s="55">
        <f>SUMPRODUCT('Entry Tariff_1'!G$31:G$35,'Distance Matrix_Entry'!$BJ$5:$BJ$9)/SUMIFS('Entry Tariff_1'!G$31:G$35,'Distance Matrix_Entry'!$BJ$5:$BJ$9,"&gt;0")</f>
        <v>1227.2422859685296</v>
      </c>
      <c r="I354"/>
      <c r="J354"/>
      <c r="K354"/>
    </row>
    <row r="355" spans="2:11" ht="14.4" customHeight="1" x14ac:dyDescent="0.3">
      <c r="B355" s="36" t="s">
        <v>158</v>
      </c>
      <c r="C355" s="3" t="s">
        <v>220</v>
      </c>
      <c r="D355" s="55">
        <f>SUMPRODUCT('Entry Tariff_1'!D$31:D$35,'Distance Matrix_Entry'!$BK$5:$BK$9)/SUMIFS('Entry Tariff_1'!D$31:D$35,'Distance Matrix_Entry'!$BK$5:$BK$9,"&gt;0")</f>
        <v>1246.9223603244491</v>
      </c>
      <c r="E355" s="55">
        <f>SUMPRODUCT('Entry Tariff_1'!E$31:E$35,'Distance Matrix_Entry'!$BK$5:$BK$9)/SUMIFS('Entry Tariff_1'!E$31:E$35,'Distance Matrix_Entry'!$BK$5:$BK$9,"&gt;0")</f>
        <v>1247.2503843505758</v>
      </c>
      <c r="F355" s="55">
        <f>SUMPRODUCT('Entry Tariff_1'!F$31:F$35,'Distance Matrix_Entry'!$BK$5:$BK$9)/SUMIFS('Entry Tariff_1'!F$31:F$35,'Distance Matrix_Entry'!$BK$5:$BK$9,"&gt;0")</f>
        <v>1247.2503843505758</v>
      </c>
      <c r="G355" s="55">
        <f>SUMPRODUCT('Entry Tariff_1'!G$31:G$35,'Distance Matrix_Entry'!$BK$5:$BK$9)/SUMIFS('Entry Tariff_1'!G$31:G$35,'Distance Matrix_Entry'!$BK$5:$BK$9,"&gt;0")</f>
        <v>1247.2503843505758</v>
      </c>
      <c r="I355"/>
      <c r="J355"/>
      <c r="K355"/>
    </row>
    <row r="356" spans="2:11" ht="14.4" customHeight="1" x14ac:dyDescent="0.3">
      <c r="B356" s="36" t="s">
        <v>160</v>
      </c>
      <c r="C356" s="3" t="s">
        <v>220</v>
      </c>
      <c r="D356" s="55">
        <f>SUMPRODUCT('Entry Tariff_1'!D$31:D$35,'Distance Matrix_Entry'!$BL$5:$BL$9)/SUMIFS('Entry Tariff_1'!D$31:D$35,'Distance Matrix_Entry'!$BL$5:$BL$9,"&gt;0")</f>
        <v>1317.6797376334398</v>
      </c>
      <c r="E356" s="55">
        <f>SUMPRODUCT('Entry Tariff_1'!E$31:E$35,'Distance Matrix_Entry'!$BL$5:$BL$9)/SUMIFS('Entry Tariff_1'!E$31:E$35,'Distance Matrix_Entry'!$BL$5:$BL$9,"&gt;0")</f>
        <v>1318.0031177353151</v>
      </c>
      <c r="F356" s="55">
        <f>SUMPRODUCT('Entry Tariff_1'!F$31:F$35,'Distance Matrix_Entry'!$BL$5:$BL$9)/SUMIFS('Entry Tariff_1'!F$31:F$35,'Distance Matrix_Entry'!$BL$5:$BL$9,"&gt;0")</f>
        <v>1318.0031177353151</v>
      </c>
      <c r="G356" s="55">
        <f>SUMPRODUCT('Entry Tariff_1'!G$31:G$35,'Distance Matrix_Entry'!$BL$5:$BL$9)/SUMIFS('Entry Tariff_1'!G$31:G$35,'Distance Matrix_Entry'!$BL$5:$BL$9,"&gt;0")</f>
        <v>1318.0031177353151</v>
      </c>
      <c r="I356"/>
      <c r="J356"/>
      <c r="K356"/>
    </row>
    <row r="357" spans="2:11" ht="14.4" customHeight="1" x14ac:dyDescent="0.3">
      <c r="B357" s="36" t="s">
        <v>162</v>
      </c>
      <c r="C357" s="3" t="s">
        <v>220</v>
      </c>
      <c r="D357" s="55">
        <f>SUMPRODUCT('Entry Tariff_1'!D$31:D$35,'Distance Matrix_Entry'!$BM$5:$BM$9)/SUMIFS('Entry Tariff_1'!D$31:D$35,'Distance Matrix_Entry'!$BM$5:$BM$9,"&gt;0")</f>
        <v>1311.98021836879</v>
      </c>
      <c r="E357" s="55">
        <f>SUMPRODUCT('Entry Tariff_1'!E$31:E$35,'Distance Matrix_Entry'!$BM$5:$BM$9)/SUMIFS('Entry Tariff_1'!E$31:E$35,'Distance Matrix_Entry'!$BM$5:$BM$9,"&gt;0")</f>
        <v>1312.2934387965827</v>
      </c>
      <c r="F357" s="55">
        <f>SUMPRODUCT('Entry Tariff_1'!F$31:F$35,'Distance Matrix_Entry'!$BM$5:$BM$9)/SUMIFS('Entry Tariff_1'!F$31:F$35,'Distance Matrix_Entry'!$BM$5:$BM$9,"&gt;0")</f>
        <v>1312.2934387965827</v>
      </c>
      <c r="G357" s="55">
        <f>SUMPRODUCT('Entry Tariff_1'!G$31:G$35,'Distance Matrix_Entry'!$BM$5:$BM$9)/SUMIFS('Entry Tariff_1'!G$31:G$35,'Distance Matrix_Entry'!$BM$5:$BM$9,"&gt;0")</f>
        <v>1312.2934387965827</v>
      </c>
      <c r="I357"/>
      <c r="J357"/>
      <c r="K357"/>
    </row>
    <row r="358" spans="2:11" ht="14.4" customHeight="1" x14ac:dyDescent="0.3">
      <c r="B358" s="36" t="s">
        <v>164</v>
      </c>
      <c r="C358" s="3" t="s">
        <v>220</v>
      </c>
      <c r="D358" s="55">
        <f>SUMPRODUCT('Entry Tariff_1'!D$31:D$35,'Distance Matrix_Entry'!$BN$5:$BN$9)/SUMIFS('Entry Tariff_1'!D$31:D$35,'Distance Matrix_Entry'!$BN$5:$BN$9,"&gt;0")</f>
        <v>1388.2003394541114</v>
      </c>
      <c r="E358" s="55">
        <f>SUMPRODUCT('Entry Tariff_1'!E$31:E$35,'Distance Matrix_Entry'!$BN$5:$BN$9)/SUMIFS('Entry Tariff_1'!E$31:E$35,'Distance Matrix_Entry'!$BN$5:$BN$9,"&gt;0")</f>
        <v>1388.4962163650493</v>
      </c>
      <c r="F358" s="55">
        <f>SUMPRODUCT('Entry Tariff_1'!F$31:F$35,'Distance Matrix_Entry'!$BN$5:$BN$9)/SUMIFS('Entry Tariff_1'!F$31:F$35,'Distance Matrix_Entry'!$BN$5:$BN$9,"&gt;0")</f>
        <v>1388.4962163650493</v>
      </c>
      <c r="G358" s="55">
        <f>SUMPRODUCT('Entry Tariff_1'!G$31:G$35,'Distance Matrix_Entry'!$BN$5:$BN$9)/SUMIFS('Entry Tariff_1'!G$31:G$35,'Distance Matrix_Entry'!$BN$5:$BN$9,"&gt;0")</f>
        <v>1388.4962163650493</v>
      </c>
      <c r="I358"/>
      <c r="J358"/>
      <c r="K358"/>
    </row>
    <row r="359" spans="2:11" ht="14.4" customHeight="1" x14ac:dyDescent="0.3">
      <c r="B359" s="36" t="s">
        <v>166</v>
      </c>
      <c r="C359" s="3" t="s">
        <v>220</v>
      </c>
      <c r="D359" s="55">
        <f>SUMPRODUCT('Entry Tariff_1'!D$31:D$35,'Distance Matrix_Entry'!$BO$5:$BO$9)/SUMIFS('Entry Tariff_1'!D$31:D$35,'Distance Matrix_Entry'!$BO$5:$BO$9,"&gt;0")</f>
        <v>1179.2372980120913</v>
      </c>
      <c r="E359" s="55">
        <f>SUMPRODUCT('Entry Tariff_1'!E$31:E$35,'Distance Matrix_Entry'!$BO$5:$BO$9)/SUMIFS('Entry Tariff_1'!E$31:E$35,'Distance Matrix_Entry'!$BO$5:$BO$9,"&gt;0")</f>
        <v>1177.9829307136179</v>
      </c>
      <c r="F359" s="55">
        <f>SUMPRODUCT('Entry Tariff_1'!F$31:F$35,'Distance Matrix_Entry'!$BO$5:$BO$9)/SUMIFS('Entry Tariff_1'!F$31:F$35,'Distance Matrix_Entry'!$BO$5:$BO$9,"&gt;0")</f>
        <v>1177.9829307136179</v>
      </c>
      <c r="G359" s="55">
        <f>SUMPRODUCT('Entry Tariff_1'!G$31:G$35,'Distance Matrix_Entry'!$BO$5:$BO$9)/SUMIFS('Entry Tariff_1'!G$31:G$35,'Distance Matrix_Entry'!$BO$5:$BO$9,"&gt;0")</f>
        <v>1177.9829307136179</v>
      </c>
      <c r="I359"/>
      <c r="J359"/>
      <c r="K359"/>
    </row>
    <row r="360" spans="2:11" ht="14.4" customHeight="1" x14ac:dyDescent="0.3">
      <c r="B360" s="36" t="s">
        <v>168</v>
      </c>
      <c r="C360" s="3" t="s">
        <v>220</v>
      </c>
      <c r="D360" s="55">
        <f>SUMPRODUCT('Entry Tariff_1'!D$31:D$35,'Distance Matrix_Entry'!$BP$5:$BP$9)/SUMIFS('Entry Tariff_1'!D$31:D$35,'Distance Matrix_Entry'!$BP$5:$BP$9,"&gt;0")</f>
        <v>937.13994829125602</v>
      </c>
      <c r="E360" s="55">
        <f>SUMPRODUCT('Entry Tariff_1'!E$31:E$35,'Distance Matrix_Entry'!$BP$5:$BP$9)/SUMIFS('Entry Tariff_1'!E$31:E$35,'Distance Matrix_Entry'!$BP$5:$BP$9,"&gt;0")</f>
        <v>936.69073632625634</v>
      </c>
      <c r="F360" s="55">
        <f>SUMPRODUCT('Entry Tariff_1'!F$31:F$35,'Distance Matrix_Entry'!$BP$5:$BP$9)/SUMIFS('Entry Tariff_1'!F$31:F$35,'Distance Matrix_Entry'!$BP$5:$BP$9,"&gt;0")</f>
        <v>936.69073632625634</v>
      </c>
      <c r="G360" s="55">
        <f>SUMPRODUCT('Entry Tariff_1'!G$31:G$35,'Distance Matrix_Entry'!$BP$5:$BP$9)/SUMIFS('Entry Tariff_1'!G$31:G$35,'Distance Matrix_Entry'!$BP$5:$BP$9,"&gt;0")</f>
        <v>936.69073632625634</v>
      </c>
      <c r="I360"/>
      <c r="J360"/>
      <c r="K360"/>
    </row>
    <row r="361" spans="2:11" ht="14.4" customHeight="1" x14ac:dyDescent="0.3">
      <c r="B361" s="36" t="s">
        <v>170</v>
      </c>
      <c r="C361" s="3" t="s">
        <v>220</v>
      </c>
      <c r="D361" s="55">
        <f>SUMPRODUCT('Entry Tariff_1'!D$31:D$35,'Distance Matrix_Entry'!$BQ$5:$BQ$9)/SUMIFS('Entry Tariff_1'!D$31:D$35,'Distance Matrix_Entry'!$BQ$5:$BQ$9,"&gt;0")</f>
        <v>884.23823490188022</v>
      </c>
      <c r="E361" s="55">
        <f>SUMPRODUCT('Entry Tariff_1'!E$31:E$35,'Distance Matrix_Entry'!$BQ$5:$BQ$9)/SUMIFS('Entry Tariff_1'!E$31:E$35,'Distance Matrix_Entry'!$BQ$5:$BQ$9,"&gt;0")</f>
        <v>883.96496082605802</v>
      </c>
      <c r="F361" s="55">
        <f>SUMPRODUCT('Entry Tariff_1'!F$31:F$35,'Distance Matrix_Entry'!$BQ$5:$BQ$9)/SUMIFS('Entry Tariff_1'!F$31:F$35,'Distance Matrix_Entry'!$BQ$5:$BQ$9,"&gt;0")</f>
        <v>883.96496082605802</v>
      </c>
      <c r="G361" s="55">
        <f>SUMPRODUCT('Entry Tariff_1'!G$31:G$35,'Distance Matrix_Entry'!$BQ$5:$BQ$9)/SUMIFS('Entry Tariff_1'!G$31:G$35,'Distance Matrix_Entry'!$BQ$5:$BQ$9,"&gt;0")</f>
        <v>883.96496082605802</v>
      </c>
      <c r="I361"/>
      <c r="J361"/>
      <c r="K361"/>
    </row>
    <row r="362" spans="2:11" ht="14.4" customHeight="1" x14ac:dyDescent="0.3">
      <c r="B362" s="36" t="s">
        <v>172</v>
      </c>
      <c r="C362" s="3" t="s">
        <v>220</v>
      </c>
      <c r="D362" s="55">
        <f>SUMPRODUCT('Entry Tariff_1'!D$31:D$35,'Distance Matrix_Entry'!$BR$5:$BR$9)/SUMIFS('Entry Tariff_1'!D$31:D$35,'Distance Matrix_Entry'!$BR$5:$BR$9,"&gt;0")</f>
        <v>897.24966347330871</v>
      </c>
      <c r="E362" s="55">
        <f>SUMPRODUCT('Entry Tariff_1'!E$31:E$35,'Distance Matrix_Entry'!$BR$5:$BR$9)/SUMIFS('Entry Tariff_1'!E$31:E$35,'Distance Matrix_Entry'!$BR$5:$BR$9,"&gt;0")</f>
        <v>896.97638939748663</v>
      </c>
      <c r="F362" s="55">
        <f>SUMPRODUCT('Entry Tariff_1'!F$31:F$35,'Distance Matrix_Entry'!$BR$5:$BR$9)/SUMIFS('Entry Tariff_1'!F$31:F$35,'Distance Matrix_Entry'!$BR$5:$BR$9,"&gt;0")</f>
        <v>896.97638939748663</v>
      </c>
      <c r="G362" s="55">
        <f>SUMPRODUCT('Entry Tariff_1'!G$31:G$35,'Distance Matrix_Entry'!$BR$5:$BR$9)/SUMIFS('Entry Tariff_1'!G$31:G$35,'Distance Matrix_Entry'!$BR$5:$BR$9,"&gt;0")</f>
        <v>896.97638939748663</v>
      </c>
      <c r="I362"/>
      <c r="J362"/>
      <c r="K362"/>
    </row>
    <row r="363" spans="2:11" ht="14.4" customHeight="1" x14ac:dyDescent="0.3">
      <c r="B363" s="36" t="s">
        <v>174</v>
      </c>
      <c r="C363" s="3" t="s">
        <v>220</v>
      </c>
      <c r="D363" s="55">
        <f>SUMPRODUCT('Entry Tariff_1'!D$31:D$35,'Distance Matrix_Entry'!$BS$5:$BS$9)/SUMIFS('Entry Tariff_1'!D$31:D$35,'Distance Matrix_Entry'!$BS$5:$BS$9,"&gt;0")</f>
        <v>837.65943546342578</v>
      </c>
      <c r="E363" s="55">
        <f>SUMPRODUCT('Entry Tariff_1'!E$31:E$35,'Distance Matrix_Entry'!$BS$5:$BS$9)/SUMIFS('Entry Tariff_1'!E$31:E$35,'Distance Matrix_Entry'!$BS$5:$BS$9,"&gt;0")</f>
        <v>837.54107084381167</v>
      </c>
      <c r="F363" s="55">
        <f>SUMPRODUCT('Entry Tariff_1'!F$31:F$35,'Distance Matrix_Entry'!$BS$5:$BS$9)/SUMIFS('Entry Tariff_1'!F$31:F$35,'Distance Matrix_Entry'!$BS$5:$BS$9,"&gt;0")</f>
        <v>837.54107084381167</v>
      </c>
      <c r="G363" s="55">
        <f>SUMPRODUCT('Entry Tariff_1'!G$31:G$35,'Distance Matrix_Entry'!$BS$5:$BS$9)/SUMIFS('Entry Tariff_1'!G$31:G$35,'Distance Matrix_Entry'!$BS$5:$BS$9,"&gt;0")</f>
        <v>837.54107084381167</v>
      </c>
      <c r="I363"/>
      <c r="J363"/>
      <c r="K363"/>
    </row>
    <row r="364" spans="2:11" ht="14.4" customHeight="1" x14ac:dyDescent="0.3">
      <c r="B364" s="36" t="s">
        <v>176</v>
      </c>
      <c r="C364" s="3" t="s">
        <v>220</v>
      </c>
      <c r="D364" s="55">
        <f>SUMPRODUCT('Entry Tariff_1'!D$31:D$35,'Distance Matrix_Entry'!$BT$5:$BT$9)/SUMIFS('Entry Tariff_1'!D$31:D$35,'Distance Matrix_Entry'!$BT$5:$BT$9,"&gt;0")</f>
        <v>795.08514819388836</v>
      </c>
      <c r="E364" s="55">
        <f>SUMPRODUCT('Entry Tariff_1'!E$31:E$35,'Distance Matrix_Entry'!$BT$5:$BT$9)/SUMIFS('Entry Tariff_1'!E$31:E$35,'Distance Matrix_Entry'!$BT$5:$BT$9,"&gt;0")</f>
        <v>795.10837502293509</v>
      </c>
      <c r="F364" s="55">
        <f>SUMPRODUCT('Entry Tariff_1'!F$31:F$35,'Distance Matrix_Entry'!$BT$5:$BT$9)/SUMIFS('Entry Tariff_1'!F$31:F$35,'Distance Matrix_Entry'!$BT$5:$BT$9,"&gt;0")</f>
        <v>795.10837502293509</v>
      </c>
      <c r="G364" s="55">
        <f>SUMPRODUCT('Entry Tariff_1'!G$31:G$35,'Distance Matrix_Entry'!$BT$5:$BT$9)/SUMIFS('Entry Tariff_1'!G$31:G$35,'Distance Matrix_Entry'!$BT$5:$BT$9,"&gt;0")</f>
        <v>795.10837502293509</v>
      </c>
      <c r="I364"/>
      <c r="J364"/>
      <c r="K364"/>
    </row>
    <row r="365" spans="2:11" ht="14.4" customHeight="1" x14ac:dyDescent="0.3">
      <c r="B365" s="36" t="s">
        <v>178</v>
      </c>
      <c r="C365" s="3" t="s">
        <v>220</v>
      </c>
      <c r="D365" s="55">
        <f>SUMPRODUCT('Entry Tariff_1'!D$31:D$35,'Distance Matrix_Entry'!$BU$5:$BU$9)/SUMIFS('Entry Tariff_1'!D$31:D$35,'Distance Matrix_Entry'!$BU$5:$BU$9,"&gt;0")</f>
        <v>750.49689573998353</v>
      </c>
      <c r="E365" s="55">
        <f>SUMPRODUCT('Entry Tariff_1'!E$31:E$35,'Distance Matrix_Entry'!$BU$5:$BU$9)/SUMIFS('Entry Tariff_1'!E$31:E$35,'Distance Matrix_Entry'!$BU$5:$BU$9,"&gt;0")</f>
        <v>750.66841196300709</v>
      </c>
      <c r="F365" s="55">
        <f>SUMPRODUCT('Entry Tariff_1'!F$31:F$35,'Distance Matrix_Entry'!$BU$5:$BU$9)/SUMIFS('Entry Tariff_1'!F$31:F$35,'Distance Matrix_Entry'!$BU$5:$BU$9,"&gt;0")</f>
        <v>750.66841196300709</v>
      </c>
      <c r="G365" s="55">
        <f>SUMPRODUCT('Entry Tariff_1'!G$31:G$35,'Distance Matrix_Entry'!$BU$5:$BU$9)/SUMIFS('Entry Tariff_1'!G$31:G$35,'Distance Matrix_Entry'!$BU$5:$BU$9,"&gt;0")</f>
        <v>750.66841196300709</v>
      </c>
      <c r="I365"/>
      <c r="J365"/>
      <c r="K365"/>
    </row>
    <row r="366" spans="2:11" ht="14.4" customHeight="1" x14ac:dyDescent="0.3">
      <c r="B366" s="36" t="s">
        <v>180</v>
      </c>
      <c r="C366" s="3" t="s">
        <v>220</v>
      </c>
      <c r="D366" s="55">
        <f>SUMPRODUCT('Entry Tariff_1'!D$31:D$35,'Distance Matrix_Entry'!$BV$5:$BV$9)/SUMIFS('Entry Tariff_1'!D$31:D$35,'Distance Matrix_Entry'!$BV$5:$BV$9,"&gt;0")</f>
        <v>672.67821774401352</v>
      </c>
      <c r="E366" s="55">
        <f>SUMPRODUCT('Entry Tariff_1'!E$31:E$35,'Distance Matrix_Entry'!$BV$5:$BV$9)/SUMIFS('Entry Tariff_1'!E$31:E$35,'Distance Matrix_Entry'!$BV$5:$BV$9,"&gt;0")</f>
        <v>673.10853945873112</v>
      </c>
      <c r="F366" s="55">
        <f>SUMPRODUCT('Entry Tariff_1'!F$31:F$35,'Distance Matrix_Entry'!$BV$5:$BV$9)/SUMIFS('Entry Tariff_1'!F$31:F$35,'Distance Matrix_Entry'!$BV$5:$BV$9,"&gt;0")</f>
        <v>673.10853945873112</v>
      </c>
      <c r="G366" s="55">
        <f>SUMPRODUCT('Entry Tariff_1'!G$31:G$35,'Distance Matrix_Entry'!$BV$5:$BV$9)/SUMIFS('Entry Tariff_1'!G$31:G$35,'Distance Matrix_Entry'!$BV$5:$BV$9,"&gt;0")</f>
        <v>673.10853945873112</v>
      </c>
      <c r="I366"/>
      <c r="J366"/>
      <c r="K366"/>
    </row>
    <row r="367" spans="2:11" ht="14.4" customHeight="1" x14ac:dyDescent="0.3">
      <c r="B367" s="36" t="s">
        <v>182</v>
      </c>
      <c r="C367" s="3" t="s">
        <v>220</v>
      </c>
      <c r="D367" s="55">
        <f>SUMPRODUCT('Entry Tariff_1'!D$31:D$35,'Distance Matrix_Entry'!$BW$5:$BW$9)/SUMIFS('Entry Tariff_1'!D$31:D$35,'Distance Matrix_Entry'!$BW$5:$BW$9,"&gt;0")</f>
        <v>1120.0622065664638</v>
      </c>
      <c r="E367" s="55">
        <f>SUMPRODUCT('Entry Tariff_1'!E$31:E$35,'Distance Matrix_Entry'!$BW$5:$BW$9)/SUMIFS('Entry Tariff_1'!E$31:E$35,'Distance Matrix_Entry'!$BW$5:$BW$9,"&gt;0")</f>
        <v>1119.1922701759054</v>
      </c>
      <c r="F367" s="55">
        <f>SUMPRODUCT('Entry Tariff_1'!F$31:F$35,'Distance Matrix_Entry'!$BW$5:$BW$9)/SUMIFS('Entry Tariff_1'!F$31:F$35,'Distance Matrix_Entry'!$BW$5:$BW$9,"&gt;0")</f>
        <v>1119.1922701759054</v>
      </c>
      <c r="G367" s="55">
        <f>SUMPRODUCT('Entry Tariff_1'!G$31:G$35,'Distance Matrix_Entry'!$BW$5:$BW$9)/SUMIFS('Entry Tariff_1'!G$31:G$35,'Distance Matrix_Entry'!$BW$5:$BW$9,"&gt;0")</f>
        <v>1119.1922701759054</v>
      </c>
      <c r="I367"/>
      <c r="J367"/>
      <c r="K367"/>
    </row>
    <row r="368" spans="2:11" ht="14.4" customHeight="1" x14ac:dyDescent="0.3">
      <c r="B368" s="36" t="s">
        <v>184</v>
      </c>
      <c r="C368" s="3" t="s">
        <v>220</v>
      </c>
      <c r="D368" s="55">
        <f>SUMPRODUCT('Entry Tariff_1'!D$31:D$35,'Distance Matrix_Entry'!$BX$5:$BX$9)/SUMIFS('Entry Tariff_1'!D$31:D$35,'Distance Matrix_Entry'!$BX$5:$BX$9,"&gt;0")</f>
        <v>1222.210824146548</v>
      </c>
      <c r="E368" s="55">
        <f>SUMPRODUCT('Entry Tariff_1'!E$31:E$35,'Distance Matrix_Entry'!$BX$5:$BX$9)/SUMIFS('Entry Tariff_1'!E$31:E$35,'Distance Matrix_Entry'!$BX$5:$BX$9,"&gt;0")</f>
        <v>1221.3290658011363</v>
      </c>
      <c r="F368" s="55">
        <f>SUMPRODUCT('Entry Tariff_1'!F$31:F$35,'Distance Matrix_Entry'!$BX$5:$BX$9)/SUMIFS('Entry Tariff_1'!F$31:F$35,'Distance Matrix_Entry'!$BX$5:$BX$9,"&gt;0")</f>
        <v>1221.3290658011363</v>
      </c>
      <c r="G368" s="55">
        <f>SUMPRODUCT('Entry Tariff_1'!G$31:G$35,'Distance Matrix_Entry'!$BX$5:$BX$9)/SUMIFS('Entry Tariff_1'!G$31:G$35,'Distance Matrix_Entry'!$BX$5:$BX$9,"&gt;0")</f>
        <v>1221.3290658011363</v>
      </c>
      <c r="I368"/>
      <c r="J368"/>
      <c r="K368"/>
    </row>
    <row r="369" spans="2:11" ht="14.4" customHeight="1" x14ac:dyDescent="0.3">
      <c r="B369" s="36" t="s">
        <v>186</v>
      </c>
      <c r="C369" s="3" t="s">
        <v>220</v>
      </c>
      <c r="D369" s="55">
        <f>SUMPRODUCT('Entry Tariff_1'!D$31:D$35,'Distance Matrix_Entry'!$BY$5:$BY$9)/SUMIFS('Entry Tariff_1'!D$31:D$35,'Distance Matrix_Entry'!$BY$5:$BY$9,"&gt;0")</f>
        <v>1285.7361060296557</v>
      </c>
      <c r="E369" s="55">
        <f>SUMPRODUCT('Entry Tariff_1'!E$31:E$35,'Distance Matrix_Entry'!$BY$5:$BY$9)/SUMIFS('Entry Tariff_1'!E$31:E$35,'Distance Matrix_Entry'!$BY$5:$BY$9,"&gt;0")</f>
        <v>1284.8398928161416</v>
      </c>
      <c r="F369" s="55">
        <f>SUMPRODUCT('Entry Tariff_1'!F$31:F$35,'Distance Matrix_Entry'!$BY$5:$BY$9)/SUMIFS('Entry Tariff_1'!F$31:F$35,'Distance Matrix_Entry'!$BY$5:$BY$9,"&gt;0")</f>
        <v>1284.8398928161416</v>
      </c>
      <c r="G369" s="55">
        <f>SUMPRODUCT('Entry Tariff_1'!G$31:G$35,'Distance Matrix_Entry'!$BY$5:$BY$9)/SUMIFS('Entry Tariff_1'!G$31:G$35,'Distance Matrix_Entry'!$BY$5:$BY$9,"&gt;0")</f>
        <v>1284.8398928161416</v>
      </c>
      <c r="I369"/>
      <c r="J369"/>
      <c r="K369"/>
    </row>
    <row r="370" spans="2:11" ht="14.4" customHeight="1" x14ac:dyDescent="0.3">
      <c r="B370" s="36" t="s">
        <v>188</v>
      </c>
      <c r="C370" s="3" t="s">
        <v>220</v>
      </c>
      <c r="D370" s="55">
        <f>SUMPRODUCT('Entry Tariff_1'!D$31:D$35,'Distance Matrix_Entry'!$BZ$5:$BZ$9)/SUMIFS('Entry Tariff_1'!D$31:D$35,'Distance Matrix_Entry'!$BZ$5:$BZ$9,"&gt;0")</f>
        <v>1319.2352408442941</v>
      </c>
      <c r="E370" s="55">
        <f>SUMPRODUCT('Entry Tariff_1'!E$31:E$35,'Distance Matrix_Entry'!$BZ$5:$BZ$9)/SUMIFS('Entry Tariff_1'!E$31:E$35,'Distance Matrix_Entry'!$BZ$5:$BZ$9,"&gt;0")</f>
        <v>1318.4600439957726</v>
      </c>
      <c r="F370" s="55">
        <f>SUMPRODUCT('Entry Tariff_1'!F$31:F$35,'Distance Matrix_Entry'!$BZ$5:$BZ$9)/SUMIFS('Entry Tariff_1'!F$31:F$35,'Distance Matrix_Entry'!$BZ$5:$BZ$9,"&gt;0")</f>
        <v>1318.4600439957726</v>
      </c>
      <c r="G370" s="55">
        <f>SUMPRODUCT('Entry Tariff_1'!G$31:G$35,'Distance Matrix_Entry'!$BZ$5:$BZ$9)/SUMIFS('Entry Tariff_1'!G$31:G$35,'Distance Matrix_Entry'!$BZ$5:$BZ$9,"&gt;0")</f>
        <v>1318.4600439957726</v>
      </c>
      <c r="I370"/>
      <c r="J370"/>
      <c r="K370"/>
    </row>
    <row r="371" spans="2:11" ht="14.4" customHeight="1" x14ac:dyDescent="0.3">
      <c r="B371" s="36" t="s">
        <v>190</v>
      </c>
      <c r="C371" s="3" t="s">
        <v>220</v>
      </c>
      <c r="D371" s="55">
        <f>SUMPRODUCT('Entry Tariff_1'!D$31:D$35,'Distance Matrix_Entry'!$CA$5:$CA$9)/SUMIFS('Entry Tariff_1'!D$31:D$35,'Distance Matrix_Entry'!$CA$5:$CA$9,"&gt;0")</f>
        <v>1293.9904214402447</v>
      </c>
      <c r="E371" s="55">
        <f>SUMPRODUCT('Entry Tariff_1'!E$31:E$35,'Distance Matrix_Entry'!$CA$5:$CA$9)/SUMIFS('Entry Tariff_1'!E$31:E$35,'Distance Matrix_Entry'!$CA$5:$CA$9,"&gt;0")</f>
        <v>1293.2991825574306</v>
      </c>
      <c r="F371" s="55">
        <f>SUMPRODUCT('Entry Tariff_1'!F$31:F$35,'Distance Matrix_Entry'!$CA$5:$CA$9)/SUMIFS('Entry Tariff_1'!F$31:F$35,'Distance Matrix_Entry'!$CA$5:$CA$9,"&gt;0")</f>
        <v>1293.2991825574306</v>
      </c>
      <c r="G371" s="55">
        <f>SUMPRODUCT('Entry Tariff_1'!G$31:G$35,'Distance Matrix_Entry'!$CA$5:$CA$9)/SUMIFS('Entry Tariff_1'!G$31:G$35,'Distance Matrix_Entry'!$CA$5:$CA$9,"&gt;0")</f>
        <v>1293.2991825574306</v>
      </c>
      <c r="I371"/>
      <c r="J371"/>
      <c r="K371"/>
    </row>
    <row r="372" spans="2:11" ht="14.4" customHeight="1" x14ac:dyDescent="0.3">
      <c r="B372" s="36" t="s">
        <v>192</v>
      </c>
      <c r="C372" s="3" t="s">
        <v>220</v>
      </c>
      <c r="D372" s="55">
        <f>SUMPRODUCT('Entry Tariff_1'!D$31:D$35,'Distance Matrix_Entry'!$CB$5:$CB$9)/SUMIFS('Entry Tariff_1'!D$31:D$35,'Distance Matrix_Entry'!$CB$5:$CB$9,"&gt;0")</f>
        <v>1201.4182775587917</v>
      </c>
      <c r="E372" s="55">
        <f>SUMPRODUCT('Entry Tariff_1'!E$31:E$35,'Distance Matrix_Entry'!$CB$5:$CB$9)/SUMIFS('Entry Tariff_1'!E$31:E$35,'Distance Matrix_Entry'!$CB$5:$CB$9,"&gt;0")</f>
        <v>1201.0349105112671</v>
      </c>
      <c r="F372" s="55">
        <f>SUMPRODUCT('Entry Tariff_1'!F$31:F$35,'Distance Matrix_Entry'!$CB$5:$CB$9)/SUMIFS('Entry Tariff_1'!F$31:F$35,'Distance Matrix_Entry'!$CB$5:$CB$9,"&gt;0")</f>
        <v>1201.0349105112671</v>
      </c>
      <c r="G372" s="55">
        <f>SUMPRODUCT('Entry Tariff_1'!G$31:G$35,'Distance Matrix_Entry'!$CB$5:$CB$9)/SUMIFS('Entry Tariff_1'!G$31:G$35,'Distance Matrix_Entry'!$CB$5:$CB$9,"&gt;0")</f>
        <v>1201.0349105112671</v>
      </c>
      <c r="I372"/>
      <c r="J372"/>
      <c r="K372"/>
    </row>
    <row r="373" spans="2:11" ht="14.4" customHeight="1" x14ac:dyDescent="0.3">
      <c r="B373" s="36" t="s">
        <v>194</v>
      </c>
      <c r="C373" s="3" t="s">
        <v>220</v>
      </c>
      <c r="D373" s="55">
        <f>SUMPRODUCT('Entry Tariff_1'!D$31:D$35,'Distance Matrix_Entry'!$CC$5:$CC$9)/SUMIFS('Entry Tariff_1'!D$31:D$35,'Distance Matrix_Entry'!$CC$5:$CC$9,"&gt;0")</f>
        <v>912.52091845634857</v>
      </c>
      <c r="E373" s="55">
        <f>SUMPRODUCT('Entry Tariff_1'!E$31:E$35,'Distance Matrix_Entry'!$CC$5:$CC$9)/SUMIFS('Entry Tariff_1'!E$31:E$35,'Distance Matrix_Entry'!$CC$5:$CC$9,"&gt;0")</f>
        <v>912.93834528953334</v>
      </c>
      <c r="F373" s="55">
        <f>SUMPRODUCT('Entry Tariff_1'!F$31:F$35,'Distance Matrix_Entry'!$CC$5:$CC$9)/SUMIFS('Entry Tariff_1'!F$31:F$35,'Distance Matrix_Entry'!$CC$5:$CC$9,"&gt;0")</f>
        <v>912.93834528953334</v>
      </c>
      <c r="G373" s="55">
        <f>SUMPRODUCT('Entry Tariff_1'!G$31:G$35,'Distance Matrix_Entry'!$CC$5:$CC$9)/SUMIFS('Entry Tariff_1'!G$31:G$35,'Distance Matrix_Entry'!$CC$5:$CC$9,"&gt;0")</f>
        <v>912.93834528953334</v>
      </c>
      <c r="I373"/>
      <c r="J373"/>
      <c r="K373"/>
    </row>
    <row r="374" spans="2:11" ht="14.4" customHeight="1" x14ac:dyDescent="0.3">
      <c r="B374" s="36" t="s">
        <v>196</v>
      </c>
      <c r="C374" s="3" t="s">
        <v>220</v>
      </c>
      <c r="D374" s="55">
        <f>SUMPRODUCT('Entry Tariff_1'!D$31:D$35,'Distance Matrix_Entry'!$CD$5:$CD$9)/SUMIFS('Entry Tariff_1'!D$31:D$35,'Distance Matrix_Entry'!$CD$5:$CD$9,"&gt;0")</f>
        <v>937.05234702777705</v>
      </c>
      <c r="E374" s="55">
        <f>SUMPRODUCT('Entry Tariff_1'!E$31:E$35,'Distance Matrix_Entry'!$CD$5:$CD$9)/SUMIFS('Entry Tariff_1'!E$31:E$35,'Distance Matrix_Entry'!$CD$5:$CD$9,"&gt;0")</f>
        <v>937.46977386096182</v>
      </c>
      <c r="F374" s="55">
        <f>SUMPRODUCT('Entry Tariff_1'!F$31:F$35,'Distance Matrix_Entry'!$CD$5:$CD$9)/SUMIFS('Entry Tariff_1'!F$31:F$35,'Distance Matrix_Entry'!$CD$5:$CD$9,"&gt;0")</f>
        <v>937.46977386096182</v>
      </c>
      <c r="G374" s="55">
        <f>SUMPRODUCT('Entry Tariff_1'!G$31:G$35,'Distance Matrix_Entry'!$CD$5:$CD$9)/SUMIFS('Entry Tariff_1'!G$31:G$35,'Distance Matrix_Entry'!$CD$5:$CD$9,"&gt;0")</f>
        <v>937.46977386096182</v>
      </c>
      <c r="I374"/>
      <c r="J374"/>
      <c r="K374"/>
    </row>
    <row r="375" spans="2:11" ht="14.4" customHeight="1" x14ac:dyDescent="0.3">
      <c r="B375" s="36" t="s">
        <v>198</v>
      </c>
      <c r="C375" s="3" t="s">
        <v>220</v>
      </c>
      <c r="D375" s="55">
        <f>SUMPRODUCT('Entry Tariff_1'!D$31:D$35,'Distance Matrix_Entry'!$CE$5:$CE$9)/SUMIFS('Entry Tariff_1'!D$31:D$35,'Distance Matrix_Entry'!$CE$5:$CE$9,"&gt;0")</f>
        <v>965.62042358905978</v>
      </c>
      <c r="E375" s="55">
        <f>SUMPRODUCT('Entry Tariff_1'!E$31:E$35,'Distance Matrix_Entry'!$CE$5:$CE$9)/SUMIFS('Entry Tariff_1'!E$31:E$35,'Distance Matrix_Entry'!$CE$5:$CE$9,"&gt;0")</f>
        <v>966.0212613251241</v>
      </c>
      <c r="F375" s="55">
        <f>SUMPRODUCT('Entry Tariff_1'!F$31:F$35,'Distance Matrix_Entry'!$CE$5:$CE$9)/SUMIFS('Entry Tariff_1'!F$31:F$35,'Distance Matrix_Entry'!$CE$5:$CE$9,"&gt;0")</f>
        <v>966.0212613251241</v>
      </c>
      <c r="G375" s="55">
        <f>SUMPRODUCT('Entry Tariff_1'!G$31:G$35,'Distance Matrix_Entry'!$CE$5:$CE$9)/SUMIFS('Entry Tariff_1'!G$31:G$35,'Distance Matrix_Entry'!$CE$5:$CE$9,"&gt;0")</f>
        <v>966.0212613251241</v>
      </c>
      <c r="I375"/>
      <c r="J375"/>
      <c r="K375"/>
    </row>
    <row r="376" spans="2:11" ht="14.4" customHeight="1" x14ac:dyDescent="0.3">
      <c r="B376" s="36" t="s">
        <v>200</v>
      </c>
      <c r="C376" s="3" t="s">
        <v>220</v>
      </c>
      <c r="D376" s="55">
        <f>SUMPRODUCT('Entry Tariff_1'!D$31:D$35,'Distance Matrix_Entry'!$CF$5:$CF$9)/SUMIFS('Entry Tariff_1'!D$31:D$35,'Distance Matrix_Entry'!$CF$5:$CF$9,"&gt;0")</f>
        <v>1019.5315657622408</v>
      </c>
      <c r="E376" s="55">
        <f>SUMPRODUCT('Entry Tariff_1'!E$31:E$35,'Distance Matrix_Entry'!$CF$5:$CF$9)/SUMIFS('Entry Tariff_1'!E$31:E$35,'Distance Matrix_Entry'!$CF$5:$CF$9,"&gt;0")</f>
        <v>1019.8229777637792</v>
      </c>
      <c r="F376" s="55">
        <f>SUMPRODUCT('Entry Tariff_1'!F$31:F$35,'Distance Matrix_Entry'!$CF$5:$CF$9)/SUMIFS('Entry Tariff_1'!F$31:F$35,'Distance Matrix_Entry'!$CF$5:$CF$9,"&gt;0")</f>
        <v>1019.8229777637792</v>
      </c>
      <c r="G376" s="55">
        <f>SUMPRODUCT('Entry Tariff_1'!G$31:G$35,'Distance Matrix_Entry'!$CF$5:$CF$9)/SUMIFS('Entry Tariff_1'!G$31:G$35,'Distance Matrix_Entry'!$CF$5:$CF$9,"&gt;0")</f>
        <v>1019.8229777637792</v>
      </c>
      <c r="I376"/>
      <c r="J376"/>
      <c r="K376"/>
    </row>
    <row r="377" spans="2:11" ht="14.4" customHeight="1" x14ac:dyDescent="0.3">
      <c r="B377" s="36" t="s">
        <v>202</v>
      </c>
      <c r="C377" s="3" t="s">
        <v>220</v>
      </c>
      <c r="D377" s="55">
        <f>SUMPRODUCT('Entry Tariff_1'!D$31:D$35,'Distance Matrix_Entry'!$CG$5:$CG$9)/SUMIFS('Entry Tariff_1'!D$31:D$35,'Distance Matrix_Entry'!$CG$5:$CG$9,"&gt;0")</f>
        <v>1022.6671583462617</v>
      </c>
      <c r="E377" s="55">
        <f>SUMPRODUCT('Entry Tariff_1'!E$31:E$35,'Distance Matrix_Entry'!$CG$5:$CG$9)/SUMIFS('Entry Tariff_1'!E$31:E$35,'Distance Matrix_Entry'!$CG$5:$CG$9,"&gt;0")</f>
        <v>1022.8782728870909</v>
      </c>
      <c r="F377" s="55">
        <f>SUMPRODUCT('Entry Tariff_1'!F$31:F$35,'Distance Matrix_Entry'!$CG$5:$CG$9)/SUMIFS('Entry Tariff_1'!F$31:F$35,'Distance Matrix_Entry'!$CG$5:$CG$9,"&gt;0")</f>
        <v>1022.8782728870909</v>
      </c>
      <c r="G377" s="55">
        <f>SUMPRODUCT('Entry Tariff_1'!G$31:G$35,'Distance Matrix_Entry'!$CG$5:$CG$9)/SUMIFS('Entry Tariff_1'!G$31:G$35,'Distance Matrix_Entry'!$CG$5:$CG$9,"&gt;0")</f>
        <v>1022.8782728870909</v>
      </c>
      <c r="I377"/>
      <c r="J377"/>
      <c r="K377"/>
    </row>
    <row r="378" spans="2:11" ht="14.4" customHeight="1" x14ac:dyDescent="0.3">
      <c r="B378" s="36" t="s">
        <v>204</v>
      </c>
      <c r="C378" s="3" t="s">
        <v>220</v>
      </c>
      <c r="D378" s="55">
        <f>SUMPRODUCT('Entry Tariff_1'!D$31:D$35,'Distance Matrix_Entry'!$CH$5:$CH$9)/SUMIFS('Entry Tariff_1'!D$31:D$35,'Distance Matrix_Entry'!$CH$5:$CH$9,"&gt;0")</f>
        <v>252.24646901010482</v>
      </c>
      <c r="E378" s="55">
        <f>SUMPRODUCT('Entry Tariff_1'!E$31:E$35,'Distance Matrix_Entry'!$CH$5:$CH$9)/SUMIFS('Entry Tariff_1'!E$31:E$35,'Distance Matrix_Entry'!$CH$5:$CH$9,"&gt;0")</f>
        <v>253.3020110332069</v>
      </c>
      <c r="F378" s="55">
        <f>SUMPRODUCT('Entry Tariff_1'!F$31:F$35,'Distance Matrix_Entry'!$CH$5:$CH$9)/SUMIFS('Entry Tariff_1'!F$31:F$35,'Distance Matrix_Entry'!$CH$5:$CH$9,"&gt;0")</f>
        <v>253.3020110332069</v>
      </c>
      <c r="G378" s="55">
        <f>SUMPRODUCT('Entry Tariff_1'!G$31:G$35,'Distance Matrix_Entry'!$CH$5:$CH$9)/SUMIFS('Entry Tariff_1'!G$31:G$35,'Distance Matrix_Entry'!$CH$5:$CH$9,"&gt;0")</f>
        <v>253.3020110332069</v>
      </c>
      <c r="I378"/>
      <c r="J378"/>
      <c r="K378"/>
    </row>
    <row r="379" spans="2:11" ht="14.4" customHeight="1" x14ac:dyDescent="0.3">
      <c r="B379" s="36" t="s">
        <v>206</v>
      </c>
      <c r="C379" s="3" t="s">
        <v>220</v>
      </c>
      <c r="D379" s="55">
        <f>SUMPRODUCT('Entry Tariff_1'!D$31:D$35,'Distance Matrix_Entry'!$CI$5:$CI$9)/SUMIFS('Entry Tariff_1'!D$31:D$35,'Distance Matrix_Entry'!$CI$5:$CI$9,"&gt;0")</f>
        <v>80.353806487995826</v>
      </c>
      <c r="E379" s="55">
        <f>SUMPRODUCT('Entry Tariff_1'!E$31:E$35,'Distance Matrix_Entry'!$CI$5:$CI$9)/SUMIFS('Entry Tariff_1'!E$31:E$35,'Distance Matrix_Entry'!$CI$5:$CI$9,"&gt;0")</f>
        <v>81.657932064884676</v>
      </c>
      <c r="F379" s="55">
        <f>SUMPRODUCT('Entry Tariff_1'!F$31:F$35,'Distance Matrix_Entry'!$CI$5:$CI$9)/SUMIFS('Entry Tariff_1'!F$31:F$35,'Distance Matrix_Entry'!$CI$5:$CI$9,"&gt;0")</f>
        <v>81.657932064884676</v>
      </c>
      <c r="G379" s="55">
        <f>SUMPRODUCT('Entry Tariff_1'!G$31:G$35,'Distance Matrix_Entry'!$CI$5:$CI$9)/SUMIFS('Entry Tariff_1'!G$31:G$35,'Distance Matrix_Entry'!$CI$5:$CI$9,"&gt;0")</f>
        <v>81.657932064884676</v>
      </c>
      <c r="I379"/>
      <c r="J379"/>
      <c r="K379"/>
    </row>
    <row r="380" spans="2:11" ht="14.4" customHeight="1" x14ac:dyDescent="0.3">
      <c r="B380" s="36" t="s">
        <v>208</v>
      </c>
      <c r="C380" s="3" t="s">
        <v>220</v>
      </c>
      <c r="D380" s="55">
        <f>SUMPRODUCT('Entry Tariff_1'!D$31:D$35,'Distance Matrix_Entry'!$CJ$5:$CJ$9)/SUMIFS('Entry Tariff_1'!D$31:D$35,'Distance Matrix_Entry'!$CJ$5:$CJ$9,"&gt;0")</f>
        <v>80.356377916567254</v>
      </c>
      <c r="E380" s="55">
        <f>SUMPRODUCT('Entry Tariff_1'!E$31:E$35,'Distance Matrix_Entry'!$CJ$5:$CJ$9)/SUMIFS('Entry Tariff_1'!E$31:E$35,'Distance Matrix_Entry'!$CJ$5:$CJ$9,"&gt;0")</f>
        <v>81.660503493456105</v>
      </c>
      <c r="F380" s="55">
        <f>SUMPRODUCT('Entry Tariff_1'!F$31:F$35,'Distance Matrix_Entry'!$CJ$5:$CJ$9)/SUMIFS('Entry Tariff_1'!F$31:F$35,'Distance Matrix_Entry'!$CJ$5:$CJ$9,"&gt;0")</f>
        <v>81.660503493456105</v>
      </c>
      <c r="G380" s="55">
        <f>SUMPRODUCT('Entry Tariff_1'!G$31:G$35,'Distance Matrix_Entry'!$CJ$5:$CJ$9)/SUMIFS('Entry Tariff_1'!G$31:G$35,'Distance Matrix_Entry'!$CJ$5:$CJ$9,"&gt;0")</f>
        <v>81.660503493456105</v>
      </c>
      <c r="I380"/>
      <c r="J380"/>
      <c r="K380"/>
    </row>
    <row r="381" spans="2:11" ht="14.4" customHeight="1" x14ac:dyDescent="0.3">
      <c r="B381" s="36" t="s">
        <v>209</v>
      </c>
      <c r="C381" s="3" t="s">
        <v>220</v>
      </c>
      <c r="D381" s="55">
        <f>SUMPRODUCT('Entry Tariff_1'!D$31:D$35,'Distance Matrix_Entry'!$CK$5:$CK$9)/SUMIFS('Entry Tariff_1'!D$31:D$35,'Distance Matrix_Entry'!$CK$5:$CK$9,"&gt;0")</f>
        <v>83.750663630852955</v>
      </c>
      <c r="E381" s="55">
        <f>SUMPRODUCT('Entry Tariff_1'!E$31:E$35,'Distance Matrix_Entry'!$CK$5:$CK$9)/SUMIFS('Entry Tariff_1'!E$31:E$35,'Distance Matrix_Entry'!$CK$5:$CK$9,"&gt;0")</f>
        <v>85.054789207741806</v>
      </c>
      <c r="F381" s="55">
        <f>SUMPRODUCT('Entry Tariff_1'!F$31:F$35,'Distance Matrix_Entry'!$CK$5:$CK$9)/SUMIFS('Entry Tariff_1'!F$31:F$35,'Distance Matrix_Entry'!$CK$5:$CK$9,"&gt;0")</f>
        <v>85.054789207741806</v>
      </c>
      <c r="G381" s="55">
        <f>SUMPRODUCT('Entry Tariff_1'!G$31:G$35,'Distance Matrix_Entry'!$CK$5:$CK$9)/SUMIFS('Entry Tariff_1'!G$31:G$35,'Distance Matrix_Entry'!$CK$5:$CK$9,"&gt;0")</f>
        <v>85.054789207741806</v>
      </c>
      <c r="I381"/>
      <c r="J381"/>
      <c r="K381"/>
    </row>
    <row r="382" spans="2:11" ht="14.4" customHeight="1" x14ac:dyDescent="0.3">
      <c r="B382" s="36" t="s">
        <v>211</v>
      </c>
      <c r="C382" s="3" t="s">
        <v>220</v>
      </c>
      <c r="D382" s="55">
        <f>SUMPRODUCT('Entry Tariff_1'!D$31:D$35,'Distance Matrix_Entry'!$CL$5:$CL$9)/SUMIFS('Entry Tariff_1'!D$31:D$35,'Distance Matrix_Entry'!$CL$5:$CL$9,"&gt;0")</f>
        <v>80.356377916567254</v>
      </c>
      <c r="E382" s="55">
        <f>SUMPRODUCT('Entry Tariff_1'!E$31:E$35,'Distance Matrix_Entry'!$CL$5:$CL$9)/SUMIFS('Entry Tariff_1'!E$31:E$35,'Distance Matrix_Entry'!$CL$5:$CL$9,"&gt;0")</f>
        <v>81.660503493456105</v>
      </c>
      <c r="F382" s="55">
        <f>SUMPRODUCT('Entry Tariff_1'!F$31:F$35,'Distance Matrix_Entry'!$CL$5:$CL$9)/SUMIFS('Entry Tariff_1'!F$31:F$35,'Distance Matrix_Entry'!$CL$5:$CL$9,"&gt;0")</f>
        <v>81.660503493456105</v>
      </c>
      <c r="G382" s="55">
        <f>SUMPRODUCT('Entry Tariff_1'!G$31:G$35,'Distance Matrix_Entry'!$CL$5:$CL$9)/SUMIFS('Entry Tariff_1'!G$31:G$35,'Distance Matrix_Entry'!$CL$5:$CL$9,"&gt;0")</f>
        <v>81.660503493456105</v>
      </c>
      <c r="I382"/>
      <c r="J382"/>
      <c r="K382"/>
    </row>
    <row r="383" spans="2:11" ht="14.4" customHeight="1" x14ac:dyDescent="0.3">
      <c r="B383" s="36" t="s">
        <v>212</v>
      </c>
      <c r="C383" s="3" t="s">
        <v>220</v>
      </c>
      <c r="D383" s="55">
        <f>SUMPRODUCT('Entry Tariff_1'!D$31:D$35,'Distance Matrix_Entry'!$CM$5:$CM$9)/SUMIFS('Entry Tariff_1'!D$31:D$35,'Distance Matrix_Entry'!$CM$5:$CM$9,"&gt;0")</f>
        <v>64.078179120451054</v>
      </c>
      <c r="E383" s="55">
        <f>SUMPRODUCT('Entry Tariff_1'!E$31:E$35,'Distance Matrix_Entry'!$CM$5:$CM$9)/SUMIFS('Entry Tariff_1'!E$31:E$35,'Distance Matrix_Entry'!$CM$5:$CM$9,"&gt;0")</f>
        <v>65.405841788637289</v>
      </c>
      <c r="F383" s="55">
        <f>SUMPRODUCT('Entry Tariff_1'!F$31:F$35,'Distance Matrix_Entry'!$CM$5:$CM$9)/SUMIFS('Entry Tariff_1'!F$31:F$35,'Distance Matrix_Entry'!$CM$5:$CM$9,"&gt;0")</f>
        <v>65.405841788637289</v>
      </c>
      <c r="G383" s="55">
        <f>SUMPRODUCT('Entry Tariff_1'!G$31:G$35,'Distance Matrix_Entry'!$CM$5:$CM$9)/SUMIFS('Entry Tariff_1'!G$31:G$35,'Distance Matrix_Entry'!$CM$5:$CM$9,"&gt;0")</f>
        <v>65.405841788637289</v>
      </c>
      <c r="I383"/>
      <c r="J383"/>
      <c r="K383"/>
    </row>
    <row r="386" spans="2:14" ht="28.8" customHeight="1" x14ac:dyDescent="0.3">
      <c r="B386" s="32" t="s">
        <v>226</v>
      </c>
      <c r="C386" s="5"/>
      <c r="D386" s="5"/>
      <c r="E386" s="5"/>
      <c r="F386" s="5"/>
      <c r="G386" s="5"/>
    </row>
    <row r="387" spans="2:14" ht="14.4" customHeight="1" x14ac:dyDescent="0.3">
      <c r="B387" s="37"/>
    </row>
    <row r="388" spans="2:14" ht="14.4" customHeight="1" x14ac:dyDescent="0.3">
      <c r="B388" s="9" t="s">
        <v>1</v>
      </c>
      <c r="C388" s="9" t="s">
        <v>214</v>
      </c>
      <c r="D388" s="6"/>
      <c r="E388" s="6"/>
      <c r="F388" s="6"/>
      <c r="G388" s="6"/>
    </row>
    <row r="389" spans="2:14" ht="14.4" customHeight="1" x14ac:dyDescent="0.3">
      <c r="B389" s="25"/>
      <c r="C389" s="25"/>
      <c r="D389" s="23" t="str">
        <f>Input_!D$5</f>
        <v>2023-24</v>
      </c>
      <c r="E389" s="23" t="str">
        <f>Input_!E$5</f>
        <v>2024-25</v>
      </c>
      <c r="F389" s="23" t="str">
        <f>Input_!F$5</f>
        <v>2025-26</v>
      </c>
      <c r="G389" s="23" t="str">
        <f>Input_!G$5</f>
        <v>2026-27</v>
      </c>
    </row>
    <row r="390" spans="2:14" ht="14.4" customHeight="1" x14ac:dyDescent="0.3">
      <c r="B390" s="24"/>
      <c r="C390" s="24"/>
      <c r="D390" s="8"/>
      <c r="E390" s="8"/>
      <c r="F390" s="8"/>
      <c r="G390" s="8"/>
    </row>
    <row r="391" spans="2:14" ht="14.4" customHeight="1" x14ac:dyDescent="0.3">
      <c r="B391" s="36" t="s">
        <v>0</v>
      </c>
      <c r="C391" s="3" t="s">
        <v>216</v>
      </c>
      <c r="D391" s="56">
        <f t="shared" ref="D391:G391" si="89">D199*D295/SUMPRODUCT(D$199:D$287,D$295:D$383)</f>
        <v>9.9478494183846272E-3</v>
      </c>
      <c r="E391" s="56">
        <f t="shared" si="89"/>
        <v>2.2171957337874991E-2</v>
      </c>
      <c r="F391" s="56">
        <f t="shared" si="89"/>
        <v>2.2171957337874991E-2</v>
      </c>
      <c r="G391" s="56">
        <f t="shared" si="89"/>
        <v>2.2171957337874991E-2</v>
      </c>
      <c r="I391"/>
      <c r="J391"/>
      <c r="K391"/>
      <c r="L391"/>
      <c r="M391"/>
      <c r="N391"/>
    </row>
    <row r="392" spans="2:14" ht="14.4" customHeight="1" x14ac:dyDescent="0.3">
      <c r="B392" s="36" t="s">
        <v>215</v>
      </c>
      <c r="C392" s="3" t="s">
        <v>216</v>
      </c>
      <c r="D392" s="56">
        <f t="shared" ref="D392:G392" si="90">D200*D296/SUMPRODUCT(D$199:D$287,D$295:D$383)</f>
        <v>5.1447745223215076E-3</v>
      </c>
      <c r="E392" s="56">
        <f t="shared" si="90"/>
        <v>1.1464497329547981E-2</v>
      </c>
      <c r="F392" s="56">
        <f t="shared" si="90"/>
        <v>1.1464497329547981E-2</v>
      </c>
      <c r="G392" s="56">
        <f t="shared" si="90"/>
        <v>1.1464497329547981E-2</v>
      </c>
      <c r="I392"/>
      <c r="J392"/>
      <c r="K392"/>
      <c r="L392"/>
      <c r="M392"/>
      <c r="N392"/>
    </row>
    <row r="393" spans="2:14" ht="14.4" customHeight="1" x14ac:dyDescent="0.3">
      <c r="B393" s="36" t="s">
        <v>217</v>
      </c>
      <c r="C393" s="3" t="s">
        <v>14</v>
      </c>
      <c r="D393" s="56">
        <f t="shared" ref="D393:G393" si="91">D201*D297/SUMPRODUCT(D$199:D$287,D$295:D$383)</f>
        <v>0</v>
      </c>
      <c r="E393" s="56">
        <f t="shared" si="91"/>
        <v>0</v>
      </c>
      <c r="F393" s="56">
        <f t="shared" si="91"/>
        <v>0</v>
      </c>
      <c r="G393" s="56">
        <f t="shared" si="91"/>
        <v>0</v>
      </c>
      <c r="I393"/>
      <c r="J393"/>
      <c r="K393"/>
      <c r="L393"/>
      <c r="M393"/>
      <c r="N393"/>
    </row>
    <row r="394" spans="2:14" ht="14.4" customHeight="1" x14ac:dyDescent="0.3">
      <c r="B394" s="36" t="s">
        <v>218</v>
      </c>
      <c r="C394" s="3" t="s">
        <v>15</v>
      </c>
      <c r="D394" s="56">
        <f t="shared" ref="D394:G394" si="92">D202*D298/SUMPRODUCT(D$199:D$287,D$295:D$383)</f>
        <v>1.53637413067004E-2</v>
      </c>
      <c r="E394" s="56">
        <f t="shared" si="92"/>
        <v>9.14444728590697E-3</v>
      </c>
      <c r="F394" s="56">
        <f t="shared" si="92"/>
        <v>9.14444728590697E-3</v>
      </c>
      <c r="G394" s="56">
        <f t="shared" si="92"/>
        <v>9.14444728590697E-3</v>
      </c>
      <c r="I394"/>
      <c r="J394"/>
      <c r="K394"/>
      <c r="L394"/>
      <c r="M394"/>
      <c r="N394"/>
    </row>
    <row r="395" spans="2:14" ht="14.4" customHeight="1" x14ac:dyDescent="0.3">
      <c r="B395" s="36" t="s">
        <v>54</v>
      </c>
      <c r="C395" s="3" t="s">
        <v>220</v>
      </c>
      <c r="D395" s="56">
        <f t="shared" ref="D395:G395" si="93">D203*D299/SUMPRODUCT(D$199:D$287,D$295:D$383)</f>
        <v>8.4684126621237818E-4</v>
      </c>
      <c r="E395" s="56">
        <f t="shared" si="93"/>
        <v>8.3875679991594963E-4</v>
      </c>
      <c r="F395" s="56">
        <f t="shared" si="93"/>
        <v>8.3875679991594963E-4</v>
      </c>
      <c r="G395" s="56">
        <f t="shared" si="93"/>
        <v>8.3875679991594963E-4</v>
      </c>
      <c r="I395"/>
      <c r="J395"/>
      <c r="K395"/>
      <c r="L395"/>
      <c r="M395"/>
      <c r="N395"/>
    </row>
    <row r="396" spans="2:14" ht="14.4" customHeight="1" x14ac:dyDescent="0.3">
      <c r="B396" s="36" t="s">
        <v>56</v>
      </c>
      <c r="C396" s="3" t="s">
        <v>220</v>
      </c>
      <c r="D396" s="56">
        <f t="shared" ref="D396:G396" si="94">D204*D300/SUMPRODUCT(D$199:D$287,D$295:D$383)</f>
        <v>3.6947523587571246E-3</v>
      </c>
      <c r="E396" s="56">
        <f t="shared" si="94"/>
        <v>3.6563994328866049E-3</v>
      </c>
      <c r="F396" s="56">
        <f t="shared" si="94"/>
        <v>3.6563994328866049E-3</v>
      </c>
      <c r="G396" s="56">
        <f t="shared" si="94"/>
        <v>3.6563994328866049E-3</v>
      </c>
      <c r="I396"/>
      <c r="J396"/>
      <c r="K396"/>
      <c r="L396"/>
      <c r="M396"/>
      <c r="N396"/>
    </row>
    <row r="397" spans="2:14" ht="14.4" customHeight="1" x14ac:dyDescent="0.3">
      <c r="B397" s="36" t="s">
        <v>58</v>
      </c>
      <c r="C397" s="3" t="s">
        <v>220</v>
      </c>
      <c r="D397" s="56">
        <f t="shared" ref="D397:G397" si="95">D205*D301/SUMPRODUCT(D$199:D$287,D$295:D$383)</f>
        <v>1.1901757980311008E-3</v>
      </c>
      <c r="E397" s="56">
        <f t="shared" si="95"/>
        <v>1.1780716245003522E-3</v>
      </c>
      <c r="F397" s="56">
        <f t="shared" si="95"/>
        <v>1.1780716245003522E-3</v>
      </c>
      <c r="G397" s="56">
        <f t="shared" si="95"/>
        <v>1.1780716245003522E-3</v>
      </c>
      <c r="I397"/>
      <c r="J397"/>
      <c r="K397"/>
      <c r="L397"/>
      <c r="M397"/>
      <c r="N397"/>
    </row>
    <row r="398" spans="2:14" ht="14.4" customHeight="1" x14ac:dyDescent="0.3">
      <c r="B398" s="36" t="s">
        <v>60</v>
      </c>
      <c r="C398" s="3" t="s">
        <v>220</v>
      </c>
      <c r="D398" s="56">
        <f t="shared" ref="D398:G398" si="96">D206*D302/SUMPRODUCT(D$199:D$287,D$295:D$383)</f>
        <v>2.105860396813796E-3</v>
      </c>
      <c r="E398" s="56">
        <f t="shared" si="96"/>
        <v>2.084000819847923E-3</v>
      </c>
      <c r="F398" s="56">
        <f t="shared" si="96"/>
        <v>2.084000819847923E-3</v>
      </c>
      <c r="G398" s="56">
        <f t="shared" si="96"/>
        <v>2.084000819847923E-3</v>
      </c>
      <c r="I398"/>
      <c r="J398"/>
      <c r="K398"/>
      <c r="L398"/>
      <c r="M398"/>
      <c r="N398"/>
    </row>
    <row r="399" spans="2:14" ht="14.4" customHeight="1" x14ac:dyDescent="0.3">
      <c r="B399" s="36" t="s">
        <v>61</v>
      </c>
      <c r="C399" s="3" t="s">
        <v>220</v>
      </c>
      <c r="D399" s="56">
        <f t="shared" ref="D399:G399" si="97">D207*D303/SUMPRODUCT(D$199:D$287,D$295:D$383)</f>
        <v>4.98366652255756E-4</v>
      </c>
      <c r="E399" s="56">
        <f t="shared" si="97"/>
        <v>4.9328825770551311E-4</v>
      </c>
      <c r="F399" s="56">
        <f t="shared" si="97"/>
        <v>4.9328825770551311E-4</v>
      </c>
      <c r="G399" s="56">
        <f t="shared" si="97"/>
        <v>4.9328825770551311E-4</v>
      </c>
      <c r="I399"/>
      <c r="J399"/>
      <c r="K399"/>
      <c r="L399"/>
      <c r="M399"/>
      <c r="N399"/>
    </row>
    <row r="400" spans="2:14" ht="14.4" customHeight="1" x14ac:dyDescent="0.3">
      <c r="B400" s="36" t="s">
        <v>63</v>
      </c>
      <c r="C400" s="3" t="s">
        <v>220</v>
      </c>
      <c r="D400" s="56">
        <f t="shared" ref="D400:G400" si="98">D208*D304/SUMPRODUCT(D$199:D$287,D$295:D$383)</f>
        <v>1.1941405720109072E-3</v>
      </c>
      <c r="E400" s="56">
        <f t="shared" si="98"/>
        <v>1.1814924623814672E-3</v>
      </c>
      <c r="F400" s="56">
        <f t="shared" si="98"/>
        <v>1.1814924623814672E-3</v>
      </c>
      <c r="G400" s="56">
        <f t="shared" si="98"/>
        <v>1.1814924623814672E-3</v>
      </c>
      <c r="I400"/>
      <c r="J400"/>
      <c r="K400"/>
      <c r="L400"/>
      <c r="M400"/>
      <c r="N400"/>
    </row>
    <row r="401" spans="2:7" ht="14.4" customHeight="1" x14ac:dyDescent="0.3">
      <c r="B401" s="36" t="s">
        <v>65</v>
      </c>
      <c r="C401" s="3" t="s">
        <v>220</v>
      </c>
      <c r="D401" s="56">
        <f t="shared" ref="D401:G401" si="99">D209*D305/SUMPRODUCT(D$199:D$287,D$295:D$383)</f>
        <v>2.8833728466656867E-3</v>
      </c>
      <c r="E401" s="56">
        <f t="shared" si="99"/>
        <v>2.8530351097598343E-3</v>
      </c>
      <c r="F401" s="56">
        <f t="shared" si="99"/>
        <v>2.8530351097598343E-3</v>
      </c>
      <c r="G401" s="56">
        <f t="shared" si="99"/>
        <v>2.8530351097598343E-3</v>
      </c>
    </row>
    <row r="402" spans="2:7" ht="14.4" customHeight="1" x14ac:dyDescent="0.3">
      <c r="B402" s="36" t="s">
        <v>67</v>
      </c>
      <c r="C402" s="3" t="s">
        <v>220</v>
      </c>
      <c r="D402" s="56">
        <f t="shared" ref="D402:G402" si="100">D210*D306/SUMPRODUCT(D$199:D$287,D$295:D$383)</f>
        <v>3.6267323623708331E-3</v>
      </c>
      <c r="E402" s="56">
        <f t="shared" si="100"/>
        <v>3.5867114016745767E-3</v>
      </c>
      <c r="F402" s="56">
        <f t="shared" si="100"/>
        <v>3.5867114016745767E-3</v>
      </c>
      <c r="G402" s="56">
        <f t="shared" si="100"/>
        <v>3.5867114016745767E-3</v>
      </c>
    </row>
    <row r="403" spans="2:7" ht="14.4" customHeight="1" x14ac:dyDescent="0.3">
      <c r="B403" s="36" t="s">
        <v>69</v>
      </c>
      <c r="C403" s="3" t="s">
        <v>220</v>
      </c>
      <c r="D403" s="56">
        <f t="shared" ref="D403:G403" si="101">D211*D307/SUMPRODUCT(D$199:D$287,D$295:D$383)</f>
        <v>2.7880704035392907E-3</v>
      </c>
      <c r="E403" s="56">
        <f t="shared" si="101"/>
        <v>2.7565378216437932E-3</v>
      </c>
      <c r="F403" s="56">
        <f t="shared" si="101"/>
        <v>2.7565378216437932E-3</v>
      </c>
      <c r="G403" s="56">
        <f t="shared" si="101"/>
        <v>2.7565378216437932E-3</v>
      </c>
    </row>
    <row r="404" spans="2:7" ht="14.4" customHeight="1" x14ac:dyDescent="0.3">
      <c r="B404" s="36" t="s">
        <v>71</v>
      </c>
      <c r="C404" s="3" t="s">
        <v>220</v>
      </c>
      <c r="D404" s="56">
        <f t="shared" ref="D404:G404" si="102">D212*D308/SUMPRODUCT(D$199:D$287,D$295:D$383)</f>
        <v>2.5489950619615839E-2</v>
      </c>
      <c r="E404" s="56">
        <f t="shared" si="102"/>
        <v>2.5190760571480012E-2</v>
      </c>
      <c r="F404" s="56">
        <f t="shared" si="102"/>
        <v>2.5190760571480012E-2</v>
      </c>
      <c r="G404" s="56">
        <f t="shared" si="102"/>
        <v>2.5190760571480012E-2</v>
      </c>
    </row>
    <row r="405" spans="2:7" ht="14.4" customHeight="1" x14ac:dyDescent="0.3">
      <c r="B405" s="36" t="s">
        <v>73</v>
      </c>
      <c r="C405" s="3" t="s">
        <v>220</v>
      </c>
      <c r="D405" s="56">
        <f t="shared" ref="D405:G405" si="103">D213*D309/SUMPRODUCT(D$199:D$287,D$295:D$383)</f>
        <v>0</v>
      </c>
      <c r="E405" s="56">
        <f t="shared" si="103"/>
        <v>0</v>
      </c>
      <c r="F405" s="56">
        <f t="shared" si="103"/>
        <v>0</v>
      </c>
      <c r="G405" s="56">
        <f t="shared" si="103"/>
        <v>0</v>
      </c>
    </row>
    <row r="406" spans="2:7" ht="14.4" customHeight="1" x14ac:dyDescent="0.3">
      <c r="B406" s="36" t="s">
        <v>75</v>
      </c>
      <c r="C406" s="3" t="s">
        <v>220</v>
      </c>
      <c r="D406" s="56">
        <f t="shared" ref="D406:G406" si="104">D214*D310/SUMPRODUCT(D$199:D$287,D$295:D$383)</f>
        <v>1.270036553858937E-3</v>
      </c>
      <c r="E406" s="56">
        <f t="shared" si="104"/>
        <v>1.2552741975452048E-3</v>
      </c>
      <c r="F406" s="56">
        <f t="shared" si="104"/>
        <v>1.2552741975452048E-3</v>
      </c>
      <c r="G406" s="56">
        <f t="shared" si="104"/>
        <v>1.2552741975452048E-3</v>
      </c>
    </row>
    <row r="407" spans="2:7" ht="14.4" customHeight="1" x14ac:dyDescent="0.3">
      <c r="B407" s="36" t="s">
        <v>77</v>
      </c>
      <c r="C407" s="3" t="s">
        <v>220</v>
      </c>
      <c r="D407" s="56">
        <f t="shared" ref="D407:G407" si="105">D215*D311/SUMPRODUCT(D$199:D$287,D$295:D$383)</f>
        <v>5.4005633567889098E-3</v>
      </c>
      <c r="E407" s="56">
        <f t="shared" si="105"/>
        <v>5.3374353840027026E-3</v>
      </c>
      <c r="F407" s="56">
        <f t="shared" si="105"/>
        <v>5.3374353840027026E-3</v>
      </c>
      <c r="G407" s="56">
        <f t="shared" si="105"/>
        <v>5.3374353840027026E-3</v>
      </c>
    </row>
    <row r="408" spans="2:7" ht="14.4" customHeight="1" x14ac:dyDescent="0.3">
      <c r="B408" s="36" t="s">
        <v>79</v>
      </c>
      <c r="C408" s="3" t="s">
        <v>220</v>
      </c>
      <c r="D408" s="56">
        <f t="shared" ref="D408:G408" si="106">D216*D312/SUMPRODUCT(D$199:D$287,D$295:D$383)</f>
        <v>2.8568993794290333E-3</v>
      </c>
      <c r="E408" s="56">
        <f t="shared" si="106"/>
        <v>2.8242384118292037E-3</v>
      </c>
      <c r="F408" s="56">
        <f t="shared" si="106"/>
        <v>2.8242384118292037E-3</v>
      </c>
      <c r="G408" s="56">
        <f t="shared" si="106"/>
        <v>2.8242384118292037E-3</v>
      </c>
    </row>
    <row r="409" spans="2:7" ht="14.4" customHeight="1" x14ac:dyDescent="0.3">
      <c r="B409" s="36" t="s">
        <v>81</v>
      </c>
      <c r="C409" s="3" t="s">
        <v>220</v>
      </c>
      <c r="D409" s="56">
        <f t="shared" ref="D409:G409" si="107">D217*D313/SUMPRODUCT(D$199:D$287,D$295:D$383)</f>
        <v>6.4982062201100393E-2</v>
      </c>
      <c r="E409" s="56">
        <f t="shared" si="107"/>
        <v>6.4242101876395646E-2</v>
      </c>
      <c r="F409" s="56">
        <f t="shared" si="107"/>
        <v>6.4242101876395646E-2</v>
      </c>
      <c r="G409" s="56">
        <f t="shared" si="107"/>
        <v>6.4242101876395646E-2</v>
      </c>
    </row>
    <row r="410" spans="2:7" ht="14.4" customHeight="1" x14ac:dyDescent="0.3">
      <c r="B410" s="36" t="s">
        <v>82</v>
      </c>
      <c r="C410" s="3" t="s">
        <v>220</v>
      </c>
      <c r="D410" s="56">
        <f t="shared" ref="D410:G410" si="108">D218*D314/SUMPRODUCT(D$199:D$287,D$295:D$383)</f>
        <v>1.2929223784111448E-3</v>
      </c>
      <c r="E410" s="56">
        <f t="shared" si="108"/>
        <v>1.2778092322128392E-3</v>
      </c>
      <c r="F410" s="56">
        <f t="shared" si="108"/>
        <v>1.2778092322128392E-3</v>
      </c>
      <c r="G410" s="56">
        <f t="shared" si="108"/>
        <v>1.2778092322128392E-3</v>
      </c>
    </row>
    <row r="411" spans="2:7" ht="14.4" customHeight="1" x14ac:dyDescent="0.3">
      <c r="B411" s="36" t="s">
        <v>83</v>
      </c>
      <c r="C411" s="3" t="s">
        <v>220</v>
      </c>
      <c r="D411" s="56">
        <f t="shared" ref="D411:G411" si="109">D219*D315/SUMPRODUCT(D$199:D$287,D$295:D$383)</f>
        <v>9.2143142648641618E-4</v>
      </c>
      <c r="E411" s="56">
        <f t="shared" si="109"/>
        <v>9.1057444362963643E-4</v>
      </c>
      <c r="F411" s="56">
        <f t="shared" si="109"/>
        <v>9.1057444362963643E-4</v>
      </c>
      <c r="G411" s="56">
        <f t="shared" si="109"/>
        <v>9.1057444362963643E-4</v>
      </c>
    </row>
    <row r="412" spans="2:7" ht="14.4" customHeight="1" x14ac:dyDescent="0.3">
      <c r="B412" s="36" t="s">
        <v>85</v>
      </c>
      <c r="C412" s="3" t="s">
        <v>220</v>
      </c>
      <c r="D412" s="56">
        <f t="shared" ref="D412:G412" si="110">D220*D316/SUMPRODUCT(D$199:D$287,D$295:D$383)</f>
        <v>8.4477913101158443E-5</v>
      </c>
      <c r="E412" s="56">
        <f t="shared" si="110"/>
        <v>8.3491715926508144E-5</v>
      </c>
      <c r="F412" s="56">
        <f t="shared" si="110"/>
        <v>8.3491715926508144E-5</v>
      </c>
      <c r="G412" s="56">
        <f t="shared" si="110"/>
        <v>8.3491715926508144E-5</v>
      </c>
    </row>
    <row r="413" spans="2:7" ht="14.4" customHeight="1" x14ac:dyDescent="0.3">
      <c r="B413" s="36" t="s">
        <v>87</v>
      </c>
      <c r="C413" s="3" t="s">
        <v>220</v>
      </c>
      <c r="D413" s="56">
        <f t="shared" ref="D413:G413" si="111">D221*D317/SUMPRODUCT(D$199:D$287,D$295:D$383)</f>
        <v>0</v>
      </c>
      <c r="E413" s="56">
        <f t="shared" si="111"/>
        <v>0</v>
      </c>
      <c r="F413" s="56">
        <f t="shared" si="111"/>
        <v>0</v>
      </c>
      <c r="G413" s="56">
        <f t="shared" si="111"/>
        <v>0</v>
      </c>
    </row>
    <row r="414" spans="2:7" ht="14.4" customHeight="1" x14ac:dyDescent="0.3">
      <c r="B414" s="36" t="s">
        <v>89</v>
      </c>
      <c r="C414" s="3" t="s">
        <v>220</v>
      </c>
      <c r="D414" s="56">
        <f t="shared" ref="D414:G414" si="112">D222*D318/SUMPRODUCT(D$199:D$287,D$295:D$383)</f>
        <v>3.1670034752983153E-3</v>
      </c>
      <c r="E414" s="56">
        <f t="shared" si="112"/>
        <v>3.1293619585854226E-3</v>
      </c>
      <c r="F414" s="56">
        <f t="shared" si="112"/>
        <v>3.1293619585854226E-3</v>
      </c>
      <c r="G414" s="56">
        <f t="shared" si="112"/>
        <v>3.1293619585854226E-3</v>
      </c>
    </row>
    <row r="415" spans="2:7" ht="14.4" customHeight="1" x14ac:dyDescent="0.3">
      <c r="B415" s="36" t="s">
        <v>90</v>
      </c>
      <c r="C415" s="3" t="s">
        <v>220</v>
      </c>
      <c r="D415" s="56">
        <f t="shared" ref="D415:G415" si="113">D223*D319/SUMPRODUCT(D$199:D$287,D$295:D$383)</f>
        <v>1.7806544149169695E-3</v>
      </c>
      <c r="E415" s="56">
        <f t="shared" si="113"/>
        <v>1.7592274710203596E-3</v>
      </c>
      <c r="F415" s="56">
        <f t="shared" si="113"/>
        <v>1.7592274710203596E-3</v>
      </c>
      <c r="G415" s="56">
        <f t="shared" si="113"/>
        <v>1.7592274710203596E-3</v>
      </c>
    </row>
    <row r="416" spans="2:7" ht="14.4" customHeight="1" x14ac:dyDescent="0.3">
      <c r="B416" s="36" t="s">
        <v>92</v>
      </c>
      <c r="C416" s="3" t="s">
        <v>220</v>
      </c>
      <c r="D416" s="56">
        <f t="shared" ref="D416:G416" si="114">D224*D320/SUMPRODUCT(D$199:D$287,D$295:D$383)</f>
        <v>3.7364327991422212E-3</v>
      </c>
      <c r="E416" s="56">
        <f t="shared" si="114"/>
        <v>3.6900517899304971E-3</v>
      </c>
      <c r="F416" s="56">
        <f t="shared" si="114"/>
        <v>3.6900517899304971E-3</v>
      </c>
      <c r="G416" s="56">
        <f t="shared" si="114"/>
        <v>3.6900517899304971E-3</v>
      </c>
    </row>
    <row r="417" spans="2:7" ht="14.4" customHeight="1" x14ac:dyDescent="0.3">
      <c r="B417" s="36" t="s">
        <v>94</v>
      </c>
      <c r="C417" s="3" t="s">
        <v>220</v>
      </c>
      <c r="D417" s="56">
        <f t="shared" ref="D417:G417" si="115">D225*D321/SUMPRODUCT(D$199:D$287,D$295:D$383)</f>
        <v>3.9924773092369081E-3</v>
      </c>
      <c r="E417" s="56">
        <f t="shared" si="115"/>
        <v>3.9424513584365994E-3</v>
      </c>
      <c r="F417" s="56">
        <f t="shared" si="115"/>
        <v>3.9424513584365994E-3</v>
      </c>
      <c r="G417" s="56">
        <f t="shared" si="115"/>
        <v>3.9424513584365994E-3</v>
      </c>
    </row>
    <row r="418" spans="2:7" ht="14.4" customHeight="1" x14ac:dyDescent="0.3">
      <c r="B418" s="36" t="s">
        <v>96</v>
      </c>
      <c r="C418" s="3" t="s">
        <v>220</v>
      </c>
      <c r="D418" s="56">
        <f t="shared" ref="D418:G418" si="116">D226*D322/SUMPRODUCT(D$199:D$287,D$295:D$383)</f>
        <v>1.050278719353334E-2</v>
      </c>
      <c r="E418" s="56">
        <f t="shared" si="116"/>
        <v>1.0370595992064352E-2</v>
      </c>
      <c r="F418" s="56">
        <f t="shared" si="116"/>
        <v>1.0370595992064352E-2</v>
      </c>
      <c r="G418" s="56">
        <f t="shared" si="116"/>
        <v>1.0370595992064352E-2</v>
      </c>
    </row>
    <row r="419" spans="2:7" ht="14.4" customHeight="1" x14ac:dyDescent="0.3">
      <c r="B419" s="36" t="s">
        <v>98</v>
      </c>
      <c r="C419" s="3" t="s">
        <v>220</v>
      </c>
      <c r="D419" s="56">
        <f t="shared" ref="D419:G419" si="117">D227*D323/SUMPRODUCT(D$199:D$287,D$295:D$383)</f>
        <v>0</v>
      </c>
      <c r="E419" s="56">
        <f t="shared" si="117"/>
        <v>0</v>
      </c>
      <c r="F419" s="56">
        <f t="shared" si="117"/>
        <v>0</v>
      </c>
      <c r="G419" s="56">
        <f t="shared" si="117"/>
        <v>0</v>
      </c>
    </row>
    <row r="420" spans="2:7" ht="14.4" customHeight="1" x14ac:dyDescent="0.3">
      <c r="B420" s="36" t="s">
        <v>100</v>
      </c>
      <c r="C420" s="3" t="s">
        <v>220</v>
      </c>
      <c r="D420" s="56">
        <f t="shared" ref="D420:G420" si="118">D228*D324/SUMPRODUCT(D$199:D$287,D$295:D$383)</f>
        <v>2.775322559960863E-2</v>
      </c>
      <c r="E420" s="56">
        <f t="shared" si="118"/>
        <v>2.7401525880861307E-2</v>
      </c>
      <c r="F420" s="56">
        <f t="shared" si="118"/>
        <v>2.7401525880861307E-2</v>
      </c>
      <c r="G420" s="56">
        <f t="shared" si="118"/>
        <v>2.7401525880861307E-2</v>
      </c>
    </row>
    <row r="421" spans="2:7" ht="14.4" customHeight="1" x14ac:dyDescent="0.3">
      <c r="B421" s="36" t="s">
        <v>102</v>
      </c>
      <c r="C421" s="3" t="s">
        <v>220</v>
      </c>
      <c r="D421" s="56">
        <f t="shared" ref="D421:G421" si="119">D229*D325/SUMPRODUCT(D$199:D$287,D$295:D$383)</f>
        <v>0</v>
      </c>
      <c r="E421" s="56">
        <f t="shared" si="119"/>
        <v>0</v>
      </c>
      <c r="F421" s="56">
        <f t="shared" si="119"/>
        <v>0</v>
      </c>
      <c r="G421" s="56">
        <f t="shared" si="119"/>
        <v>0</v>
      </c>
    </row>
    <row r="422" spans="2:7" ht="14.4" customHeight="1" x14ac:dyDescent="0.3">
      <c r="B422" s="36" t="s">
        <v>103</v>
      </c>
      <c r="C422" s="3" t="s">
        <v>220</v>
      </c>
      <c r="D422" s="56">
        <f t="shared" ref="D422:G422" si="120">D230*D326/SUMPRODUCT(D$199:D$287,D$295:D$383)</f>
        <v>0.10662498787698563</v>
      </c>
      <c r="E422" s="56">
        <f t="shared" si="120"/>
        <v>0.10527030326408847</v>
      </c>
      <c r="F422" s="56">
        <f t="shared" si="120"/>
        <v>0.10527030326408847</v>
      </c>
      <c r="G422" s="56">
        <f t="shared" si="120"/>
        <v>0.10527030326408847</v>
      </c>
    </row>
    <row r="423" spans="2:7" ht="14.4" customHeight="1" x14ac:dyDescent="0.3">
      <c r="B423" s="36" t="s">
        <v>105</v>
      </c>
      <c r="C423" s="3" t="s">
        <v>220</v>
      </c>
      <c r="D423" s="56">
        <f t="shared" ref="D423:G423" si="121">D231*D327/SUMPRODUCT(D$199:D$287,D$295:D$383)</f>
        <v>3.4060237870109614E-3</v>
      </c>
      <c r="E423" s="56">
        <f t="shared" si="121"/>
        <v>3.3625503034919713E-3</v>
      </c>
      <c r="F423" s="56">
        <f t="shared" si="121"/>
        <v>3.3625503034919713E-3</v>
      </c>
      <c r="G423" s="56">
        <f t="shared" si="121"/>
        <v>3.3625503034919713E-3</v>
      </c>
    </row>
    <row r="424" spans="2:7" ht="14.4" customHeight="1" x14ac:dyDescent="0.3">
      <c r="B424" s="36" t="s">
        <v>107</v>
      </c>
      <c r="C424" s="3" t="s">
        <v>220</v>
      </c>
      <c r="D424" s="56">
        <f t="shared" ref="D424:G424" si="122">D232*D328/SUMPRODUCT(D$199:D$287,D$295:D$383)</f>
        <v>0</v>
      </c>
      <c r="E424" s="56">
        <f t="shared" si="122"/>
        <v>0</v>
      </c>
      <c r="F424" s="56">
        <f t="shared" si="122"/>
        <v>0</v>
      </c>
      <c r="G424" s="56">
        <f t="shared" si="122"/>
        <v>0</v>
      </c>
    </row>
    <row r="425" spans="2:7" ht="14.4" customHeight="1" x14ac:dyDescent="0.3">
      <c r="B425" s="36" t="s">
        <v>108</v>
      </c>
      <c r="C425" s="3" t="s">
        <v>220</v>
      </c>
      <c r="D425" s="56">
        <f t="shared" ref="D425:G425" si="123">D233*D329/SUMPRODUCT(D$199:D$287,D$295:D$383)</f>
        <v>1.3685826678869393E-4</v>
      </c>
      <c r="E425" s="56">
        <f t="shared" si="123"/>
        <v>1.3510234936330498E-4</v>
      </c>
      <c r="F425" s="56">
        <f t="shared" si="123"/>
        <v>1.3510234936330498E-4</v>
      </c>
      <c r="G425" s="56">
        <f t="shared" si="123"/>
        <v>1.3510234936330498E-4</v>
      </c>
    </row>
    <row r="426" spans="2:7" ht="14.4" customHeight="1" x14ac:dyDescent="0.3">
      <c r="B426" s="36" t="s">
        <v>110</v>
      </c>
      <c r="C426" s="3" t="s">
        <v>220</v>
      </c>
      <c r="D426" s="56">
        <f t="shared" ref="D426:G426" si="124">D234*D330/SUMPRODUCT(D$199:D$287,D$295:D$383)</f>
        <v>4.994424473995695E-3</v>
      </c>
      <c r="E426" s="56">
        <f t="shared" si="124"/>
        <v>4.9302481475127285E-3</v>
      </c>
      <c r="F426" s="56">
        <f t="shared" si="124"/>
        <v>4.9302481475127285E-3</v>
      </c>
      <c r="G426" s="56">
        <f t="shared" si="124"/>
        <v>4.9302481475127285E-3</v>
      </c>
    </row>
    <row r="427" spans="2:7" ht="14.4" customHeight="1" x14ac:dyDescent="0.3">
      <c r="B427" s="36" t="s">
        <v>112</v>
      </c>
      <c r="C427" s="3" t="s">
        <v>220</v>
      </c>
      <c r="D427" s="56">
        <f t="shared" ref="D427:G427" si="125">D235*D331/SUMPRODUCT(D$199:D$287,D$295:D$383)</f>
        <v>1.4036464562677084E-3</v>
      </c>
      <c r="E427" s="56">
        <f t="shared" si="125"/>
        <v>1.3856103743603309E-3</v>
      </c>
      <c r="F427" s="56">
        <f t="shared" si="125"/>
        <v>1.3856103743603309E-3</v>
      </c>
      <c r="G427" s="56">
        <f t="shared" si="125"/>
        <v>1.3856103743603309E-3</v>
      </c>
    </row>
    <row r="428" spans="2:7" ht="14.4" customHeight="1" x14ac:dyDescent="0.3">
      <c r="B428" s="36" t="s">
        <v>114</v>
      </c>
      <c r="C428" s="3" t="s">
        <v>220</v>
      </c>
      <c r="D428" s="56">
        <f t="shared" ref="D428:G428" si="126">D236*D332/SUMPRODUCT(D$199:D$287,D$295:D$383)</f>
        <v>0</v>
      </c>
      <c r="E428" s="56">
        <f t="shared" si="126"/>
        <v>0</v>
      </c>
      <c r="F428" s="56">
        <f t="shared" si="126"/>
        <v>0</v>
      </c>
      <c r="G428" s="56">
        <f t="shared" si="126"/>
        <v>0</v>
      </c>
    </row>
    <row r="429" spans="2:7" ht="14.4" customHeight="1" x14ac:dyDescent="0.3">
      <c r="B429" s="36" t="s">
        <v>116</v>
      </c>
      <c r="C429" s="3" t="s">
        <v>220</v>
      </c>
      <c r="D429" s="56">
        <f t="shared" ref="D429:G429" si="127">D237*D333/SUMPRODUCT(D$199:D$287,D$295:D$383)</f>
        <v>3.5582650704025346E-3</v>
      </c>
      <c r="E429" s="56">
        <f t="shared" si="127"/>
        <v>3.512371752519674E-3</v>
      </c>
      <c r="F429" s="56">
        <f t="shared" si="127"/>
        <v>3.512371752519674E-3</v>
      </c>
      <c r="G429" s="56">
        <f t="shared" si="127"/>
        <v>3.512371752519674E-3</v>
      </c>
    </row>
    <row r="430" spans="2:7" ht="14.4" customHeight="1" x14ac:dyDescent="0.3">
      <c r="B430" s="36" t="s">
        <v>118</v>
      </c>
      <c r="C430" s="3" t="s">
        <v>220</v>
      </c>
      <c r="D430" s="56">
        <f t="shared" ref="D430:G430" si="128">D238*D334/SUMPRODUCT(D$199:D$287,D$295:D$383)</f>
        <v>0</v>
      </c>
      <c r="E430" s="56">
        <f t="shared" si="128"/>
        <v>0</v>
      </c>
      <c r="F430" s="56">
        <f t="shared" si="128"/>
        <v>0</v>
      </c>
      <c r="G430" s="56">
        <f t="shared" si="128"/>
        <v>0</v>
      </c>
    </row>
    <row r="431" spans="2:7" ht="14.4" customHeight="1" x14ac:dyDescent="0.3">
      <c r="B431" s="36" t="s">
        <v>120</v>
      </c>
      <c r="C431" s="3" t="s">
        <v>220</v>
      </c>
      <c r="D431" s="56">
        <f t="shared" ref="D431:G431" si="129">D239*D335/SUMPRODUCT(D$199:D$287,D$295:D$383)</f>
        <v>1.6599393970223694E-3</v>
      </c>
      <c r="E431" s="56">
        <f t="shared" si="129"/>
        <v>1.6384852554955631E-3</v>
      </c>
      <c r="F431" s="56">
        <f t="shared" si="129"/>
        <v>1.6384852554955631E-3</v>
      </c>
      <c r="G431" s="56">
        <f t="shared" si="129"/>
        <v>1.6384852554955631E-3</v>
      </c>
    </row>
    <row r="432" spans="2:7" ht="14.4" customHeight="1" x14ac:dyDescent="0.3">
      <c r="B432" s="36" t="s">
        <v>122</v>
      </c>
      <c r="C432" s="3" t="s">
        <v>220</v>
      </c>
      <c r="D432" s="56">
        <f t="shared" ref="D432:G432" si="130">D240*D336/SUMPRODUCT(D$199:D$287,D$295:D$383)</f>
        <v>4.7924257328213664E-3</v>
      </c>
      <c r="E432" s="56">
        <f t="shared" si="130"/>
        <v>4.730433977376311E-3</v>
      </c>
      <c r="F432" s="56">
        <f t="shared" si="130"/>
        <v>4.730433977376311E-3</v>
      </c>
      <c r="G432" s="56">
        <f t="shared" si="130"/>
        <v>4.730433977376311E-3</v>
      </c>
    </row>
    <row r="433" spans="2:7" ht="14.4" customHeight="1" x14ac:dyDescent="0.3">
      <c r="B433" s="36" t="s">
        <v>124</v>
      </c>
      <c r="C433" s="3" t="s">
        <v>220</v>
      </c>
      <c r="D433" s="56">
        <f t="shared" ref="D433:G433" si="131">D241*D337/SUMPRODUCT(D$199:D$287,D$295:D$383)</f>
        <v>1.0466345704499105E-2</v>
      </c>
      <c r="E433" s="56">
        <f t="shared" si="131"/>
        <v>1.0330615305595668E-2</v>
      </c>
      <c r="F433" s="56">
        <f t="shared" si="131"/>
        <v>1.0330615305595668E-2</v>
      </c>
      <c r="G433" s="56">
        <f t="shared" si="131"/>
        <v>1.0330615305595668E-2</v>
      </c>
    </row>
    <row r="434" spans="2:7" ht="14.4" customHeight="1" x14ac:dyDescent="0.3">
      <c r="B434" s="36" t="s">
        <v>126</v>
      </c>
      <c r="C434" s="3" t="s">
        <v>220</v>
      </c>
      <c r="D434" s="56">
        <f t="shared" ref="D434:G434" si="132">D242*D338/SUMPRODUCT(D$199:D$287,D$295:D$383)</f>
        <v>2.7448255366618306E-3</v>
      </c>
      <c r="E434" s="56">
        <f t="shared" si="132"/>
        <v>2.709193296560922E-3</v>
      </c>
      <c r="F434" s="56">
        <f t="shared" si="132"/>
        <v>2.709193296560922E-3</v>
      </c>
      <c r="G434" s="56">
        <f t="shared" si="132"/>
        <v>2.709193296560922E-3</v>
      </c>
    </row>
    <row r="435" spans="2:7" ht="14.4" customHeight="1" x14ac:dyDescent="0.3">
      <c r="B435" s="36" t="s">
        <v>128</v>
      </c>
      <c r="C435" s="3" t="s">
        <v>220</v>
      </c>
      <c r="D435" s="56">
        <f t="shared" ref="D435:G435" si="133">D243*D339/SUMPRODUCT(D$199:D$287,D$295:D$383)</f>
        <v>1.0552464009000062E-2</v>
      </c>
      <c r="E435" s="56">
        <f t="shared" si="133"/>
        <v>1.0415280044451429E-2</v>
      </c>
      <c r="F435" s="56">
        <f t="shared" si="133"/>
        <v>1.0415280044451429E-2</v>
      </c>
      <c r="G435" s="56">
        <f t="shared" si="133"/>
        <v>1.0415280044451429E-2</v>
      </c>
    </row>
    <row r="436" spans="2:7" ht="14.4" customHeight="1" x14ac:dyDescent="0.3">
      <c r="B436" s="36" t="s">
        <v>130</v>
      </c>
      <c r="C436" s="3" t="s">
        <v>220</v>
      </c>
      <c r="D436" s="56">
        <f t="shared" ref="D436:G436" si="134">D244*D340/SUMPRODUCT(D$199:D$287,D$295:D$383)</f>
        <v>7.8815623068762761E-3</v>
      </c>
      <c r="E436" s="56">
        <f t="shared" si="134"/>
        <v>7.7791005625028262E-3</v>
      </c>
      <c r="F436" s="56">
        <f t="shared" si="134"/>
        <v>7.7791005625028262E-3</v>
      </c>
      <c r="G436" s="56">
        <f t="shared" si="134"/>
        <v>7.7791005625028262E-3</v>
      </c>
    </row>
    <row r="437" spans="2:7" ht="14.4" customHeight="1" x14ac:dyDescent="0.3">
      <c r="B437" s="36" t="s">
        <v>131</v>
      </c>
      <c r="C437" s="3" t="s">
        <v>220</v>
      </c>
      <c r="D437" s="56">
        <f t="shared" ref="D437:G437" si="135">D245*D341/SUMPRODUCT(D$199:D$287,D$295:D$383)</f>
        <v>2.5366856480574175E-4</v>
      </c>
      <c r="E437" s="56">
        <f t="shared" si="135"/>
        <v>2.5036779473055273E-4</v>
      </c>
      <c r="F437" s="56">
        <f t="shared" si="135"/>
        <v>2.5036779473055273E-4</v>
      </c>
      <c r="G437" s="56">
        <f t="shared" si="135"/>
        <v>2.5036779473055273E-4</v>
      </c>
    </row>
    <row r="438" spans="2:7" ht="14.4" customHeight="1" x14ac:dyDescent="0.3">
      <c r="B438" s="36" t="s">
        <v>133</v>
      </c>
      <c r="C438" s="3" t="s">
        <v>220</v>
      </c>
      <c r="D438" s="56">
        <f t="shared" ref="D438:G438" si="136">D246*D342/SUMPRODUCT(D$199:D$287,D$295:D$383)</f>
        <v>1.0973394209687112E-2</v>
      </c>
      <c r="E438" s="56">
        <f t="shared" si="136"/>
        <v>1.0830449140602933E-2</v>
      </c>
      <c r="F438" s="56">
        <f t="shared" si="136"/>
        <v>1.0830449140602933E-2</v>
      </c>
      <c r="G438" s="56">
        <f t="shared" si="136"/>
        <v>1.0830449140602933E-2</v>
      </c>
    </row>
    <row r="439" spans="2:7" ht="14.4" customHeight="1" x14ac:dyDescent="0.3">
      <c r="B439" s="36" t="s">
        <v>135</v>
      </c>
      <c r="C439" s="3" t="s">
        <v>220</v>
      </c>
      <c r="D439" s="56">
        <f t="shared" ref="D439:G439" si="137">D247*D343/SUMPRODUCT(D$199:D$287,D$295:D$383)</f>
        <v>8.5277288955688552E-3</v>
      </c>
      <c r="E439" s="56">
        <f t="shared" si="137"/>
        <v>8.4166423277449425E-3</v>
      </c>
      <c r="F439" s="56">
        <f t="shared" si="137"/>
        <v>8.4166423277449425E-3</v>
      </c>
      <c r="G439" s="56">
        <f t="shared" si="137"/>
        <v>8.4166423277449425E-3</v>
      </c>
    </row>
    <row r="440" spans="2:7" ht="14.4" customHeight="1" x14ac:dyDescent="0.3">
      <c r="B440" s="36" t="s">
        <v>136</v>
      </c>
      <c r="C440" s="3" t="s">
        <v>220</v>
      </c>
      <c r="D440" s="56">
        <f t="shared" ref="D440:G440" si="138">D248*D344/SUMPRODUCT(D$199:D$287,D$295:D$383)</f>
        <v>1.4579123593804999E-2</v>
      </c>
      <c r="E440" s="56">
        <f t="shared" si="138"/>
        <v>1.4388910983131732E-2</v>
      </c>
      <c r="F440" s="56">
        <f t="shared" si="138"/>
        <v>1.4388910983131732E-2</v>
      </c>
      <c r="G440" s="56">
        <f t="shared" si="138"/>
        <v>1.4388910983131732E-2</v>
      </c>
    </row>
    <row r="441" spans="2:7" ht="14.4" customHeight="1" x14ac:dyDescent="0.3">
      <c r="B441" s="36" t="s">
        <v>138</v>
      </c>
      <c r="C441" s="3" t="s">
        <v>220</v>
      </c>
      <c r="D441" s="56">
        <f t="shared" ref="D441:G441" si="139">D249*D345/SUMPRODUCT(D$199:D$287,D$295:D$383)</f>
        <v>3.4377273083507831E-3</v>
      </c>
      <c r="E441" s="56">
        <f t="shared" si="139"/>
        <v>3.3927889060830396E-3</v>
      </c>
      <c r="F441" s="56">
        <f t="shared" si="139"/>
        <v>3.3927889060830396E-3</v>
      </c>
      <c r="G441" s="56">
        <f t="shared" si="139"/>
        <v>3.3927889060830396E-3</v>
      </c>
    </row>
    <row r="442" spans="2:7" ht="14.4" customHeight="1" x14ac:dyDescent="0.3">
      <c r="B442" s="36" t="s">
        <v>140</v>
      </c>
      <c r="C442" s="3" t="s">
        <v>220</v>
      </c>
      <c r="D442" s="56">
        <f t="shared" ref="D442:G442" si="140">D250*D346/SUMPRODUCT(D$199:D$287,D$295:D$383)</f>
        <v>7.6746847249397438E-3</v>
      </c>
      <c r="E442" s="56">
        <f t="shared" si="140"/>
        <v>7.5742471132814702E-3</v>
      </c>
      <c r="F442" s="56">
        <f t="shared" si="140"/>
        <v>7.5742471132814702E-3</v>
      </c>
      <c r="G442" s="56">
        <f t="shared" si="140"/>
        <v>7.5742471132814702E-3</v>
      </c>
    </row>
    <row r="443" spans="2:7" ht="14.4" customHeight="1" x14ac:dyDescent="0.3">
      <c r="B443" s="36" t="s">
        <v>142</v>
      </c>
      <c r="C443" s="3" t="s">
        <v>220</v>
      </c>
      <c r="D443" s="56">
        <f t="shared" ref="D443:G443" si="141">D251*D347/SUMPRODUCT(D$199:D$287,D$295:D$383)</f>
        <v>6.678242369042491E-3</v>
      </c>
      <c r="E443" s="56">
        <f t="shared" si="141"/>
        <v>6.5908593619671066E-3</v>
      </c>
      <c r="F443" s="56">
        <f t="shared" si="141"/>
        <v>6.5908593619671066E-3</v>
      </c>
      <c r="G443" s="56">
        <f t="shared" si="141"/>
        <v>6.5908593619671066E-3</v>
      </c>
    </row>
    <row r="444" spans="2:7" ht="14.4" customHeight="1" x14ac:dyDescent="0.3">
      <c r="B444" s="36" t="s">
        <v>144</v>
      </c>
      <c r="C444" s="3" t="s">
        <v>220</v>
      </c>
      <c r="D444" s="56">
        <f t="shared" ref="D444:G444" si="142">D252*D348/SUMPRODUCT(D$199:D$287,D$295:D$383)</f>
        <v>0.17963465010909999</v>
      </c>
      <c r="E444" s="56">
        <f t="shared" si="142"/>
        <v>0.1772832107985734</v>
      </c>
      <c r="F444" s="56">
        <f t="shared" si="142"/>
        <v>0.1772832107985734</v>
      </c>
      <c r="G444" s="56">
        <f t="shared" si="142"/>
        <v>0.1772832107985734</v>
      </c>
    </row>
    <row r="445" spans="2:7" ht="14.4" customHeight="1" x14ac:dyDescent="0.3">
      <c r="B445" s="36" t="s">
        <v>146</v>
      </c>
      <c r="C445" s="3" t="s">
        <v>220</v>
      </c>
      <c r="D445" s="56">
        <f t="shared" ref="D445:G445" si="143">D253*D349/SUMPRODUCT(D$199:D$287,D$295:D$383)</f>
        <v>2.2401035244752353E-2</v>
      </c>
      <c r="E445" s="56">
        <f t="shared" si="143"/>
        <v>2.2107543320454833E-2</v>
      </c>
      <c r="F445" s="56">
        <f t="shared" si="143"/>
        <v>2.2107543320454833E-2</v>
      </c>
      <c r="G445" s="56">
        <f t="shared" si="143"/>
        <v>2.2107543320454833E-2</v>
      </c>
    </row>
    <row r="446" spans="2:7" ht="14.4" customHeight="1" x14ac:dyDescent="0.3">
      <c r="B446" s="36" t="s">
        <v>148</v>
      </c>
      <c r="C446" s="3" t="s">
        <v>220</v>
      </c>
      <c r="D446" s="56">
        <f t="shared" ref="D446:G446" si="144">D254*D350/SUMPRODUCT(D$199:D$287,D$295:D$383)</f>
        <v>1.9498897232317309E-2</v>
      </c>
      <c r="E446" s="56">
        <f t="shared" si="144"/>
        <v>1.9243204476601668E-2</v>
      </c>
      <c r="F446" s="56">
        <f t="shared" si="144"/>
        <v>1.9243204476601668E-2</v>
      </c>
      <c r="G446" s="56">
        <f t="shared" si="144"/>
        <v>1.9243204476601668E-2</v>
      </c>
    </row>
    <row r="447" spans="2:7" ht="14.4" customHeight="1" x14ac:dyDescent="0.3">
      <c r="B447" s="36" t="s">
        <v>150</v>
      </c>
      <c r="C447" s="3" t="s">
        <v>220</v>
      </c>
      <c r="D447" s="56">
        <f t="shared" ref="D447:G447" si="145">D255*D351/SUMPRODUCT(D$199:D$287,D$295:D$383)</f>
        <v>5.8729465221379368E-2</v>
      </c>
      <c r="E447" s="56">
        <f t="shared" si="145"/>
        <v>5.795794952331848E-2</v>
      </c>
      <c r="F447" s="56">
        <f t="shared" si="145"/>
        <v>5.795794952331848E-2</v>
      </c>
      <c r="G447" s="56">
        <f t="shared" si="145"/>
        <v>5.795794952331848E-2</v>
      </c>
    </row>
    <row r="448" spans="2:7" ht="14.4" customHeight="1" x14ac:dyDescent="0.3">
      <c r="B448" s="36" t="s">
        <v>152</v>
      </c>
      <c r="C448" s="3" t="s">
        <v>220</v>
      </c>
      <c r="D448" s="56">
        <f t="shared" ref="D448:G448" si="146">D256*D352/SUMPRODUCT(D$199:D$287,D$295:D$383)</f>
        <v>3.9033268633097772E-2</v>
      </c>
      <c r="E448" s="56">
        <f t="shared" si="146"/>
        <v>3.8520952730058934E-2</v>
      </c>
      <c r="F448" s="56">
        <f t="shared" si="146"/>
        <v>3.8520952730058934E-2</v>
      </c>
      <c r="G448" s="56">
        <f t="shared" si="146"/>
        <v>3.8520952730058934E-2</v>
      </c>
    </row>
    <row r="449" spans="2:7" ht="14.4" customHeight="1" x14ac:dyDescent="0.3">
      <c r="B449" s="36" t="s">
        <v>154</v>
      </c>
      <c r="C449" s="3" t="s">
        <v>220</v>
      </c>
      <c r="D449" s="56">
        <f t="shared" ref="D449:G449" si="147">D257*D353/SUMPRODUCT(D$199:D$287,D$295:D$383)</f>
        <v>3.6604278952450935E-2</v>
      </c>
      <c r="E449" s="56">
        <f t="shared" si="147"/>
        <v>3.6123474806051839E-2</v>
      </c>
      <c r="F449" s="56">
        <f t="shared" si="147"/>
        <v>3.6123474806051839E-2</v>
      </c>
      <c r="G449" s="56">
        <f t="shared" si="147"/>
        <v>3.6123474806051839E-2</v>
      </c>
    </row>
    <row r="450" spans="2:7" ht="14.4" customHeight="1" x14ac:dyDescent="0.3">
      <c r="B450" s="36" t="s">
        <v>156</v>
      </c>
      <c r="C450" s="3" t="s">
        <v>220</v>
      </c>
      <c r="D450" s="56">
        <f t="shared" ref="D450:G450" si="148">D258*D354/SUMPRODUCT(D$199:D$287,D$295:D$383)</f>
        <v>4.7318113798710797E-3</v>
      </c>
      <c r="E450" s="56">
        <f t="shared" si="148"/>
        <v>4.669601836960015E-3</v>
      </c>
      <c r="F450" s="56">
        <f t="shared" si="148"/>
        <v>4.669601836960015E-3</v>
      </c>
      <c r="G450" s="56">
        <f t="shared" si="148"/>
        <v>4.669601836960015E-3</v>
      </c>
    </row>
    <row r="451" spans="2:7" ht="14.4" customHeight="1" x14ac:dyDescent="0.3">
      <c r="B451" s="36" t="s">
        <v>158</v>
      </c>
      <c r="C451" s="3" t="s">
        <v>220</v>
      </c>
      <c r="D451" s="56">
        <f t="shared" ref="D451:G451" si="149">D259*D355/SUMPRODUCT(D$199:D$287,D$295:D$383)</f>
        <v>2.0558512679411157E-2</v>
      </c>
      <c r="E451" s="56">
        <f t="shared" si="149"/>
        <v>2.028800287524208E-2</v>
      </c>
      <c r="F451" s="56">
        <f t="shared" si="149"/>
        <v>2.028800287524208E-2</v>
      </c>
      <c r="G451" s="56">
        <f t="shared" si="149"/>
        <v>2.028800287524208E-2</v>
      </c>
    </row>
    <row r="452" spans="2:7" ht="14.4" customHeight="1" x14ac:dyDescent="0.3">
      <c r="B452" s="36" t="s">
        <v>160</v>
      </c>
      <c r="C452" s="3" t="s">
        <v>220</v>
      </c>
      <c r="D452" s="56">
        <f t="shared" ref="D452:G452" si="150">D260*D356/SUMPRODUCT(D$199:D$287,D$295:D$383)</f>
        <v>2.9171866907613926E-2</v>
      </c>
      <c r="E452" s="56">
        <f t="shared" si="150"/>
        <v>2.8787514221329576E-2</v>
      </c>
      <c r="F452" s="56">
        <f t="shared" si="150"/>
        <v>2.8787514221329576E-2</v>
      </c>
      <c r="G452" s="56">
        <f t="shared" si="150"/>
        <v>2.8787514221329576E-2</v>
      </c>
    </row>
    <row r="453" spans="2:7" ht="14.4" customHeight="1" x14ac:dyDescent="0.3">
      <c r="B453" s="36" t="s">
        <v>162</v>
      </c>
      <c r="C453" s="3" t="s">
        <v>220</v>
      </c>
      <c r="D453" s="56">
        <f t="shared" ref="D453:G453" si="151">D261*D357/SUMPRODUCT(D$199:D$287,D$295:D$383)</f>
        <v>3.0684460685767015E-4</v>
      </c>
      <c r="E453" s="56">
        <f t="shared" si="151"/>
        <v>3.0279976734539011E-4</v>
      </c>
      <c r="F453" s="56">
        <f t="shared" si="151"/>
        <v>3.0279976734539011E-4</v>
      </c>
      <c r="G453" s="56">
        <f t="shared" si="151"/>
        <v>3.0279976734539011E-4</v>
      </c>
    </row>
    <row r="454" spans="2:7" ht="14.4" customHeight="1" x14ac:dyDescent="0.3">
      <c r="B454" s="36" t="s">
        <v>164</v>
      </c>
      <c r="C454" s="3" t="s">
        <v>220</v>
      </c>
      <c r="D454" s="56">
        <f t="shared" ref="D454:G454" si="152">D262*D358/SUMPRODUCT(D$199:D$287,D$295:D$383)</f>
        <v>1.1004543651419107E-3</v>
      </c>
      <c r="E454" s="56">
        <f t="shared" si="152"/>
        <v>1.0859203304141706E-3</v>
      </c>
      <c r="F454" s="56">
        <f t="shared" si="152"/>
        <v>1.0859203304141706E-3</v>
      </c>
      <c r="G454" s="56">
        <f t="shared" si="152"/>
        <v>1.0859203304141706E-3</v>
      </c>
    </row>
    <row r="455" spans="2:7" ht="14.4" customHeight="1" x14ac:dyDescent="0.3">
      <c r="B455" s="36" t="s">
        <v>166</v>
      </c>
      <c r="C455" s="3" t="s">
        <v>220</v>
      </c>
      <c r="D455" s="56">
        <f t="shared" ref="D455:G455" si="153">D263*D359/SUMPRODUCT(D$199:D$287,D$295:D$383)</f>
        <v>8.406136970019396E-4</v>
      </c>
      <c r="E455" s="56">
        <f t="shared" si="153"/>
        <v>8.2845252271838976E-4</v>
      </c>
      <c r="F455" s="56">
        <f t="shared" si="153"/>
        <v>8.2845252271838976E-4</v>
      </c>
      <c r="G455" s="56">
        <f t="shared" si="153"/>
        <v>8.2845252271838976E-4</v>
      </c>
    </row>
    <row r="456" spans="2:7" ht="14.4" customHeight="1" x14ac:dyDescent="0.3">
      <c r="B456" s="36" t="s">
        <v>168</v>
      </c>
      <c r="C456" s="3" t="s">
        <v>220</v>
      </c>
      <c r="D456" s="56">
        <f t="shared" ref="D456:G456" si="154">D264*D360/SUMPRODUCT(D$199:D$287,D$295:D$383)</f>
        <v>2.3358931107480462E-4</v>
      </c>
      <c r="E456" s="56">
        <f t="shared" si="154"/>
        <v>2.3034464047915691E-4</v>
      </c>
      <c r="F456" s="56">
        <f t="shared" si="154"/>
        <v>2.3034464047915691E-4</v>
      </c>
      <c r="G456" s="56">
        <f t="shared" si="154"/>
        <v>2.3034464047915691E-4</v>
      </c>
    </row>
    <row r="457" spans="2:7" ht="14.4" customHeight="1" x14ac:dyDescent="0.3">
      <c r="B457" s="36" t="s">
        <v>170</v>
      </c>
      <c r="C457" s="3" t="s">
        <v>220</v>
      </c>
      <c r="D457" s="56">
        <f t="shared" ref="D457:G457" si="155">D265*D361/SUMPRODUCT(D$199:D$287,D$295:D$383)</f>
        <v>7.7893578407055135E-4</v>
      </c>
      <c r="E457" s="56">
        <f t="shared" si="155"/>
        <v>7.6824685002152581E-4</v>
      </c>
      <c r="F457" s="56">
        <f t="shared" si="155"/>
        <v>7.6824685002152581E-4</v>
      </c>
      <c r="G457" s="56">
        <f t="shared" si="155"/>
        <v>7.6824685002152581E-4</v>
      </c>
    </row>
    <row r="458" spans="2:7" ht="14.4" customHeight="1" x14ac:dyDescent="0.3">
      <c r="B458" s="36" t="s">
        <v>172</v>
      </c>
      <c r="C458" s="3" t="s">
        <v>220</v>
      </c>
      <c r="D458" s="56">
        <f t="shared" ref="D458:G458" si="156">D266*D362/SUMPRODUCT(D$199:D$287,D$295:D$383)</f>
        <v>0.11437563029088735</v>
      </c>
      <c r="E458" s="56">
        <f t="shared" si="156"/>
        <v>0.11280661821981262</v>
      </c>
      <c r="F458" s="56">
        <f t="shared" si="156"/>
        <v>0.11280661821981262</v>
      </c>
      <c r="G458" s="56">
        <f t="shared" si="156"/>
        <v>0.11280661821981262</v>
      </c>
    </row>
    <row r="459" spans="2:7" ht="14.4" customHeight="1" x14ac:dyDescent="0.3">
      <c r="B459" s="36" t="s">
        <v>174</v>
      </c>
      <c r="C459" s="3" t="s">
        <v>220</v>
      </c>
      <c r="D459" s="56">
        <f t="shared" ref="D459:G459" si="157">D267*D363/SUMPRODUCT(D$199:D$287,D$295:D$383)</f>
        <v>1.6903502096281948E-3</v>
      </c>
      <c r="E459" s="56">
        <f t="shared" si="157"/>
        <v>1.6674341508822151E-3</v>
      </c>
      <c r="F459" s="56">
        <f t="shared" si="157"/>
        <v>1.6674341508822151E-3</v>
      </c>
      <c r="G459" s="56">
        <f t="shared" si="157"/>
        <v>1.6674341508822151E-3</v>
      </c>
    </row>
    <row r="460" spans="2:7" ht="14.4" customHeight="1" x14ac:dyDescent="0.3">
      <c r="B460" s="36" t="s">
        <v>176</v>
      </c>
      <c r="C460" s="3" t="s">
        <v>220</v>
      </c>
      <c r="D460" s="56">
        <f t="shared" ref="D460:G460" si="158">D268*D364/SUMPRODUCT(D$199:D$287,D$295:D$383)</f>
        <v>8.6691285055206877E-3</v>
      </c>
      <c r="E460" s="56">
        <f t="shared" si="158"/>
        <v>8.5530596274912881E-3</v>
      </c>
      <c r="F460" s="56">
        <f t="shared" si="158"/>
        <v>8.5530596274912881E-3</v>
      </c>
      <c r="G460" s="56">
        <f t="shared" si="158"/>
        <v>8.5530596274912881E-3</v>
      </c>
    </row>
    <row r="461" spans="2:7" ht="14.4" customHeight="1" x14ac:dyDescent="0.3">
      <c r="B461" s="36" t="s">
        <v>178</v>
      </c>
      <c r="C461" s="3" t="s">
        <v>220</v>
      </c>
      <c r="D461" s="56">
        <f t="shared" ref="D461:G461" si="159">D269*D365/SUMPRODUCT(D$199:D$287,D$295:D$383)</f>
        <v>1.6287727806083329E-3</v>
      </c>
      <c r="E461" s="56">
        <f t="shared" si="159"/>
        <v>1.6072858305501661E-3</v>
      </c>
      <c r="F461" s="56">
        <f t="shared" si="159"/>
        <v>1.6072858305501661E-3</v>
      </c>
      <c r="G461" s="56">
        <f t="shared" si="159"/>
        <v>1.6072858305501661E-3</v>
      </c>
    </row>
    <row r="462" spans="2:7" ht="14.4" customHeight="1" x14ac:dyDescent="0.3">
      <c r="B462" s="36" t="s">
        <v>180</v>
      </c>
      <c r="C462" s="3" t="s">
        <v>220</v>
      </c>
      <c r="D462" s="56">
        <f t="shared" ref="D462:G462" si="160">D270*D366/SUMPRODUCT(D$199:D$287,D$295:D$383)</f>
        <v>4.1823199114984838E-3</v>
      </c>
      <c r="E462" s="56">
        <f t="shared" si="160"/>
        <v>4.1288428868366317E-3</v>
      </c>
      <c r="F462" s="56">
        <f t="shared" si="160"/>
        <v>4.1288428868366317E-3</v>
      </c>
      <c r="G462" s="56">
        <f t="shared" si="160"/>
        <v>4.1288428868366317E-3</v>
      </c>
    </row>
    <row r="463" spans="2:7" ht="14.4" customHeight="1" x14ac:dyDescent="0.3">
      <c r="B463" s="36" t="s">
        <v>182</v>
      </c>
      <c r="C463" s="3" t="s">
        <v>220</v>
      </c>
      <c r="D463" s="56">
        <f t="shared" ref="D463:G463" si="161">D271*D367/SUMPRODUCT(D$199:D$287,D$295:D$383)</f>
        <v>2.120329183189051E-3</v>
      </c>
      <c r="E463" s="56">
        <f t="shared" si="161"/>
        <v>2.0902547621991802E-3</v>
      </c>
      <c r="F463" s="56">
        <f t="shared" si="161"/>
        <v>2.0902547621991802E-3</v>
      </c>
      <c r="G463" s="56">
        <f t="shared" si="161"/>
        <v>2.0902547621991802E-3</v>
      </c>
    </row>
    <row r="464" spans="2:7" ht="14.4" customHeight="1" x14ac:dyDescent="0.3">
      <c r="B464" s="36" t="s">
        <v>184</v>
      </c>
      <c r="C464" s="3" t="s">
        <v>220</v>
      </c>
      <c r="D464" s="56">
        <f t="shared" ref="D464:G464" si="162">D272*D368/SUMPRODUCT(D$199:D$287,D$295:D$383)</f>
        <v>8.7860041475655449E-3</v>
      </c>
      <c r="E464" s="56">
        <f t="shared" si="162"/>
        <v>8.6618636547966203E-3</v>
      </c>
      <c r="F464" s="56">
        <f t="shared" si="162"/>
        <v>8.6618636547966203E-3</v>
      </c>
      <c r="G464" s="56">
        <f t="shared" si="162"/>
        <v>8.6618636547966203E-3</v>
      </c>
    </row>
    <row r="465" spans="2:7" ht="14.4" customHeight="1" x14ac:dyDescent="0.3">
      <c r="B465" s="36" t="s">
        <v>186</v>
      </c>
      <c r="C465" s="3" t="s">
        <v>220</v>
      </c>
      <c r="D465" s="56">
        <f t="shared" ref="D465:G465" si="163">D273*D369/SUMPRODUCT(D$199:D$287,D$295:D$383)</f>
        <v>1.4326382377983372E-3</v>
      </c>
      <c r="E465" s="56">
        <f t="shared" si="163"/>
        <v>1.4124304872609899E-3</v>
      </c>
      <c r="F465" s="56">
        <f t="shared" si="163"/>
        <v>1.4124304872609899E-3</v>
      </c>
      <c r="G465" s="56">
        <f t="shared" si="163"/>
        <v>1.4124304872609899E-3</v>
      </c>
    </row>
    <row r="466" spans="2:7" ht="14.4" customHeight="1" x14ac:dyDescent="0.3">
      <c r="B466" s="36" t="s">
        <v>188</v>
      </c>
      <c r="C466" s="3" t="s">
        <v>220</v>
      </c>
      <c r="D466" s="56">
        <f t="shared" ref="D466:G466" si="164">D274*D370/SUMPRODUCT(D$199:D$287,D$295:D$383)</f>
        <v>4.0918701933363667E-4</v>
      </c>
      <c r="E466" s="56">
        <f t="shared" si="164"/>
        <v>4.0345950293570881E-4</v>
      </c>
      <c r="F466" s="56">
        <f t="shared" si="164"/>
        <v>4.0345950293570881E-4</v>
      </c>
      <c r="G466" s="56">
        <f t="shared" si="164"/>
        <v>4.0345950293570881E-4</v>
      </c>
    </row>
    <row r="467" spans="2:7" ht="14.4" customHeight="1" x14ac:dyDescent="0.3">
      <c r="B467" s="36" t="s">
        <v>190</v>
      </c>
      <c r="C467" s="3" t="s">
        <v>220</v>
      </c>
      <c r="D467" s="56">
        <f t="shared" ref="D467:G467" si="165">D275*D371/SUMPRODUCT(D$199:D$287,D$295:D$383)</f>
        <v>2.2287193842153627E-3</v>
      </c>
      <c r="E467" s="56">
        <f t="shared" si="165"/>
        <v>2.1976407732032495E-3</v>
      </c>
      <c r="F467" s="56">
        <f t="shared" si="165"/>
        <v>2.1976407732032495E-3</v>
      </c>
      <c r="G467" s="56">
        <f t="shared" si="165"/>
        <v>2.1976407732032495E-3</v>
      </c>
    </row>
    <row r="468" spans="2:7" ht="14.4" customHeight="1" x14ac:dyDescent="0.3">
      <c r="B468" s="36" t="s">
        <v>192</v>
      </c>
      <c r="C468" s="3" t="s">
        <v>220</v>
      </c>
      <c r="D468" s="56">
        <f t="shared" ref="D468:G468" si="166">D276*D372/SUMPRODUCT(D$199:D$287,D$295:D$383)</f>
        <v>2.108350631434529E-3</v>
      </c>
      <c r="E468" s="56">
        <f t="shared" si="166"/>
        <v>2.0793979285782267E-3</v>
      </c>
      <c r="F468" s="56">
        <f t="shared" si="166"/>
        <v>2.0793979285782267E-3</v>
      </c>
      <c r="G468" s="56">
        <f t="shared" si="166"/>
        <v>2.0793979285782267E-3</v>
      </c>
    </row>
    <row r="469" spans="2:7" ht="14.4" customHeight="1" x14ac:dyDescent="0.3">
      <c r="B469" s="36" t="s">
        <v>194</v>
      </c>
      <c r="C469" s="3" t="s">
        <v>220</v>
      </c>
      <c r="D469" s="56">
        <f t="shared" ref="D469:G469" si="167">D277*D373/SUMPRODUCT(D$199:D$287,D$295:D$383)</f>
        <v>1.1054494023740207E-3</v>
      </c>
      <c r="E469" s="56">
        <f t="shared" si="167"/>
        <v>1.0911158415235179E-3</v>
      </c>
      <c r="F469" s="56">
        <f t="shared" si="167"/>
        <v>1.0911158415235179E-3</v>
      </c>
      <c r="G469" s="56">
        <f t="shared" si="167"/>
        <v>1.0911158415235179E-3</v>
      </c>
    </row>
    <row r="470" spans="2:7" ht="14.4" customHeight="1" x14ac:dyDescent="0.3">
      <c r="B470" s="36" t="s">
        <v>196</v>
      </c>
      <c r="C470" s="3" t="s">
        <v>220</v>
      </c>
      <c r="D470" s="56">
        <f t="shared" ref="D470:G470" si="168">D278*D374/SUMPRODUCT(D$199:D$287,D$295:D$383)</f>
        <v>6.7121227029736633E-4</v>
      </c>
      <c r="E470" s="56">
        <f t="shared" si="168"/>
        <v>6.6250121717459918E-4</v>
      </c>
      <c r="F470" s="56">
        <f t="shared" si="168"/>
        <v>6.6250121717459918E-4</v>
      </c>
      <c r="G470" s="56">
        <f t="shared" si="168"/>
        <v>6.6250121717459918E-4</v>
      </c>
    </row>
    <row r="471" spans="2:7" ht="14.4" customHeight="1" x14ac:dyDescent="0.3">
      <c r="B471" s="36" t="s">
        <v>198</v>
      </c>
      <c r="C471" s="3" t="s">
        <v>220</v>
      </c>
      <c r="D471" s="56">
        <f t="shared" ref="D471:G471" si="169">D279*D375/SUMPRODUCT(D$199:D$287,D$295:D$383)</f>
        <v>8.4108091972183181E-4</v>
      </c>
      <c r="E471" s="56">
        <f t="shared" si="169"/>
        <v>8.3014010425363919E-4</v>
      </c>
      <c r="F471" s="56">
        <f t="shared" si="169"/>
        <v>8.3014010425363919E-4</v>
      </c>
      <c r="G471" s="56">
        <f t="shared" si="169"/>
        <v>8.3014010425363919E-4</v>
      </c>
    </row>
    <row r="472" spans="2:7" ht="14.4" customHeight="1" x14ac:dyDescent="0.3">
      <c r="B472" s="36" t="s">
        <v>200</v>
      </c>
      <c r="C472" s="3" t="s">
        <v>220</v>
      </c>
      <c r="D472" s="56">
        <f t="shared" ref="D472:G472" si="170">D280*D376/SUMPRODUCT(D$199:D$287,D$295:D$383)</f>
        <v>2.9286071306589951E-3</v>
      </c>
      <c r="E472" s="56">
        <f t="shared" si="170"/>
        <v>2.8901381582776102E-3</v>
      </c>
      <c r="F472" s="56">
        <f t="shared" si="170"/>
        <v>2.8901381582776102E-3</v>
      </c>
      <c r="G472" s="56">
        <f t="shared" si="170"/>
        <v>2.8901381582776102E-3</v>
      </c>
    </row>
    <row r="473" spans="2:7" ht="14.4" customHeight="1" x14ac:dyDescent="0.3">
      <c r="B473" s="36" t="s">
        <v>202</v>
      </c>
      <c r="C473" s="3" t="s">
        <v>220</v>
      </c>
      <c r="D473" s="56">
        <f t="shared" ref="D473:G473" si="171">D281*D377/SUMPRODUCT(D$199:D$287,D$295:D$383)</f>
        <v>3.6790377064755816E-3</v>
      </c>
      <c r="E473" s="56">
        <f t="shared" si="171"/>
        <v>3.6304232137549537E-3</v>
      </c>
      <c r="F473" s="56">
        <f t="shared" si="171"/>
        <v>3.6304232137549537E-3</v>
      </c>
      <c r="G473" s="56">
        <f t="shared" si="171"/>
        <v>3.6304232137549537E-3</v>
      </c>
    </row>
    <row r="474" spans="2:7" ht="14.4" customHeight="1" x14ac:dyDescent="0.3">
      <c r="B474" s="36" t="s">
        <v>204</v>
      </c>
      <c r="C474" s="3" t="s">
        <v>220</v>
      </c>
      <c r="D474" s="56">
        <f t="shared" ref="D474:G474" si="172">D282*D378/SUMPRODUCT(D$199:D$287,D$295:D$383)</f>
        <v>6.5407992459345964E-3</v>
      </c>
      <c r="E474" s="56">
        <f t="shared" si="172"/>
        <v>6.4800407063519494E-3</v>
      </c>
      <c r="F474" s="56">
        <f t="shared" si="172"/>
        <v>6.4800407063519494E-3</v>
      </c>
      <c r="G474" s="56">
        <f t="shared" si="172"/>
        <v>6.4800407063519494E-3</v>
      </c>
    </row>
    <row r="475" spans="2:7" ht="14.4" customHeight="1" x14ac:dyDescent="0.3">
      <c r="B475" s="36" t="s">
        <v>206</v>
      </c>
      <c r="C475" s="3" t="s">
        <v>220</v>
      </c>
      <c r="D475" s="56">
        <f t="shared" ref="D475:G475" si="173">D283*D379/SUMPRODUCT(D$199:D$287,D$295:D$383)</f>
        <v>4.4884959983738613E-3</v>
      </c>
      <c r="E475" s="56">
        <f t="shared" si="173"/>
        <v>4.5001411628669691E-3</v>
      </c>
      <c r="F475" s="56">
        <f t="shared" si="173"/>
        <v>4.5001411628669691E-3</v>
      </c>
      <c r="G475" s="56">
        <f t="shared" si="173"/>
        <v>4.5001411628669691E-3</v>
      </c>
    </row>
    <row r="476" spans="2:7" ht="14.4" customHeight="1" x14ac:dyDescent="0.3">
      <c r="B476" s="36" t="s">
        <v>208</v>
      </c>
      <c r="C476" s="3" t="s">
        <v>220</v>
      </c>
      <c r="D476" s="56">
        <f t="shared" ref="D476:G476" si="174">D284*D380/SUMPRODUCT(D$199:D$287,D$295:D$383)</f>
        <v>1.8927694024670233E-3</v>
      </c>
      <c r="E476" s="56">
        <f t="shared" si="174"/>
        <v>1.8976791223250225E-3</v>
      </c>
      <c r="F476" s="56">
        <f t="shared" si="174"/>
        <v>1.8976791223250225E-3</v>
      </c>
      <c r="G476" s="56">
        <f t="shared" si="174"/>
        <v>1.8976791223250225E-3</v>
      </c>
    </row>
    <row r="477" spans="2:7" ht="14.4" customHeight="1" x14ac:dyDescent="0.3">
      <c r="B477" s="36" t="s">
        <v>209</v>
      </c>
      <c r="C477" s="3" t="s">
        <v>220</v>
      </c>
      <c r="D477" s="56">
        <f t="shared" ref="D477:G477" si="175">D285*D381/SUMPRODUCT(D$199:D$287,D$295:D$383)</f>
        <v>4.871398227894741E-5</v>
      </c>
      <c r="E477" s="56">
        <f t="shared" si="175"/>
        <v>4.8808731578181211E-5</v>
      </c>
      <c r="F477" s="56">
        <f t="shared" si="175"/>
        <v>4.8808731578181211E-5</v>
      </c>
      <c r="G477" s="56">
        <f t="shared" si="175"/>
        <v>4.8808731578181211E-5</v>
      </c>
    </row>
    <row r="478" spans="2:7" ht="14.4" customHeight="1" x14ac:dyDescent="0.3">
      <c r="B478" s="36" t="s">
        <v>211</v>
      </c>
      <c r="C478" s="3" t="s">
        <v>220</v>
      </c>
      <c r="D478" s="56">
        <f t="shared" ref="D478:G478" si="176">D286*D382/SUMPRODUCT(D$199:D$287,D$295:D$383)</f>
        <v>3.6753081856394122E-3</v>
      </c>
      <c r="E478" s="56">
        <f t="shared" si="176"/>
        <v>3.6848416943488092E-3</v>
      </c>
      <c r="F478" s="56">
        <f t="shared" si="176"/>
        <v>3.6848416943488092E-3</v>
      </c>
      <c r="G478" s="56">
        <f t="shared" si="176"/>
        <v>3.6848416943488092E-3</v>
      </c>
    </row>
    <row r="479" spans="2:7" ht="14.4" customHeight="1" x14ac:dyDescent="0.3">
      <c r="B479" s="36" t="s">
        <v>212</v>
      </c>
      <c r="C479" s="3" t="s">
        <v>220</v>
      </c>
      <c r="D479" s="56">
        <f t="shared" ref="D479:G479" si="177">D287*D383/SUMPRODUCT(D$199:D$287,D$295:D$383)</f>
        <v>1.0930520834642979E-5</v>
      </c>
      <c r="E479" s="56">
        <f t="shared" si="177"/>
        <v>1.1007295000990546E-5</v>
      </c>
      <c r="F479" s="56">
        <f t="shared" si="177"/>
        <v>1.1007295000990546E-5</v>
      </c>
      <c r="G479" s="56">
        <f t="shared" si="177"/>
        <v>1.1007295000990546E-5</v>
      </c>
    </row>
    <row r="482" spans="2:15" ht="28.8" customHeight="1" x14ac:dyDescent="0.3">
      <c r="B482" s="32" t="s">
        <v>632</v>
      </c>
      <c r="C482" s="5"/>
      <c r="D482" s="5"/>
      <c r="E482" s="5"/>
      <c r="F482" s="5"/>
      <c r="G482" s="5"/>
    </row>
    <row r="483" spans="2:15" ht="14.4" customHeight="1" x14ac:dyDescent="0.3">
      <c r="B483" s="37"/>
    </row>
    <row r="484" spans="2:15" ht="14.4" customHeight="1" x14ac:dyDescent="0.3">
      <c r="B484" s="9" t="s">
        <v>1</v>
      </c>
      <c r="C484" s="9" t="s">
        <v>214</v>
      </c>
      <c r="D484" s="6"/>
      <c r="E484" s="6"/>
      <c r="F484" s="6"/>
      <c r="G484" s="6"/>
    </row>
    <row r="485" spans="2:15" ht="14.4" customHeight="1" x14ac:dyDescent="0.3">
      <c r="B485" s="25"/>
      <c r="C485" s="25"/>
      <c r="D485" s="23" t="str">
        <f>Input_!D$5</f>
        <v>2023-24</v>
      </c>
      <c r="E485" s="23" t="str">
        <f>Input_!E$5</f>
        <v>2024-25</v>
      </c>
      <c r="F485" s="23" t="str">
        <f>Input_!F$5</f>
        <v>2025-26</v>
      </c>
      <c r="G485" s="23" t="str">
        <f>Input_!G$5</f>
        <v>2026-27</v>
      </c>
    </row>
    <row r="486" spans="2:15" ht="14.4" customHeight="1" x14ac:dyDescent="0.3">
      <c r="B486" s="24"/>
      <c r="C486" s="24"/>
      <c r="D486" s="8"/>
      <c r="E486" s="8"/>
      <c r="F486" s="8"/>
      <c r="G486" s="8"/>
    </row>
    <row r="487" spans="2:15" ht="14.4" customHeight="1" x14ac:dyDescent="0.3">
      <c r="B487" s="36" t="s">
        <v>0</v>
      </c>
      <c r="C487" s="3" t="s">
        <v>216</v>
      </c>
      <c r="D487" s="57">
        <f>IF(D7=0,0,Input_!D$191*D391*Input_!D$7/D7)</f>
        <v>3.1108334912221716E-2</v>
      </c>
      <c r="E487" s="57">
        <f>IF(E7=0,0,Input_!E$191*E391*Input_!E$7/E7)</f>
        <v>3.2731429793533738E-2</v>
      </c>
      <c r="F487" s="57">
        <f>IF(F7=0,0,Input_!F$191*F391*Input_!F$7/F7)</f>
        <v>3.2731429793533738E-2</v>
      </c>
      <c r="G487" s="57">
        <f>IF(G7=0,0,Input_!G$191*G391*Input_!G$7/G7)</f>
        <v>3.2731429793533738E-2</v>
      </c>
      <c r="I487"/>
      <c r="J487"/>
      <c r="K487"/>
      <c r="L487"/>
      <c r="M487"/>
      <c r="N487"/>
      <c r="O487"/>
    </row>
    <row r="488" spans="2:15" ht="14.4" customHeight="1" x14ac:dyDescent="0.3">
      <c r="B488" s="36" t="s">
        <v>215</v>
      </c>
      <c r="C488" s="3" t="s">
        <v>216</v>
      </c>
      <c r="D488" s="57">
        <f>IF(D8=0,0,Input_!D$191*D392*Input_!D$7/D8)</f>
        <v>3.5394565875054219E-2</v>
      </c>
      <c r="E488" s="57">
        <f>IF(E8=0,0,Input_!E$191*E392*Input_!E$7/E8)</f>
        <v>3.723390967392521E-2</v>
      </c>
      <c r="F488" s="57">
        <f>IF(F8=0,0,Input_!F$191*F392*Input_!F$7/F8)</f>
        <v>3.723390967392521E-2</v>
      </c>
      <c r="G488" s="57">
        <f>IF(G8=0,0,Input_!G$191*G392*Input_!G$7/G8)</f>
        <v>3.723390967392521E-2</v>
      </c>
      <c r="J488"/>
      <c r="K488"/>
      <c r="L488"/>
      <c r="M488"/>
      <c r="N488"/>
      <c r="O488"/>
    </row>
    <row r="489" spans="2:15" ht="14.4" customHeight="1" x14ac:dyDescent="0.3">
      <c r="B489" s="36" t="s">
        <v>217</v>
      </c>
      <c r="C489" s="3" t="s">
        <v>14</v>
      </c>
      <c r="D489" s="57">
        <f>IF(D9=0,0,Input_!D$191*D393*Input_!D$7/D9)</f>
        <v>0</v>
      </c>
      <c r="E489" s="57">
        <f>IF(E9=0,0,Input_!E$191*E393*Input_!E$7/E9)</f>
        <v>0</v>
      </c>
      <c r="F489" s="57">
        <f>IF(F9=0,0,Input_!F$191*F393*Input_!F$7/F9)</f>
        <v>0</v>
      </c>
      <c r="G489" s="57">
        <f>IF(G9=0,0,Input_!G$191*G393*Input_!G$7/G9)</f>
        <v>0</v>
      </c>
      <c r="J489"/>
      <c r="K489"/>
      <c r="L489"/>
      <c r="M489"/>
      <c r="N489"/>
      <c r="O489"/>
    </row>
    <row r="490" spans="2:15" ht="14.4" customHeight="1" x14ac:dyDescent="0.3">
      <c r="B490" s="36" t="s">
        <v>218</v>
      </c>
      <c r="C490" s="3" t="s">
        <v>15</v>
      </c>
      <c r="D490" s="57">
        <f>IF(D10=0,0,Input_!D$191*D394*Input_!D$7/D10)</f>
        <v>6.5919307154819889E-2</v>
      </c>
      <c r="E490" s="57">
        <f>IF(E10=0,0,Input_!E$191*E394*Input_!E$7/E10)</f>
        <v>6.9308347532334433E-2</v>
      </c>
      <c r="F490" s="57">
        <f>IF(F10=0,0,Input_!F$191*F394*Input_!F$7/F10)</f>
        <v>6.9308347532334433E-2</v>
      </c>
      <c r="G490" s="57">
        <f>IF(G10=0,0,Input_!G$191*G394*Input_!G$7/G10)</f>
        <v>6.9308347532334433E-2</v>
      </c>
      <c r="J490"/>
      <c r="K490"/>
      <c r="L490"/>
      <c r="M490"/>
      <c r="N490"/>
      <c r="O490"/>
    </row>
    <row r="491" spans="2:15" ht="14.4" customHeight="1" x14ac:dyDescent="0.3">
      <c r="B491" s="36" t="s">
        <v>54</v>
      </c>
      <c r="C491" s="3" t="s">
        <v>220</v>
      </c>
      <c r="D491" s="57">
        <f>IF(D11=0,0,Input_!D$191*D395*Input_!D$7/D11)</f>
        <v>5.5528397219158941E-2</v>
      </c>
      <c r="E491" s="57">
        <f>IF(E11=0,0,Input_!E$191*E395*Input_!E$7/E11)</f>
        <v>5.8624307217518587E-2</v>
      </c>
      <c r="F491" s="57">
        <f>IF(F11=0,0,Input_!F$191*F395*Input_!F$7/F11)</f>
        <v>5.8624307217518587E-2</v>
      </c>
      <c r="G491" s="57">
        <f>IF(G11=0,0,Input_!G$191*G395*Input_!G$7/G11)</f>
        <v>5.8624307217518587E-2</v>
      </c>
      <c r="J491"/>
      <c r="K491"/>
      <c r="L491"/>
      <c r="M491"/>
      <c r="N491"/>
      <c r="O491"/>
    </row>
    <row r="492" spans="2:15" ht="14.4" customHeight="1" x14ac:dyDescent="0.3">
      <c r="B492" s="36" t="s">
        <v>56</v>
      </c>
      <c r="C492" s="3" t="s">
        <v>220</v>
      </c>
      <c r="D492" s="57">
        <f>IF(D12=0,0,Input_!D$191*D396*Input_!D$7/D12)</f>
        <v>6.9280020188465255E-2</v>
      </c>
      <c r="E492" s="57">
        <f>IF(E12=0,0,Input_!E$191*E396*Input_!E$7/E12)</f>
        <v>7.308106163322968E-2</v>
      </c>
      <c r="F492" s="57">
        <f>IF(F12=0,0,Input_!F$191*F396*Input_!F$7/F12)</f>
        <v>7.308106163322968E-2</v>
      </c>
      <c r="G492" s="57">
        <f>IF(G12=0,0,Input_!G$191*G396*Input_!G$7/G12)</f>
        <v>7.308106163322968E-2</v>
      </c>
      <c r="J492"/>
      <c r="K492"/>
      <c r="L492"/>
      <c r="M492"/>
      <c r="N492"/>
      <c r="O492"/>
    </row>
    <row r="493" spans="2:15" ht="14.4" customHeight="1" x14ac:dyDescent="0.3">
      <c r="B493" s="36" t="s">
        <v>58</v>
      </c>
      <c r="C493" s="3" t="s">
        <v>220</v>
      </c>
      <c r="D493" s="57">
        <f>IF(D13=0,0,Input_!D$191*D397*Input_!D$7/D13)</f>
        <v>6.4793503761355703E-2</v>
      </c>
      <c r="E493" s="57">
        <f>IF(E13=0,0,Input_!E$191*E397*Input_!E$7/E13)</f>
        <v>6.8362917774665161E-2</v>
      </c>
      <c r="F493" s="57">
        <f>IF(F13=0,0,Input_!F$191*F397*Input_!F$7/F13)</f>
        <v>6.8362917774665161E-2</v>
      </c>
      <c r="G493" s="57">
        <f>IF(G13=0,0,Input_!G$191*G397*Input_!G$7/G13)</f>
        <v>6.8362917774665161E-2</v>
      </c>
      <c r="J493"/>
      <c r="K493"/>
      <c r="L493"/>
      <c r="M493"/>
      <c r="N493"/>
      <c r="O493"/>
    </row>
    <row r="494" spans="2:15" ht="14.4" customHeight="1" x14ac:dyDescent="0.3">
      <c r="B494" s="36" t="s">
        <v>60</v>
      </c>
      <c r="C494" s="3" t="s">
        <v>220</v>
      </c>
      <c r="D494" s="57">
        <f>IF(D14=0,0,Input_!D$191*D398*Input_!D$7/D14)</f>
        <v>6.9279480359753037E-2</v>
      </c>
      <c r="E494" s="57">
        <f>IF(E14=0,0,Input_!E$191*E398*Input_!E$7/E14)</f>
        <v>7.3080493934534127E-2</v>
      </c>
      <c r="F494" s="57">
        <f>IF(F14=0,0,Input_!F$191*F398*Input_!F$7/F14)</f>
        <v>7.3080493934534127E-2</v>
      </c>
      <c r="G494" s="57">
        <f>IF(G14=0,0,Input_!G$191*G398*Input_!G$7/G14)</f>
        <v>7.3080493934534127E-2</v>
      </c>
      <c r="J494"/>
      <c r="K494"/>
      <c r="L494"/>
      <c r="M494"/>
      <c r="N494"/>
      <c r="O494"/>
    </row>
    <row r="495" spans="2:15" ht="14.4" customHeight="1" x14ac:dyDescent="0.3">
      <c r="B495" s="36" t="s">
        <v>61</v>
      </c>
      <c r="C495" s="3" t="s">
        <v>220</v>
      </c>
      <c r="D495" s="57">
        <f>IF(D15=0,0,Input_!D$191*D399*Input_!D$7/D15)</f>
        <v>6.3205348659243876E-2</v>
      </c>
      <c r="E495" s="57">
        <f>IF(E15=0,0,Input_!E$191*E399*Input_!E$7/E15)</f>
        <v>6.6685924895176094E-2</v>
      </c>
      <c r="F495" s="57">
        <f>IF(F15=0,0,Input_!F$191*F399*Input_!F$7/F15)</f>
        <v>6.6685924895176094E-2</v>
      </c>
      <c r="G495" s="57">
        <f>IF(G15=0,0,Input_!G$191*G399*Input_!G$7/G15)</f>
        <v>6.6685924895176094E-2</v>
      </c>
    </row>
    <row r="496" spans="2:15" ht="14.4" customHeight="1" x14ac:dyDescent="0.3">
      <c r="B496" s="36" t="s">
        <v>63</v>
      </c>
      <c r="C496" s="3" t="s">
        <v>220</v>
      </c>
      <c r="D496" s="57">
        <f>IF(D16=0,0,Input_!D$191*D400*Input_!D$7/D16)</f>
        <v>6.9176310890421047E-2</v>
      </c>
      <c r="E496" s="57">
        <f>IF(E16=0,0,Input_!E$191*E400*Input_!E$7/E16)</f>
        <v>7.2956071977798603E-2</v>
      </c>
      <c r="F496" s="57">
        <f>IF(F16=0,0,Input_!F$191*F400*Input_!F$7/F16)</f>
        <v>7.2956071977798603E-2</v>
      </c>
      <c r="G496" s="57">
        <f>IF(G16=0,0,Input_!G$191*G400*Input_!G$7/G16)</f>
        <v>7.2956071977798603E-2</v>
      </c>
    </row>
    <row r="497" spans="2:7" ht="14.4" customHeight="1" x14ac:dyDescent="0.3">
      <c r="B497" s="36" t="s">
        <v>65</v>
      </c>
      <c r="C497" s="3" t="s">
        <v>220</v>
      </c>
      <c r="D497" s="57">
        <f>IF(D17=0,0,Input_!D$191*D401*Input_!D$7/D17)</f>
        <v>7.2658808098136587E-2</v>
      </c>
      <c r="E497" s="57">
        <f>IF(E17=0,0,Input_!E$191*E401*Input_!E$7/E17)</f>
        <v>7.6634287768563E-2</v>
      </c>
      <c r="F497" s="57">
        <f>IF(F17=0,0,Input_!F$191*F401*Input_!F$7/F17)</f>
        <v>7.6634287768563E-2</v>
      </c>
      <c r="G497" s="57">
        <f>IF(G17=0,0,Input_!G$191*G401*Input_!G$7/G17)</f>
        <v>7.6634287768563E-2</v>
      </c>
    </row>
    <row r="498" spans="2:7" ht="14.4" customHeight="1" x14ac:dyDescent="0.3">
      <c r="B498" s="36" t="s">
        <v>67</v>
      </c>
      <c r="C498" s="3" t="s">
        <v>220</v>
      </c>
      <c r="D498" s="57">
        <f>IF(D18=0,0,Input_!D$191*D402*Input_!D$7/D18)</f>
        <v>7.7224339079336207E-2</v>
      </c>
      <c r="E498" s="57">
        <f>IF(E18=0,0,Input_!E$191*E402*Input_!E$7/E18)</f>
        <v>8.1407359813133184E-2</v>
      </c>
      <c r="F498" s="57">
        <f>IF(F18=0,0,Input_!F$191*F402*Input_!F$7/F18)</f>
        <v>8.1407359813133184E-2</v>
      </c>
      <c r="G498" s="57">
        <f>IF(G18=0,0,Input_!G$191*G402*Input_!G$7/G18)</f>
        <v>8.1407359813133184E-2</v>
      </c>
    </row>
    <row r="499" spans="2:7" ht="14.4" customHeight="1" x14ac:dyDescent="0.3">
      <c r="B499" s="36" t="s">
        <v>69</v>
      </c>
      <c r="C499" s="3" t="s">
        <v>220</v>
      </c>
      <c r="D499" s="57">
        <f>IF(D19=0,0,Input_!D$191*D403*Input_!D$7/D19)</f>
        <v>8.3229035560407047E-2</v>
      </c>
      <c r="E499" s="57">
        <f>IF(E19=0,0,Input_!E$191*E403*Input_!E$7/E19)</f>
        <v>8.7712931455544527E-2</v>
      </c>
      <c r="F499" s="57">
        <f>IF(F19=0,0,Input_!F$191*F403*Input_!F$7/F19)</f>
        <v>8.7712931455544527E-2</v>
      </c>
      <c r="G499" s="57">
        <f>IF(G19=0,0,Input_!G$191*G403*Input_!G$7/G19)</f>
        <v>8.7712931455544527E-2</v>
      </c>
    </row>
    <row r="500" spans="2:7" ht="14.4" customHeight="1" x14ac:dyDescent="0.3">
      <c r="B500" s="36" t="s">
        <v>71</v>
      </c>
      <c r="C500" s="3" t="s">
        <v>220</v>
      </c>
      <c r="D500" s="57">
        <f>IF(D20=0,0,Input_!D$191*D404*Input_!D$7/D20)</f>
        <v>0.10287694806884742</v>
      </c>
      <c r="E500" s="57">
        <f>IF(E20=0,0,Input_!E$191*E404*Input_!E$7/E20)</f>
        <v>0.10837245264485265</v>
      </c>
      <c r="F500" s="57">
        <f>IF(F20=0,0,Input_!F$191*F404*Input_!F$7/F20)</f>
        <v>0.10837245264485265</v>
      </c>
      <c r="G500" s="57">
        <f>IF(G20=0,0,Input_!G$191*G404*Input_!G$7/G20)</f>
        <v>0.10837245264485265</v>
      </c>
    </row>
    <row r="501" spans="2:7" ht="14.4" customHeight="1" x14ac:dyDescent="0.3">
      <c r="B501" s="36" t="s">
        <v>73</v>
      </c>
      <c r="C501" s="3" t="s">
        <v>220</v>
      </c>
      <c r="D501" s="57">
        <f>IF(D21=0,0,Input_!D$191*D405*Input_!D$7/D21)</f>
        <v>0</v>
      </c>
      <c r="E501" s="57">
        <f>IF(E21=0,0,Input_!E$191*E405*Input_!E$7/E21)</f>
        <v>0</v>
      </c>
      <c r="F501" s="57">
        <f>IF(F21=0,0,Input_!F$191*F405*Input_!F$7/F21)</f>
        <v>0</v>
      </c>
      <c r="G501" s="57">
        <f>IF(G21=0,0,Input_!G$191*G405*Input_!G$7/G21)</f>
        <v>0</v>
      </c>
    </row>
    <row r="502" spans="2:7" ht="14.4" customHeight="1" x14ac:dyDescent="0.3">
      <c r="B502" s="36" t="s">
        <v>75</v>
      </c>
      <c r="C502" s="3" t="s">
        <v>220</v>
      </c>
      <c r="D502" s="57">
        <f>IF(D22=0,0,Input_!D$191*D406*Input_!D$7/D22)</f>
        <v>9.6339622364083041E-2</v>
      </c>
      <c r="E502" s="57">
        <f>IF(E22=0,0,Input_!E$191*E406*Input_!E$7/E22)</f>
        <v>0.10149762144196291</v>
      </c>
      <c r="F502" s="57">
        <f>IF(F22=0,0,Input_!F$191*F406*Input_!F$7/F22)</f>
        <v>0.10149762144196291</v>
      </c>
      <c r="G502" s="57">
        <f>IF(G22=0,0,Input_!G$191*G406*Input_!G$7/G22)</f>
        <v>0.10149762144196291</v>
      </c>
    </row>
    <row r="503" spans="2:7" ht="14.4" customHeight="1" x14ac:dyDescent="0.3">
      <c r="B503" s="36" t="s">
        <v>77</v>
      </c>
      <c r="C503" s="3" t="s">
        <v>220</v>
      </c>
      <c r="D503" s="57">
        <f>IF(D23=0,0,Input_!D$191*D407*Input_!D$7/D23)</f>
        <v>9.9994802574401756E-2</v>
      </c>
      <c r="E503" s="57">
        <f>IF(E23=0,0,Input_!E$191*E407*Input_!E$7/E23)</f>
        <v>0.10534150930940854</v>
      </c>
      <c r="F503" s="57">
        <f>IF(F23=0,0,Input_!F$191*F407*Input_!F$7/F23)</f>
        <v>0.10534150930940854</v>
      </c>
      <c r="G503" s="57">
        <f>IF(G23=0,0,Input_!G$191*G407*Input_!G$7/G23)</f>
        <v>0.10534150930940854</v>
      </c>
    </row>
    <row r="504" spans="2:7" ht="14.4" customHeight="1" x14ac:dyDescent="0.3">
      <c r="B504" s="36" t="s">
        <v>79</v>
      </c>
      <c r="C504" s="3" t="s">
        <v>220</v>
      </c>
      <c r="D504" s="57">
        <f>IF(D24=0,0,Input_!D$191*D408*Input_!D$7/D24)</f>
        <v>8.6216926265273747E-2</v>
      </c>
      <c r="E504" s="57">
        <f>IF(E24=0,0,Input_!E$191*E408*Input_!E$7/E24)</f>
        <v>9.0850535322554965E-2</v>
      </c>
      <c r="F504" s="57">
        <f>IF(F24=0,0,Input_!F$191*F408*Input_!F$7/F24)</f>
        <v>9.0850535322554965E-2</v>
      </c>
      <c r="G504" s="57">
        <f>IF(G24=0,0,Input_!G$191*G408*Input_!G$7/G24)</f>
        <v>9.0850535322554965E-2</v>
      </c>
    </row>
    <row r="505" spans="2:7" ht="14.4" customHeight="1" x14ac:dyDescent="0.3">
      <c r="B505" s="36" t="s">
        <v>81</v>
      </c>
      <c r="C505" s="3" t="s">
        <v>220</v>
      </c>
      <c r="D505" s="57">
        <f>IF(D25=0,0,Input_!D$191*D409*Input_!D$7/D25)</f>
        <v>8.5121981724528659E-2</v>
      </c>
      <c r="E505" s="57">
        <f>IF(E25=0,0,Input_!E$191*E409*Input_!E$7/E25)</f>
        <v>8.9700842548812762E-2</v>
      </c>
      <c r="F505" s="57">
        <f>IF(F25=0,0,Input_!F$191*F409*Input_!F$7/F25)</f>
        <v>8.9700842548812762E-2</v>
      </c>
      <c r="G505" s="57">
        <f>IF(G25=0,0,Input_!G$191*G409*Input_!G$7/G25)</f>
        <v>8.9700842548812762E-2</v>
      </c>
    </row>
    <row r="506" spans="2:7" ht="14.4" customHeight="1" x14ac:dyDescent="0.3">
      <c r="B506" s="36" t="s">
        <v>82</v>
      </c>
      <c r="C506" s="3" t="s">
        <v>220</v>
      </c>
      <c r="D506" s="57">
        <f>IF(D26=0,0,Input_!D$191*D410*Input_!D$7/D26)</f>
        <v>9.9994262745689538E-2</v>
      </c>
      <c r="E506" s="57">
        <f>IF(E26=0,0,Input_!E$191*E410*Input_!E$7/E26)</f>
        <v>0.105340941610713</v>
      </c>
      <c r="F506" s="57">
        <f>IF(F26=0,0,Input_!F$191*F410*Input_!F$7/F26)</f>
        <v>0.105340941610713</v>
      </c>
      <c r="G506" s="57">
        <f>IF(G26=0,0,Input_!G$191*G410*Input_!G$7/G26)</f>
        <v>0.105340941610713</v>
      </c>
    </row>
    <row r="507" spans="2:7" ht="14.4" customHeight="1" x14ac:dyDescent="0.3">
      <c r="B507" s="36" t="s">
        <v>83</v>
      </c>
      <c r="C507" s="3" t="s">
        <v>220</v>
      </c>
      <c r="D507" s="57">
        <f>IF(D27=0,0,Input_!D$191*D411*Input_!D$7/D27)</f>
        <v>9.896052799644757E-2</v>
      </c>
      <c r="E507" s="57">
        <f>IF(E27=0,0,Input_!E$191*E411*Input_!E$7/E27)</f>
        <v>0.10424205991990604</v>
      </c>
      <c r="F507" s="57">
        <f>IF(F27=0,0,Input_!F$191*F411*Input_!F$7/F27)</f>
        <v>0.10424205991990604</v>
      </c>
      <c r="G507" s="57">
        <f>IF(G27=0,0,Input_!G$191*G411*Input_!G$7/G27)</f>
        <v>0.10424205991990604</v>
      </c>
    </row>
    <row r="508" spans="2:7" ht="14.4" customHeight="1" x14ac:dyDescent="0.3">
      <c r="B508" s="36" t="s">
        <v>85</v>
      </c>
      <c r="C508" s="3" t="s">
        <v>220</v>
      </c>
      <c r="D508" s="57">
        <f>IF(D28=0,0,Input_!D$191*D412*Input_!D$7/D28)</f>
        <v>9.2790285815980464E-2</v>
      </c>
      <c r="E508" s="57">
        <f>IF(E28=0,0,Input_!E$191*E412*Input_!E$7/E28)</f>
        <v>9.7753263829977941E-2</v>
      </c>
      <c r="F508" s="57">
        <f>IF(F28=0,0,Input_!F$191*F412*Input_!F$7/F28)</f>
        <v>9.7753263829977941E-2</v>
      </c>
      <c r="G508" s="57">
        <f>IF(G28=0,0,Input_!G$191*G412*Input_!G$7/G28)</f>
        <v>9.7753263829977941E-2</v>
      </c>
    </row>
    <row r="509" spans="2:7" ht="14.4" customHeight="1" x14ac:dyDescent="0.3">
      <c r="B509" s="36" t="s">
        <v>87</v>
      </c>
      <c r="C509" s="3" t="s">
        <v>220</v>
      </c>
      <c r="D509" s="57">
        <f>IF(D29=0,0,Input_!D$191*D413*Input_!D$7/D29)</f>
        <v>0</v>
      </c>
      <c r="E509" s="57">
        <f>IF(E29=0,0,Input_!E$191*E413*Input_!E$7/E29)</f>
        <v>0</v>
      </c>
      <c r="F509" s="57">
        <f>IF(F29=0,0,Input_!F$191*F413*Input_!F$7/F29)</f>
        <v>0</v>
      </c>
      <c r="G509" s="57">
        <f>IF(G29=0,0,Input_!G$191*G413*Input_!G$7/G29)</f>
        <v>0</v>
      </c>
    </row>
    <row r="510" spans="2:7" ht="14.4" customHeight="1" x14ac:dyDescent="0.3">
      <c r="B510" s="36" t="s">
        <v>89</v>
      </c>
      <c r="C510" s="3" t="s">
        <v>220</v>
      </c>
      <c r="D510" s="57">
        <f>IF(D30=0,0,Input_!D$191*D414*Input_!D$7/D30)</f>
        <v>0.10560042115653029</v>
      </c>
      <c r="E510" s="57">
        <f>IF(E30=0,0,Input_!E$191*E414*Input_!E$7/E30)</f>
        <v>0.11122475387494681</v>
      </c>
      <c r="F510" s="57">
        <f>IF(F30=0,0,Input_!F$191*F414*Input_!F$7/F30)</f>
        <v>0.11122475387494681</v>
      </c>
      <c r="G510" s="57">
        <f>IF(G30=0,0,Input_!G$191*G414*Input_!G$7/G30)</f>
        <v>0.11122475387494681</v>
      </c>
    </row>
    <row r="511" spans="2:7" ht="14.4" customHeight="1" x14ac:dyDescent="0.3">
      <c r="B511" s="36" t="s">
        <v>90</v>
      </c>
      <c r="C511" s="3" t="s">
        <v>220</v>
      </c>
      <c r="D511" s="57">
        <f>IF(D31=0,0,Input_!D$191*D415*Input_!D$7/D31)</f>
        <v>0.10464546506432255</v>
      </c>
      <c r="E511" s="57">
        <f>IF(E31=0,0,Input_!E$191*E415*Input_!E$7/E31)</f>
        <v>0.11020246627005167</v>
      </c>
      <c r="F511" s="57">
        <f>IF(F31=0,0,Input_!F$191*F415*Input_!F$7/F31)</f>
        <v>0.11020246627005167</v>
      </c>
      <c r="G511" s="57">
        <f>IF(G31=0,0,Input_!G$191*G415*Input_!G$7/G31)</f>
        <v>0.11020246627005167</v>
      </c>
    </row>
    <row r="512" spans="2:7" ht="14.4" customHeight="1" x14ac:dyDescent="0.3">
      <c r="B512" s="36" t="s">
        <v>92</v>
      </c>
      <c r="C512" s="3" t="s">
        <v>220</v>
      </c>
      <c r="D512" s="57">
        <f>IF(D32=0,0,Input_!D$191*D416*Input_!D$7/D32)</f>
        <v>0.12100175708418964</v>
      </c>
      <c r="E512" s="57">
        <f>IF(E32=0,0,Input_!E$191*E416*Input_!E$7/E32)</f>
        <v>0.12737831711623471</v>
      </c>
      <c r="F512" s="57">
        <f>IF(F32=0,0,Input_!F$191*F416*Input_!F$7/F32)</f>
        <v>0.12737831711623471</v>
      </c>
      <c r="G512" s="57">
        <f>IF(G32=0,0,Input_!G$191*G416*Input_!G$7/G32)</f>
        <v>0.12737831711623471</v>
      </c>
    </row>
    <row r="513" spans="2:7" ht="14.4" customHeight="1" x14ac:dyDescent="0.3">
      <c r="B513" s="36" t="s">
        <v>94</v>
      </c>
      <c r="C513" s="3" t="s">
        <v>220</v>
      </c>
      <c r="D513" s="57">
        <f>IF(D33=0,0,Input_!D$191*D417*Input_!D$7/D33)</f>
        <v>0.12711247549349772</v>
      </c>
      <c r="E513" s="57">
        <f>IF(E33=0,0,Input_!E$191*E417*Input_!E$7/E33)</f>
        <v>0.13379522308941089</v>
      </c>
      <c r="F513" s="57">
        <f>IF(F33=0,0,Input_!F$191*F417*Input_!F$7/F33)</f>
        <v>0.13379522308941089</v>
      </c>
      <c r="G513" s="57">
        <f>IF(G33=0,0,Input_!G$191*G417*Input_!G$7/G33)</f>
        <v>0.13379522308941089</v>
      </c>
    </row>
    <row r="514" spans="2:7" ht="14.4" customHeight="1" x14ac:dyDescent="0.3">
      <c r="B514" s="36" t="s">
        <v>96</v>
      </c>
      <c r="C514" s="3" t="s">
        <v>220</v>
      </c>
      <c r="D514" s="57">
        <f>IF(D34=0,0,Input_!D$191*D418*Input_!D$7/D34)</f>
        <v>0.13027867580494512</v>
      </c>
      <c r="E514" s="57">
        <f>IF(E34=0,0,Input_!E$191*E418*Input_!E$7/E34)</f>
        <v>0.13712007105816232</v>
      </c>
      <c r="F514" s="57">
        <f>IF(F34=0,0,Input_!F$191*F418*Input_!F$7/F34)</f>
        <v>0.13712007105816232</v>
      </c>
      <c r="G514" s="57">
        <f>IF(G34=0,0,Input_!G$191*G418*Input_!G$7/G34)</f>
        <v>0.13712007105816232</v>
      </c>
    </row>
    <row r="515" spans="2:7" ht="14.4" customHeight="1" x14ac:dyDescent="0.3">
      <c r="B515" s="36" t="s">
        <v>98</v>
      </c>
      <c r="C515" s="3" t="s">
        <v>220</v>
      </c>
      <c r="D515" s="57">
        <f>IF(D35=0,0,Input_!D$191*D419*Input_!D$7/D35)</f>
        <v>0</v>
      </c>
      <c r="E515" s="57">
        <f>IF(E35=0,0,Input_!E$191*E419*Input_!E$7/E35)</f>
        <v>0</v>
      </c>
      <c r="F515" s="57">
        <f>IF(F35=0,0,Input_!F$191*F419*Input_!F$7/F35)</f>
        <v>0</v>
      </c>
      <c r="G515" s="57">
        <f>IF(G35=0,0,Input_!G$191*G419*Input_!G$7/G35)</f>
        <v>0</v>
      </c>
    </row>
    <row r="516" spans="2:7" ht="14.4" customHeight="1" x14ac:dyDescent="0.3">
      <c r="B516" s="36" t="s">
        <v>100</v>
      </c>
      <c r="C516" s="3" t="s">
        <v>220</v>
      </c>
      <c r="D516" s="57">
        <f>IF(D36=0,0,Input_!D$191*D420*Input_!D$7/D36)</f>
        <v>0.15481771824758928</v>
      </c>
      <c r="E516" s="57">
        <f>IF(E36=0,0,Input_!E$191*E420*Input_!E$7/E36)</f>
        <v>0.16293353807816149</v>
      </c>
      <c r="F516" s="57">
        <f>IF(F36=0,0,Input_!F$191*F420*Input_!F$7/F36)</f>
        <v>0.16293353807816149</v>
      </c>
      <c r="G516" s="57">
        <f>IF(G36=0,0,Input_!G$191*G420*Input_!G$7/G36)</f>
        <v>0.16293353807816149</v>
      </c>
    </row>
    <row r="517" spans="2:7" ht="14.4" customHeight="1" x14ac:dyDescent="0.3">
      <c r="B517" s="36" t="s">
        <v>102</v>
      </c>
      <c r="C517" s="3" t="s">
        <v>220</v>
      </c>
      <c r="D517" s="57">
        <f>IF(D37=0,0,Input_!D$191*D421*Input_!D$7/D37)</f>
        <v>0</v>
      </c>
      <c r="E517" s="57">
        <f>IF(E37=0,0,Input_!E$191*E421*Input_!E$7/E37)</f>
        <v>0</v>
      </c>
      <c r="F517" s="57">
        <f>IF(F37=0,0,Input_!F$191*F421*Input_!F$7/F37)</f>
        <v>0</v>
      </c>
      <c r="G517" s="57">
        <f>IF(G37=0,0,Input_!G$191*G421*Input_!G$7/G37)</f>
        <v>0</v>
      </c>
    </row>
    <row r="518" spans="2:7" ht="14.4" customHeight="1" x14ac:dyDescent="0.3">
      <c r="B518" s="36" t="s">
        <v>103</v>
      </c>
      <c r="C518" s="3" t="s">
        <v>220</v>
      </c>
      <c r="D518" s="57">
        <f>IF(D38=0,0,Input_!D$191*D422*Input_!D$7/D38)</f>
        <v>0.16193266067440959</v>
      </c>
      <c r="E518" s="57">
        <f>IF(E38=0,0,Input_!E$191*E422*Input_!E$7/E38)</f>
        <v>0.17041580688527022</v>
      </c>
      <c r="F518" s="57">
        <f>IF(F38=0,0,Input_!F$191*F422*Input_!F$7/F38)</f>
        <v>0.17041580688527022</v>
      </c>
      <c r="G518" s="57">
        <f>IF(G38=0,0,Input_!G$191*G422*Input_!G$7/G38)</f>
        <v>0.17041580688527022</v>
      </c>
    </row>
    <row r="519" spans="2:7" ht="14.4" customHeight="1" x14ac:dyDescent="0.3">
      <c r="B519" s="36" t="s">
        <v>105</v>
      </c>
      <c r="C519" s="3" t="s">
        <v>220</v>
      </c>
      <c r="D519" s="57">
        <f>IF(D39=0,0,Input_!D$191*D423*Input_!D$7/D39)</f>
        <v>0.14425013803630993</v>
      </c>
      <c r="E519" s="57">
        <f>IF(E39=0,0,Input_!E$191*E423*Input_!E$7/E39)</f>
        <v>0.15179794597966928</v>
      </c>
      <c r="F519" s="57">
        <f>IF(F39=0,0,Input_!F$191*F423*Input_!F$7/F39)</f>
        <v>0.15179794597966928</v>
      </c>
      <c r="G519" s="57">
        <f>IF(G39=0,0,Input_!G$191*G423*Input_!G$7/G39)</f>
        <v>0.15179794597966928</v>
      </c>
    </row>
    <row r="520" spans="2:7" ht="14.4" customHeight="1" x14ac:dyDescent="0.3">
      <c r="B520" s="36" t="s">
        <v>107</v>
      </c>
      <c r="C520" s="3" t="s">
        <v>220</v>
      </c>
      <c r="D520" s="57">
        <f>IF(D40=0,0,Input_!D$191*D424*Input_!D$7/D40)</f>
        <v>0</v>
      </c>
      <c r="E520" s="57">
        <f>IF(E40=0,0,Input_!E$191*E424*Input_!E$7/E40)</f>
        <v>0</v>
      </c>
      <c r="F520" s="57">
        <f>IF(F40=0,0,Input_!F$191*F424*Input_!F$7/F40)</f>
        <v>0</v>
      </c>
      <c r="G520" s="57">
        <f>IF(G40=0,0,Input_!G$191*G424*Input_!G$7/G40)</f>
        <v>0</v>
      </c>
    </row>
    <row r="521" spans="2:7" ht="14.4" customHeight="1" x14ac:dyDescent="0.3">
      <c r="B521" s="36" t="s">
        <v>108</v>
      </c>
      <c r="C521" s="3" t="s">
        <v>220</v>
      </c>
      <c r="D521" s="57">
        <f>IF(D41=0,0,Input_!D$191*D425*Input_!D$7/D41)</f>
        <v>0.15674468448857032</v>
      </c>
      <c r="E521" s="57">
        <f>IF(E41=0,0,Input_!E$191*E425*Input_!E$7/E41)</f>
        <v>0.16493515457022373</v>
      </c>
      <c r="F521" s="57">
        <f>IF(F41=0,0,Input_!F$191*F425*Input_!F$7/F41)</f>
        <v>0.16493515457022373</v>
      </c>
      <c r="G521" s="57">
        <f>IF(G41=0,0,Input_!G$191*G425*Input_!G$7/G41)</f>
        <v>0.16493515457022373</v>
      </c>
    </row>
    <row r="522" spans="2:7" ht="14.4" customHeight="1" x14ac:dyDescent="0.3">
      <c r="B522" s="36" t="s">
        <v>110</v>
      </c>
      <c r="C522" s="3" t="s">
        <v>220</v>
      </c>
      <c r="D522" s="57">
        <f>IF(D42=0,0,Input_!D$191*D426*Input_!D$7/D42)</f>
        <v>0.16209978531361272</v>
      </c>
      <c r="E522" s="57">
        <f>IF(E42=0,0,Input_!E$191*E426*Input_!E$7/E42)</f>
        <v>0.17056672562989889</v>
      </c>
      <c r="F522" s="57">
        <f>IF(F42=0,0,Input_!F$191*F426*Input_!F$7/F42)</f>
        <v>0.17056672562989889</v>
      </c>
      <c r="G522" s="57">
        <f>IF(G42=0,0,Input_!G$191*G426*Input_!G$7/G42)</f>
        <v>0.17056672562989889</v>
      </c>
    </row>
    <row r="523" spans="2:7" ht="14.4" customHeight="1" x14ac:dyDescent="0.3">
      <c r="B523" s="36" t="s">
        <v>112</v>
      </c>
      <c r="C523" s="3" t="s">
        <v>220</v>
      </c>
      <c r="D523" s="57">
        <f>IF(D43=0,0,Input_!D$191*D427*Input_!D$7/D43)</f>
        <v>0.15985447497808486</v>
      </c>
      <c r="E523" s="57">
        <f>IF(E43=0,0,Input_!E$191*E427*Input_!E$7/E43)</f>
        <v>0.1682041611434367</v>
      </c>
      <c r="F523" s="57">
        <f>IF(F43=0,0,Input_!F$191*F427*Input_!F$7/F43)</f>
        <v>0.1682041611434367</v>
      </c>
      <c r="G523" s="57">
        <f>IF(G43=0,0,Input_!G$191*G427*Input_!G$7/G43)</f>
        <v>0.1682041611434367</v>
      </c>
    </row>
    <row r="524" spans="2:7" ht="14.4" customHeight="1" x14ac:dyDescent="0.3">
      <c r="B524" s="36" t="s">
        <v>114</v>
      </c>
      <c r="C524" s="3" t="s">
        <v>220</v>
      </c>
      <c r="D524" s="57">
        <f>IF(D44=0,0,Input_!D$191*D428*Input_!D$7/D44)</f>
        <v>0</v>
      </c>
      <c r="E524" s="57">
        <f>IF(E44=0,0,Input_!E$191*E428*Input_!E$7/E44)</f>
        <v>0</v>
      </c>
      <c r="F524" s="57">
        <f>IF(F44=0,0,Input_!F$191*F428*Input_!F$7/F44)</f>
        <v>0</v>
      </c>
      <c r="G524" s="57">
        <f>IF(G44=0,0,Input_!G$191*G428*Input_!G$7/G44)</f>
        <v>0</v>
      </c>
    </row>
    <row r="525" spans="2:7" ht="14.4" customHeight="1" x14ac:dyDescent="0.3">
      <c r="B525" s="36" t="s">
        <v>116</v>
      </c>
      <c r="C525" s="3" t="s">
        <v>220</v>
      </c>
      <c r="D525" s="57">
        <f>IF(D45=0,0,Input_!D$191*D429*Input_!D$7/D45)</f>
        <v>0.17020910543669918</v>
      </c>
      <c r="E525" s="57">
        <f>IF(E45=0,0,Input_!E$191*E429*Input_!E$7/E45)</f>
        <v>0.1790908970476412</v>
      </c>
      <c r="F525" s="57">
        <f>IF(F45=0,0,Input_!F$191*F429*Input_!F$7/F45)</f>
        <v>0.1790908970476412</v>
      </c>
      <c r="G525" s="57">
        <f>IF(G45=0,0,Input_!G$191*G429*Input_!G$7/G45)</f>
        <v>0.1790908970476412</v>
      </c>
    </row>
    <row r="526" spans="2:7" ht="14.4" customHeight="1" x14ac:dyDescent="0.3">
      <c r="B526" s="36" t="s">
        <v>118</v>
      </c>
      <c r="C526" s="3" t="s">
        <v>220</v>
      </c>
      <c r="D526" s="57">
        <f>IF(D46=0,0,Input_!D$191*D430*Input_!D$7/D46)</f>
        <v>0</v>
      </c>
      <c r="E526" s="57">
        <f>IF(E46=0,0,Input_!E$191*E430*Input_!E$7/E46)</f>
        <v>0</v>
      </c>
      <c r="F526" s="57">
        <f>IF(F46=0,0,Input_!F$191*F430*Input_!F$7/F46)</f>
        <v>0</v>
      </c>
      <c r="G526" s="57">
        <f>IF(G46=0,0,Input_!G$191*G430*Input_!G$7/G46)</f>
        <v>0</v>
      </c>
    </row>
    <row r="527" spans="2:7" ht="14.4" customHeight="1" x14ac:dyDescent="0.3">
      <c r="B527" s="36" t="s">
        <v>120</v>
      </c>
      <c r="C527" s="3" t="s">
        <v>220</v>
      </c>
      <c r="D527" s="57">
        <f>IF(D47=0,0,Input_!D$191*D431*Input_!D$7/D47)</f>
        <v>0.17661170966641715</v>
      </c>
      <c r="E527" s="57">
        <f>IF(E47=0,0,Input_!E$191*E431*Input_!E$7/E47)</f>
        <v>0.18582251935194993</v>
      </c>
      <c r="F527" s="57">
        <f>IF(F47=0,0,Input_!F$191*F431*Input_!F$7/F47)</f>
        <v>0.18582251935194993</v>
      </c>
      <c r="G527" s="57">
        <f>IF(G47=0,0,Input_!G$191*G431*Input_!G$7/G47)</f>
        <v>0.18582251935194993</v>
      </c>
    </row>
    <row r="528" spans="2:7" ht="14.4" customHeight="1" x14ac:dyDescent="0.3">
      <c r="B528" s="36" t="s">
        <v>122</v>
      </c>
      <c r="C528" s="3" t="s">
        <v>220</v>
      </c>
      <c r="D528" s="57">
        <f>IF(D48=0,0,Input_!D$191*D432*Input_!D$7/D48)</f>
        <v>0.17928750490145007</v>
      </c>
      <c r="E528" s="57">
        <f>IF(E48=0,0,Input_!E$191*E432*Input_!E$7/E48)</f>
        <v>0.18863581879068533</v>
      </c>
      <c r="F528" s="57">
        <f>IF(F48=0,0,Input_!F$191*F432*Input_!F$7/F48)</f>
        <v>0.18863581879068533</v>
      </c>
      <c r="G528" s="57">
        <f>IF(G48=0,0,Input_!G$191*G432*Input_!G$7/G48)</f>
        <v>0.18863581879068533</v>
      </c>
    </row>
    <row r="529" spans="2:7" ht="14.4" customHeight="1" x14ac:dyDescent="0.3">
      <c r="B529" s="36" t="s">
        <v>124</v>
      </c>
      <c r="C529" s="3" t="s">
        <v>220</v>
      </c>
      <c r="D529" s="57">
        <f>IF(D49=0,0,Input_!D$191*D433*Input_!D$7/D49)</f>
        <v>0.1880441654601849</v>
      </c>
      <c r="E529" s="57">
        <f>IF(E49=0,0,Input_!E$191*E433*Input_!E$7/E49)</f>
        <v>0.19784246805612593</v>
      </c>
      <c r="F529" s="57">
        <f>IF(F49=0,0,Input_!F$191*F433*Input_!F$7/F49)</f>
        <v>0.19784246805612593</v>
      </c>
      <c r="G529" s="57">
        <f>IF(G49=0,0,Input_!G$191*G433*Input_!G$7/G49)</f>
        <v>0.19784246805612593</v>
      </c>
    </row>
    <row r="530" spans="2:7" ht="14.4" customHeight="1" x14ac:dyDescent="0.3">
      <c r="B530" s="36" t="s">
        <v>126</v>
      </c>
      <c r="C530" s="3" t="s">
        <v>220</v>
      </c>
      <c r="D530" s="57">
        <f>IF(D50=0,0,Input_!D$191*D434*Input_!D$7/D50)</f>
        <v>0.19184068455117351</v>
      </c>
      <c r="E530" s="57">
        <f>IF(E50=0,0,Input_!E$191*E434*Input_!E$7/E50)</f>
        <v>0.20183408329184668</v>
      </c>
      <c r="F530" s="57">
        <f>IF(F50=0,0,Input_!F$191*F434*Input_!F$7/F50)</f>
        <v>0.20183408329184668</v>
      </c>
      <c r="G530" s="57">
        <f>IF(G50=0,0,Input_!G$191*G434*Input_!G$7/G50)</f>
        <v>0.20183408329184668</v>
      </c>
    </row>
    <row r="531" spans="2:7" ht="14.4" customHeight="1" x14ac:dyDescent="0.3">
      <c r="B531" s="36" t="s">
        <v>128</v>
      </c>
      <c r="C531" s="3" t="s">
        <v>220</v>
      </c>
      <c r="D531" s="57">
        <f>IF(D51=0,0,Input_!D$191*D435*Input_!D$7/D51)</f>
        <v>0.19874139636195812</v>
      </c>
      <c r="E531" s="57">
        <f>IF(E51=0,0,Input_!E$191*E435*Input_!E$7/E51)</f>
        <v>0.20909033246461847</v>
      </c>
      <c r="F531" s="57">
        <f>IF(F51=0,0,Input_!F$191*F435*Input_!F$7/F51)</f>
        <v>0.20909033246461847</v>
      </c>
      <c r="G531" s="57">
        <f>IF(G51=0,0,Input_!G$191*G435*Input_!G$7/G51)</f>
        <v>0.20909033246461847</v>
      </c>
    </row>
    <row r="532" spans="2:7" ht="14.4" customHeight="1" x14ac:dyDescent="0.3">
      <c r="B532" s="36" t="s">
        <v>130</v>
      </c>
      <c r="C532" s="3" t="s">
        <v>220</v>
      </c>
      <c r="D532" s="57">
        <f>IF(D52=0,0,Input_!D$191*D436*Input_!D$7/D52)</f>
        <v>0.19874085653324591</v>
      </c>
      <c r="E532" s="57">
        <f>IF(E52=0,0,Input_!E$191*E436*Input_!E$7/E52)</f>
        <v>0.20908976476592284</v>
      </c>
      <c r="F532" s="57">
        <f>IF(F52=0,0,Input_!F$191*F436*Input_!F$7/F52)</f>
        <v>0.20908976476592284</v>
      </c>
      <c r="G532" s="57">
        <f>IF(G52=0,0,Input_!G$191*G436*Input_!G$7/G52)</f>
        <v>0.20908976476592284</v>
      </c>
    </row>
    <row r="533" spans="2:7" ht="14.4" customHeight="1" x14ac:dyDescent="0.3">
      <c r="B533" s="36" t="s">
        <v>131</v>
      </c>
      <c r="C533" s="3" t="s">
        <v>220</v>
      </c>
      <c r="D533" s="57">
        <f>IF(D53=0,0,Input_!D$191*D437*Input_!D$7/D53)</f>
        <v>0.20113893893503532</v>
      </c>
      <c r="E533" s="57">
        <f>IF(E53=0,0,Input_!E$191*E437*Input_!E$7/E53)</f>
        <v>0.21161015789458648</v>
      </c>
      <c r="F533" s="57">
        <f>IF(F53=0,0,Input_!F$191*F437*Input_!F$7/F53)</f>
        <v>0.21161015789458648</v>
      </c>
      <c r="G533" s="57">
        <f>IF(G53=0,0,Input_!G$191*G437*Input_!G$7/G53)</f>
        <v>0.21161015789458648</v>
      </c>
    </row>
    <row r="534" spans="2:7" ht="14.4" customHeight="1" x14ac:dyDescent="0.3">
      <c r="B534" s="36" t="s">
        <v>133</v>
      </c>
      <c r="C534" s="3" t="s">
        <v>220</v>
      </c>
      <c r="D534" s="57">
        <f>IF(D54=0,0,Input_!D$191*D438*Input_!D$7/D54)</f>
        <v>0.20583686679158081</v>
      </c>
      <c r="E534" s="57">
        <f>IF(E54=0,0,Input_!E$191*E438*Input_!E$7/E54)</f>
        <v>0.21654950376629248</v>
      </c>
      <c r="F534" s="57">
        <f>IF(F54=0,0,Input_!F$191*F438*Input_!F$7/F54)</f>
        <v>0.21654950376629248</v>
      </c>
      <c r="G534" s="57">
        <f>IF(G54=0,0,Input_!G$191*G438*Input_!G$7/G54)</f>
        <v>0.21654950376629248</v>
      </c>
    </row>
    <row r="535" spans="2:7" ht="14.4" customHeight="1" x14ac:dyDescent="0.3">
      <c r="B535" s="36" t="s">
        <v>135</v>
      </c>
      <c r="C535" s="3" t="s">
        <v>220</v>
      </c>
      <c r="D535" s="57">
        <f>IF(D55=0,0,Input_!D$191*D439*Input_!D$7/D55)</f>
        <v>0.20583632696286855</v>
      </c>
      <c r="E535" s="57">
        <f>IF(E55=0,0,Input_!E$191*E439*Input_!E$7/E55)</f>
        <v>0.21654893606759687</v>
      </c>
      <c r="F535" s="57">
        <f>IF(F55=0,0,Input_!F$191*F439*Input_!F$7/F55)</f>
        <v>0.21654893606759687</v>
      </c>
      <c r="G535" s="57">
        <f>IF(G55=0,0,Input_!G$191*G439*Input_!G$7/G55)</f>
        <v>0.21654893606759687</v>
      </c>
    </row>
    <row r="536" spans="2:7" ht="14.4" customHeight="1" x14ac:dyDescent="0.3">
      <c r="B536" s="36" t="s">
        <v>136</v>
      </c>
      <c r="C536" s="3" t="s">
        <v>220</v>
      </c>
      <c r="D536" s="57">
        <f>IF(D56=0,0,Input_!D$191*D440*Input_!D$7/D56)</f>
        <v>0.21289313363481902</v>
      </c>
      <c r="E536" s="57">
        <f>IF(E56=0,0,Input_!E$191*E440*Input_!E$7/E56)</f>
        <v>0.22396837907636596</v>
      </c>
      <c r="F536" s="57">
        <f>IF(F56=0,0,Input_!F$191*F440*Input_!F$7/F56)</f>
        <v>0.22396837907636596</v>
      </c>
      <c r="G536" s="57">
        <f>IF(G56=0,0,Input_!G$191*G440*Input_!G$7/G56)</f>
        <v>0.22396837907636596</v>
      </c>
    </row>
    <row r="537" spans="2:7" ht="14.4" customHeight="1" x14ac:dyDescent="0.3">
      <c r="B537" s="36" t="s">
        <v>138</v>
      </c>
      <c r="C537" s="3" t="s">
        <v>220</v>
      </c>
      <c r="D537" s="57">
        <f>IF(D57=0,0,Input_!D$191*D441*Input_!D$7/D57)</f>
        <v>0.22230935895088666</v>
      </c>
      <c r="E537" s="57">
        <f>IF(E57=0,0,Input_!E$191*E441*Input_!E$7/E57)</f>
        <v>0.23386848692089365</v>
      </c>
      <c r="F537" s="57">
        <f>IF(F57=0,0,Input_!F$191*F441*Input_!F$7/F57)</f>
        <v>0.23386848692089365</v>
      </c>
      <c r="G537" s="57">
        <f>IF(G57=0,0,Input_!G$191*G441*Input_!G$7/G57)</f>
        <v>0.23386848692089365</v>
      </c>
    </row>
    <row r="538" spans="2:7" ht="14.4" customHeight="1" x14ac:dyDescent="0.3">
      <c r="B538" s="36" t="s">
        <v>140</v>
      </c>
      <c r="C538" s="3" t="s">
        <v>220</v>
      </c>
      <c r="D538" s="57">
        <f>IF(D58=0,0,Input_!D$191*D442*Input_!D$7/D58)</f>
        <v>0.23005609076652875</v>
      </c>
      <c r="E538" s="57">
        <f>IF(E58=0,0,Input_!E$191*E442*Input_!E$7/E58)</f>
        <v>0.24201439931408278</v>
      </c>
      <c r="F538" s="57">
        <f>IF(F58=0,0,Input_!F$191*F442*Input_!F$7/F58)</f>
        <v>0.24201439931408278</v>
      </c>
      <c r="G538" s="57">
        <f>IF(G58=0,0,Input_!G$191*G442*Input_!G$7/G58)</f>
        <v>0.24201439931408278</v>
      </c>
    </row>
    <row r="539" spans="2:7" ht="14.4" customHeight="1" x14ac:dyDescent="0.3">
      <c r="B539" s="36" t="s">
        <v>142</v>
      </c>
      <c r="C539" s="3" t="s">
        <v>220</v>
      </c>
      <c r="D539" s="57">
        <f>IF(D59=0,0,Input_!D$191*D443*Input_!D$7/D59)</f>
        <v>0.22857696009509562</v>
      </c>
      <c r="E539" s="57">
        <f>IF(E59=0,0,Input_!E$191*E443*Input_!E$7/E59)</f>
        <v>0.24045890488832569</v>
      </c>
      <c r="F539" s="57">
        <f>IF(F59=0,0,Input_!F$191*F443*Input_!F$7/F59)</f>
        <v>0.24045890488832569</v>
      </c>
      <c r="G539" s="57">
        <f>IF(G59=0,0,Input_!G$191*G443*Input_!G$7/G59)</f>
        <v>0.24045890488832569</v>
      </c>
    </row>
    <row r="540" spans="2:7" ht="14.4" customHeight="1" x14ac:dyDescent="0.3">
      <c r="B540" s="36" t="s">
        <v>144</v>
      </c>
      <c r="C540" s="3" t="s">
        <v>220</v>
      </c>
      <c r="D540" s="57">
        <f>IF(D60=0,0,Input_!D$191*D444*Input_!D$7/D60)</f>
        <v>0.23109659821197012</v>
      </c>
      <c r="E540" s="57">
        <f>IF(E60=0,0,Input_!E$191*E444*Input_!E$7/E60)</f>
        <v>0.24310819180330509</v>
      </c>
      <c r="F540" s="57">
        <f>IF(F60=0,0,Input_!F$191*F444*Input_!F$7/F60)</f>
        <v>0.24310819180330509</v>
      </c>
      <c r="G540" s="57">
        <f>IF(G60=0,0,Input_!G$191*G444*Input_!G$7/G60)</f>
        <v>0.24310819180330509</v>
      </c>
    </row>
    <row r="541" spans="2:7" ht="14.4" customHeight="1" x14ac:dyDescent="0.3">
      <c r="B541" s="36" t="s">
        <v>146</v>
      </c>
      <c r="C541" s="3" t="s">
        <v>220</v>
      </c>
      <c r="D541" s="57">
        <f>IF(D61=0,0,Input_!D$191*D445*Input_!D$7/D61)</f>
        <v>0.23448181422849124</v>
      </c>
      <c r="E541" s="57">
        <f>IF(E61=0,0,Input_!E$191*E445*Input_!E$7/E61)</f>
        <v>0.24666646232355771</v>
      </c>
      <c r="F541" s="57">
        <f>IF(F61=0,0,Input_!F$191*F445*Input_!F$7/F61)</f>
        <v>0.24666646232355771</v>
      </c>
      <c r="G541" s="57">
        <f>IF(G61=0,0,Input_!G$191*G445*Input_!G$7/G61)</f>
        <v>0.24666646232355771</v>
      </c>
    </row>
    <row r="542" spans="2:7" ht="14.4" customHeight="1" x14ac:dyDescent="0.3">
      <c r="B542" s="36" t="s">
        <v>148</v>
      </c>
      <c r="C542" s="3" t="s">
        <v>220</v>
      </c>
      <c r="D542" s="57">
        <f>IF(D62=0,0,Input_!D$191*D446*Input_!D$7/D62)</f>
        <v>0.23957065125864394</v>
      </c>
      <c r="E542" s="57">
        <f>IF(E62=0,0,Input_!E$191*E446*Input_!E$7/E62)</f>
        <v>0.25201680534431892</v>
      </c>
      <c r="F542" s="57">
        <f>IF(F62=0,0,Input_!F$191*F446*Input_!F$7/F62)</f>
        <v>0.25201680534431892</v>
      </c>
      <c r="G542" s="57">
        <f>IF(G62=0,0,Input_!G$191*G446*Input_!G$7/G62)</f>
        <v>0.25201680534431892</v>
      </c>
    </row>
    <row r="543" spans="2:7" ht="14.4" customHeight="1" x14ac:dyDescent="0.3">
      <c r="B543" s="36" t="s">
        <v>150</v>
      </c>
      <c r="C543" s="3" t="s">
        <v>220</v>
      </c>
      <c r="D543" s="57">
        <f>IF(D63=0,0,Input_!D$191*D447*Input_!D$7/D63)</f>
        <v>0.25644545741721742</v>
      </c>
      <c r="E543" s="57">
        <f>IF(E63=0,0,Input_!E$191*E447*Input_!E$7/E63)</f>
        <v>0.26976184346867338</v>
      </c>
      <c r="F543" s="57">
        <f>IF(F63=0,0,Input_!F$191*F447*Input_!F$7/F63)</f>
        <v>0.26976184346867338</v>
      </c>
      <c r="G543" s="57">
        <f>IF(G63=0,0,Input_!G$191*G447*Input_!G$7/G63)</f>
        <v>0.26976184346867338</v>
      </c>
    </row>
    <row r="544" spans="2:7" ht="14.4" customHeight="1" x14ac:dyDescent="0.3">
      <c r="B544" s="36" t="s">
        <v>152</v>
      </c>
      <c r="C544" s="3" t="s">
        <v>220</v>
      </c>
      <c r="D544" s="57">
        <f>IF(D64=0,0,Input_!D$191*D448*Input_!D$7/D64)</f>
        <v>0.24509383581191826</v>
      </c>
      <c r="E544" s="57">
        <f>IF(E64=0,0,Input_!E$191*E448*Input_!E$7/E64)</f>
        <v>0.2578238162098449</v>
      </c>
      <c r="F544" s="57">
        <f>IF(F64=0,0,Input_!F$191*F448*Input_!F$7/F64)</f>
        <v>0.2578238162098449</v>
      </c>
      <c r="G544" s="57">
        <f>IF(G64=0,0,Input_!G$191*G448*Input_!G$7/G64)</f>
        <v>0.2578238162098449</v>
      </c>
    </row>
    <row r="545" spans="2:7" ht="14.4" customHeight="1" x14ac:dyDescent="0.3">
      <c r="B545" s="36" t="s">
        <v>154</v>
      </c>
      <c r="C545" s="3" t="s">
        <v>220</v>
      </c>
      <c r="D545" s="57">
        <f>IF(D65=0,0,Input_!D$191*D449*Input_!D$7/D65)</f>
        <v>0.24996818023806036</v>
      </c>
      <c r="E545" s="57">
        <f>IF(E65=0,0,Input_!E$191*E449*Input_!E$7/E65)</f>
        <v>0.26294864424553721</v>
      </c>
      <c r="F545" s="57">
        <f>IF(F65=0,0,Input_!F$191*F449*Input_!F$7/F65)</f>
        <v>0.26294864424553721</v>
      </c>
      <c r="G545" s="57">
        <f>IF(G65=0,0,Input_!G$191*G449*Input_!G$7/G65)</f>
        <v>0.26294864424553721</v>
      </c>
    </row>
    <row r="546" spans="2:7" ht="14.4" customHeight="1" x14ac:dyDescent="0.3">
      <c r="B546" s="36" t="s">
        <v>156</v>
      </c>
      <c r="C546" s="3" t="s">
        <v>220</v>
      </c>
      <c r="D546" s="57">
        <f>IF(D66=0,0,Input_!D$191*D450*Input_!D$7/D66)</f>
        <v>0.25756851328887559</v>
      </c>
      <c r="E546" s="57">
        <f>IF(E66=0,0,Input_!E$191*E450*Input_!E$7/E66)</f>
        <v>0.27094038410668431</v>
      </c>
      <c r="F546" s="57">
        <f>IF(F66=0,0,Input_!F$191*F450*Input_!F$7/F66)</f>
        <v>0.27094038410668431</v>
      </c>
      <c r="G546" s="57">
        <f>IF(G66=0,0,Input_!G$191*G450*Input_!G$7/G66)</f>
        <v>0.27094038410668431</v>
      </c>
    </row>
    <row r="547" spans="2:7" ht="14.4" customHeight="1" x14ac:dyDescent="0.3">
      <c r="B547" s="36" t="s">
        <v>158</v>
      </c>
      <c r="C547" s="3" t="s">
        <v>220</v>
      </c>
      <c r="D547" s="57">
        <f>IF(D67=0,0,Input_!D$191*D451*Input_!D$7/D67)</f>
        <v>0.26177063577374649</v>
      </c>
      <c r="E547" s="57">
        <f>IF(E67=0,0,Input_!E$191*E451*Input_!E$7/E67)</f>
        <v>0.27535760629895722</v>
      </c>
      <c r="F547" s="57">
        <f>IF(F67=0,0,Input_!F$191*F451*Input_!F$7/F67)</f>
        <v>0.27535760629895722</v>
      </c>
      <c r="G547" s="57">
        <f>IF(G67=0,0,Input_!G$191*G451*Input_!G$7/G67)</f>
        <v>0.27535760629895722</v>
      </c>
    </row>
    <row r="548" spans="2:7" ht="14.4" customHeight="1" x14ac:dyDescent="0.3">
      <c r="B548" s="36" t="s">
        <v>160</v>
      </c>
      <c r="C548" s="3" t="s">
        <v>220</v>
      </c>
      <c r="D548" s="57">
        <f>IF(D68=0,0,Input_!D$191*D452*Input_!D$7/D68)</f>
        <v>0.27662497172377137</v>
      </c>
      <c r="E548" s="57">
        <f>IF(E68=0,0,Input_!E$191*E452*Input_!E$7/E68)</f>
        <v>0.2909778085842219</v>
      </c>
      <c r="F548" s="57">
        <f>IF(F68=0,0,Input_!F$191*F452*Input_!F$7/F68)</f>
        <v>0.2909778085842219</v>
      </c>
      <c r="G548" s="57">
        <f>IF(G68=0,0,Input_!G$191*G452*Input_!G$7/G68)</f>
        <v>0.2909778085842219</v>
      </c>
    </row>
    <row r="549" spans="2:7" ht="14.4" customHeight="1" x14ac:dyDescent="0.3">
      <c r="B549" s="36" t="s">
        <v>162</v>
      </c>
      <c r="C549" s="3" t="s">
        <v>220</v>
      </c>
      <c r="D549" s="57">
        <f>IF(D69=0,0,Input_!D$191*D453*Input_!D$7/D69)</f>
        <v>0.27542845233412483</v>
      </c>
      <c r="E549" s="57">
        <f>IF(E69=0,0,Input_!E$191*E453*Input_!E$7/E69)</f>
        <v>0.28971727297322386</v>
      </c>
      <c r="F549" s="57">
        <f>IF(F69=0,0,Input_!F$191*F453*Input_!F$7/F69)</f>
        <v>0.28971727297322386</v>
      </c>
      <c r="G549" s="57">
        <f>IF(G69=0,0,Input_!G$191*G453*Input_!G$7/G69)</f>
        <v>0.28971727297322386</v>
      </c>
    </row>
    <row r="550" spans="2:7" ht="14.4" customHeight="1" x14ac:dyDescent="0.3">
      <c r="B550" s="36" t="s">
        <v>164</v>
      </c>
      <c r="C550" s="3" t="s">
        <v>220</v>
      </c>
      <c r="D550" s="57">
        <f>IF(D70=0,0,Input_!D$191*D454*Input_!D$7/D70)</f>
        <v>0.29142960059331952</v>
      </c>
      <c r="E550" s="57">
        <f>IF(E70=0,0,Input_!E$191*E454*Input_!E$7/E70)</f>
        <v>0.30654069085936897</v>
      </c>
      <c r="F550" s="57">
        <f>IF(F70=0,0,Input_!F$191*F454*Input_!F$7/F70)</f>
        <v>0.30654069085936897</v>
      </c>
      <c r="G550" s="57">
        <f>IF(G70=0,0,Input_!G$191*G454*Input_!G$7/G70)</f>
        <v>0.30654069085936897</v>
      </c>
    </row>
    <row r="551" spans="2:7" ht="14.4" customHeight="1" x14ac:dyDescent="0.3">
      <c r="B551" s="36" t="s">
        <v>166</v>
      </c>
      <c r="C551" s="3" t="s">
        <v>220</v>
      </c>
      <c r="D551" s="57">
        <f>IF(D71=0,0,Input_!D$191*D455*Input_!D$7/D71)</f>
        <v>0.24756128132020913</v>
      </c>
      <c r="E551" s="57">
        <f>IF(E71=0,0,Input_!E$191*E455*Input_!E$7/E71)</f>
        <v>0.26006531177075953</v>
      </c>
      <c r="F551" s="57">
        <f>IF(F71=0,0,Input_!F$191*F455*Input_!F$7/F71)</f>
        <v>0.26006531177075953</v>
      </c>
      <c r="G551" s="57">
        <f>IF(G71=0,0,Input_!G$191*G455*Input_!G$7/G71)</f>
        <v>0.26006531177075953</v>
      </c>
    </row>
    <row r="552" spans="2:7" ht="14.4" customHeight="1" x14ac:dyDescent="0.3">
      <c r="B552" s="36" t="s">
        <v>168</v>
      </c>
      <c r="C552" s="3" t="s">
        <v>220</v>
      </c>
      <c r="D552" s="57">
        <f>IF(D72=0,0,Input_!D$191*D456*Input_!D$7/D72)</f>
        <v>0.19673696444848973</v>
      </c>
      <c r="E552" s="57">
        <f>IF(E72=0,0,Input_!E$191*E456*Input_!E$7/E72)</f>
        <v>0.20679482021687509</v>
      </c>
      <c r="F552" s="57">
        <f>IF(F72=0,0,Input_!F$191*F456*Input_!F$7/F72)</f>
        <v>0.20679482021687509</v>
      </c>
      <c r="G552" s="57">
        <f>IF(G72=0,0,Input_!G$191*G456*Input_!G$7/G72)</f>
        <v>0.20679482021687509</v>
      </c>
    </row>
    <row r="553" spans="2:7" ht="14.4" customHeight="1" x14ac:dyDescent="0.3">
      <c r="B553" s="36" t="s">
        <v>170</v>
      </c>
      <c r="C553" s="3" t="s">
        <v>220</v>
      </c>
      <c r="D553" s="57">
        <f>IF(D73=0,0,Input_!D$191*D457*Input_!D$7/D73)</f>
        <v>0.18563112852150049</v>
      </c>
      <c r="E553" s="57">
        <f>IF(E73=0,0,Input_!E$191*E457*Input_!E$7/E73)</f>
        <v>0.19515446033873371</v>
      </c>
      <c r="F553" s="57">
        <f>IF(F73=0,0,Input_!F$191*F457*Input_!F$7/F73)</f>
        <v>0.19515446033873371</v>
      </c>
      <c r="G553" s="57">
        <f>IF(G73=0,0,Input_!G$191*G457*Input_!G$7/G73)</f>
        <v>0.19515446033873371</v>
      </c>
    </row>
    <row r="554" spans="2:7" ht="14.4" customHeight="1" x14ac:dyDescent="0.3">
      <c r="B554" s="36" t="s">
        <v>172</v>
      </c>
      <c r="C554" s="3" t="s">
        <v>220</v>
      </c>
      <c r="D554" s="57">
        <f>IF(D74=0,0,Input_!D$191*D458*Input_!D$7/D74)</f>
        <v>0.18836266180524183</v>
      </c>
      <c r="E554" s="57">
        <f>IF(E74=0,0,Input_!E$191*E458*Input_!E$7/E74)</f>
        <v>0.19802701573812448</v>
      </c>
      <c r="F554" s="57">
        <f>IF(F74=0,0,Input_!F$191*F458*Input_!F$7/F74)</f>
        <v>0.19802701573812448</v>
      </c>
      <c r="G554" s="57">
        <f>IF(G74=0,0,Input_!G$191*G458*Input_!G$7/G74)</f>
        <v>0.19802701573812448</v>
      </c>
    </row>
    <row r="555" spans="2:7" ht="14.4" customHeight="1" x14ac:dyDescent="0.3">
      <c r="B555" s="36" t="s">
        <v>174</v>
      </c>
      <c r="C555" s="3" t="s">
        <v>220</v>
      </c>
      <c r="D555" s="57">
        <f>IF(D75=0,0,Input_!D$191*D459*Input_!D$7/D75)</f>
        <v>0.17585268334275708</v>
      </c>
      <c r="E555" s="57">
        <f>IF(E75=0,0,Input_!E$191*E459*Input_!E$7/E75)</f>
        <v>0.18490537853367697</v>
      </c>
      <c r="F555" s="57">
        <f>IF(F75=0,0,Input_!F$191*F459*Input_!F$7/F75)</f>
        <v>0.18490537853367697</v>
      </c>
      <c r="G555" s="57">
        <f>IF(G75=0,0,Input_!G$191*G459*Input_!G$7/G75)</f>
        <v>0.18490537853367697</v>
      </c>
    </row>
    <row r="556" spans="2:7" ht="14.4" customHeight="1" x14ac:dyDescent="0.3">
      <c r="B556" s="36" t="s">
        <v>176</v>
      </c>
      <c r="C556" s="3" t="s">
        <v>220</v>
      </c>
      <c r="D556" s="57">
        <f>IF(D76=0,0,Input_!D$191*D460*Input_!D$7/D76)</f>
        <v>0.16691491897123589</v>
      </c>
      <c r="E556" s="57">
        <f>IF(E76=0,0,Input_!E$191*E460*Input_!E$7/E76)</f>
        <v>0.17553743950824058</v>
      </c>
      <c r="F556" s="57">
        <f>IF(F76=0,0,Input_!F$191*F460*Input_!F$7/F76)</f>
        <v>0.17553743950824058</v>
      </c>
      <c r="G556" s="57">
        <f>IF(G76=0,0,Input_!G$191*G460*Input_!G$7/G76)</f>
        <v>0.17553743950824058</v>
      </c>
    </row>
    <row r="557" spans="2:7" ht="14.4" customHeight="1" x14ac:dyDescent="0.3">
      <c r="B557" s="36" t="s">
        <v>178</v>
      </c>
      <c r="C557" s="3" t="s">
        <v>220</v>
      </c>
      <c r="D557" s="57">
        <f>IF(D77=0,0,Input_!D$191*D461*Input_!D$7/D77)</f>
        <v>0.15755435606508833</v>
      </c>
      <c r="E557" s="57">
        <f>IF(E77=0,0,Input_!E$191*E461*Input_!E$7/E77)</f>
        <v>0.16572635265211794</v>
      </c>
      <c r="F557" s="57">
        <f>IF(F77=0,0,Input_!F$191*F461*Input_!F$7/F77)</f>
        <v>0.16572635265211794</v>
      </c>
      <c r="G557" s="57">
        <f>IF(G77=0,0,Input_!G$191*G461*Input_!G$7/G77)</f>
        <v>0.16572635265211794</v>
      </c>
    </row>
    <row r="558" spans="2:7" ht="14.4" customHeight="1" x14ac:dyDescent="0.3">
      <c r="B558" s="36" t="s">
        <v>180</v>
      </c>
      <c r="C558" s="3" t="s">
        <v>220</v>
      </c>
      <c r="D558" s="57">
        <f>IF(D78=0,0,Input_!D$191*D462*Input_!D$7/D78)</f>
        <v>0.14121761733760488</v>
      </c>
      <c r="E558" s="57">
        <f>IF(E78=0,0,Input_!E$191*E462*Input_!E$7/E78)</f>
        <v>0.14860332658967268</v>
      </c>
      <c r="F558" s="57">
        <f>IF(F78=0,0,Input_!F$191*F462*Input_!F$7/F78)</f>
        <v>0.14860332658967268</v>
      </c>
      <c r="G558" s="57">
        <f>IF(G78=0,0,Input_!G$191*G462*Input_!G$7/G78)</f>
        <v>0.14860332658967268</v>
      </c>
    </row>
    <row r="559" spans="2:7" ht="14.4" customHeight="1" x14ac:dyDescent="0.3">
      <c r="B559" s="36" t="s">
        <v>182</v>
      </c>
      <c r="C559" s="3" t="s">
        <v>220</v>
      </c>
      <c r="D559" s="57">
        <f>IF(D79=0,0,Input_!D$191*D463*Input_!D$7/D79)</f>
        <v>0.23513845388317378</v>
      </c>
      <c r="E559" s="57">
        <f>IF(E79=0,0,Input_!E$191*E463*Input_!E$7/E79)</f>
        <v>0.24708599682203883</v>
      </c>
      <c r="F559" s="57">
        <f>IF(F79=0,0,Input_!F$191*F463*Input_!F$7/F79)</f>
        <v>0.24708599682203883</v>
      </c>
      <c r="G559" s="57">
        <f>IF(G79=0,0,Input_!G$191*G463*Input_!G$7/G79)</f>
        <v>0.24708599682203883</v>
      </c>
    </row>
    <row r="560" spans="2:7" ht="14.4" customHeight="1" x14ac:dyDescent="0.3">
      <c r="B560" s="36" t="s">
        <v>184</v>
      </c>
      <c r="C560" s="3" t="s">
        <v>220</v>
      </c>
      <c r="D560" s="57">
        <f>IF(D80=0,0,Input_!D$191*D464*Input_!D$7/D80)</f>
        <v>0.25658285925929536</v>
      </c>
      <c r="E560" s="57">
        <f>IF(E80=0,0,Input_!E$191*E464*Input_!E$7/E80)</f>
        <v>0.26963491234957604</v>
      </c>
      <c r="F560" s="57">
        <f>IF(F80=0,0,Input_!F$191*F464*Input_!F$7/F80)</f>
        <v>0.26963491234957604</v>
      </c>
      <c r="G560" s="57">
        <f>IF(G80=0,0,Input_!G$191*G464*Input_!G$7/G80)</f>
        <v>0.26963491234957604</v>
      </c>
    </row>
    <row r="561" spans="2:7" ht="14.4" customHeight="1" x14ac:dyDescent="0.3">
      <c r="B561" s="36" t="s">
        <v>186</v>
      </c>
      <c r="C561" s="3" t="s">
        <v>220</v>
      </c>
      <c r="D561" s="57">
        <f>IF(D81=0,0,Input_!D$191*D465*Input_!D$7/D81)</f>
        <v>0.2699189369136577</v>
      </c>
      <c r="E561" s="57">
        <f>IF(E81=0,0,Input_!E$191*E465*Input_!E$7/E81)</f>
        <v>0.28365630654623919</v>
      </c>
      <c r="F561" s="57">
        <f>IF(F81=0,0,Input_!F$191*F465*Input_!F$7/F81)</f>
        <v>0.28365630654623919</v>
      </c>
      <c r="G561" s="57">
        <f>IF(G81=0,0,Input_!G$191*G465*Input_!G$7/G81)</f>
        <v>0.28365630654623919</v>
      </c>
    </row>
    <row r="562" spans="2:7" ht="14.4" customHeight="1" x14ac:dyDescent="0.3">
      <c r="B562" s="36" t="s">
        <v>188</v>
      </c>
      <c r="C562" s="3" t="s">
        <v>220</v>
      </c>
      <c r="D562" s="57">
        <f>IF(D82=0,0,Input_!D$191*D466*Input_!D$7/D82)</f>
        <v>0.27695152378299304</v>
      </c>
      <c r="E562" s="57">
        <f>IF(E82=0,0,Input_!E$191*E466*Input_!E$7/E82)</f>
        <v>0.29107868497833916</v>
      </c>
      <c r="F562" s="57">
        <f>IF(F82=0,0,Input_!F$191*F466*Input_!F$7/F82)</f>
        <v>0.29107868497833916</v>
      </c>
      <c r="G562" s="57">
        <f>IF(G82=0,0,Input_!G$191*G466*Input_!G$7/G82)</f>
        <v>0.29107868497833916</v>
      </c>
    </row>
    <row r="563" spans="2:7" ht="14.4" customHeight="1" x14ac:dyDescent="0.3">
      <c r="B563" s="36" t="s">
        <v>190</v>
      </c>
      <c r="C563" s="3" t="s">
        <v>220</v>
      </c>
      <c r="D563" s="57">
        <f>IF(D83=0,0,Input_!D$191*D467*Input_!D$7/D83)</f>
        <v>0.27165179331407119</v>
      </c>
      <c r="E563" s="57">
        <f>IF(E83=0,0,Input_!E$191*E467*Input_!E$7/E83)</f>
        <v>0.285523878449505</v>
      </c>
      <c r="F563" s="57">
        <f>IF(F83=0,0,Input_!F$191*F467*Input_!F$7/F83)</f>
        <v>0.285523878449505</v>
      </c>
      <c r="G563" s="57">
        <f>IF(G83=0,0,Input_!G$191*G467*Input_!G$7/G83)</f>
        <v>0.285523878449505</v>
      </c>
    </row>
    <row r="564" spans="2:7" ht="14.4" customHeight="1" x14ac:dyDescent="0.3">
      <c r="B564" s="36" t="s">
        <v>192</v>
      </c>
      <c r="C564" s="3" t="s">
        <v>220</v>
      </c>
      <c r="D564" s="57">
        <f>IF(D84=0,0,Input_!D$191*D468*Input_!D$7/D84)</f>
        <v>0.25221780950734779</v>
      </c>
      <c r="E564" s="57">
        <f>IF(E84=0,0,Input_!E$191*E468*Input_!E$7/E84)</f>
        <v>0.26515453688319568</v>
      </c>
      <c r="F564" s="57">
        <f>IF(F84=0,0,Input_!F$191*F468*Input_!F$7/F84)</f>
        <v>0.26515453688319568</v>
      </c>
      <c r="G564" s="57">
        <f>IF(G84=0,0,Input_!G$191*G468*Input_!G$7/G84)</f>
        <v>0.26515453688319568</v>
      </c>
    </row>
    <row r="565" spans="2:7" ht="14.4" customHeight="1" x14ac:dyDescent="0.3">
      <c r="B565" s="36" t="s">
        <v>194</v>
      </c>
      <c r="C565" s="3" t="s">
        <v>220</v>
      </c>
      <c r="D565" s="57">
        <f>IF(D85=0,0,Input_!D$191*D469*Input_!D$7/D85)</f>
        <v>0.19156860810404205</v>
      </c>
      <c r="E565" s="57">
        <f>IF(E85=0,0,Input_!E$191*E469*Input_!E$7/E85)</f>
        <v>0.20155096411403303</v>
      </c>
      <c r="F565" s="57">
        <f>IF(F85=0,0,Input_!F$191*F469*Input_!F$7/F85)</f>
        <v>0.20155096411403303</v>
      </c>
      <c r="G565" s="57">
        <f>IF(G85=0,0,Input_!G$191*G469*Input_!G$7/G85)</f>
        <v>0.20155096411403303</v>
      </c>
    </row>
    <row r="566" spans="2:7" ht="14.4" customHeight="1" x14ac:dyDescent="0.3">
      <c r="B566" s="36" t="s">
        <v>196</v>
      </c>
      <c r="C566" s="3" t="s">
        <v>220</v>
      </c>
      <c r="D566" s="57">
        <f>IF(D86=0,0,Input_!D$191*D470*Input_!D$7/D86)</f>
        <v>0.19671857401844764</v>
      </c>
      <c r="E566" s="57">
        <f>IF(E86=0,0,Input_!E$191*E470*Input_!E$7/E86)</f>
        <v>0.20696680966940606</v>
      </c>
      <c r="F566" s="57">
        <f>IF(F86=0,0,Input_!F$191*F470*Input_!F$7/F86)</f>
        <v>0.20696680966940606</v>
      </c>
      <c r="G566" s="57">
        <f>IF(G86=0,0,Input_!G$191*G470*Input_!G$7/G86)</f>
        <v>0.20696680966940606</v>
      </c>
    </row>
    <row r="567" spans="2:7" ht="14.4" customHeight="1" x14ac:dyDescent="0.3">
      <c r="B567" s="36" t="s">
        <v>198</v>
      </c>
      <c r="C567" s="3" t="s">
        <v>220</v>
      </c>
      <c r="D567" s="57">
        <f>IF(D87=0,0,Input_!D$191*D471*Input_!D$7/D87)</f>
        <v>0.20271596712184359</v>
      </c>
      <c r="E567" s="57">
        <f>IF(E87=0,0,Input_!E$191*E471*Input_!E$7/E87)</f>
        <v>0.21327017052064359</v>
      </c>
      <c r="F567" s="57">
        <f>IF(F87=0,0,Input_!F$191*F471*Input_!F$7/F87)</f>
        <v>0.21327017052064359</v>
      </c>
      <c r="G567" s="57">
        <f>IF(G87=0,0,Input_!G$191*G471*Input_!G$7/G87)</f>
        <v>0.21327017052064359</v>
      </c>
    </row>
    <row r="568" spans="2:7" ht="14.4" customHeight="1" x14ac:dyDescent="0.3">
      <c r="B568" s="36" t="s">
        <v>200</v>
      </c>
      <c r="C568" s="3" t="s">
        <v>220</v>
      </c>
      <c r="D568" s="57">
        <f>IF(D88=0,0,Input_!D$191*D472*Input_!D$7/D88)</f>
        <v>0.21403371585344094</v>
      </c>
      <c r="E568" s="57">
        <f>IF(E88=0,0,Input_!E$191*E472*Input_!E$7/E88)</f>
        <v>0.22514806772493043</v>
      </c>
      <c r="F568" s="57">
        <f>IF(F88=0,0,Input_!F$191*F472*Input_!F$7/F88)</f>
        <v>0.22514806772493043</v>
      </c>
      <c r="G568" s="57">
        <f>IF(G88=0,0,Input_!G$191*G472*Input_!G$7/G88)</f>
        <v>0.22514806772493043</v>
      </c>
    </row>
    <row r="569" spans="2:7" ht="14.4" customHeight="1" x14ac:dyDescent="0.3">
      <c r="B569" s="36" t="s">
        <v>202</v>
      </c>
      <c r="C569" s="3" t="s">
        <v>220</v>
      </c>
      <c r="D569" s="57">
        <f>IF(D89=0,0,Input_!D$191*D473*Input_!D$7/D89)</f>
        <v>0.21469198142823823</v>
      </c>
      <c r="E569" s="57">
        <f>IF(E89=0,0,Input_!E$191*E473*Input_!E$7/E89)</f>
        <v>0.22582259046891823</v>
      </c>
      <c r="F569" s="57">
        <f>IF(F89=0,0,Input_!F$191*F473*Input_!F$7/F89)</f>
        <v>0.22582259046891823</v>
      </c>
      <c r="G569" s="57">
        <f>IF(G89=0,0,Input_!G$191*G473*Input_!G$7/G89)</f>
        <v>0.22582259046891823</v>
      </c>
    </row>
    <row r="570" spans="2:7" ht="14.4" customHeight="1" x14ac:dyDescent="0.3">
      <c r="B570" s="36" t="s">
        <v>204</v>
      </c>
      <c r="C570" s="3" t="s">
        <v>220</v>
      </c>
      <c r="D570" s="57">
        <f>IF(D90=0,0,Input_!D$191*D474*Input_!D$7/D90)</f>
        <v>5.2954955870128592E-2</v>
      </c>
      <c r="E570" s="57">
        <f>IF(E90=0,0,Input_!E$191*E474*Input_!E$7/E90)</f>
        <v>5.5921919370770887E-2</v>
      </c>
      <c r="F570" s="57">
        <f>IF(F90=0,0,Input_!F$191*F474*Input_!F$7/F90)</f>
        <v>5.5921919370770887E-2</v>
      </c>
      <c r="G570" s="57">
        <f>IF(G90=0,0,Input_!G$191*G474*Input_!G$7/G90)</f>
        <v>5.5921919370770887E-2</v>
      </c>
    </row>
    <row r="571" spans="2:7" ht="14.4" customHeight="1" x14ac:dyDescent="0.3">
      <c r="B571" s="36" t="s">
        <v>206</v>
      </c>
      <c r="C571" s="3" t="s">
        <v>220</v>
      </c>
      <c r="D571" s="57">
        <f>IF(D91=0,0,Input_!D$191*D475*Input_!D$7/D91)</f>
        <v>1.6868946841028777E-2</v>
      </c>
      <c r="E571" s="57">
        <f>IF(E91=0,0,Input_!E$191*E475*Input_!E$7/E91)</f>
        <v>1.8027761699522086E-2</v>
      </c>
      <c r="F571" s="57">
        <f>IF(F91=0,0,Input_!F$191*F475*Input_!F$7/F91)</f>
        <v>1.8027761699522086E-2</v>
      </c>
      <c r="G571" s="57">
        <f>IF(G91=0,0,Input_!G$191*G475*Input_!G$7/G91)</f>
        <v>1.8027761699522086E-2</v>
      </c>
    </row>
    <row r="572" spans="2:7" ht="14.4" customHeight="1" x14ac:dyDescent="0.3">
      <c r="B572" s="36" t="s">
        <v>208</v>
      </c>
      <c r="C572" s="3" t="s">
        <v>220</v>
      </c>
      <c r="D572" s="57">
        <f>IF(D92=0,0,Input_!D$191*D476*Input_!D$7/D92)</f>
        <v>1.6869486669740981E-2</v>
      </c>
      <c r="E572" s="57">
        <f>IF(E92=0,0,Input_!E$191*E476*Input_!E$7/E92)</f>
        <v>1.8028329398217614E-2</v>
      </c>
      <c r="F572" s="57">
        <f>IF(F92=0,0,Input_!F$191*F476*Input_!F$7/F92)</f>
        <v>1.8028329398217614E-2</v>
      </c>
      <c r="G572" s="57">
        <f>IF(G92=0,0,Input_!G$191*G476*Input_!G$7/G92)</f>
        <v>1.8028329398217614E-2</v>
      </c>
    </row>
    <row r="573" spans="2:7" ht="14.4" customHeight="1" x14ac:dyDescent="0.3">
      <c r="B573" s="36" t="s">
        <v>209</v>
      </c>
      <c r="C573" s="3" t="s">
        <v>220</v>
      </c>
      <c r="D573" s="57">
        <f>IF(D93=0,0,Input_!D$191*D477*Input_!D$7/D93)</f>
        <v>1.7582060569847419E-2</v>
      </c>
      <c r="E573" s="57">
        <f>IF(E93=0,0,Input_!E$191*E477*Input_!E$7/E93)</f>
        <v>1.8777691676319545E-2</v>
      </c>
      <c r="F573" s="57">
        <f>IF(F93=0,0,Input_!F$191*F477*Input_!F$7/F93)</f>
        <v>1.8777691676319545E-2</v>
      </c>
      <c r="G573" s="57">
        <f>IF(G93=0,0,Input_!G$191*G477*Input_!G$7/G93)</f>
        <v>1.8777691676319545E-2</v>
      </c>
    </row>
    <row r="574" spans="2:7" ht="14.4" customHeight="1" x14ac:dyDescent="0.3">
      <c r="B574" s="36" t="s">
        <v>211</v>
      </c>
      <c r="C574" s="3" t="s">
        <v>220</v>
      </c>
      <c r="D574" s="57">
        <f>IF(D94=0,0,Input_!D$191*D478*Input_!D$7/D94)</f>
        <v>1.6869486669740984E-2</v>
      </c>
      <c r="E574" s="57">
        <f>IF(E94=0,0,Input_!E$191*E478*Input_!E$7/E94)</f>
        <v>1.8028329398217618E-2</v>
      </c>
      <c r="F574" s="57">
        <f>IF(F94=0,0,Input_!F$191*F478*Input_!F$7/F94)</f>
        <v>1.8028329398217618E-2</v>
      </c>
      <c r="G574" s="57">
        <f>IF(G94=0,0,Input_!G$191*G478*Input_!G$7/G94)</f>
        <v>1.8028329398217618E-2</v>
      </c>
    </row>
    <row r="575" spans="2:7" ht="14.4" customHeight="1" x14ac:dyDescent="0.3">
      <c r="B575" s="36" t="s">
        <v>212</v>
      </c>
      <c r="C575" s="3" t="s">
        <v>220</v>
      </c>
      <c r="D575" s="57">
        <f>IF(D95=0,0,Input_!D$191*D479*Input_!D$7/D95)</f>
        <v>1.3452149244657017E-2</v>
      </c>
      <c r="E575" s="57">
        <f>IF(E95=0,0,Input_!E$191*E479*Input_!E$7/E95)</f>
        <v>1.4439759858053682E-2</v>
      </c>
      <c r="F575" s="57">
        <f>IF(F95=0,0,Input_!F$191*F479*Input_!F$7/F95)</f>
        <v>1.4439759858053682E-2</v>
      </c>
      <c r="G575" s="57">
        <f>IF(G95=0,0,Input_!G$191*G479*Input_!G$7/G95)</f>
        <v>1.4439759858053682E-2</v>
      </c>
    </row>
    <row r="578" spans="2:14" ht="28.8" customHeight="1" x14ac:dyDescent="0.3">
      <c r="B578" s="32" t="s">
        <v>633</v>
      </c>
      <c r="C578" s="5"/>
      <c r="D578" s="5"/>
      <c r="E578" s="5"/>
      <c r="F578" s="5"/>
      <c r="G578" s="5"/>
    </row>
    <row r="579" spans="2:14" ht="14.4" customHeight="1" x14ac:dyDescent="0.3">
      <c r="B579" s="37" t="s">
        <v>260</v>
      </c>
    </row>
    <row r="580" spans="2:14" ht="14.4" customHeight="1" x14ac:dyDescent="0.3">
      <c r="B580" s="9" t="s">
        <v>1</v>
      </c>
      <c r="C580" s="9" t="s">
        <v>214</v>
      </c>
      <c r="D580" s="6"/>
      <c r="E580" s="6"/>
      <c r="F580" s="6"/>
      <c r="G580" s="6"/>
    </row>
    <row r="581" spans="2:14" ht="14.4" customHeight="1" x14ac:dyDescent="0.3">
      <c r="B581" s="25"/>
      <c r="C581" s="25"/>
      <c r="D581" s="23" t="str">
        <f>Input_!D$5</f>
        <v>2023-24</v>
      </c>
      <c r="E581" s="23" t="str">
        <f>Input_!E$5</f>
        <v>2024-25</v>
      </c>
      <c r="F581" s="23" t="str">
        <f>Input_!F$5</f>
        <v>2025-26</v>
      </c>
      <c r="G581" s="23" t="str">
        <f>Input_!G$5</f>
        <v>2026-27</v>
      </c>
    </row>
    <row r="582" spans="2:14" ht="14.4" customHeight="1" x14ac:dyDescent="0.3">
      <c r="B582" s="24"/>
      <c r="C582" s="24"/>
      <c r="D582" s="8"/>
      <c r="E582" s="8"/>
      <c r="F582" s="8"/>
      <c r="G582" s="8"/>
    </row>
    <row r="583" spans="2:14" ht="14.4" customHeight="1" x14ac:dyDescent="0.3">
      <c r="B583" s="36" t="s">
        <v>225</v>
      </c>
      <c r="C583" s="3" t="s">
        <v>224</v>
      </c>
      <c r="D583" s="57">
        <f>IF('RPM &amp; Discounts'!$B$3='A0.Support'!$B$5,1,SUMPRODUCT(D$487:D$488,D$7:D$8)/SUM(D$7:D$8))</f>
        <v>3.244778208810687E-2</v>
      </c>
      <c r="E583" s="57">
        <f>IF('RPM &amp; Discounts'!$B$3='A0.Support'!$B$5,1,SUMPRODUCT(E$487:E$488,E$7:E$8)/SUM(E$7:E$8))</f>
        <v>3.4138454756156067E-2</v>
      </c>
      <c r="F583" s="57">
        <f>IF('RPM &amp; Discounts'!$B$3='A0.Support'!$B$5,1,SUMPRODUCT(F$487:F$488,F$7:F$8)/SUM(F$7:F$8))</f>
        <v>3.4138454756156067E-2</v>
      </c>
      <c r="G583" s="57">
        <f>IF('RPM &amp; Discounts'!$B$3='A0.Support'!$B$5,1,SUMPRODUCT(G$487:G$488,G$7:G$8)/SUM(G$7:G$8))</f>
        <v>3.4138454756156067E-2</v>
      </c>
      <c r="J583"/>
      <c r="K583"/>
      <c r="L583"/>
      <c r="M583"/>
      <c r="N583"/>
    </row>
    <row r="584" spans="2:14" ht="14.4" customHeight="1" x14ac:dyDescent="0.3">
      <c r="B584" s="36" t="s">
        <v>217</v>
      </c>
      <c r="C584" s="3" t="s">
        <v>14</v>
      </c>
      <c r="D584" s="57">
        <f>IF('RPM &amp; Discounts'!$B$3='A0.Support'!$B$5,1,D489)</f>
        <v>0</v>
      </c>
      <c r="E584" s="57">
        <f>IF('RPM &amp; Discounts'!$B$3='A0.Support'!$B$5,1,E489)</f>
        <v>0</v>
      </c>
      <c r="F584" s="57">
        <f>IF('RPM &amp; Discounts'!$B$3='A0.Support'!$B$5,1,F489)</f>
        <v>0</v>
      </c>
      <c r="G584" s="57">
        <f>IF('RPM &amp; Discounts'!$B$3='A0.Support'!$B$5,1,G489)</f>
        <v>0</v>
      </c>
      <c r="J584"/>
      <c r="K584"/>
      <c r="L584"/>
      <c r="M584"/>
      <c r="N584"/>
    </row>
    <row r="585" spans="2:14" ht="14.4" customHeight="1" x14ac:dyDescent="0.3">
      <c r="B585" s="36" t="s">
        <v>218</v>
      </c>
      <c r="C585" s="3" t="s">
        <v>15</v>
      </c>
      <c r="D585" s="57">
        <f>IF('RPM &amp; Discounts'!$B$3='A0.Support'!$B$5,1,D490)</f>
        <v>6.5919307154819889E-2</v>
      </c>
      <c r="E585" s="57">
        <f>IF('RPM &amp; Discounts'!$B$3='A0.Support'!$B$5,1,E490)</f>
        <v>6.9308347532334433E-2</v>
      </c>
      <c r="F585" s="57">
        <f>IF('RPM &amp; Discounts'!$B$3='A0.Support'!$B$5,1,F490)</f>
        <v>6.9308347532334433E-2</v>
      </c>
      <c r="G585" s="57">
        <f>IF('RPM &amp; Discounts'!$B$3='A0.Support'!$B$5,1,G490)</f>
        <v>6.9308347532334433E-2</v>
      </c>
      <c r="J585"/>
      <c r="K585"/>
      <c r="L585"/>
      <c r="M585"/>
      <c r="N585"/>
    </row>
    <row r="586" spans="2:14" ht="14.4" customHeight="1" x14ac:dyDescent="0.3">
      <c r="B586" s="36" t="s">
        <v>227</v>
      </c>
      <c r="C586" s="3" t="s">
        <v>220</v>
      </c>
      <c r="D586" s="57">
        <f>IF('RPM &amp; Discounts'!$B$3='A0.Support'!$B$5,1,SUMPRODUCT(D$491:D$575,D$11:D$95)/SUM(D$11:D$95))</f>
        <v>0.15640388150749171</v>
      </c>
      <c r="E586" s="57">
        <f>IF('RPM &amp; Discounts'!$B$3='A0.Support'!$B$5,1,SUMPRODUCT(E$491:E$575,E$11:E$95)/SUM(E$11:E$95))</f>
        <v>0.16459629927904959</v>
      </c>
      <c r="F586" s="57">
        <f>IF('RPM &amp; Discounts'!$B$3='A0.Support'!$B$5,1,SUMPRODUCT(F$491:F$575,F$11:F$95)/SUM(F$11:F$95))</f>
        <v>0.16459629927904959</v>
      </c>
      <c r="G586" s="57">
        <f>IF('RPM &amp; Discounts'!$B$3='A0.Support'!$B$5,1,SUMPRODUCT(G$491:G$575,G$11:G$95)/SUM(G$11:G$95))</f>
        <v>0.16459629927904959</v>
      </c>
      <c r="J586"/>
      <c r="K586"/>
      <c r="L586"/>
      <c r="M586"/>
      <c r="N586"/>
    </row>
    <row r="589" spans="2:14" ht="28.8" customHeight="1" x14ac:dyDescent="0.3">
      <c r="B589" s="32" t="s">
        <v>634</v>
      </c>
      <c r="C589" s="5"/>
      <c r="D589" s="5"/>
      <c r="E589" s="5"/>
      <c r="F589" s="5"/>
      <c r="G589" s="5"/>
    </row>
    <row r="590" spans="2:14" ht="14.4" customHeight="1" x14ac:dyDescent="0.3">
      <c r="B590" s="37"/>
    </row>
    <row r="591" spans="2:14" ht="14.4" customHeight="1" x14ac:dyDescent="0.3">
      <c r="B591" s="9" t="s">
        <v>1</v>
      </c>
      <c r="C591" s="9" t="s">
        <v>238</v>
      </c>
      <c r="D591" s="6"/>
      <c r="E591" s="6"/>
      <c r="F591" s="6"/>
      <c r="G591" s="6"/>
    </row>
    <row r="592" spans="2:14" ht="14.4" customHeight="1" x14ac:dyDescent="0.3">
      <c r="B592" s="25"/>
      <c r="C592" s="25"/>
      <c r="D592" s="23" t="str">
        <f>Input_!D$5</f>
        <v>2023-24</v>
      </c>
      <c r="E592" s="23" t="str">
        <f>Input_!E$5</f>
        <v>2024-25</v>
      </c>
      <c r="F592" s="23" t="str">
        <f>Input_!F$5</f>
        <v>2025-26</v>
      </c>
      <c r="G592" s="23" t="str">
        <f>Input_!G$5</f>
        <v>2026-27</v>
      </c>
    </row>
    <row r="593" spans="2:7" ht="14.4" customHeight="1" x14ac:dyDescent="0.3">
      <c r="B593" s="24"/>
      <c r="C593" s="24"/>
      <c r="D593" s="8"/>
      <c r="E593" s="8"/>
      <c r="F593" s="8"/>
      <c r="G593" s="8"/>
    </row>
    <row r="594" spans="2:7" ht="14.4" customHeight="1" x14ac:dyDescent="0.3">
      <c r="B594" s="36" t="s">
        <v>225</v>
      </c>
      <c r="C594" s="3" t="s">
        <v>224</v>
      </c>
      <c r="D594" s="57">
        <f t="shared" ref="D594:G594" si="178">D583</f>
        <v>3.244778208810687E-2</v>
      </c>
      <c r="E594" s="57">
        <f t="shared" si="178"/>
        <v>3.4138454756156067E-2</v>
      </c>
      <c r="F594" s="57">
        <f t="shared" si="178"/>
        <v>3.4138454756156067E-2</v>
      </c>
      <c r="G594" s="57">
        <f t="shared" si="178"/>
        <v>3.4138454756156067E-2</v>
      </c>
    </row>
    <row r="595" spans="2:7" ht="14.4" customHeight="1" x14ac:dyDescent="0.3">
      <c r="B595" s="36" t="s">
        <v>217</v>
      </c>
      <c r="C595" s="3" t="s">
        <v>14</v>
      </c>
      <c r="D595" s="57">
        <f t="shared" ref="D595:G597" si="179">D584</f>
        <v>0</v>
      </c>
      <c r="E595" s="57">
        <f t="shared" si="179"/>
        <v>0</v>
      </c>
      <c r="F595" s="57">
        <f t="shared" si="179"/>
        <v>0</v>
      </c>
      <c r="G595" s="57">
        <f t="shared" si="179"/>
        <v>0</v>
      </c>
    </row>
    <row r="596" spans="2:7" ht="14.4" customHeight="1" x14ac:dyDescent="0.3">
      <c r="B596" s="36" t="s">
        <v>218</v>
      </c>
      <c r="C596" s="3" t="s">
        <v>15</v>
      </c>
      <c r="D596" s="57">
        <f t="shared" si="179"/>
        <v>6.5919307154819889E-2</v>
      </c>
      <c r="E596" s="57">
        <f t="shared" si="179"/>
        <v>6.9308347532334433E-2</v>
      </c>
      <c r="F596" s="57">
        <f t="shared" si="179"/>
        <v>6.9308347532334433E-2</v>
      </c>
      <c r="G596" s="57">
        <f t="shared" si="179"/>
        <v>6.9308347532334433E-2</v>
      </c>
    </row>
    <row r="597" spans="2:7" ht="14.4" customHeight="1" x14ac:dyDescent="0.3">
      <c r="B597" s="36" t="s">
        <v>227</v>
      </c>
      <c r="C597" s="3" t="s">
        <v>220</v>
      </c>
      <c r="D597" s="57">
        <f t="shared" si="179"/>
        <v>0.15640388150749171</v>
      </c>
      <c r="E597" s="57">
        <f t="shared" si="179"/>
        <v>0.16459629927904959</v>
      </c>
      <c r="F597" s="57">
        <f t="shared" si="179"/>
        <v>0.16459629927904959</v>
      </c>
      <c r="G597" s="57">
        <f t="shared" si="179"/>
        <v>0.16459629927904959</v>
      </c>
    </row>
    <row r="598" spans="2:7" ht="14.4" customHeight="1" x14ac:dyDescent="0.3">
      <c r="B598" s="9" t="s">
        <v>1</v>
      </c>
      <c r="C598" s="9" t="s">
        <v>239</v>
      </c>
      <c r="D598" s="6"/>
      <c r="E598" s="6"/>
      <c r="F598" s="6"/>
      <c r="G598" s="6"/>
    </row>
    <row r="599" spans="2:7" ht="14.4" customHeight="1" x14ac:dyDescent="0.3">
      <c r="B599" s="25"/>
      <c r="C599" s="25"/>
      <c r="D599" s="23" t="str">
        <f>Input_!D$5</f>
        <v>2023-24</v>
      </c>
      <c r="E599" s="23" t="str">
        <f>Input_!E$5</f>
        <v>2024-25</v>
      </c>
      <c r="F599" s="23" t="str">
        <f>Input_!F$5</f>
        <v>2025-26</v>
      </c>
      <c r="G599" s="23" t="str">
        <f>Input_!G$5</f>
        <v>2026-27</v>
      </c>
    </row>
    <row r="600" spans="2:7" ht="14.4" customHeight="1" x14ac:dyDescent="0.3">
      <c r="B600" s="24"/>
      <c r="C600" s="24"/>
      <c r="D600" s="8"/>
      <c r="E600" s="8"/>
      <c r="F600" s="8"/>
      <c r="G600" s="8"/>
    </row>
    <row r="601" spans="2:7" ht="14.4" customHeight="1" x14ac:dyDescent="0.3">
      <c r="B601" s="36" t="s">
        <v>225</v>
      </c>
      <c r="C601" s="3" t="s">
        <v>224</v>
      </c>
      <c r="D601" s="57">
        <f t="shared" ref="D601:G601" si="180">D583</f>
        <v>3.244778208810687E-2</v>
      </c>
      <c r="E601" s="57">
        <f t="shared" si="180"/>
        <v>3.4138454756156067E-2</v>
      </c>
      <c r="F601" s="57">
        <f t="shared" si="180"/>
        <v>3.4138454756156067E-2</v>
      </c>
      <c r="G601" s="57">
        <f t="shared" si="180"/>
        <v>3.4138454756156067E-2</v>
      </c>
    </row>
    <row r="602" spans="2:7" ht="14.4" customHeight="1" x14ac:dyDescent="0.3">
      <c r="B602" s="36" t="s">
        <v>217</v>
      </c>
      <c r="C602" s="3" t="s">
        <v>14</v>
      </c>
      <c r="D602" s="57">
        <f t="shared" ref="D602:G603" si="181">D584</f>
        <v>0</v>
      </c>
      <c r="E602" s="57">
        <f t="shared" si="181"/>
        <v>0</v>
      </c>
      <c r="F602" s="57">
        <f t="shared" si="181"/>
        <v>0</v>
      </c>
      <c r="G602" s="57">
        <f t="shared" si="181"/>
        <v>0</v>
      </c>
    </row>
    <row r="603" spans="2:7" ht="14.4" customHeight="1" x14ac:dyDescent="0.3">
      <c r="B603" s="36" t="s">
        <v>218</v>
      </c>
      <c r="C603" s="3" t="s">
        <v>15</v>
      </c>
      <c r="D603" s="57">
        <f t="shared" si="181"/>
        <v>6.5919307154819889E-2</v>
      </c>
      <c r="E603" s="57">
        <f t="shared" si="181"/>
        <v>6.9308347532334433E-2</v>
      </c>
      <c r="F603" s="57">
        <f t="shared" si="181"/>
        <v>6.9308347532334433E-2</v>
      </c>
      <c r="G603" s="57">
        <f t="shared" si="181"/>
        <v>6.9308347532334433E-2</v>
      </c>
    </row>
    <row r="606" spans="2:7" ht="28.8" customHeight="1" x14ac:dyDescent="0.3">
      <c r="B606" s="32" t="s">
        <v>234</v>
      </c>
      <c r="C606" s="5"/>
      <c r="D606" s="5"/>
      <c r="E606" s="5"/>
      <c r="F606" s="5"/>
      <c r="G606" s="5"/>
    </row>
    <row r="607" spans="2:7" ht="14.4" customHeight="1" x14ac:dyDescent="0.3">
      <c r="B607" s="37"/>
    </row>
    <row r="608" spans="2:7" ht="14.4" customHeight="1" x14ac:dyDescent="0.3">
      <c r="B608" s="9" t="s">
        <v>1</v>
      </c>
      <c r="C608" s="9" t="s">
        <v>238</v>
      </c>
      <c r="D608" s="6"/>
      <c r="E608" s="6"/>
      <c r="F608" s="6"/>
      <c r="G608" s="6"/>
    </row>
    <row r="609" spans="2:9" ht="14.4" customHeight="1" x14ac:dyDescent="0.3">
      <c r="B609" s="25"/>
      <c r="C609" s="25"/>
      <c r="D609" s="23" t="str">
        <f>Input_!D$5</f>
        <v>2023-24</v>
      </c>
      <c r="E609" s="23" t="str">
        <f>Input_!E$5</f>
        <v>2024-25</v>
      </c>
      <c r="F609" s="23" t="str">
        <f>Input_!F$5</f>
        <v>2025-26</v>
      </c>
      <c r="G609" s="23" t="str">
        <f>Input_!G$5</f>
        <v>2026-27</v>
      </c>
    </row>
    <row r="610" spans="2:9" ht="14.4" customHeight="1" x14ac:dyDescent="0.3">
      <c r="B610" s="24"/>
      <c r="C610" s="24"/>
      <c r="D610" s="8"/>
      <c r="E610" s="8"/>
      <c r="F610" s="8"/>
      <c r="G610" s="8"/>
    </row>
    <row r="611" spans="2:9" ht="14.4" customHeight="1" x14ac:dyDescent="0.3">
      <c r="B611" s="36" t="s">
        <v>225</v>
      </c>
      <c r="C611" s="3" t="s">
        <v>224</v>
      </c>
      <c r="D611" s="54">
        <v>0</v>
      </c>
      <c r="E611" s="54">
        <v>0</v>
      </c>
      <c r="F611" s="54">
        <v>0</v>
      </c>
      <c r="G611" s="54">
        <v>0</v>
      </c>
      <c r="I611"/>
    </row>
    <row r="612" spans="2:9" ht="14.4" customHeight="1" x14ac:dyDescent="0.3">
      <c r="B612" s="36" t="s">
        <v>217</v>
      </c>
      <c r="C612" s="3" t="s">
        <v>14</v>
      </c>
      <c r="D612" s="54">
        <v>0</v>
      </c>
      <c r="E612" s="54">
        <v>0</v>
      </c>
      <c r="F612" s="54">
        <v>0</v>
      </c>
      <c r="G612" s="54">
        <v>0</v>
      </c>
    </row>
    <row r="613" spans="2:9" ht="14.4" customHeight="1" x14ac:dyDescent="0.3">
      <c r="B613" s="36" t="s">
        <v>218</v>
      </c>
      <c r="C613" s="3" t="s">
        <v>15</v>
      </c>
      <c r="D613" s="54">
        <f>IF('RPM &amp; Discounts'!$B$8='A0.Support'!$B$12,Input_!D171,IF('RPM &amp; Discounts'!$B$8='A0.Support'!$B$13,0,"Error"))</f>
        <v>1</v>
      </c>
      <c r="E613" s="54">
        <f>IF('RPM &amp; Discounts'!$B$8='A0.Support'!$B$12,Input_!E171,IF('RPM &amp; Discounts'!$B$8='A0.Support'!$B$13,0,"Error"))</f>
        <v>1</v>
      </c>
      <c r="F613" s="54">
        <f>IF('RPM &amp; Discounts'!$B$8='A0.Support'!$B$12,Input_!F171,IF('RPM &amp; Discounts'!$B$8='A0.Support'!$B$13,0,"Error"))</f>
        <v>1</v>
      </c>
      <c r="G613" s="54">
        <f>IF('RPM &amp; Discounts'!$B$8='A0.Support'!$B$12,Input_!G171,IF('RPM &amp; Discounts'!$B$8='A0.Support'!$B$13,0,"Error"))</f>
        <v>1</v>
      </c>
    </row>
    <row r="614" spans="2:9" ht="14.4" customHeight="1" x14ac:dyDescent="0.3">
      <c r="B614" s="36" t="s">
        <v>227</v>
      </c>
      <c r="C614" s="3" t="s">
        <v>220</v>
      </c>
      <c r="D614" s="54">
        <v>0</v>
      </c>
      <c r="E614" s="54">
        <v>0</v>
      </c>
      <c r="F614" s="54">
        <v>0</v>
      </c>
      <c r="G614" s="54">
        <v>0</v>
      </c>
    </row>
    <row r="615" spans="2:9" ht="14.4" customHeight="1" x14ac:dyDescent="0.3">
      <c r="B615" s="9" t="s">
        <v>1</v>
      </c>
      <c r="C615" s="9" t="s">
        <v>239</v>
      </c>
      <c r="D615" s="6"/>
      <c r="E615" s="6"/>
      <c r="F615" s="6"/>
      <c r="G615" s="6"/>
    </row>
    <row r="616" spans="2:9" ht="14.4" customHeight="1" x14ac:dyDescent="0.3">
      <c r="B616" s="25"/>
      <c r="C616" s="25"/>
      <c r="D616" s="23" t="str">
        <f>Input_!D$5</f>
        <v>2023-24</v>
      </c>
      <c r="E616" s="23" t="str">
        <f>Input_!E$5</f>
        <v>2024-25</v>
      </c>
      <c r="F616" s="23" t="str">
        <f>Input_!F$5</f>
        <v>2025-26</v>
      </c>
      <c r="G616" s="23" t="str">
        <f>Input_!G$5</f>
        <v>2026-27</v>
      </c>
    </row>
    <row r="617" spans="2:9" ht="14.4" customHeight="1" x14ac:dyDescent="0.3">
      <c r="B617" s="24"/>
      <c r="C617" s="24"/>
      <c r="D617" s="8"/>
      <c r="E617" s="8"/>
      <c r="F617" s="8"/>
      <c r="G617" s="8"/>
    </row>
    <row r="618" spans="2:9" ht="14.4" customHeight="1" x14ac:dyDescent="0.3">
      <c r="B618" s="36" t="s">
        <v>225</v>
      </c>
      <c r="C618" s="3" t="s">
        <v>224</v>
      </c>
      <c r="D618" s="56">
        <f>IF('RPM &amp; Discounts'!$B$8='A0.Support'!$B$12,1-(1-D611)*(1-Input_!D178),IF('RPM &amp; Discounts'!$B$8='A0.Support'!$B$13,0,"Error"))</f>
        <v>4.6000000000000041E-2</v>
      </c>
      <c r="E618" s="56">
        <f>IF('RPM &amp; Discounts'!$B$8='A0.Support'!$B$12,1-(1-E611)*(1-Input_!E178),IF('RPM &amp; Discounts'!$B$8='A0.Support'!$B$13,0,"Error"))</f>
        <v>4.6000000000000041E-2</v>
      </c>
      <c r="F618" s="56">
        <f>IF('RPM &amp; Discounts'!$B$8='A0.Support'!$B$12,1-(1-F611)*(1-Input_!F178),IF('RPM &amp; Discounts'!$B$8='A0.Support'!$B$13,0,"Error"))</f>
        <v>4.6000000000000041E-2</v>
      </c>
      <c r="G618" s="56">
        <f>IF('RPM &amp; Discounts'!$B$8='A0.Support'!$B$12,1-(1-G611)*(1-Input_!G178),IF('RPM &amp; Discounts'!$B$8='A0.Support'!$B$13,0,"Error"))</f>
        <v>4.6000000000000041E-2</v>
      </c>
    </row>
    <row r="619" spans="2:9" ht="14.4" customHeight="1" x14ac:dyDescent="0.3">
      <c r="B619" s="36" t="s">
        <v>217</v>
      </c>
      <c r="C619" s="3" t="s">
        <v>14</v>
      </c>
      <c r="D619" s="54">
        <f>IF('RPM &amp; Discounts'!$B$8='A0.Support'!$B$12,1-(1-D612)*(1-Input_!D180),IF('RPM &amp; Discounts'!$B$8='A0.Support'!$B$13,0,"Error"))</f>
        <v>0</v>
      </c>
      <c r="E619" s="54">
        <f>IF('RPM &amp; Discounts'!$B$8='A0.Support'!$B$12,1-(1-E612)*(1-Input_!E180),IF('RPM &amp; Discounts'!$B$8='A0.Support'!$B$13,0,"Error"))</f>
        <v>0</v>
      </c>
      <c r="F619" s="54">
        <f>IF('RPM &amp; Discounts'!$B$8='A0.Support'!$B$12,1-(1-F612)*(1-Input_!F180),IF('RPM &amp; Discounts'!$B$8='A0.Support'!$B$13,0,"Error"))</f>
        <v>0</v>
      </c>
      <c r="G619" s="54">
        <f>IF('RPM &amp; Discounts'!$B$8='A0.Support'!$B$12,1-(1-G612)*(1-Input_!G180),IF('RPM &amp; Discounts'!$B$8='A0.Support'!$B$13,0,"Error"))</f>
        <v>0</v>
      </c>
    </row>
    <row r="620" spans="2:9" ht="14.4" customHeight="1" x14ac:dyDescent="0.3">
      <c r="B620" s="36" t="s">
        <v>218</v>
      </c>
      <c r="C620" s="3" t="s">
        <v>15</v>
      </c>
      <c r="D620" s="54">
        <f>IF('RPM &amp; Discounts'!$B$8='A0.Support'!$B$12,1-(1-D613)*(1-Input_!D182),IF('RPM &amp; Discounts'!$B$8='A0.Support'!$B$13,0,"Error"))</f>
        <v>1</v>
      </c>
      <c r="E620" s="54">
        <f>IF('RPM &amp; Discounts'!$B$8='A0.Support'!$B$12,1-(1-E613)*(1-Input_!E182),IF('RPM &amp; Discounts'!$B$8='A0.Support'!$B$13,0,"Error"))</f>
        <v>1</v>
      </c>
      <c r="F620" s="54">
        <f>IF('RPM &amp; Discounts'!$B$8='A0.Support'!$B$12,1-(1-F613)*(1-Input_!F182),IF('RPM &amp; Discounts'!$B$8='A0.Support'!$B$13,0,"Error"))</f>
        <v>1</v>
      </c>
      <c r="G620" s="54">
        <f>IF('RPM &amp; Discounts'!$B$8='A0.Support'!$B$12,1-(1-G613)*(1-Input_!G182),IF('RPM &amp; Discounts'!$B$8='A0.Support'!$B$13,0,"Error"))</f>
        <v>1</v>
      </c>
    </row>
    <row r="623" spans="2:9" ht="28.8" customHeight="1" x14ac:dyDescent="0.3">
      <c r="B623" s="32" t="s">
        <v>620</v>
      </c>
      <c r="C623" s="5"/>
      <c r="D623" s="5"/>
      <c r="E623" s="5"/>
      <c r="F623" s="5"/>
      <c r="G623" s="5"/>
    </row>
    <row r="624" spans="2:9" ht="14.4" customHeight="1" x14ac:dyDescent="0.3">
      <c r="B624" s="37" t="s">
        <v>235</v>
      </c>
    </row>
    <row r="625" spans="2:7" ht="14.4" customHeight="1" x14ac:dyDescent="0.3">
      <c r="B625" s="9" t="s">
        <v>1</v>
      </c>
      <c r="C625" s="9" t="s">
        <v>238</v>
      </c>
      <c r="D625" s="6"/>
      <c r="E625" s="6"/>
      <c r="F625" s="6"/>
      <c r="G625" s="6"/>
    </row>
    <row r="626" spans="2:7" ht="14.4" customHeight="1" x14ac:dyDescent="0.3">
      <c r="B626" s="25"/>
      <c r="C626" s="25"/>
      <c r="D626" s="23" t="str">
        <f>Input_!D$5</f>
        <v>2023-24</v>
      </c>
      <c r="E626" s="23" t="str">
        <f>Input_!E$5</f>
        <v>2024-25</v>
      </c>
      <c r="F626" s="23" t="str">
        <f>Input_!F$5</f>
        <v>2025-26</v>
      </c>
      <c r="G626" s="23" t="str">
        <f>Input_!G$5</f>
        <v>2026-27</v>
      </c>
    </row>
    <row r="627" spans="2:7" ht="14.4" customHeight="1" x14ac:dyDescent="0.3">
      <c r="B627" s="24"/>
      <c r="C627" s="24"/>
      <c r="D627" s="8"/>
      <c r="E627" s="8"/>
      <c r="F627" s="8"/>
      <c r="G627" s="8"/>
    </row>
    <row r="628" spans="2:7" ht="14.4" customHeight="1" x14ac:dyDescent="0.3">
      <c r="B628" s="36" t="s">
        <v>225</v>
      </c>
      <c r="C628" s="3" t="s">
        <v>224</v>
      </c>
      <c r="D628" s="57">
        <f t="shared" ref="D628:G628" si="182">D594*(1-D611)</f>
        <v>3.244778208810687E-2</v>
      </c>
      <c r="E628" s="57">
        <f t="shared" si="182"/>
        <v>3.4138454756156067E-2</v>
      </c>
      <c r="F628" s="57">
        <f t="shared" si="182"/>
        <v>3.4138454756156067E-2</v>
      </c>
      <c r="G628" s="57">
        <f t="shared" si="182"/>
        <v>3.4138454756156067E-2</v>
      </c>
    </row>
    <row r="629" spans="2:7" ht="14.4" customHeight="1" x14ac:dyDescent="0.3">
      <c r="B629" s="36" t="s">
        <v>217</v>
      </c>
      <c r="C629" s="3" t="s">
        <v>14</v>
      </c>
      <c r="D629" s="57">
        <f t="shared" ref="D629:G631" si="183">D595*(1-D612)</f>
        <v>0</v>
      </c>
      <c r="E629" s="57">
        <f t="shared" si="183"/>
        <v>0</v>
      </c>
      <c r="F629" s="57">
        <f t="shared" si="183"/>
        <v>0</v>
      </c>
      <c r="G629" s="57">
        <f t="shared" si="183"/>
        <v>0</v>
      </c>
    </row>
    <row r="630" spans="2:7" ht="14.4" customHeight="1" x14ac:dyDescent="0.3">
      <c r="B630" s="36" t="s">
        <v>218</v>
      </c>
      <c r="C630" s="3" t="s">
        <v>15</v>
      </c>
      <c r="D630" s="57">
        <f t="shared" si="183"/>
        <v>0</v>
      </c>
      <c r="E630" s="57">
        <f t="shared" si="183"/>
        <v>0</v>
      </c>
      <c r="F630" s="57">
        <f t="shared" si="183"/>
        <v>0</v>
      </c>
      <c r="G630" s="57">
        <f t="shared" si="183"/>
        <v>0</v>
      </c>
    </row>
    <row r="631" spans="2:7" ht="14.4" customHeight="1" x14ac:dyDescent="0.3">
      <c r="B631" s="36" t="s">
        <v>227</v>
      </c>
      <c r="C631" s="3" t="s">
        <v>220</v>
      </c>
      <c r="D631" s="57">
        <f t="shared" si="183"/>
        <v>0.15640388150749171</v>
      </c>
      <c r="E631" s="57">
        <f t="shared" si="183"/>
        <v>0.16459629927904959</v>
      </c>
      <c r="F631" s="57">
        <f t="shared" si="183"/>
        <v>0.16459629927904959</v>
      </c>
      <c r="G631" s="57">
        <f t="shared" si="183"/>
        <v>0.16459629927904959</v>
      </c>
    </row>
    <row r="632" spans="2:7" ht="14.4" customHeight="1" x14ac:dyDescent="0.3">
      <c r="B632" s="9" t="s">
        <v>1</v>
      </c>
      <c r="C632" s="9" t="s">
        <v>239</v>
      </c>
      <c r="D632" s="6"/>
      <c r="E632" s="6"/>
      <c r="F632" s="6"/>
      <c r="G632" s="6"/>
    </row>
    <row r="633" spans="2:7" ht="14.4" customHeight="1" x14ac:dyDescent="0.3">
      <c r="B633" s="25"/>
      <c r="C633" s="25"/>
      <c r="D633" s="23" t="str">
        <f>Input_!D$5</f>
        <v>2023-24</v>
      </c>
      <c r="E633" s="23" t="str">
        <f>Input_!E$5</f>
        <v>2024-25</v>
      </c>
      <c r="F633" s="23" t="str">
        <f>Input_!F$5</f>
        <v>2025-26</v>
      </c>
      <c r="G633" s="23" t="str">
        <f>Input_!G$5</f>
        <v>2026-27</v>
      </c>
    </row>
    <row r="634" spans="2:7" ht="14.4" customHeight="1" x14ac:dyDescent="0.3">
      <c r="B634" s="24"/>
      <c r="C634" s="24"/>
      <c r="D634" s="8"/>
      <c r="E634" s="8"/>
      <c r="F634" s="8"/>
      <c r="G634" s="8"/>
    </row>
    <row r="635" spans="2:7" ht="14.4" customHeight="1" x14ac:dyDescent="0.3">
      <c r="B635" s="36" t="s">
        <v>225</v>
      </c>
      <c r="C635" s="3" t="s">
        <v>224</v>
      </c>
      <c r="D635" s="57">
        <f t="shared" ref="D635:G637" si="184">D601*(1-D618)</f>
        <v>3.0955184112053953E-2</v>
      </c>
      <c r="E635" s="57">
        <f t="shared" si="184"/>
        <v>3.256808583737289E-2</v>
      </c>
      <c r="F635" s="57">
        <f t="shared" si="184"/>
        <v>3.256808583737289E-2</v>
      </c>
      <c r="G635" s="57">
        <f t="shared" si="184"/>
        <v>3.256808583737289E-2</v>
      </c>
    </row>
    <row r="636" spans="2:7" ht="14.4" customHeight="1" x14ac:dyDescent="0.3">
      <c r="B636" s="36" t="s">
        <v>217</v>
      </c>
      <c r="C636" s="3" t="s">
        <v>14</v>
      </c>
      <c r="D636" s="57">
        <f t="shared" si="184"/>
        <v>0</v>
      </c>
      <c r="E636" s="57">
        <f t="shared" si="184"/>
        <v>0</v>
      </c>
      <c r="F636" s="57">
        <f t="shared" si="184"/>
        <v>0</v>
      </c>
      <c r="G636" s="57">
        <f t="shared" si="184"/>
        <v>0</v>
      </c>
    </row>
    <row r="637" spans="2:7" ht="14.4" customHeight="1" x14ac:dyDescent="0.3">
      <c r="B637" s="36" t="s">
        <v>218</v>
      </c>
      <c r="C637" s="3" t="s">
        <v>15</v>
      </c>
      <c r="D637" s="57">
        <f t="shared" si="184"/>
        <v>0</v>
      </c>
      <c r="E637" s="57">
        <f t="shared" si="184"/>
        <v>0</v>
      </c>
      <c r="F637" s="57">
        <f t="shared" si="184"/>
        <v>0</v>
      </c>
      <c r="G637" s="57">
        <f t="shared" si="184"/>
        <v>0</v>
      </c>
    </row>
    <row r="640" spans="2:7" ht="28.8" customHeight="1" x14ac:dyDescent="0.3">
      <c r="B640" s="32" t="s">
        <v>635</v>
      </c>
      <c r="C640" s="5"/>
      <c r="D640" s="5"/>
      <c r="E640" s="5"/>
      <c r="F640" s="5"/>
      <c r="G640" s="5"/>
    </row>
    <row r="641" spans="2:7" ht="14.4" customHeight="1" x14ac:dyDescent="0.3">
      <c r="B641" s="37"/>
    </row>
    <row r="642" spans="2:7" ht="14.4" customHeight="1" x14ac:dyDescent="0.3">
      <c r="B642" s="9" t="s">
        <v>1</v>
      </c>
      <c r="C642" s="9" t="s">
        <v>238</v>
      </c>
      <c r="D642" s="6"/>
      <c r="E642" s="6"/>
      <c r="F642" s="6"/>
      <c r="G642" s="6"/>
    </row>
    <row r="643" spans="2:7" ht="14.4" customHeight="1" x14ac:dyDescent="0.3">
      <c r="B643" s="25"/>
      <c r="C643" s="25"/>
      <c r="D643" s="23" t="str">
        <f>Input_!D$5</f>
        <v>2023-24</v>
      </c>
      <c r="E643" s="23" t="str">
        <f>Input_!E$5</f>
        <v>2024-25</v>
      </c>
      <c r="F643" s="23" t="str">
        <f>Input_!F$5</f>
        <v>2025-26</v>
      </c>
      <c r="G643" s="23" t="str">
        <f>Input_!G$5</f>
        <v>2026-27</v>
      </c>
    </row>
    <row r="644" spans="2:7" ht="14.4" customHeight="1" x14ac:dyDescent="0.3">
      <c r="B644" s="24"/>
      <c r="C644" s="24"/>
      <c r="D644" s="8"/>
      <c r="E644" s="8"/>
      <c r="F644" s="8"/>
      <c r="G644" s="8"/>
    </row>
    <row r="645" spans="2:7" ht="14.4" customHeight="1" x14ac:dyDescent="0.3">
      <c r="B645" s="36" t="s">
        <v>225</v>
      </c>
      <c r="C645" s="3" t="s">
        <v>224</v>
      </c>
      <c r="D645" s="38">
        <f>SUMPRODUCT(Input_!D65:D69,Input_!D133:D137)</f>
        <v>23735665.193424653</v>
      </c>
      <c r="E645" s="38">
        <f>SUMPRODUCT(Input_!E65:E69,Input_!E133:E137)</f>
        <v>53185677.116301365</v>
      </c>
      <c r="F645" s="38">
        <f>SUMPRODUCT(Input_!F65:F69,Input_!F133:F137)</f>
        <v>53185677.116301365</v>
      </c>
      <c r="G645" s="38">
        <f>SUMPRODUCT(Input_!G65:G69,Input_!G133:G137)</f>
        <v>53185677.116301365</v>
      </c>
    </row>
    <row r="646" spans="2:7" ht="14.4" customHeight="1" x14ac:dyDescent="0.3">
      <c r="B646" s="36" t="s">
        <v>217</v>
      </c>
      <c r="C646" s="3" t="s">
        <v>14</v>
      </c>
      <c r="D646" s="38">
        <f>SUMPRODUCT(Input_!D70:D74,Input_!D138:D142)</f>
        <v>0</v>
      </c>
      <c r="E646" s="38">
        <f>SUMPRODUCT(Input_!E70:E74,Input_!E138:E142)</f>
        <v>0</v>
      </c>
      <c r="F646" s="38">
        <f>SUMPRODUCT(Input_!F70:F74,Input_!F138:F142)</f>
        <v>0</v>
      </c>
      <c r="G646" s="38">
        <f>SUMPRODUCT(Input_!G70:G74,Input_!G138:G142)</f>
        <v>0</v>
      </c>
    </row>
    <row r="647" spans="2:7" ht="14.4" customHeight="1" x14ac:dyDescent="0.3">
      <c r="B647" s="36" t="s">
        <v>218</v>
      </c>
      <c r="C647" s="3" t="s">
        <v>15</v>
      </c>
      <c r="D647" s="38">
        <f>SUMPRODUCT(Input_!D75:D76,Input_!D143:D144)</f>
        <v>11893399.989315068</v>
      </c>
      <c r="E647" s="38">
        <f>SUMPRODUCT(Input_!E75:E76,Input_!E143:E144)</f>
        <v>7121971.8712328775</v>
      </c>
      <c r="F647" s="38">
        <f>SUMPRODUCT(Input_!F75:F76,Input_!F143:F144)</f>
        <v>7121971.8712328775</v>
      </c>
      <c r="G647" s="38">
        <f>SUMPRODUCT(Input_!G75:G76,Input_!G143:G144)</f>
        <v>7121971.8712328775</v>
      </c>
    </row>
    <row r="648" spans="2:7" ht="14.4" customHeight="1" x14ac:dyDescent="0.3">
      <c r="B648" s="36" t="s">
        <v>227</v>
      </c>
      <c r="C648" s="3" t="s">
        <v>220</v>
      </c>
      <c r="D648" s="38">
        <f>SUM(Input_!D77:D78)+SUMPRODUCT(Input_!D79:D83,Input_!D145:D149)</f>
        <v>316330818.97743207</v>
      </c>
      <c r="E648" s="38">
        <f>SUM(Input_!E77:E78)+SUMPRODUCT(Input_!E79:E83,Input_!E145:E149)</f>
        <v>313920462.95069277</v>
      </c>
      <c r="F648" s="38">
        <f>SUM(Input_!F77:F78)+SUMPRODUCT(Input_!F79:F83,Input_!F145:F149)</f>
        <v>313920462.95069277</v>
      </c>
      <c r="G648" s="38">
        <f>SUM(Input_!G77:G78)+SUMPRODUCT(Input_!G79:G83,Input_!G145:G149)</f>
        <v>313920462.95069277</v>
      </c>
    </row>
    <row r="649" spans="2:7" ht="14.4" customHeight="1" x14ac:dyDescent="0.3">
      <c r="B649" s="9" t="s">
        <v>1</v>
      </c>
      <c r="C649" s="9" t="s">
        <v>239</v>
      </c>
      <c r="D649" s="6"/>
      <c r="E649" s="6"/>
      <c r="F649" s="6"/>
      <c r="G649" s="6"/>
    </row>
    <row r="650" spans="2:7" ht="14.4" customHeight="1" x14ac:dyDescent="0.3">
      <c r="B650" s="25"/>
      <c r="C650" s="25"/>
      <c r="D650" s="23" t="str">
        <f>Input_!D$5</f>
        <v>2023-24</v>
      </c>
      <c r="E650" s="23" t="str">
        <f>Input_!E$5</f>
        <v>2024-25</v>
      </c>
      <c r="F650" s="23" t="str">
        <f>Input_!F$5</f>
        <v>2025-26</v>
      </c>
      <c r="G650" s="23" t="str">
        <f>Input_!G$5</f>
        <v>2026-27</v>
      </c>
    </row>
    <row r="651" spans="2:7" ht="14.4" customHeight="1" x14ac:dyDescent="0.3">
      <c r="B651" s="24"/>
      <c r="C651" s="24"/>
      <c r="D651" s="8"/>
      <c r="E651" s="8"/>
      <c r="F651" s="8"/>
      <c r="G651" s="8"/>
    </row>
    <row r="652" spans="2:7" ht="14.4" customHeight="1" x14ac:dyDescent="0.3">
      <c r="B652" s="36" t="s">
        <v>225</v>
      </c>
      <c r="C652" s="3" t="s">
        <v>224</v>
      </c>
      <c r="D652" s="38">
        <f>Input_!D91*Input_!D136+Input_!D92*Input_!D137</f>
        <v>0</v>
      </c>
      <c r="E652" s="38">
        <f>Input_!E91*Input_!E136+Input_!E92*Input_!E137</f>
        <v>0</v>
      </c>
      <c r="F652" s="38">
        <f>Input_!F91*Input_!F136+Input_!F92*Input_!F137</f>
        <v>0</v>
      </c>
      <c r="G652" s="38">
        <f>Input_!G91*Input_!G136+Input_!G92*Input_!G137</f>
        <v>0</v>
      </c>
    </row>
    <row r="653" spans="2:7" ht="14.4" customHeight="1" x14ac:dyDescent="0.3">
      <c r="B653" s="36" t="s">
        <v>217</v>
      </c>
      <c r="C653" s="3" t="s">
        <v>14</v>
      </c>
      <c r="D653" s="38">
        <f>Input_!D93*Input_!D141+Input_!D94*Input_!D142</f>
        <v>2</v>
      </c>
      <c r="E653" s="38">
        <f>Input_!E93*Input_!E141+Input_!E94*Input_!E142</f>
        <v>1.94</v>
      </c>
      <c r="F653" s="38">
        <f>Input_!F93*Input_!F141+Input_!F94*Input_!F142</f>
        <v>1.94</v>
      </c>
      <c r="G653" s="38">
        <f>Input_!G93*Input_!G141+Input_!G94*Input_!G142</f>
        <v>1.94</v>
      </c>
    </row>
    <row r="654" spans="2:7" ht="14.4" customHeight="1" x14ac:dyDescent="0.3">
      <c r="B654" s="36" t="s">
        <v>218</v>
      </c>
      <c r="C654" s="3" t="s">
        <v>15</v>
      </c>
      <c r="D654" s="38">
        <f>Input_!D95*Input_!D144</f>
        <v>0</v>
      </c>
      <c r="E654" s="38">
        <f>Input_!E95*Input_!E144</f>
        <v>0</v>
      </c>
      <c r="F654" s="38">
        <f>Input_!F95*Input_!F144</f>
        <v>0</v>
      </c>
      <c r="G654" s="38">
        <f>Input_!G95*Input_!G144</f>
        <v>0</v>
      </c>
    </row>
    <row r="657" spans="2:7" ht="28.8" customHeight="1" x14ac:dyDescent="0.3">
      <c r="B657" s="32" t="s">
        <v>622</v>
      </c>
      <c r="C657" s="5"/>
      <c r="D657" s="5"/>
      <c r="E657" s="5"/>
      <c r="F657" s="5"/>
      <c r="G657" s="5"/>
    </row>
    <row r="658" spans="2:7" ht="14.4" customHeight="1" x14ac:dyDescent="0.3">
      <c r="B658" s="37"/>
    </row>
    <row r="659" spans="2:7" ht="14.4" customHeight="1" x14ac:dyDescent="0.3">
      <c r="B659" s="9" t="s">
        <v>1</v>
      </c>
      <c r="C659" s="9" t="s">
        <v>238</v>
      </c>
      <c r="D659" s="6"/>
      <c r="E659" s="6"/>
      <c r="F659" s="6"/>
      <c r="G659" s="6"/>
    </row>
    <row r="660" spans="2:7" ht="14.4" customHeight="1" x14ac:dyDescent="0.3">
      <c r="B660" s="25"/>
      <c r="C660" s="25"/>
      <c r="D660" s="23" t="str">
        <f>Input_!D$5</f>
        <v>2023-24</v>
      </c>
      <c r="E660" s="23" t="str">
        <f>Input_!E$5</f>
        <v>2024-25</v>
      </c>
      <c r="F660" s="23" t="str">
        <f>Input_!F$5</f>
        <v>2025-26</v>
      </c>
      <c r="G660" s="23" t="str">
        <f>Input_!G$5</f>
        <v>2026-27</v>
      </c>
    </row>
    <row r="661" spans="2:7" ht="14.4" customHeight="1" x14ac:dyDescent="0.3">
      <c r="B661" s="24"/>
      <c r="C661" s="24"/>
      <c r="D661" s="8"/>
      <c r="E661" s="8"/>
      <c r="F661" s="8"/>
      <c r="G661" s="8"/>
    </row>
    <row r="662" spans="2:7" ht="14.4" customHeight="1" x14ac:dyDescent="0.3">
      <c r="B662" s="36" t="s">
        <v>225</v>
      </c>
      <c r="C662" s="3" t="s">
        <v>224</v>
      </c>
      <c r="D662" s="57">
        <f>D628*Input_!D$191*Input_!D$7/(SUMPRODUCT(D$628:D$631,D$645:D$648)+SUMPRODUCT(D$635:D$637,D$652:D$654))</f>
        <v>3.2954080048979699E-2</v>
      </c>
      <c r="E662" s="57">
        <f>E628*Input_!E$191*Input_!E$7/(SUMPRODUCT(E$628:E$631,E$645:E$648)+SUMPRODUCT(E$635:E$637,E$652:E$654))</f>
        <v>3.4453513090425783E-2</v>
      </c>
      <c r="F662" s="57">
        <f>F628*Input_!F$191*Input_!F$7/(SUMPRODUCT(F$628:F$631,F$645:F$648)+SUMPRODUCT(F$635:F$637,F$652:F$654))</f>
        <v>3.4453513090425783E-2</v>
      </c>
      <c r="G662" s="57">
        <f>G628*Input_!G$191*Input_!G$7/(SUMPRODUCT(G$628:G$631,G$645:G$648)+SUMPRODUCT(G$635:G$637,G$652:G$654))</f>
        <v>3.4453513090425783E-2</v>
      </c>
    </row>
    <row r="663" spans="2:7" ht="14.4" customHeight="1" x14ac:dyDescent="0.3">
      <c r="B663" s="36" t="s">
        <v>217</v>
      </c>
      <c r="C663" s="3" t="s">
        <v>14</v>
      </c>
      <c r="D663" s="57">
        <f>D629*Input_!D$191*Input_!D$7/(SUMPRODUCT(D$628:D$631,D$645:D$648)+SUMPRODUCT(D$635:D$637,D$652:D$654))</f>
        <v>0</v>
      </c>
      <c r="E663" s="57">
        <f>E629*Input_!E$191*Input_!E$7/(SUMPRODUCT(E$628:E$631,E$645:E$648)+SUMPRODUCT(E$635:E$637,E$652:E$654))</f>
        <v>0</v>
      </c>
      <c r="F663" s="57">
        <f>F629*Input_!F$191*Input_!F$7/(SUMPRODUCT(F$628:F$631,F$645:F$648)+SUMPRODUCT(F$635:F$637,F$652:F$654))</f>
        <v>0</v>
      </c>
      <c r="G663" s="57">
        <f>G629*Input_!G$191*Input_!G$7/(SUMPRODUCT(G$628:G$631,G$645:G$648)+SUMPRODUCT(G$635:G$637,G$652:G$654))</f>
        <v>0</v>
      </c>
    </row>
    <row r="664" spans="2:7" ht="14.4" customHeight="1" x14ac:dyDescent="0.3">
      <c r="B664" s="36" t="s">
        <v>218</v>
      </c>
      <c r="C664" s="3" t="s">
        <v>15</v>
      </c>
      <c r="D664" s="57">
        <f>D630*Input_!D$191*Input_!D$7/(SUMPRODUCT(D$628:D$631,D$645:D$648)+SUMPRODUCT(D$635:D$637,D$652:D$654))</f>
        <v>0</v>
      </c>
      <c r="E664" s="57">
        <f>E630*Input_!E$191*Input_!E$7/(SUMPRODUCT(E$628:E$631,E$645:E$648)+SUMPRODUCT(E$635:E$637,E$652:E$654))</f>
        <v>0</v>
      </c>
      <c r="F664" s="57">
        <f>F630*Input_!F$191*Input_!F$7/(SUMPRODUCT(F$628:F$631,F$645:F$648)+SUMPRODUCT(F$635:F$637,F$652:F$654))</f>
        <v>0</v>
      </c>
      <c r="G664" s="57">
        <f>G630*Input_!G$191*Input_!G$7/(SUMPRODUCT(G$628:G$631,G$645:G$648)+SUMPRODUCT(G$635:G$637,G$652:G$654))</f>
        <v>0</v>
      </c>
    </row>
    <row r="665" spans="2:7" ht="14.4" customHeight="1" x14ac:dyDescent="0.3">
      <c r="B665" s="36" t="s">
        <v>227</v>
      </c>
      <c r="C665" s="3" t="s">
        <v>220</v>
      </c>
      <c r="D665" s="57">
        <f>D631*Input_!D$191*Input_!D$7/(SUMPRODUCT(D$628:D$631,D$645:D$648)+SUMPRODUCT(D$635:D$637,D$652:D$654))</f>
        <v>0.15884432461897519</v>
      </c>
      <c r="E665" s="57">
        <f>E631*Input_!E$191*Input_!E$7/(SUMPRODUCT(E$628:E$631,E$645:E$648)+SUMPRODUCT(E$635:E$637,E$652:E$654))</f>
        <v>0.16611533217752797</v>
      </c>
      <c r="F665" s="57">
        <f>F631*Input_!F$191*Input_!F$7/(SUMPRODUCT(F$628:F$631,F$645:F$648)+SUMPRODUCT(F$635:F$637,F$652:F$654))</f>
        <v>0.16611533217752797</v>
      </c>
      <c r="G665" s="57">
        <f>G631*Input_!G$191*Input_!G$7/(SUMPRODUCT(G$628:G$631,G$645:G$648)+SUMPRODUCT(G$635:G$637,G$652:G$654))</f>
        <v>0.16611533217752797</v>
      </c>
    </row>
    <row r="666" spans="2:7" ht="14.4" customHeight="1" x14ac:dyDescent="0.3">
      <c r="B666" s="9" t="s">
        <v>1</v>
      </c>
      <c r="C666" s="9" t="s">
        <v>239</v>
      </c>
      <c r="D666" s="6"/>
      <c r="E666" s="6"/>
      <c r="F666" s="6"/>
      <c r="G666" s="6"/>
    </row>
    <row r="667" spans="2:7" ht="14.4" customHeight="1" x14ac:dyDescent="0.3">
      <c r="B667" s="25"/>
      <c r="C667" s="25"/>
      <c r="D667" s="23" t="str">
        <f>Input_!D$5</f>
        <v>2023-24</v>
      </c>
      <c r="E667" s="23" t="str">
        <f>Input_!E$5</f>
        <v>2024-25</v>
      </c>
      <c r="F667" s="23" t="str">
        <f>Input_!F$5</f>
        <v>2025-26</v>
      </c>
      <c r="G667" s="23" t="str">
        <f>Input_!G$5</f>
        <v>2026-27</v>
      </c>
    </row>
    <row r="668" spans="2:7" ht="14.4" customHeight="1" x14ac:dyDescent="0.3">
      <c r="B668" s="24"/>
      <c r="C668" s="24"/>
      <c r="D668" s="8"/>
      <c r="E668" s="8"/>
      <c r="F668" s="8"/>
      <c r="G668" s="8"/>
    </row>
    <row r="669" spans="2:7" ht="14.4" customHeight="1" x14ac:dyDescent="0.3">
      <c r="B669" s="36" t="s">
        <v>225</v>
      </c>
      <c r="C669" s="3" t="s">
        <v>224</v>
      </c>
      <c r="D669" s="57">
        <f>D635*Input_!D$191*Input_!D$7/(SUMPRODUCT(D$628:D$631,D$645:D$648)+SUMPRODUCT(D$635:D$637,D$652:D$654))</f>
        <v>3.1438192366726625E-2</v>
      </c>
      <c r="E669" s="57">
        <f>E635*Input_!E$191*Input_!E$7/(SUMPRODUCT(E$628:E$631,E$645:E$648)+SUMPRODUCT(E$635:E$637,E$652:E$654))</f>
        <v>3.2868651488266197E-2</v>
      </c>
      <c r="F669" s="57">
        <f>F635*Input_!F$191*Input_!F$7/(SUMPRODUCT(F$628:F$631,F$645:F$648)+SUMPRODUCT(F$635:F$637,F$652:F$654))</f>
        <v>3.2868651488266197E-2</v>
      </c>
      <c r="G669" s="57">
        <f>G635*Input_!G$191*Input_!G$7/(SUMPRODUCT(G$628:G$631,G$645:G$648)+SUMPRODUCT(G$635:G$637,G$652:G$654))</f>
        <v>3.2868651488266197E-2</v>
      </c>
    </row>
    <row r="670" spans="2:7" ht="14.4" customHeight="1" x14ac:dyDescent="0.3">
      <c r="B670" s="36" t="s">
        <v>217</v>
      </c>
      <c r="C670" s="3" t="s">
        <v>14</v>
      </c>
      <c r="D670" s="57">
        <f>D636*Input_!D$191*Input_!D$7/(SUMPRODUCT(D$628:D$631,D$645:D$648)+SUMPRODUCT(D$635:D$637,D$652:D$654))</f>
        <v>0</v>
      </c>
      <c r="E670" s="57">
        <f>E636*Input_!E$191*Input_!E$7/(SUMPRODUCT(E$628:E$631,E$645:E$648)+SUMPRODUCT(E$635:E$637,E$652:E$654))</f>
        <v>0</v>
      </c>
      <c r="F670" s="57">
        <f>F636*Input_!F$191*Input_!F$7/(SUMPRODUCT(F$628:F$631,F$645:F$648)+SUMPRODUCT(F$635:F$637,F$652:F$654))</f>
        <v>0</v>
      </c>
      <c r="G670" s="57">
        <f>G636*Input_!G$191*Input_!G$7/(SUMPRODUCT(G$628:G$631,G$645:G$648)+SUMPRODUCT(G$635:G$637,G$652:G$654))</f>
        <v>0</v>
      </c>
    </row>
    <row r="671" spans="2:7" ht="14.4" customHeight="1" x14ac:dyDescent="0.3">
      <c r="B671" s="36" t="s">
        <v>218</v>
      </c>
      <c r="C671" s="3" t="s">
        <v>15</v>
      </c>
      <c r="D671" s="57">
        <f>D637*Input_!D$191*Input_!D$7/(SUMPRODUCT(D$628:D$631,D$645:D$648)+SUMPRODUCT(D$635:D$637,D$652:D$654))</f>
        <v>0</v>
      </c>
      <c r="E671" s="57">
        <f>E637*Input_!E$191*Input_!E$7/(SUMPRODUCT(E$628:E$631,E$645:E$648)+SUMPRODUCT(E$635:E$637,E$652:E$654))</f>
        <v>0</v>
      </c>
      <c r="F671" s="57">
        <f>F637*Input_!F$191*Input_!F$7/(SUMPRODUCT(F$628:F$631,F$645:F$648)+SUMPRODUCT(F$635:F$637,F$652:F$654))</f>
        <v>0</v>
      </c>
      <c r="G671" s="57">
        <f>G637*Input_!G$191*Input_!G$7/(SUMPRODUCT(G$628:G$631,G$645:G$648)+SUMPRODUCT(G$635:G$637,G$652:G$654))</f>
        <v>0</v>
      </c>
    </row>
    <row r="672" spans="2:7" ht="14.4" customHeight="1" x14ac:dyDescent="0.3">
      <c r="B672" s="113"/>
      <c r="C672" s="114"/>
      <c r="D672" s="115"/>
      <c r="E672" s="115"/>
      <c r="F672" s="115"/>
      <c r="G672" s="115"/>
    </row>
    <row r="673" spans="2:7" ht="14.4" customHeight="1" x14ac:dyDescent="0.3">
      <c r="B673" s="113"/>
      <c r="C673" s="114"/>
      <c r="D673" s="115"/>
      <c r="E673" s="115"/>
      <c r="F673" s="115"/>
      <c r="G673" s="115"/>
    </row>
    <row r="674" spans="2:7" ht="28.8" customHeight="1" x14ac:dyDescent="0.3">
      <c r="B674" s="32" t="s">
        <v>636</v>
      </c>
      <c r="C674" s="5"/>
      <c r="D674" s="5"/>
      <c r="E674" s="5"/>
      <c r="F674" s="5"/>
      <c r="G674" s="5"/>
    </row>
    <row r="675" spans="2:7" ht="14.4" customHeight="1" x14ac:dyDescent="0.3">
      <c r="B675" s="37" t="s">
        <v>573</v>
      </c>
    </row>
    <row r="676" spans="2:7" ht="14.4" customHeight="1" x14ac:dyDescent="0.3">
      <c r="B676" s="9" t="s">
        <v>1</v>
      </c>
      <c r="C676" s="9" t="s">
        <v>238</v>
      </c>
      <c r="D676" s="6"/>
      <c r="E676" s="6"/>
      <c r="F676" s="6"/>
      <c r="G676" s="6"/>
    </row>
    <row r="677" spans="2:7" ht="14.4" customHeight="1" x14ac:dyDescent="0.3">
      <c r="B677" s="25"/>
      <c r="C677" s="25"/>
      <c r="D677" s="23" t="str">
        <f>Input_!D$5</f>
        <v>2023-24</v>
      </c>
      <c r="E677" s="23" t="str">
        <f>Input_!E$5</f>
        <v>2024-25</v>
      </c>
      <c r="F677" s="23" t="str">
        <f>Input_!F$5</f>
        <v>2025-26</v>
      </c>
      <c r="G677" s="23" t="str">
        <f>Input_!G$5</f>
        <v>2026-27</v>
      </c>
    </row>
    <row r="678" spans="2:7" ht="14.4" customHeight="1" x14ac:dyDescent="0.3">
      <c r="B678" s="24"/>
      <c r="C678" s="24"/>
      <c r="D678" s="8"/>
      <c r="E678" s="8"/>
      <c r="F678" s="8"/>
      <c r="G678" s="8"/>
    </row>
    <row r="679" spans="2:7" ht="14.4" customHeight="1" x14ac:dyDescent="0.3">
      <c r="B679" s="36" t="s">
        <v>225</v>
      </c>
      <c r="C679" s="3" t="s">
        <v>224</v>
      </c>
      <c r="D679" s="57">
        <v>0</v>
      </c>
      <c r="E679" s="57">
        <v>0</v>
      </c>
      <c r="F679" s="57">
        <v>0</v>
      </c>
      <c r="G679" s="57">
        <v>0</v>
      </c>
    </row>
    <row r="680" spans="2:7" ht="14.4" customHeight="1" x14ac:dyDescent="0.3">
      <c r="B680" s="36" t="s">
        <v>217</v>
      </c>
      <c r="C680" s="3" t="s">
        <v>14</v>
      </c>
      <c r="D680" s="57">
        <v>0</v>
      </c>
      <c r="E680" s="57">
        <v>0</v>
      </c>
      <c r="F680" s="57">
        <v>0</v>
      </c>
      <c r="G680" s="57">
        <v>0</v>
      </c>
    </row>
    <row r="681" spans="2:7" ht="14.4" customHeight="1" x14ac:dyDescent="0.3">
      <c r="B681" s="36" t="s">
        <v>218</v>
      </c>
      <c r="C681" s="3" t="s">
        <v>15</v>
      </c>
      <c r="D681" s="57">
        <v>0</v>
      </c>
      <c r="E681" s="57">
        <v>0</v>
      </c>
      <c r="F681" s="57">
        <v>0</v>
      </c>
      <c r="G681" s="57">
        <v>0</v>
      </c>
    </row>
    <row r="682" spans="2:7" ht="14.4" customHeight="1" x14ac:dyDescent="0.3">
      <c r="B682" s="36" t="s">
        <v>227</v>
      </c>
      <c r="C682" s="3" t="s">
        <v>220</v>
      </c>
      <c r="D682" s="57">
        <f>Input_!D8/D648</f>
        <v>0</v>
      </c>
      <c r="E682" s="57">
        <f>Input_!E8/E648</f>
        <v>0</v>
      </c>
      <c r="F682" s="57">
        <f>Input_!F8/F648</f>
        <v>0</v>
      </c>
      <c r="G682" s="57">
        <f>Input_!G8/G648</f>
        <v>0</v>
      </c>
    </row>
    <row r="683" spans="2:7" ht="14.4" customHeight="1" x14ac:dyDescent="0.3">
      <c r="B683" s="9" t="s">
        <v>1</v>
      </c>
      <c r="C683" s="9" t="s">
        <v>239</v>
      </c>
      <c r="D683" s="6"/>
      <c r="E683" s="6"/>
      <c r="F683" s="6"/>
      <c r="G683" s="6"/>
    </row>
    <row r="684" spans="2:7" ht="14.4" customHeight="1" x14ac:dyDescent="0.3">
      <c r="B684" s="25"/>
      <c r="C684" s="25"/>
      <c r="D684" s="23" t="str">
        <f>Input_!D$5</f>
        <v>2023-24</v>
      </c>
      <c r="E684" s="23" t="str">
        <f>Input_!E$5</f>
        <v>2024-25</v>
      </c>
      <c r="F684" s="23" t="str">
        <f>Input_!F$5</f>
        <v>2025-26</v>
      </c>
      <c r="G684" s="23" t="str">
        <f>Input_!G$5</f>
        <v>2026-27</v>
      </c>
    </row>
    <row r="685" spans="2:7" ht="14.4" customHeight="1" x14ac:dyDescent="0.3">
      <c r="B685" s="24"/>
      <c r="C685" s="24"/>
      <c r="D685" s="8"/>
      <c r="E685" s="8"/>
      <c r="F685" s="8"/>
      <c r="G685" s="8"/>
    </row>
    <row r="686" spans="2:7" ht="14.4" customHeight="1" x14ac:dyDescent="0.3">
      <c r="B686" s="36" t="s">
        <v>225</v>
      </c>
      <c r="C686" s="3" t="s">
        <v>224</v>
      </c>
      <c r="D686" s="57">
        <v>0</v>
      </c>
      <c r="E686" s="57">
        <v>0</v>
      </c>
      <c r="F686" s="57">
        <v>0</v>
      </c>
      <c r="G686" s="57">
        <v>0</v>
      </c>
    </row>
    <row r="687" spans="2:7" ht="14.4" customHeight="1" x14ac:dyDescent="0.3">
      <c r="B687" s="36" t="s">
        <v>217</v>
      </c>
      <c r="C687" s="3" t="s">
        <v>14</v>
      </c>
      <c r="D687" s="57">
        <v>0</v>
      </c>
      <c r="E687" s="57">
        <v>0</v>
      </c>
      <c r="F687" s="57">
        <v>0</v>
      </c>
      <c r="G687" s="57">
        <v>0</v>
      </c>
    </row>
    <row r="688" spans="2:7" ht="14.4" customHeight="1" x14ac:dyDescent="0.3">
      <c r="B688" s="36" t="s">
        <v>218</v>
      </c>
      <c r="C688" s="3" t="s">
        <v>15</v>
      </c>
      <c r="D688" s="57">
        <v>0</v>
      </c>
      <c r="E688" s="57">
        <v>0</v>
      </c>
      <c r="F688" s="57">
        <v>0</v>
      </c>
      <c r="G688" s="57">
        <v>0</v>
      </c>
    </row>
    <row r="691" spans="2:7" ht="28.8" customHeight="1" x14ac:dyDescent="0.3">
      <c r="B691" s="32" t="s">
        <v>637</v>
      </c>
      <c r="C691" s="5"/>
      <c r="D691" s="5"/>
      <c r="E691" s="5"/>
      <c r="F691" s="5"/>
      <c r="G691" s="5"/>
    </row>
    <row r="692" spans="2:7" ht="14.4" customHeight="1" x14ac:dyDescent="0.3">
      <c r="B692" s="37" t="s">
        <v>574</v>
      </c>
    </row>
    <row r="693" spans="2:7" ht="14.4" customHeight="1" x14ac:dyDescent="0.3">
      <c r="B693" s="9" t="s">
        <v>1</v>
      </c>
      <c r="C693" s="9" t="s">
        <v>238</v>
      </c>
      <c r="D693" s="6"/>
      <c r="E693" s="6"/>
      <c r="F693" s="6"/>
      <c r="G693" s="6"/>
    </row>
    <row r="694" spans="2:7" ht="14.4" customHeight="1" x14ac:dyDescent="0.3">
      <c r="B694" s="25"/>
      <c r="C694" s="25"/>
      <c r="D694" s="23" t="str">
        <f>Input_!D$5</f>
        <v>2023-24</v>
      </c>
      <c r="E694" s="23" t="str">
        <f>Input_!E$5</f>
        <v>2024-25</v>
      </c>
      <c r="F694" s="23" t="str">
        <f>Input_!F$5</f>
        <v>2025-26</v>
      </c>
      <c r="G694" s="23" t="str">
        <f>Input_!G$5</f>
        <v>2026-27</v>
      </c>
    </row>
    <row r="695" spans="2:7" ht="14.4" customHeight="1" x14ac:dyDescent="0.3">
      <c r="B695" s="24"/>
      <c r="C695" s="24"/>
      <c r="D695" s="8"/>
      <c r="E695" s="8"/>
      <c r="F695" s="8"/>
      <c r="G695" s="8"/>
    </row>
    <row r="696" spans="2:7" ht="14.4" customHeight="1" x14ac:dyDescent="0.3">
      <c r="B696" s="36" t="s">
        <v>225</v>
      </c>
      <c r="C696" s="3" t="s">
        <v>224</v>
      </c>
      <c r="D696" s="38">
        <f>D645*(D662+D679)</f>
        <v>782187.01079989725</v>
      </c>
      <c r="E696" s="38">
        <f t="shared" ref="E696:G696" si="185">E645*(E662+E679)</f>
        <v>1832433.4227496481</v>
      </c>
      <c r="F696" s="38">
        <f t="shared" si="185"/>
        <v>1832433.4227496481</v>
      </c>
      <c r="G696" s="38">
        <f t="shared" si="185"/>
        <v>1832433.4227496481</v>
      </c>
    </row>
    <row r="697" spans="2:7" ht="14.4" customHeight="1" x14ac:dyDescent="0.3">
      <c r="B697" s="36" t="s">
        <v>217</v>
      </c>
      <c r="C697" s="3" t="s">
        <v>14</v>
      </c>
      <c r="D697" s="38">
        <f t="shared" ref="D697:G697" si="186">D646*(D663+D680)</f>
        <v>0</v>
      </c>
      <c r="E697" s="38">
        <f t="shared" si="186"/>
        <v>0</v>
      </c>
      <c r="F697" s="38">
        <f t="shared" si="186"/>
        <v>0</v>
      </c>
      <c r="G697" s="38">
        <f t="shared" si="186"/>
        <v>0</v>
      </c>
    </row>
    <row r="698" spans="2:7" ht="14.4" customHeight="1" x14ac:dyDescent="0.3">
      <c r="B698" s="36" t="s">
        <v>218</v>
      </c>
      <c r="C698" s="3" t="s">
        <v>15</v>
      </c>
      <c r="D698" s="38">
        <f t="shared" ref="D698:G698" si="187">D647*(D664+D681)</f>
        <v>0</v>
      </c>
      <c r="E698" s="38">
        <f t="shared" si="187"/>
        <v>0</v>
      </c>
      <c r="F698" s="38">
        <f t="shared" si="187"/>
        <v>0</v>
      </c>
      <c r="G698" s="38">
        <f t="shared" si="187"/>
        <v>0</v>
      </c>
    </row>
    <row r="699" spans="2:7" ht="14.4" customHeight="1" x14ac:dyDescent="0.3">
      <c r="B699" s="36" t="s">
        <v>227</v>
      </c>
      <c r="C699" s="3" t="s">
        <v>220</v>
      </c>
      <c r="D699" s="38">
        <f t="shared" ref="D699:G699" si="188">D648*(D665+D682)</f>
        <v>50247355.296637498</v>
      </c>
      <c r="E699" s="38">
        <f t="shared" si="188"/>
        <v>52147001.980377689</v>
      </c>
      <c r="F699" s="38">
        <f t="shared" si="188"/>
        <v>52147001.980377689</v>
      </c>
      <c r="G699" s="38">
        <f t="shared" si="188"/>
        <v>52147001.980377689</v>
      </c>
    </row>
    <row r="700" spans="2:7" ht="14.4" customHeight="1" x14ac:dyDescent="0.3">
      <c r="B700" s="9" t="s">
        <v>1</v>
      </c>
      <c r="C700" s="9" t="s">
        <v>239</v>
      </c>
      <c r="D700" s="6"/>
      <c r="E700" s="6"/>
      <c r="F700" s="6"/>
      <c r="G700" s="6"/>
    </row>
    <row r="701" spans="2:7" ht="14.4" customHeight="1" x14ac:dyDescent="0.3">
      <c r="B701" s="25"/>
      <c r="C701" s="25"/>
      <c r="D701" s="23" t="str">
        <f>Input_!D$5</f>
        <v>2023-24</v>
      </c>
      <c r="E701" s="23" t="str">
        <f>Input_!E$5</f>
        <v>2024-25</v>
      </c>
      <c r="F701" s="23" t="str">
        <f>Input_!F$5</f>
        <v>2025-26</v>
      </c>
      <c r="G701" s="23" t="str">
        <f>Input_!G$5</f>
        <v>2026-27</v>
      </c>
    </row>
    <row r="702" spans="2:7" ht="14.4" customHeight="1" x14ac:dyDescent="0.3">
      <c r="B702" s="24"/>
      <c r="C702" s="24"/>
      <c r="D702" s="8"/>
      <c r="E702" s="8"/>
      <c r="F702" s="8"/>
      <c r="G702" s="8"/>
    </row>
    <row r="703" spans="2:7" ht="14.4" customHeight="1" x14ac:dyDescent="0.3">
      <c r="B703" s="36" t="s">
        <v>225</v>
      </c>
      <c r="C703" s="3" t="s">
        <v>224</v>
      </c>
      <c r="D703" s="38">
        <f t="shared" ref="D703:G703" si="189">D652*(D669+D686)</f>
        <v>0</v>
      </c>
      <c r="E703" s="38">
        <f t="shared" si="189"/>
        <v>0</v>
      </c>
      <c r="F703" s="38">
        <f t="shared" si="189"/>
        <v>0</v>
      </c>
      <c r="G703" s="38">
        <f t="shared" si="189"/>
        <v>0</v>
      </c>
    </row>
    <row r="704" spans="2:7" ht="14.4" customHeight="1" x14ac:dyDescent="0.3">
      <c r="B704" s="36" t="s">
        <v>217</v>
      </c>
      <c r="C704" s="3" t="s">
        <v>14</v>
      </c>
      <c r="D704" s="38">
        <f t="shared" ref="D704:G704" si="190">D653*(D670+D687)</f>
        <v>0</v>
      </c>
      <c r="E704" s="38">
        <f t="shared" si="190"/>
        <v>0</v>
      </c>
      <c r="F704" s="38">
        <f t="shared" si="190"/>
        <v>0</v>
      </c>
      <c r="G704" s="38">
        <f t="shared" si="190"/>
        <v>0</v>
      </c>
    </row>
    <row r="705" spans="2:7" ht="14.4" customHeight="1" x14ac:dyDescent="0.3">
      <c r="B705" s="36" t="s">
        <v>218</v>
      </c>
      <c r="C705" s="3" t="s">
        <v>15</v>
      </c>
      <c r="D705" s="38">
        <f t="shared" ref="D705:G705" si="191">D654*(D671+D688)</f>
        <v>0</v>
      </c>
      <c r="E705" s="38">
        <f t="shared" si="191"/>
        <v>0</v>
      </c>
      <c r="F705" s="38">
        <f t="shared" si="191"/>
        <v>0</v>
      </c>
      <c r="G705" s="38">
        <f t="shared" si="191"/>
        <v>0</v>
      </c>
    </row>
    <row r="706" spans="2:7" ht="14.4" customHeight="1" x14ac:dyDescent="0.3">
      <c r="B706" s="21" t="s">
        <v>32</v>
      </c>
      <c r="C706" s="22"/>
      <c r="D706" s="20">
        <f t="shared" ref="D706:G706" si="192">SUM(D696:D699,D702:D705)</f>
        <v>51029542.307437398</v>
      </c>
      <c r="E706" s="20">
        <f t="shared" si="192"/>
        <v>53979435.403127335</v>
      </c>
      <c r="F706" s="20">
        <f t="shared" si="192"/>
        <v>53979435.403127335</v>
      </c>
      <c r="G706" s="20">
        <f t="shared" si="192"/>
        <v>53979435.403127335</v>
      </c>
    </row>
    <row r="707" spans="2:7" ht="14.4" customHeight="1" x14ac:dyDescent="0.3">
      <c r="D707" s="63">
        <f>Input_!D191*Input_!D7+Input_!D8-D706</f>
        <v>0</v>
      </c>
      <c r="E707" s="63">
        <f>Input_!E191*Input_!E7+Input_!E8-E706</f>
        <v>0</v>
      </c>
      <c r="F707" s="63">
        <f>Input_!F191*Input_!F7+Input_!F8-F706</f>
        <v>0</v>
      </c>
      <c r="G707" s="63">
        <f>Input_!G191*Input_!G7+Input_!G8-G706</f>
        <v>0</v>
      </c>
    </row>
  </sheetData>
  <conditionalFormatting sqref="D707:G707">
    <cfRule type="cellIs" dxfId="37" priority="1" operator="equal">
      <formula>0</formula>
    </cfRule>
    <cfRule type="cellIs" dxfId="36" priority="2" operator="lessThan">
      <formula>0</formula>
    </cfRule>
    <cfRule type="cellIs" dxfId="35" priority="3" operator="greaterThan">
      <formula>0</formula>
    </cfRule>
  </conditionalFormatting>
  <pageMargins left="0.7" right="0.7" top="0.75" bottom="0.75" header="0.3" footer="0.3"/>
  <pageSetup orientation="portrait" r:id="rId1"/>
  <ignoredErrors>
    <ignoredError sqref="D645:G64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I308"/>
  <sheetViews>
    <sheetView showGridLines="0" topLeftCell="A198" zoomScale="80" zoomScaleNormal="80" workbookViewId="0">
      <selection activeCell="D8" sqref="D8"/>
    </sheetView>
  </sheetViews>
  <sheetFormatPr defaultRowHeight="14.4" customHeight="1" x14ac:dyDescent="0.3"/>
  <cols>
    <col min="1" max="1" width="8.88671875" style="1"/>
    <col min="2" max="2" width="35.77734375" style="1" customWidth="1"/>
    <col min="3" max="3" width="60.44140625" style="1" bestFit="1" customWidth="1"/>
    <col min="4" max="7" width="11.6640625" style="1" customWidth="1"/>
    <col min="8" max="8" width="8.88671875" style="1"/>
    <col min="9" max="9" width="12" style="1" bestFit="1" customWidth="1"/>
    <col min="10" max="16384" width="8.88671875" style="1"/>
  </cols>
  <sheetData>
    <row r="2" spans="2:7" ht="28.8" customHeight="1" x14ac:dyDescent="0.3">
      <c r="B2" s="32" t="s">
        <v>638</v>
      </c>
      <c r="C2" s="5"/>
      <c r="D2" s="5"/>
      <c r="E2" s="5"/>
      <c r="F2" s="5"/>
      <c r="G2" s="5"/>
    </row>
    <row r="3" spans="2:7" ht="14.4" customHeight="1" x14ac:dyDescent="0.3">
      <c r="B3" s="37" t="s">
        <v>232</v>
      </c>
    </row>
    <row r="4" spans="2:7" ht="14.4" customHeight="1" x14ac:dyDescent="0.3">
      <c r="B4" s="9" t="s">
        <v>1</v>
      </c>
      <c r="C4" s="9" t="s">
        <v>228</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10" t="s">
        <v>8</v>
      </c>
      <c r="C7" s="3" t="s">
        <v>9</v>
      </c>
      <c r="D7" s="57">
        <f>'Exit Tariff_1'!D$583</f>
        <v>3.244778208810687E-2</v>
      </c>
      <c r="E7" s="57">
        <f>'Exit Tariff_1'!E$583</f>
        <v>3.4138454756156067E-2</v>
      </c>
      <c r="F7" s="57">
        <f>'Exit Tariff_1'!F$583</f>
        <v>3.4138454756156067E-2</v>
      </c>
      <c r="G7" s="57">
        <f>'Exit Tariff_1'!G$583</f>
        <v>3.4138454756156067E-2</v>
      </c>
    </row>
    <row r="8" spans="2:7" ht="14.4" customHeight="1" x14ac:dyDescent="0.3">
      <c r="B8" s="13"/>
      <c r="C8" s="3" t="s">
        <v>10</v>
      </c>
      <c r="D8" s="57">
        <f>'Exit Tariff_1'!D$583</f>
        <v>3.244778208810687E-2</v>
      </c>
      <c r="E8" s="57">
        <f>'Exit Tariff_1'!E$583</f>
        <v>3.4138454756156067E-2</v>
      </c>
      <c r="F8" s="57">
        <f>'Exit Tariff_1'!F$583</f>
        <v>3.4138454756156067E-2</v>
      </c>
      <c r="G8" s="57">
        <f>'Exit Tariff_1'!G$583</f>
        <v>3.4138454756156067E-2</v>
      </c>
    </row>
    <row r="9" spans="2:7" ht="14.4" customHeight="1" x14ac:dyDescent="0.3">
      <c r="B9" s="13"/>
      <c r="C9" s="3" t="s">
        <v>11</v>
      </c>
      <c r="D9" s="57">
        <f>'Exit Tariff_1'!D$583</f>
        <v>3.244778208810687E-2</v>
      </c>
      <c r="E9" s="57">
        <f>'Exit Tariff_1'!E$583</f>
        <v>3.4138454756156067E-2</v>
      </c>
      <c r="F9" s="57">
        <f>'Exit Tariff_1'!F$583</f>
        <v>3.4138454756156067E-2</v>
      </c>
      <c r="G9" s="57">
        <f>'Exit Tariff_1'!G$583</f>
        <v>3.4138454756156067E-2</v>
      </c>
    </row>
    <row r="10" spans="2:7" ht="14.4" customHeight="1" x14ac:dyDescent="0.3">
      <c r="B10" s="13"/>
      <c r="C10" s="3" t="s">
        <v>12</v>
      </c>
      <c r="D10" s="57">
        <f>'Exit Tariff_1'!D$583</f>
        <v>3.244778208810687E-2</v>
      </c>
      <c r="E10" s="57">
        <f>'Exit Tariff_1'!E$583</f>
        <v>3.4138454756156067E-2</v>
      </c>
      <c r="F10" s="57">
        <f>'Exit Tariff_1'!F$583</f>
        <v>3.4138454756156067E-2</v>
      </c>
      <c r="G10" s="57">
        <f>'Exit Tariff_1'!G$583</f>
        <v>3.4138454756156067E-2</v>
      </c>
    </row>
    <row r="11" spans="2:7" ht="14.4" customHeight="1" x14ac:dyDescent="0.3">
      <c r="B11" s="14"/>
      <c r="C11" s="3" t="s">
        <v>13</v>
      </c>
      <c r="D11" s="57">
        <f>'Exit Tariff_1'!D$583</f>
        <v>3.244778208810687E-2</v>
      </c>
      <c r="E11" s="57">
        <f>'Exit Tariff_1'!E$583</f>
        <v>3.4138454756156067E-2</v>
      </c>
      <c r="F11" s="57">
        <f>'Exit Tariff_1'!F$583</f>
        <v>3.4138454756156067E-2</v>
      </c>
      <c r="G11" s="57">
        <f>'Exit Tariff_1'!G$583</f>
        <v>3.4138454756156067E-2</v>
      </c>
    </row>
    <row r="12" spans="2:7" ht="14.4" customHeight="1" x14ac:dyDescent="0.3">
      <c r="B12" s="10" t="s">
        <v>14</v>
      </c>
      <c r="C12" s="3" t="s">
        <v>9</v>
      </c>
      <c r="D12" s="57">
        <f>'Exit Tariff_1'!D$584</f>
        <v>0</v>
      </c>
      <c r="E12" s="57">
        <f>'Exit Tariff_1'!E$584</f>
        <v>0</v>
      </c>
      <c r="F12" s="57">
        <f>'Exit Tariff_1'!F$584</f>
        <v>0</v>
      </c>
      <c r="G12" s="57">
        <f>'Exit Tariff_1'!G$584</f>
        <v>0</v>
      </c>
    </row>
    <row r="13" spans="2:7" ht="14.4" customHeight="1" x14ac:dyDescent="0.3">
      <c r="B13" s="13"/>
      <c r="C13" s="3" t="s">
        <v>10</v>
      </c>
      <c r="D13" s="57">
        <f>'Exit Tariff_1'!D$584</f>
        <v>0</v>
      </c>
      <c r="E13" s="57">
        <f>'Exit Tariff_1'!E$584</f>
        <v>0</v>
      </c>
      <c r="F13" s="57">
        <f>'Exit Tariff_1'!F$584</f>
        <v>0</v>
      </c>
      <c r="G13" s="57">
        <f>'Exit Tariff_1'!G$584</f>
        <v>0</v>
      </c>
    </row>
    <row r="14" spans="2:7" ht="14.4" customHeight="1" x14ac:dyDescent="0.3">
      <c r="B14" s="13"/>
      <c r="C14" s="3" t="s">
        <v>11</v>
      </c>
      <c r="D14" s="57">
        <f>'Exit Tariff_1'!D$584</f>
        <v>0</v>
      </c>
      <c r="E14" s="57">
        <f>'Exit Tariff_1'!E$584</f>
        <v>0</v>
      </c>
      <c r="F14" s="57">
        <f>'Exit Tariff_1'!F$584</f>
        <v>0</v>
      </c>
      <c r="G14" s="57">
        <f>'Exit Tariff_1'!G$584</f>
        <v>0</v>
      </c>
    </row>
    <row r="15" spans="2:7" ht="14.4" customHeight="1" x14ac:dyDescent="0.3">
      <c r="B15" s="13"/>
      <c r="C15" s="3" t="s">
        <v>12</v>
      </c>
      <c r="D15" s="57">
        <f>'Exit Tariff_1'!D$584</f>
        <v>0</v>
      </c>
      <c r="E15" s="57">
        <f>'Exit Tariff_1'!E$584</f>
        <v>0</v>
      </c>
      <c r="F15" s="57">
        <f>'Exit Tariff_1'!F$584</f>
        <v>0</v>
      </c>
      <c r="G15" s="57">
        <f>'Exit Tariff_1'!G$584</f>
        <v>0</v>
      </c>
    </row>
    <row r="16" spans="2:7" ht="14.4" customHeight="1" x14ac:dyDescent="0.3">
      <c r="B16" s="14"/>
      <c r="C16" s="3" t="s">
        <v>13</v>
      </c>
      <c r="D16" s="57">
        <f>'Exit Tariff_1'!D$584</f>
        <v>0</v>
      </c>
      <c r="E16" s="57">
        <f>'Exit Tariff_1'!E$584</f>
        <v>0</v>
      </c>
      <c r="F16" s="57">
        <f>'Exit Tariff_1'!F$584</f>
        <v>0</v>
      </c>
      <c r="G16" s="57">
        <f>'Exit Tariff_1'!G$584</f>
        <v>0</v>
      </c>
    </row>
    <row r="17" spans="2:7" ht="14.4" customHeight="1" x14ac:dyDescent="0.3">
      <c r="B17" s="10" t="s">
        <v>15</v>
      </c>
      <c r="C17" s="3" t="s">
        <v>12</v>
      </c>
      <c r="D17" s="57">
        <f>'Exit Tariff_1'!D$585</f>
        <v>6.5919307154819889E-2</v>
      </c>
      <c r="E17" s="57">
        <f>'Exit Tariff_1'!E$585</f>
        <v>6.9308347532334433E-2</v>
      </c>
      <c r="F17" s="57">
        <f>'Exit Tariff_1'!F$585</f>
        <v>6.9308347532334433E-2</v>
      </c>
      <c r="G17" s="57">
        <f>'Exit Tariff_1'!G$585</f>
        <v>6.9308347532334433E-2</v>
      </c>
    </row>
    <row r="18" spans="2:7" ht="14.4" customHeight="1" x14ac:dyDescent="0.3">
      <c r="B18" s="14"/>
      <c r="C18" s="3" t="s">
        <v>13</v>
      </c>
      <c r="D18" s="57">
        <f>'Exit Tariff_1'!D$585</f>
        <v>6.5919307154819889E-2</v>
      </c>
      <c r="E18" s="57">
        <f>'Exit Tariff_1'!E$585</f>
        <v>6.9308347532334433E-2</v>
      </c>
      <c r="F18" s="57">
        <f>'Exit Tariff_1'!F$585</f>
        <v>6.9308347532334433E-2</v>
      </c>
      <c r="G18" s="57">
        <f>'Exit Tariff_1'!G$585</f>
        <v>6.9308347532334433E-2</v>
      </c>
    </row>
    <row r="19" spans="2:7" ht="14.4" customHeight="1" x14ac:dyDescent="0.3">
      <c r="B19" s="15" t="s">
        <v>17</v>
      </c>
      <c r="C19" s="3" t="s">
        <v>18</v>
      </c>
      <c r="D19" s="57">
        <f>'Exit Tariff_1'!D$586</f>
        <v>0.15640388150749171</v>
      </c>
      <c r="E19" s="57">
        <f>'Exit Tariff_1'!E$586</f>
        <v>0.16459629927904959</v>
      </c>
      <c r="F19" s="57">
        <f>'Exit Tariff_1'!F$586</f>
        <v>0.16459629927904959</v>
      </c>
      <c r="G19" s="57">
        <f>'Exit Tariff_1'!G$586</f>
        <v>0.16459629927904959</v>
      </c>
    </row>
    <row r="20" spans="2:7" ht="14.4" customHeight="1" x14ac:dyDescent="0.3">
      <c r="B20" s="10" t="s">
        <v>19</v>
      </c>
      <c r="C20" s="3" t="s">
        <v>20</v>
      </c>
      <c r="D20" s="57">
        <f>'Exit Tariff_1'!D$586</f>
        <v>0.15640388150749171</v>
      </c>
      <c r="E20" s="57">
        <f>'Exit Tariff_1'!E$586</f>
        <v>0.16459629927904959</v>
      </c>
      <c r="F20" s="57">
        <f>'Exit Tariff_1'!F$586</f>
        <v>0.16459629927904959</v>
      </c>
      <c r="G20" s="57">
        <f>'Exit Tariff_1'!G$586</f>
        <v>0.16459629927904959</v>
      </c>
    </row>
    <row r="21" spans="2:7" ht="14.4" customHeight="1" x14ac:dyDescent="0.3">
      <c r="B21" s="13"/>
      <c r="C21" s="3" t="s">
        <v>21</v>
      </c>
      <c r="D21" s="57">
        <f>'Exit Tariff_1'!D$586</f>
        <v>0.15640388150749171</v>
      </c>
      <c r="E21" s="57">
        <f>'Exit Tariff_1'!E$586</f>
        <v>0.16459629927904959</v>
      </c>
      <c r="F21" s="57">
        <f>'Exit Tariff_1'!F$586</f>
        <v>0.16459629927904959</v>
      </c>
      <c r="G21" s="57">
        <f>'Exit Tariff_1'!G$586</f>
        <v>0.16459629927904959</v>
      </c>
    </row>
    <row r="22" spans="2:7" ht="14.4" customHeight="1" x14ac:dyDescent="0.3">
      <c r="B22" s="13"/>
      <c r="C22" s="3" t="s">
        <v>22</v>
      </c>
      <c r="D22" s="57">
        <f>'Exit Tariff_1'!D$586</f>
        <v>0.15640388150749171</v>
      </c>
      <c r="E22" s="57">
        <f>'Exit Tariff_1'!E$586</f>
        <v>0.16459629927904959</v>
      </c>
      <c r="F22" s="57">
        <f>'Exit Tariff_1'!F$586</f>
        <v>0.16459629927904959</v>
      </c>
      <c r="G22" s="57">
        <f>'Exit Tariff_1'!G$586</f>
        <v>0.16459629927904959</v>
      </c>
    </row>
    <row r="23" spans="2:7" ht="14.4" customHeight="1" x14ac:dyDescent="0.3">
      <c r="B23" s="13"/>
      <c r="C23" s="3" t="s">
        <v>23</v>
      </c>
      <c r="D23" s="57">
        <f>'Exit Tariff_1'!D$586</f>
        <v>0.15640388150749171</v>
      </c>
      <c r="E23" s="57">
        <f>'Exit Tariff_1'!E$586</f>
        <v>0.16459629927904959</v>
      </c>
      <c r="F23" s="57">
        <f>'Exit Tariff_1'!F$586</f>
        <v>0.16459629927904959</v>
      </c>
      <c r="G23" s="57">
        <f>'Exit Tariff_1'!G$586</f>
        <v>0.16459629927904959</v>
      </c>
    </row>
    <row r="24" spans="2:7" ht="14.4" customHeight="1" x14ac:dyDescent="0.3">
      <c r="B24" s="13"/>
      <c r="C24" s="3" t="s">
        <v>24</v>
      </c>
      <c r="D24" s="57">
        <f>'Exit Tariff_1'!D$586</f>
        <v>0.15640388150749171</v>
      </c>
      <c r="E24" s="57">
        <f>'Exit Tariff_1'!E$586</f>
        <v>0.16459629927904959</v>
      </c>
      <c r="F24" s="57">
        <f>'Exit Tariff_1'!F$586</f>
        <v>0.16459629927904959</v>
      </c>
      <c r="G24" s="57">
        <f>'Exit Tariff_1'!G$586</f>
        <v>0.16459629927904959</v>
      </c>
    </row>
    <row r="25" spans="2:7" ht="14.4" customHeight="1" x14ac:dyDescent="0.3">
      <c r="B25" s="14"/>
      <c r="C25" s="3" t="s">
        <v>25</v>
      </c>
      <c r="D25" s="57">
        <f>'Exit Tariff_1'!D$586</f>
        <v>0.15640388150749171</v>
      </c>
      <c r="E25" s="57">
        <f>'Exit Tariff_1'!E$586</f>
        <v>0.16459629927904959</v>
      </c>
      <c r="F25" s="57">
        <f>'Exit Tariff_1'!F$586</f>
        <v>0.16459629927904959</v>
      </c>
      <c r="G25" s="57">
        <f>'Exit Tariff_1'!G$586</f>
        <v>0.16459629927904959</v>
      </c>
    </row>
    <row r="26" spans="2:7" ht="14.4" customHeight="1" x14ac:dyDescent="0.3">
      <c r="B26" s="9" t="s">
        <v>1</v>
      </c>
      <c r="C26" s="9" t="s">
        <v>229</v>
      </c>
      <c r="D26" s="6"/>
      <c r="E26" s="6"/>
      <c r="F26" s="6"/>
      <c r="G26" s="6"/>
    </row>
    <row r="27" spans="2:7" ht="14.4" customHeight="1" x14ac:dyDescent="0.3">
      <c r="B27" s="25"/>
      <c r="C27" s="25"/>
      <c r="D27" s="23" t="str">
        <f>Input_!D$5</f>
        <v>2023-24</v>
      </c>
      <c r="E27" s="23" t="str">
        <f>Input_!E$5</f>
        <v>2024-25</v>
      </c>
      <c r="F27" s="23" t="str">
        <f>Input_!F$5</f>
        <v>2025-26</v>
      </c>
      <c r="G27" s="23" t="str">
        <f>Input_!G$5</f>
        <v>2026-27</v>
      </c>
    </row>
    <row r="28" spans="2:7" ht="14.4" customHeight="1" x14ac:dyDescent="0.3">
      <c r="B28" s="24"/>
      <c r="C28" s="24"/>
      <c r="D28" s="8"/>
      <c r="E28" s="8"/>
      <c r="F28" s="8"/>
      <c r="G28" s="8"/>
    </row>
    <row r="29" spans="2:7" ht="14.4" customHeight="1" x14ac:dyDescent="0.3">
      <c r="B29" s="10" t="s">
        <v>8</v>
      </c>
      <c r="C29" s="3" t="s">
        <v>12</v>
      </c>
      <c r="D29" s="57">
        <f>'Exit Tariff_1'!D$583</f>
        <v>3.244778208810687E-2</v>
      </c>
      <c r="E29" s="57">
        <f>'Exit Tariff_1'!E$583</f>
        <v>3.4138454756156067E-2</v>
      </c>
      <c r="F29" s="57">
        <f>'Exit Tariff_1'!F$583</f>
        <v>3.4138454756156067E-2</v>
      </c>
      <c r="G29" s="57">
        <f>'Exit Tariff_1'!G$583</f>
        <v>3.4138454756156067E-2</v>
      </c>
    </row>
    <row r="30" spans="2:7" ht="14.4" customHeight="1" x14ac:dyDescent="0.3">
      <c r="B30" s="12"/>
      <c r="C30" s="3" t="s">
        <v>13</v>
      </c>
      <c r="D30" s="57">
        <f>'Exit Tariff_1'!D$583</f>
        <v>3.244778208810687E-2</v>
      </c>
      <c r="E30" s="57">
        <f>'Exit Tariff_1'!E$583</f>
        <v>3.4138454756156067E-2</v>
      </c>
      <c r="F30" s="57">
        <f>'Exit Tariff_1'!F$583</f>
        <v>3.4138454756156067E-2</v>
      </c>
      <c r="G30" s="57">
        <f>'Exit Tariff_1'!G$583</f>
        <v>3.4138454756156067E-2</v>
      </c>
    </row>
    <row r="31" spans="2:7" ht="14.4" customHeight="1" x14ac:dyDescent="0.3">
      <c r="B31" s="10" t="s">
        <v>14</v>
      </c>
      <c r="C31" s="3" t="s">
        <v>12</v>
      </c>
      <c r="D31" s="57">
        <f>'Exit Tariff_1'!D$584</f>
        <v>0</v>
      </c>
      <c r="E31" s="57">
        <f>'Exit Tariff_1'!E$584</f>
        <v>0</v>
      </c>
      <c r="F31" s="57">
        <f>'Exit Tariff_1'!F$584</f>
        <v>0</v>
      </c>
      <c r="G31" s="57">
        <f>'Exit Tariff_1'!G$584</f>
        <v>0</v>
      </c>
    </row>
    <row r="32" spans="2:7" ht="14.4" customHeight="1" x14ac:dyDescent="0.3">
      <c r="B32" s="12"/>
      <c r="C32" s="3" t="s">
        <v>13</v>
      </c>
      <c r="D32" s="57">
        <f>'Exit Tariff_1'!D$584</f>
        <v>0</v>
      </c>
      <c r="E32" s="57">
        <f>'Exit Tariff_1'!E$584</f>
        <v>0</v>
      </c>
      <c r="F32" s="57">
        <f>'Exit Tariff_1'!F$584</f>
        <v>0</v>
      </c>
      <c r="G32" s="57">
        <f>'Exit Tariff_1'!G$584</f>
        <v>0</v>
      </c>
    </row>
    <row r="33" spans="2:9" ht="14.4" customHeight="1" x14ac:dyDescent="0.3">
      <c r="B33" s="15" t="s">
        <v>15</v>
      </c>
      <c r="C33" s="3" t="s">
        <v>13</v>
      </c>
      <c r="D33" s="57">
        <f>'Exit Tariff_1'!D$585</f>
        <v>6.5919307154819889E-2</v>
      </c>
      <c r="E33" s="57">
        <f>'Exit Tariff_1'!E$585</f>
        <v>6.9308347532334433E-2</v>
      </c>
      <c r="F33" s="57">
        <f>'Exit Tariff_1'!F$585</f>
        <v>6.9308347532334433E-2</v>
      </c>
      <c r="G33" s="57">
        <f>'Exit Tariff_1'!G$585</f>
        <v>6.9308347532334433E-2</v>
      </c>
    </row>
    <row r="36" spans="2:9" ht="28.8" customHeight="1" x14ac:dyDescent="0.3">
      <c r="B36" s="32" t="s">
        <v>230</v>
      </c>
      <c r="C36" s="5"/>
      <c r="D36" s="5"/>
      <c r="E36" s="5"/>
      <c r="F36" s="5"/>
      <c r="G36" s="5"/>
    </row>
    <row r="37" spans="2:9" ht="14.4" customHeight="1" x14ac:dyDescent="0.3">
      <c r="B37" s="37"/>
    </row>
    <row r="38" spans="2:9" ht="14.4" customHeight="1" x14ac:dyDescent="0.3">
      <c r="B38" s="9" t="s">
        <v>1</v>
      </c>
      <c r="C38" s="9" t="s">
        <v>228</v>
      </c>
      <c r="D38" s="6"/>
      <c r="E38" s="6"/>
      <c r="F38" s="6"/>
      <c r="G38" s="6"/>
    </row>
    <row r="39" spans="2:9" ht="14.4" customHeight="1" x14ac:dyDescent="0.3">
      <c r="B39" s="25"/>
      <c r="C39" s="25"/>
      <c r="D39" s="23" t="str">
        <f>Input_!D$5</f>
        <v>2023-24</v>
      </c>
      <c r="E39" s="23" t="str">
        <f>Input_!E$5</f>
        <v>2024-25</v>
      </c>
      <c r="F39" s="23" t="str">
        <f>Input_!F$5</f>
        <v>2025-26</v>
      </c>
      <c r="G39" s="23" t="str">
        <f>Input_!G$5</f>
        <v>2026-27</v>
      </c>
    </row>
    <row r="40" spans="2:9" ht="14.4" customHeight="1" x14ac:dyDescent="0.3">
      <c r="B40" s="24"/>
      <c r="C40" s="24"/>
      <c r="D40" s="8"/>
      <c r="E40" s="8"/>
      <c r="F40" s="8"/>
      <c r="G40" s="8"/>
    </row>
    <row r="41" spans="2:9" ht="14.4" customHeight="1" x14ac:dyDescent="0.3">
      <c r="B41" s="10" t="s">
        <v>8</v>
      </c>
      <c r="C41" s="3" t="s">
        <v>9</v>
      </c>
      <c r="D41" s="58">
        <f>Input_!D133</f>
        <v>1</v>
      </c>
      <c r="E41" s="58">
        <f>Input_!E133</f>
        <v>1</v>
      </c>
      <c r="F41" s="58">
        <f>Input_!F133</f>
        <v>1</v>
      </c>
      <c r="G41" s="58">
        <f>Input_!G133</f>
        <v>1</v>
      </c>
      <c r="I41"/>
    </row>
    <row r="42" spans="2:9" ht="14.4" customHeight="1" x14ac:dyDescent="0.3">
      <c r="B42" s="13"/>
      <c r="C42" s="3" t="s">
        <v>10</v>
      </c>
      <c r="D42" s="58">
        <f>Input_!D134</f>
        <v>1.3</v>
      </c>
      <c r="E42" s="58">
        <f>Input_!E134</f>
        <v>1.18</v>
      </c>
      <c r="F42" s="58">
        <f>Input_!F134</f>
        <v>1.18</v>
      </c>
      <c r="G42" s="58">
        <f>Input_!G134</f>
        <v>1.18</v>
      </c>
      <c r="I42"/>
    </row>
    <row r="43" spans="2:9" ht="14.4" customHeight="1" x14ac:dyDescent="0.3">
      <c r="B43" s="13"/>
      <c r="C43" s="3" t="s">
        <v>11</v>
      </c>
      <c r="D43" s="58">
        <f>Input_!D135</f>
        <v>1.5</v>
      </c>
      <c r="E43" s="58">
        <f>Input_!E135</f>
        <v>1.35</v>
      </c>
      <c r="F43" s="58">
        <f>Input_!F135</f>
        <v>1.35</v>
      </c>
      <c r="G43" s="58">
        <f>Input_!G135</f>
        <v>1.35</v>
      </c>
      <c r="I43"/>
    </row>
    <row r="44" spans="2:9" ht="14.4" customHeight="1" x14ac:dyDescent="0.3">
      <c r="B44" s="13"/>
      <c r="C44" s="3" t="s">
        <v>12</v>
      </c>
      <c r="D44" s="58">
        <f>Input_!D136</f>
        <v>2</v>
      </c>
      <c r="E44" s="58">
        <f>Input_!E136</f>
        <v>1.94</v>
      </c>
      <c r="F44" s="58">
        <f>Input_!F136</f>
        <v>1.94</v>
      </c>
      <c r="G44" s="58">
        <f>Input_!G136</f>
        <v>1.94</v>
      </c>
      <c r="I44"/>
    </row>
    <row r="45" spans="2:9" ht="14.4" customHeight="1" x14ac:dyDescent="0.3">
      <c r="B45" s="14"/>
      <c r="C45" s="3" t="s">
        <v>13</v>
      </c>
      <c r="D45" s="58">
        <f>Input_!D137</f>
        <v>2.2000000000000002</v>
      </c>
      <c r="E45" s="58">
        <f>Input_!E137</f>
        <v>2.13</v>
      </c>
      <c r="F45" s="58">
        <f>Input_!F137</f>
        <v>2.13</v>
      </c>
      <c r="G45" s="58">
        <f>Input_!G137</f>
        <v>2.13</v>
      </c>
      <c r="I45"/>
    </row>
    <row r="46" spans="2:9" ht="14.4" customHeight="1" x14ac:dyDescent="0.3">
      <c r="B46" s="10" t="s">
        <v>14</v>
      </c>
      <c r="C46" s="3" t="s">
        <v>9</v>
      </c>
      <c r="D46" s="58">
        <f>Input_!D138</f>
        <v>1</v>
      </c>
      <c r="E46" s="58">
        <f>Input_!E138</f>
        <v>1</v>
      </c>
      <c r="F46" s="58">
        <f>Input_!F138</f>
        <v>1</v>
      </c>
      <c r="G46" s="58">
        <f>Input_!G138</f>
        <v>1</v>
      </c>
      <c r="I46"/>
    </row>
    <row r="47" spans="2:9" ht="14.4" customHeight="1" x14ac:dyDescent="0.3">
      <c r="B47" s="13"/>
      <c r="C47" s="3" t="s">
        <v>10</v>
      </c>
      <c r="D47" s="58">
        <f>Input_!D139</f>
        <v>1.3</v>
      </c>
      <c r="E47" s="58">
        <f>Input_!E139</f>
        <v>1.18</v>
      </c>
      <c r="F47" s="58">
        <f>Input_!F139</f>
        <v>1.18</v>
      </c>
      <c r="G47" s="58">
        <f>Input_!G139</f>
        <v>1.18</v>
      </c>
      <c r="I47"/>
    </row>
    <row r="48" spans="2:9" ht="14.4" customHeight="1" x14ac:dyDescent="0.3">
      <c r="B48" s="13"/>
      <c r="C48" s="3" t="s">
        <v>11</v>
      </c>
      <c r="D48" s="58">
        <f>Input_!D140</f>
        <v>1.5</v>
      </c>
      <c r="E48" s="58">
        <f>Input_!E140</f>
        <v>1.35</v>
      </c>
      <c r="F48" s="58">
        <f>Input_!F140</f>
        <v>1.35</v>
      </c>
      <c r="G48" s="58">
        <f>Input_!G140</f>
        <v>1.35</v>
      </c>
      <c r="I48"/>
    </row>
    <row r="49" spans="2:9" ht="14.4" customHeight="1" x14ac:dyDescent="0.3">
      <c r="B49" s="13"/>
      <c r="C49" s="3" t="s">
        <v>12</v>
      </c>
      <c r="D49" s="58">
        <f>Input_!D141</f>
        <v>2</v>
      </c>
      <c r="E49" s="58">
        <f>Input_!E141</f>
        <v>1.94</v>
      </c>
      <c r="F49" s="58">
        <f>Input_!F141</f>
        <v>1.94</v>
      </c>
      <c r="G49" s="58">
        <f>Input_!G141</f>
        <v>1.94</v>
      </c>
      <c r="I49"/>
    </row>
    <row r="50" spans="2:9" ht="14.4" customHeight="1" x14ac:dyDescent="0.3">
      <c r="B50" s="14"/>
      <c r="C50" s="3" t="s">
        <v>13</v>
      </c>
      <c r="D50" s="58">
        <f>Input_!D142</f>
        <v>2.2000000000000002</v>
      </c>
      <c r="E50" s="58">
        <f>Input_!E142</f>
        <v>2.13</v>
      </c>
      <c r="F50" s="58">
        <f>Input_!F142</f>
        <v>2.13</v>
      </c>
      <c r="G50" s="58">
        <f>Input_!G142</f>
        <v>2.13</v>
      </c>
      <c r="I50"/>
    </row>
    <row r="51" spans="2:9" ht="14.4" customHeight="1" x14ac:dyDescent="0.3">
      <c r="B51" s="10" t="s">
        <v>15</v>
      </c>
      <c r="C51" s="3" t="s">
        <v>12</v>
      </c>
      <c r="D51" s="58">
        <f>Input_!D143</f>
        <v>1</v>
      </c>
      <c r="E51" s="58">
        <f>Input_!E143</f>
        <v>1</v>
      </c>
      <c r="F51" s="58">
        <f>Input_!F143</f>
        <v>1</v>
      </c>
      <c r="G51" s="58">
        <f>Input_!G143</f>
        <v>1</v>
      </c>
      <c r="I51"/>
    </row>
    <row r="52" spans="2:9" ht="14.4" customHeight="1" x14ac:dyDescent="0.3">
      <c r="B52" s="14"/>
      <c r="C52" s="3" t="s">
        <v>13</v>
      </c>
      <c r="D52" s="58">
        <f>Input_!D144</f>
        <v>1.1000000000000001</v>
      </c>
      <c r="E52" s="58">
        <f>Input_!E144</f>
        <v>1.1000000000000001</v>
      </c>
      <c r="F52" s="58">
        <f>Input_!F144</f>
        <v>1.1000000000000001</v>
      </c>
      <c r="G52" s="58">
        <f>Input_!G144</f>
        <v>1.1000000000000001</v>
      </c>
      <c r="I52"/>
    </row>
    <row r="53" spans="2:9" ht="14.4" customHeight="1" x14ac:dyDescent="0.3">
      <c r="B53" s="15" t="s">
        <v>17</v>
      </c>
      <c r="C53" s="3" t="s">
        <v>18</v>
      </c>
      <c r="D53" s="58">
        <v>1</v>
      </c>
      <c r="E53" s="58">
        <v>1</v>
      </c>
      <c r="F53" s="58">
        <v>1</v>
      </c>
      <c r="G53" s="58">
        <v>1</v>
      </c>
      <c r="I53"/>
    </row>
    <row r="54" spans="2:9" ht="14.4" customHeight="1" x14ac:dyDescent="0.3">
      <c r="B54" s="10" t="s">
        <v>19</v>
      </c>
      <c r="C54" s="3" t="s">
        <v>20</v>
      </c>
      <c r="D54" s="58">
        <v>1</v>
      </c>
      <c r="E54" s="58">
        <v>1</v>
      </c>
      <c r="F54" s="58">
        <v>1</v>
      </c>
      <c r="G54" s="58">
        <v>1</v>
      </c>
      <c r="I54"/>
    </row>
    <row r="55" spans="2:9" ht="14.4" customHeight="1" x14ac:dyDescent="0.3">
      <c r="B55" s="13"/>
      <c r="C55" s="3" t="s">
        <v>21</v>
      </c>
      <c r="D55" s="58">
        <f>Input_!D145</f>
        <v>1.5</v>
      </c>
      <c r="E55" s="58">
        <f>Input_!E145</f>
        <v>1.5</v>
      </c>
      <c r="F55" s="58">
        <f>Input_!F145</f>
        <v>1.5</v>
      </c>
      <c r="G55" s="58">
        <f>Input_!G145</f>
        <v>1.5</v>
      </c>
      <c r="I55"/>
    </row>
    <row r="56" spans="2:9" ht="14.4" customHeight="1" x14ac:dyDescent="0.3">
      <c r="B56" s="13"/>
      <c r="C56" s="3" t="s">
        <v>22</v>
      </c>
      <c r="D56" s="58">
        <f>Input_!D146</f>
        <v>3</v>
      </c>
      <c r="E56" s="58">
        <f>Input_!E146</f>
        <v>3</v>
      </c>
      <c r="F56" s="58">
        <f>Input_!F146</f>
        <v>3</v>
      </c>
      <c r="G56" s="58">
        <f>Input_!G146</f>
        <v>3</v>
      </c>
      <c r="I56"/>
    </row>
    <row r="57" spans="2:9" ht="14.4" customHeight="1" x14ac:dyDescent="0.3">
      <c r="B57" s="13"/>
      <c r="C57" s="3" t="s">
        <v>23</v>
      </c>
      <c r="D57" s="58">
        <f>Input_!D147</f>
        <v>1.5</v>
      </c>
      <c r="E57" s="58">
        <f>Input_!E147</f>
        <v>1.5</v>
      </c>
      <c r="F57" s="58">
        <f>Input_!F147</f>
        <v>1.5</v>
      </c>
      <c r="G57" s="58">
        <f>Input_!G147</f>
        <v>1.5</v>
      </c>
      <c r="I57"/>
    </row>
    <row r="58" spans="2:9" ht="14.4" customHeight="1" x14ac:dyDescent="0.3">
      <c r="B58" s="13"/>
      <c r="C58" s="3" t="s">
        <v>24</v>
      </c>
      <c r="D58" s="58">
        <f>Input_!D148</f>
        <v>10</v>
      </c>
      <c r="E58" s="58">
        <f>Input_!E148</f>
        <v>10</v>
      </c>
      <c r="F58" s="58">
        <f>Input_!F148</f>
        <v>10</v>
      </c>
      <c r="G58" s="58">
        <f>Input_!G148</f>
        <v>10</v>
      </c>
      <c r="I58"/>
    </row>
    <row r="59" spans="2:9" ht="14.4" customHeight="1" x14ac:dyDescent="0.3">
      <c r="B59" s="14"/>
      <c r="C59" s="3" t="s">
        <v>25</v>
      </c>
      <c r="D59" s="58">
        <f>Input_!D149</f>
        <v>6</v>
      </c>
      <c r="E59" s="58">
        <f>Input_!E149</f>
        <v>6</v>
      </c>
      <c r="F59" s="58">
        <f>Input_!F149</f>
        <v>6</v>
      </c>
      <c r="G59" s="58">
        <f>Input_!G149</f>
        <v>6</v>
      </c>
      <c r="I59"/>
    </row>
    <row r="60" spans="2:9" ht="14.4" customHeight="1" x14ac:dyDescent="0.3">
      <c r="B60" s="9" t="s">
        <v>1</v>
      </c>
      <c r="C60" s="9" t="s">
        <v>229</v>
      </c>
      <c r="D60" s="6"/>
      <c r="E60" s="6"/>
      <c r="F60" s="6"/>
      <c r="G60" s="6"/>
      <c r="I60"/>
    </row>
    <row r="61" spans="2:9" ht="14.4" customHeight="1" x14ac:dyDescent="0.3">
      <c r="B61" s="25"/>
      <c r="C61" s="25"/>
      <c r="D61" s="23" t="str">
        <f>Input_!D$5</f>
        <v>2023-24</v>
      </c>
      <c r="E61" s="23" t="str">
        <f>Input_!E$5</f>
        <v>2024-25</v>
      </c>
      <c r="F61" s="23" t="str">
        <f>Input_!F$5</f>
        <v>2025-26</v>
      </c>
      <c r="G61" s="23" t="str">
        <f>Input_!G$5</f>
        <v>2026-27</v>
      </c>
      <c r="I61"/>
    </row>
    <row r="62" spans="2:9" ht="14.4" customHeight="1" x14ac:dyDescent="0.3">
      <c r="B62" s="24"/>
      <c r="C62" s="24"/>
      <c r="D62" s="8"/>
      <c r="E62" s="8"/>
      <c r="F62" s="8"/>
      <c r="G62" s="8"/>
      <c r="I62"/>
    </row>
    <row r="63" spans="2:9" ht="14.4" customHeight="1" x14ac:dyDescent="0.3">
      <c r="B63" s="10" t="s">
        <v>8</v>
      </c>
      <c r="C63" s="3" t="s">
        <v>12</v>
      </c>
      <c r="D63" s="58">
        <f>Input_!D136</f>
        <v>2</v>
      </c>
      <c r="E63" s="58">
        <f>Input_!E136</f>
        <v>1.94</v>
      </c>
      <c r="F63" s="58">
        <f>Input_!F136</f>
        <v>1.94</v>
      </c>
      <c r="G63" s="58">
        <f>Input_!G136</f>
        <v>1.94</v>
      </c>
      <c r="I63"/>
    </row>
    <row r="64" spans="2:9" ht="14.4" customHeight="1" x14ac:dyDescent="0.3">
      <c r="B64" s="12"/>
      <c r="C64" s="3" t="s">
        <v>13</v>
      </c>
      <c r="D64" s="58">
        <f>Input_!D137</f>
        <v>2.2000000000000002</v>
      </c>
      <c r="E64" s="58">
        <f>Input_!E137</f>
        <v>2.13</v>
      </c>
      <c r="F64" s="58">
        <f>Input_!F137</f>
        <v>2.13</v>
      </c>
      <c r="G64" s="58">
        <f>Input_!G137</f>
        <v>2.13</v>
      </c>
      <c r="I64"/>
    </row>
    <row r="65" spans="2:9" ht="14.4" customHeight="1" x14ac:dyDescent="0.3">
      <c r="B65" s="10" t="s">
        <v>14</v>
      </c>
      <c r="C65" s="3" t="s">
        <v>12</v>
      </c>
      <c r="D65" s="58">
        <f>Input_!D141</f>
        <v>2</v>
      </c>
      <c r="E65" s="58">
        <f>Input_!E141</f>
        <v>1.94</v>
      </c>
      <c r="F65" s="58">
        <f>Input_!F141</f>
        <v>1.94</v>
      </c>
      <c r="G65" s="58">
        <f>Input_!G141</f>
        <v>1.94</v>
      </c>
      <c r="I65"/>
    </row>
    <row r="66" spans="2:9" ht="14.4" customHeight="1" x14ac:dyDescent="0.3">
      <c r="B66" s="12"/>
      <c r="C66" s="3" t="s">
        <v>13</v>
      </c>
      <c r="D66" s="58">
        <f>Input_!D142</f>
        <v>2.2000000000000002</v>
      </c>
      <c r="E66" s="58">
        <f>Input_!E142</f>
        <v>2.13</v>
      </c>
      <c r="F66" s="58">
        <f>Input_!F142</f>
        <v>2.13</v>
      </c>
      <c r="G66" s="58">
        <f>Input_!G142</f>
        <v>2.13</v>
      </c>
      <c r="I66"/>
    </row>
    <row r="67" spans="2:9" ht="14.4" customHeight="1" x14ac:dyDescent="0.3">
      <c r="B67" s="15" t="s">
        <v>15</v>
      </c>
      <c r="C67" s="3" t="s">
        <v>13</v>
      </c>
      <c r="D67" s="58">
        <f>Input_!D144</f>
        <v>1.1000000000000001</v>
      </c>
      <c r="E67" s="58">
        <f>Input_!E144</f>
        <v>1.1000000000000001</v>
      </c>
      <c r="F67" s="58">
        <f>Input_!F144</f>
        <v>1.1000000000000001</v>
      </c>
      <c r="G67" s="58">
        <f>Input_!G144</f>
        <v>1.1000000000000001</v>
      </c>
      <c r="I67"/>
    </row>
    <row r="70" spans="2:9" ht="28.8" customHeight="1" x14ac:dyDescent="0.3">
      <c r="B70" s="32" t="s">
        <v>231</v>
      </c>
      <c r="C70" s="5"/>
      <c r="D70" s="5"/>
      <c r="E70" s="5"/>
      <c r="F70" s="5"/>
      <c r="G70" s="5"/>
      <c r="I70"/>
    </row>
    <row r="71" spans="2:9" ht="14.4" customHeight="1" x14ac:dyDescent="0.3">
      <c r="B71" s="37"/>
      <c r="I71"/>
    </row>
    <row r="72" spans="2:9" ht="14.4" customHeight="1" x14ac:dyDescent="0.3">
      <c r="B72" s="9" t="s">
        <v>1</v>
      </c>
      <c r="C72" s="9" t="s">
        <v>228</v>
      </c>
      <c r="D72" s="6"/>
      <c r="E72" s="6"/>
      <c r="F72" s="6"/>
      <c r="G72" s="6"/>
      <c r="I72"/>
    </row>
    <row r="73" spans="2:9" ht="14.4" customHeight="1" x14ac:dyDescent="0.3">
      <c r="B73" s="25"/>
      <c r="C73" s="25"/>
      <c r="D73" s="23" t="str">
        <f>Input_!D$5</f>
        <v>2023-24</v>
      </c>
      <c r="E73" s="23" t="str">
        <f>Input_!E$5</f>
        <v>2024-25</v>
      </c>
      <c r="F73" s="23" t="str">
        <f>Input_!F$5</f>
        <v>2025-26</v>
      </c>
      <c r="G73" s="23" t="str">
        <f>Input_!G$5</f>
        <v>2026-27</v>
      </c>
      <c r="I73"/>
    </row>
    <row r="74" spans="2:9" ht="14.4" customHeight="1" x14ac:dyDescent="0.3">
      <c r="B74" s="24"/>
      <c r="C74" s="24"/>
      <c r="D74" s="8"/>
      <c r="E74" s="8"/>
      <c r="F74" s="8"/>
      <c r="G74" s="8"/>
      <c r="I74"/>
    </row>
    <row r="75" spans="2:9" ht="14.4" customHeight="1" x14ac:dyDescent="0.3">
      <c r="B75" s="10" t="s">
        <v>8</v>
      </c>
      <c r="C75" s="3" t="s">
        <v>9</v>
      </c>
      <c r="D75" s="54">
        <f>'Exit Tariff_1'!D$611</f>
        <v>0</v>
      </c>
      <c r="E75" s="54">
        <f>'Exit Tariff_1'!E$611</f>
        <v>0</v>
      </c>
      <c r="F75" s="54">
        <f>'Exit Tariff_1'!F$611</f>
        <v>0</v>
      </c>
      <c r="G75" s="54">
        <f>'Exit Tariff_1'!G$611</f>
        <v>0</v>
      </c>
      <c r="I75"/>
    </row>
    <row r="76" spans="2:9" ht="14.4" customHeight="1" x14ac:dyDescent="0.3">
      <c r="B76" s="13"/>
      <c r="C76" s="3" t="s">
        <v>10</v>
      </c>
      <c r="D76" s="54">
        <f>'Exit Tariff_1'!D$611</f>
        <v>0</v>
      </c>
      <c r="E76" s="54">
        <f>'Exit Tariff_1'!E$611</f>
        <v>0</v>
      </c>
      <c r="F76" s="54">
        <f>'Exit Tariff_1'!F$611</f>
        <v>0</v>
      </c>
      <c r="G76" s="54">
        <f>'Exit Tariff_1'!G$611</f>
        <v>0</v>
      </c>
      <c r="I76"/>
    </row>
    <row r="77" spans="2:9" ht="14.4" customHeight="1" x14ac:dyDescent="0.3">
      <c r="B77" s="13"/>
      <c r="C77" s="3" t="s">
        <v>11</v>
      </c>
      <c r="D77" s="54">
        <f>'Exit Tariff_1'!D$611</f>
        <v>0</v>
      </c>
      <c r="E77" s="54">
        <f>'Exit Tariff_1'!E$611</f>
        <v>0</v>
      </c>
      <c r="F77" s="54">
        <f>'Exit Tariff_1'!F$611</f>
        <v>0</v>
      </c>
      <c r="G77" s="54">
        <f>'Exit Tariff_1'!G$611</f>
        <v>0</v>
      </c>
      <c r="I77"/>
    </row>
    <row r="78" spans="2:9" ht="14.4" customHeight="1" x14ac:dyDescent="0.3">
      <c r="B78" s="13"/>
      <c r="C78" s="3" t="s">
        <v>12</v>
      </c>
      <c r="D78" s="54">
        <f>'Exit Tariff_1'!D$611</f>
        <v>0</v>
      </c>
      <c r="E78" s="54">
        <f>'Exit Tariff_1'!E$611</f>
        <v>0</v>
      </c>
      <c r="F78" s="54">
        <f>'Exit Tariff_1'!F$611</f>
        <v>0</v>
      </c>
      <c r="G78" s="54">
        <f>'Exit Tariff_1'!G$611</f>
        <v>0</v>
      </c>
      <c r="I78"/>
    </row>
    <row r="79" spans="2:9" ht="14.4" customHeight="1" x14ac:dyDescent="0.3">
      <c r="B79" s="14"/>
      <c r="C79" s="3" t="s">
        <v>13</v>
      </c>
      <c r="D79" s="54">
        <f>'Exit Tariff_1'!D$611</f>
        <v>0</v>
      </c>
      <c r="E79" s="54">
        <f>'Exit Tariff_1'!E$611</f>
        <v>0</v>
      </c>
      <c r="F79" s="54">
        <f>'Exit Tariff_1'!F$611</f>
        <v>0</v>
      </c>
      <c r="G79" s="54">
        <f>'Exit Tariff_1'!G$611</f>
        <v>0</v>
      </c>
      <c r="I79"/>
    </row>
    <row r="80" spans="2:9" ht="14.4" customHeight="1" x14ac:dyDescent="0.3">
      <c r="B80" s="10" t="s">
        <v>14</v>
      </c>
      <c r="C80" s="3" t="s">
        <v>9</v>
      </c>
      <c r="D80" s="54">
        <f>'Exit Tariff_1'!D$612</f>
        <v>0</v>
      </c>
      <c r="E80" s="54">
        <f>'Exit Tariff_1'!E$612</f>
        <v>0</v>
      </c>
      <c r="F80" s="54">
        <f>'Exit Tariff_1'!F$612</f>
        <v>0</v>
      </c>
      <c r="G80" s="54">
        <f>'Exit Tariff_1'!G$612</f>
        <v>0</v>
      </c>
      <c r="I80"/>
    </row>
    <row r="81" spans="2:9" ht="14.4" customHeight="1" x14ac:dyDescent="0.3">
      <c r="B81" s="13"/>
      <c r="C81" s="3" t="s">
        <v>10</v>
      </c>
      <c r="D81" s="54">
        <f>'Exit Tariff_1'!D$612</f>
        <v>0</v>
      </c>
      <c r="E81" s="54">
        <f>'Exit Tariff_1'!E$612</f>
        <v>0</v>
      </c>
      <c r="F81" s="54">
        <f>'Exit Tariff_1'!F$612</f>
        <v>0</v>
      </c>
      <c r="G81" s="54">
        <f>'Exit Tariff_1'!G$612</f>
        <v>0</v>
      </c>
      <c r="I81"/>
    </row>
    <row r="82" spans="2:9" ht="14.4" customHeight="1" x14ac:dyDescent="0.3">
      <c r="B82" s="13"/>
      <c r="C82" s="3" t="s">
        <v>11</v>
      </c>
      <c r="D82" s="54">
        <f>'Exit Tariff_1'!D$612</f>
        <v>0</v>
      </c>
      <c r="E82" s="54">
        <f>'Exit Tariff_1'!E$612</f>
        <v>0</v>
      </c>
      <c r="F82" s="54">
        <f>'Exit Tariff_1'!F$612</f>
        <v>0</v>
      </c>
      <c r="G82" s="54">
        <f>'Exit Tariff_1'!G$612</f>
        <v>0</v>
      </c>
      <c r="I82"/>
    </row>
    <row r="83" spans="2:9" ht="14.4" customHeight="1" x14ac:dyDescent="0.3">
      <c r="B83" s="13"/>
      <c r="C83" s="3" t="s">
        <v>12</v>
      </c>
      <c r="D83" s="54">
        <f>'Exit Tariff_1'!D$612</f>
        <v>0</v>
      </c>
      <c r="E83" s="54">
        <f>'Exit Tariff_1'!E$612</f>
        <v>0</v>
      </c>
      <c r="F83" s="54">
        <f>'Exit Tariff_1'!F$612</f>
        <v>0</v>
      </c>
      <c r="G83" s="54">
        <f>'Exit Tariff_1'!G$612</f>
        <v>0</v>
      </c>
      <c r="I83"/>
    </row>
    <row r="84" spans="2:9" ht="14.4" customHeight="1" x14ac:dyDescent="0.3">
      <c r="B84" s="14"/>
      <c r="C84" s="3" t="s">
        <v>13</v>
      </c>
      <c r="D84" s="54">
        <f>'Exit Tariff_1'!D$612</f>
        <v>0</v>
      </c>
      <c r="E84" s="54">
        <f>'Exit Tariff_1'!E$612</f>
        <v>0</v>
      </c>
      <c r="F84" s="54">
        <f>'Exit Tariff_1'!F$612</f>
        <v>0</v>
      </c>
      <c r="G84" s="54">
        <f>'Exit Tariff_1'!G$612</f>
        <v>0</v>
      </c>
      <c r="I84"/>
    </row>
    <row r="85" spans="2:9" ht="14.4" customHeight="1" x14ac:dyDescent="0.3">
      <c r="B85" s="10" t="s">
        <v>15</v>
      </c>
      <c r="C85" s="3" t="s">
        <v>12</v>
      </c>
      <c r="D85" s="54">
        <f>'Exit Tariff_1'!D$613</f>
        <v>1</v>
      </c>
      <c r="E85" s="54">
        <f>'Exit Tariff_1'!E$613</f>
        <v>1</v>
      </c>
      <c r="F85" s="54">
        <f>'Exit Tariff_1'!F$613</f>
        <v>1</v>
      </c>
      <c r="G85" s="54">
        <f>'Exit Tariff_1'!G$613</f>
        <v>1</v>
      </c>
      <c r="I85"/>
    </row>
    <row r="86" spans="2:9" ht="14.4" customHeight="1" x14ac:dyDescent="0.3">
      <c r="B86" s="14"/>
      <c r="C86" s="3" t="s">
        <v>13</v>
      </c>
      <c r="D86" s="54">
        <f>'Exit Tariff_1'!D$613</f>
        <v>1</v>
      </c>
      <c r="E86" s="54">
        <f>'Exit Tariff_1'!E$613</f>
        <v>1</v>
      </c>
      <c r="F86" s="54">
        <f>'Exit Tariff_1'!F$613</f>
        <v>1</v>
      </c>
      <c r="G86" s="54">
        <f>'Exit Tariff_1'!G$613</f>
        <v>1</v>
      </c>
      <c r="I86"/>
    </row>
    <row r="87" spans="2:9" ht="14.4" customHeight="1" x14ac:dyDescent="0.3">
      <c r="B87" s="15" t="s">
        <v>17</v>
      </c>
      <c r="C87" s="3" t="s">
        <v>18</v>
      </c>
      <c r="D87" s="54">
        <f>'Exit Tariff_1'!D$614</f>
        <v>0</v>
      </c>
      <c r="E87" s="54">
        <f>'Exit Tariff_1'!E$614</f>
        <v>0</v>
      </c>
      <c r="F87" s="54">
        <f>'Exit Tariff_1'!F$614</f>
        <v>0</v>
      </c>
      <c r="G87" s="54">
        <f>'Exit Tariff_1'!G$614</f>
        <v>0</v>
      </c>
      <c r="I87"/>
    </row>
    <row r="88" spans="2:9" ht="14.4" customHeight="1" x14ac:dyDescent="0.3">
      <c r="B88" s="10" t="s">
        <v>19</v>
      </c>
      <c r="C88" s="3" t="s">
        <v>20</v>
      </c>
      <c r="D88" s="54">
        <f>'Exit Tariff_1'!D$614</f>
        <v>0</v>
      </c>
      <c r="E88" s="54">
        <f>'Exit Tariff_1'!E$614</f>
        <v>0</v>
      </c>
      <c r="F88" s="54">
        <f>'Exit Tariff_1'!F$614</f>
        <v>0</v>
      </c>
      <c r="G88" s="54">
        <f>'Exit Tariff_1'!G$614</f>
        <v>0</v>
      </c>
      <c r="I88"/>
    </row>
    <row r="89" spans="2:9" ht="14.4" customHeight="1" x14ac:dyDescent="0.3">
      <c r="B89" s="13"/>
      <c r="C89" s="3" t="s">
        <v>21</v>
      </c>
      <c r="D89" s="54">
        <f>'Exit Tariff_1'!D$614</f>
        <v>0</v>
      </c>
      <c r="E89" s="54">
        <f>'Exit Tariff_1'!E$614</f>
        <v>0</v>
      </c>
      <c r="F89" s="54">
        <f>'Exit Tariff_1'!F$614</f>
        <v>0</v>
      </c>
      <c r="G89" s="54">
        <f>'Exit Tariff_1'!G$614</f>
        <v>0</v>
      </c>
      <c r="I89"/>
    </row>
    <row r="90" spans="2:9" ht="14.4" customHeight="1" x14ac:dyDescent="0.3">
      <c r="B90" s="13"/>
      <c r="C90" s="3" t="s">
        <v>22</v>
      </c>
      <c r="D90" s="54">
        <f>'Exit Tariff_1'!D$614</f>
        <v>0</v>
      </c>
      <c r="E90" s="54">
        <f>'Exit Tariff_1'!E$614</f>
        <v>0</v>
      </c>
      <c r="F90" s="54">
        <f>'Exit Tariff_1'!F$614</f>
        <v>0</v>
      </c>
      <c r="G90" s="54">
        <f>'Exit Tariff_1'!G$614</f>
        <v>0</v>
      </c>
      <c r="I90"/>
    </row>
    <row r="91" spans="2:9" ht="14.4" customHeight="1" x14ac:dyDescent="0.3">
      <c r="B91" s="13"/>
      <c r="C91" s="3" t="s">
        <v>23</v>
      </c>
      <c r="D91" s="54">
        <f>'Exit Tariff_1'!D$614</f>
        <v>0</v>
      </c>
      <c r="E91" s="54">
        <f>'Exit Tariff_1'!E$614</f>
        <v>0</v>
      </c>
      <c r="F91" s="54">
        <f>'Exit Tariff_1'!F$614</f>
        <v>0</v>
      </c>
      <c r="G91" s="54">
        <f>'Exit Tariff_1'!G$614</f>
        <v>0</v>
      </c>
      <c r="I91"/>
    </row>
    <row r="92" spans="2:9" ht="14.4" customHeight="1" x14ac:dyDescent="0.3">
      <c r="B92" s="13"/>
      <c r="C92" s="3" t="s">
        <v>24</v>
      </c>
      <c r="D92" s="54">
        <f>'Exit Tariff_1'!D$614</f>
        <v>0</v>
      </c>
      <c r="E92" s="54">
        <f>'Exit Tariff_1'!E$614</f>
        <v>0</v>
      </c>
      <c r="F92" s="54">
        <f>'Exit Tariff_1'!F$614</f>
        <v>0</v>
      </c>
      <c r="G92" s="54">
        <f>'Exit Tariff_1'!G$614</f>
        <v>0</v>
      </c>
      <c r="I92"/>
    </row>
    <row r="93" spans="2:9" ht="14.4" customHeight="1" x14ac:dyDescent="0.3">
      <c r="B93" s="14"/>
      <c r="C93" s="3" t="s">
        <v>25</v>
      </c>
      <c r="D93" s="54">
        <f>'Exit Tariff_1'!D$614</f>
        <v>0</v>
      </c>
      <c r="E93" s="54">
        <f>'Exit Tariff_1'!E$614</f>
        <v>0</v>
      </c>
      <c r="F93" s="54">
        <f>'Exit Tariff_1'!F$614</f>
        <v>0</v>
      </c>
      <c r="G93" s="54">
        <f>'Exit Tariff_1'!G$614</f>
        <v>0</v>
      </c>
      <c r="I93"/>
    </row>
    <row r="94" spans="2:9" ht="14.4" customHeight="1" x14ac:dyDescent="0.3">
      <c r="B94" s="9" t="s">
        <v>1</v>
      </c>
      <c r="C94" s="9" t="s">
        <v>229</v>
      </c>
      <c r="D94" s="6"/>
      <c r="E94" s="6"/>
      <c r="F94" s="6"/>
      <c r="G94" s="6"/>
      <c r="I94"/>
    </row>
    <row r="95" spans="2:9" ht="14.4" customHeight="1" x14ac:dyDescent="0.3">
      <c r="B95" s="25"/>
      <c r="C95" s="25"/>
      <c r="D95" s="23" t="str">
        <f>Input_!D$5</f>
        <v>2023-24</v>
      </c>
      <c r="E95" s="23" t="str">
        <f>Input_!E$5</f>
        <v>2024-25</v>
      </c>
      <c r="F95" s="23" t="str">
        <f>Input_!F$5</f>
        <v>2025-26</v>
      </c>
      <c r="G95" s="23" t="str">
        <f>Input_!G$5</f>
        <v>2026-27</v>
      </c>
      <c r="I95"/>
    </row>
    <row r="96" spans="2:9" ht="14.4" customHeight="1" x14ac:dyDescent="0.3">
      <c r="B96" s="24"/>
      <c r="C96" s="24"/>
      <c r="D96" s="8"/>
      <c r="E96" s="8"/>
      <c r="F96" s="8"/>
      <c r="G96" s="8"/>
      <c r="I96"/>
    </row>
    <row r="97" spans="2:9" ht="14.4" customHeight="1" x14ac:dyDescent="0.3">
      <c r="B97" s="10" t="s">
        <v>8</v>
      </c>
      <c r="C97" s="3" t="s">
        <v>12</v>
      </c>
      <c r="D97" s="56">
        <f>'Exit Tariff_1'!D$618</f>
        <v>4.6000000000000041E-2</v>
      </c>
      <c r="E97" s="56">
        <f>'Exit Tariff_1'!E$618</f>
        <v>4.6000000000000041E-2</v>
      </c>
      <c r="F97" s="56">
        <f>'Exit Tariff_1'!F$618</f>
        <v>4.6000000000000041E-2</v>
      </c>
      <c r="G97" s="56">
        <f>'Exit Tariff_1'!G$618</f>
        <v>4.6000000000000041E-2</v>
      </c>
      <c r="I97"/>
    </row>
    <row r="98" spans="2:9" ht="14.4" customHeight="1" x14ac:dyDescent="0.3">
      <c r="B98" s="12"/>
      <c r="C98" s="3" t="s">
        <v>13</v>
      </c>
      <c r="D98" s="56">
        <f>'Exit Tariff_1'!D$618</f>
        <v>4.6000000000000041E-2</v>
      </c>
      <c r="E98" s="56">
        <f>'Exit Tariff_1'!E$618</f>
        <v>4.6000000000000041E-2</v>
      </c>
      <c r="F98" s="56">
        <f>'Exit Tariff_1'!F$618</f>
        <v>4.6000000000000041E-2</v>
      </c>
      <c r="G98" s="56">
        <f>'Exit Tariff_1'!G$618</f>
        <v>4.6000000000000041E-2</v>
      </c>
      <c r="I98"/>
    </row>
    <row r="99" spans="2:9" ht="14.4" customHeight="1" x14ac:dyDescent="0.3">
      <c r="B99" s="10" t="s">
        <v>14</v>
      </c>
      <c r="C99" s="3" t="s">
        <v>12</v>
      </c>
      <c r="D99" s="56">
        <f>'Exit Tariff_1'!D$619</f>
        <v>0</v>
      </c>
      <c r="E99" s="56">
        <f>'Exit Tariff_1'!E$619</f>
        <v>0</v>
      </c>
      <c r="F99" s="56">
        <f>'Exit Tariff_1'!F$619</f>
        <v>0</v>
      </c>
      <c r="G99" s="56">
        <f>'Exit Tariff_1'!G$619</f>
        <v>0</v>
      </c>
      <c r="I99"/>
    </row>
    <row r="100" spans="2:9" ht="14.4" customHeight="1" x14ac:dyDescent="0.3">
      <c r="B100" s="12"/>
      <c r="C100" s="3" t="s">
        <v>13</v>
      </c>
      <c r="D100" s="56">
        <f>'Exit Tariff_1'!D$619</f>
        <v>0</v>
      </c>
      <c r="E100" s="56">
        <f>'Exit Tariff_1'!E$619</f>
        <v>0</v>
      </c>
      <c r="F100" s="56">
        <f>'Exit Tariff_1'!F$619</f>
        <v>0</v>
      </c>
      <c r="G100" s="56">
        <f>'Exit Tariff_1'!G$619</f>
        <v>0</v>
      </c>
      <c r="I100"/>
    </row>
    <row r="101" spans="2:9" ht="14.4" customHeight="1" x14ac:dyDescent="0.3">
      <c r="B101" s="15" t="s">
        <v>15</v>
      </c>
      <c r="C101" s="3" t="s">
        <v>13</v>
      </c>
      <c r="D101" s="81">
        <f>'Exit Tariff_1'!D$620</f>
        <v>1</v>
      </c>
      <c r="E101" s="81">
        <f>'Exit Tariff_1'!E$620</f>
        <v>1</v>
      </c>
      <c r="F101" s="81">
        <f>'Exit Tariff_1'!F$620</f>
        <v>1</v>
      </c>
      <c r="G101" s="81">
        <f>'Exit Tariff_1'!G$620</f>
        <v>1</v>
      </c>
      <c r="I101"/>
    </row>
    <row r="104" spans="2:9" ht="28.8" customHeight="1" x14ac:dyDescent="0.3">
      <c r="B104" s="32" t="s">
        <v>639</v>
      </c>
      <c r="C104" s="5"/>
      <c r="D104" s="5"/>
      <c r="E104" s="5"/>
      <c r="F104" s="5"/>
      <c r="G104" s="5"/>
    </row>
    <row r="105" spans="2:9" ht="14.4" customHeight="1" x14ac:dyDescent="0.3">
      <c r="B105" s="37"/>
    </row>
    <row r="106" spans="2:9" ht="14.4" customHeight="1" x14ac:dyDescent="0.3">
      <c r="B106" s="9" t="s">
        <v>1</v>
      </c>
      <c r="C106" s="9" t="s">
        <v>228</v>
      </c>
      <c r="D106" s="6"/>
      <c r="E106" s="6"/>
      <c r="F106" s="6"/>
      <c r="G106" s="6"/>
    </row>
    <row r="107" spans="2:9" ht="14.4" customHeight="1" x14ac:dyDescent="0.3">
      <c r="B107" s="25"/>
      <c r="C107" s="25"/>
      <c r="D107" s="23" t="str">
        <f>Input_!D$5</f>
        <v>2023-24</v>
      </c>
      <c r="E107" s="23" t="str">
        <f>Input_!E$5</f>
        <v>2024-25</v>
      </c>
      <c r="F107" s="23" t="str">
        <f>Input_!F$5</f>
        <v>2025-26</v>
      </c>
      <c r="G107" s="23" t="str">
        <f>Input_!G$5</f>
        <v>2026-27</v>
      </c>
    </row>
    <row r="108" spans="2:9" ht="14.4" customHeight="1" x14ac:dyDescent="0.3">
      <c r="B108" s="24"/>
      <c r="C108" s="24"/>
      <c r="D108" s="8"/>
      <c r="E108" s="8"/>
      <c r="F108" s="8"/>
      <c r="G108" s="8"/>
    </row>
    <row r="109" spans="2:9" ht="14.4" customHeight="1" x14ac:dyDescent="0.3">
      <c r="B109" s="10" t="s">
        <v>8</v>
      </c>
      <c r="C109" s="3" t="s">
        <v>9</v>
      </c>
      <c r="D109" s="57">
        <f t="shared" ref="D109:G109" si="0">D7*D41*(1-D75)</f>
        <v>3.244778208810687E-2</v>
      </c>
      <c r="E109" s="57">
        <f t="shared" si="0"/>
        <v>3.4138454756156067E-2</v>
      </c>
      <c r="F109" s="57">
        <f t="shared" si="0"/>
        <v>3.4138454756156067E-2</v>
      </c>
      <c r="G109" s="57">
        <f t="shared" si="0"/>
        <v>3.4138454756156067E-2</v>
      </c>
    </row>
    <row r="110" spans="2:9" ht="14.4" customHeight="1" x14ac:dyDescent="0.3">
      <c r="B110" s="13"/>
      <c r="C110" s="3" t="s">
        <v>10</v>
      </c>
      <c r="D110" s="57">
        <f t="shared" ref="D110:G127" si="1">D8*D42*(1-D76)</f>
        <v>4.2182116714538934E-2</v>
      </c>
      <c r="E110" s="57">
        <f t="shared" si="1"/>
        <v>4.0283376612264159E-2</v>
      </c>
      <c r="F110" s="57">
        <f t="shared" si="1"/>
        <v>4.0283376612264159E-2</v>
      </c>
      <c r="G110" s="57">
        <f t="shared" si="1"/>
        <v>4.0283376612264159E-2</v>
      </c>
    </row>
    <row r="111" spans="2:9" ht="14.4" customHeight="1" x14ac:dyDescent="0.3">
      <c r="B111" s="13"/>
      <c r="C111" s="3" t="s">
        <v>11</v>
      </c>
      <c r="D111" s="57">
        <f t="shared" si="1"/>
        <v>4.8671673132160309E-2</v>
      </c>
      <c r="E111" s="57">
        <f t="shared" si="1"/>
        <v>4.6086913920810692E-2</v>
      </c>
      <c r="F111" s="57">
        <f t="shared" si="1"/>
        <v>4.6086913920810692E-2</v>
      </c>
      <c r="G111" s="57">
        <f t="shared" si="1"/>
        <v>4.6086913920810692E-2</v>
      </c>
    </row>
    <row r="112" spans="2:9" ht="14.4" customHeight="1" x14ac:dyDescent="0.3">
      <c r="B112" s="13"/>
      <c r="C112" s="3" t="s">
        <v>12</v>
      </c>
      <c r="D112" s="57">
        <f t="shared" si="1"/>
        <v>6.4895564176213741E-2</v>
      </c>
      <c r="E112" s="57">
        <f t="shared" si="1"/>
        <v>6.6228602226942768E-2</v>
      </c>
      <c r="F112" s="57">
        <f t="shared" si="1"/>
        <v>6.6228602226942768E-2</v>
      </c>
      <c r="G112" s="57">
        <f t="shared" si="1"/>
        <v>6.6228602226942768E-2</v>
      </c>
    </row>
    <row r="113" spans="2:7" ht="14.4" customHeight="1" x14ac:dyDescent="0.3">
      <c r="B113" s="14"/>
      <c r="C113" s="3" t="s">
        <v>13</v>
      </c>
      <c r="D113" s="57">
        <f t="shared" si="1"/>
        <v>7.1385120593835116E-2</v>
      </c>
      <c r="E113" s="57">
        <f t="shared" si="1"/>
        <v>7.2714908630612418E-2</v>
      </c>
      <c r="F113" s="57">
        <f t="shared" si="1"/>
        <v>7.2714908630612418E-2</v>
      </c>
      <c r="G113" s="57">
        <f t="shared" si="1"/>
        <v>7.2714908630612418E-2</v>
      </c>
    </row>
    <row r="114" spans="2:7" ht="14.4" customHeight="1" x14ac:dyDescent="0.3">
      <c r="B114" s="10" t="s">
        <v>14</v>
      </c>
      <c r="C114" s="3" t="s">
        <v>9</v>
      </c>
      <c r="D114" s="57">
        <f t="shared" si="1"/>
        <v>0</v>
      </c>
      <c r="E114" s="57">
        <f t="shared" si="1"/>
        <v>0</v>
      </c>
      <c r="F114" s="57">
        <f t="shared" si="1"/>
        <v>0</v>
      </c>
      <c r="G114" s="57">
        <f t="shared" si="1"/>
        <v>0</v>
      </c>
    </row>
    <row r="115" spans="2:7" ht="14.4" customHeight="1" x14ac:dyDescent="0.3">
      <c r="B115" s="13"/>
      <c r="C115" s="3" t="s">
        <v>10</v>
      </c>
      <c r="D115" s="57">
        <f t="shared" si="1"/>
        <v>0</v>
      </c>
      <c r="E115" s="57">
        <f t="shared" si="1"/>
        <v>0</v>
      </c>
      <c r="F115" s="57">
        <f t="shared" si="1"/>
        <v>0</v>
      </c>
      <c r="G115" s="57">
        <f t="shared" si="1"/>
        <v>0</v>
      </c>
    </row>
    <row r="116" spans="2:7" ht="14.4" customHeight="1" x14ac:dyDescent="0.3">
      <c r="B116" s="13"/>
      <c r="C116" s="3" t="s">
        <v>11</v>
      </c>
      <c r="D116" s="57">
        <f t="shared" si="1"/>
        <v>0</v>
      </c>
      <c r="E116" s="57">
        <f t="shared" si="1"/>
        <v>0</v>
      </c>
      <c r="F116" s="57">
        <f t="shared" si="1"/>
        <v>0</v>
      </c>
      <c r="G116" s="57">
        <f t="shared" si="1"/>
        <v>0</v>
      </c>
    </row>
    <row r="117" spans="2:7" ht="14.4" customHeight="1" x14ac:dyDescent="0.3">
      <c r="B117" s="13"/>
      <c r="C117" s="3" t="s">
        <v>12</v>
      </c>
      <c r="D117" s="57">
        <f t="shared" si="1"/>
        <v>0</v>
      </c>
      <c r="E117" s="57">
        <f t="shared" si="1"/>
        <v>0</v>
      </c>
      <c r="F117" s="57">
        <f t="shared" si="1"/>
        <v>0</v>
      </c>
      <c r="G117" s="57">
        <f t="shared" si="1"/>
        <v>0</v>
      </c>
    </row>
    <row r="118" spans="2:7" ht="14.4" customHeight="1" x14ac:dyDescent="0.3">
      <c r="B118" s="14"/>
      <c r="C118" s="3" t="s">
        <v>13</v>
      </c>
      <c r="D118" s="57">
        <f t="shared" si="1"/>
        <v>0</v>
      </c>
      <c r="E118" s="57">
        <f t="shared" si="1"/>
        <v>0</v>
      </c>
      <c r="F118" s="57">
        <f t="shared" si="1"/>
        <v>0</v>
      </c>
      <c r="G118" s="57">
        <f t="shared" si="1"/>
        <v>0</v>
      </c>
    </row>
    <row r="119" spans="2:7" ht="14.4" customHeight="1" x14ac:dyDescent="0.3">
      <c r="B119" s="10" t="s">
        <v>15</v>
      </c>
      <c r="C119" s="3" t="s">
        <v>12</v>
      </c>
      <c r="D119" s="57">
        <f t="shared" si="1"/>
        <v>0</v>
      </c>
      <c r="E119" s="57">
        <f t="shared" si="1"/>
        <v>0</v>
      </c>
      <c r="F119" s="57">
        <f t="shared" si="1"/>
        <v>0</v>
      </c>
      <c r="G119" s="57">
        <f t="shared" si="1"/>
        <v>0</v>
      </c>
    </row>
    <row r="120" spans="2:7" ht="14.4" customHeight="1" x14ac:dyDescent="0.3">
      <c r="B120" s="14"/>
      <c r="C120" s="3" t="s">
        <v>13</v>
      </c>
      <c r="D120" s="57">
        <f t="shared" si="1"/>
        <v>0</v>
      </c>
      <c r="E120" s="57">
        <f t="shared" si="1"/>
        <v>0</v>
      </c>
      <c r="F120" s="57">
        <f t="shared" si="1"/>
        <v>0</v>
      </c>
      <c r="G120" s="57">
        <f t="shared" si="1"/>
        <v>0</v>
      </c>
    </row>
    <row r="121" spans="2:7" ht="14.4" customHeight="1" x14ac:dyDescent="0.3">
      <c r="B121" s="15" t="s">
        <v>17</v>
      </c>
      <c r="C121" s="3" t="s">
        <v>18</v>
      </c>
      <c r="D121" s="57">
        <f t="shared" si="1"/>
        <v>0.15640388150749171</v>
      </c>
      <c r="E121" s="57">
        <f t="shared" si="1"/>
        <v>0.16459629927904959</v>
      </c>
      <c r="F121" s="57">
        <f t="shared" si="1"/>
        <v>0.16459629927904959</v>
      </c>
      <c r="G121" s="57">
        <f t="shared" si="1"/>
        <v>0.16459629927904959</v>
      </c>
    </row>
    <row r="122" spans="2:7" ht="14.4" customHeight="1" x14ac:dyDescent="0.3">
      <c r="B122" s="10" t="s">
        <v>19</v>
      </c>
      <c r="C122" s="3" t="s">
        <v>20</v>
      </c>
      <c r="D122" s="57">
        <f t="shared" si="1"/>
        <v>0.15640388150749171</v>
      </c>
      <c r="E122" s="57">
        <f t="shared" si="1"/>
        <v>0.16459629927904959</v>
      </c>
      <c r="F122" s="57">
        <f t="shared" si="1"/>
        <v>0.16459629927904959</v>
      </c>
      <c r="G122" s="57">
        <f t="shared" si="1"/>
        <v>0.16459629927904959</v>
      </c>
    </row>
    <row r="123" spans="2:7" ht="14.4" customHeight="1" x14ac:dyDescent="0.3">
      <c r="B123" s="13"/>
      <c r="C123" s="3" t="s">
        <v>21</v>
      </c>
      <c r="D123" s="57">
        <f t="shared" si="1"/>
        <v>0.23460582226123755</v>
      </c>
      <c r="E123" s="57">
        <f t="shared" si="1"/>
        <v>0.24689444891857437</v>
      </c>
      <c r="F123" s="57">
        <f t="shared" si="1"/>
        <v>0.24689444891857437</v>
      </c>
      <c r="G123" s="57">
        <f t="shared" si="1"/>
        <v>0.24689444891857437</v>
      </c>
    </row>
    <row r="124" spans="2:7" ht="14.4" customHeight="1" x14ac:dyDescent="0.3">
      <c r="B124" s="13"/>
      <c r="C124" s="3" t="s">
        <v>22</v>
      </c>
      <c r="D124" s="57">
        <f t="shared" si="1"/>
        <v>0.4692116445224751</v>
      </c>
      <c r="E124" s="57">
        <f t="shared" si="1"/>
        <v>0.49378889783714874</v>
      </c>
      <c r="F124" s="57">
        <f t="shared" si="1"/>
        <v>0.49378889783714874</v>
      </c>
      <c r="G124" s="57">
        <f t="shared" si="1"/>
        <v>0.49378889783714874</v>
      </c>
    </row>
    <row r="125" spans="2:7" ht="14.4" customHeight="1" x14ac:dyDescent="0.3">
      <c r="B125" s="13"/>
      <c r="C125" s="3" t="s">
        <v>23</v>
      </c>
      <c r="D125" s="57">
        <f t="shared" si="1"/>
        <v>0.23460582226123755</v>
      </c>
      <c r="E125" s="57">
        <f t="shared" si="1"/>
        <v>0.24689444891857437</v>
      </c>
      <c r="F125" s="57">
        <f t="shared" si="1"/>
        <v>0.24689444891857437</v>
      </c>
      <c r="G125" s="57">
        <f t="shared" si="1"/>
        <v>0.24689444891857437</v>
      </c>
    </row>
    <row r="126" spans="2:7" ht="14.4" customHeight="1" x14ac:dyDescent="0.3">
      <c r="B126" s="13"/>
      <c r="C126" s="3" t="s">
        <v>24</v>
      </c>
      <c r="D126" s="57">
        <f t="shared" si="1"/>
        <v>1.5640388150749172</v>
      </c>
      <c r="E126" s="57">
        <f t="shared" si="1"/>
        <v>1.645962992790496</v>
      </c>
      <c r="F126" s="57">
        <f t="shared" si="1"/>
        <v>1.645962992790496</v>
      </c>
      <c r="G126" s="57">
        <f t="shared" si="1"/>
        <v>1.645962992790496</v>
      </c>
    </row>
    <row r="127" spans="2:7" ht="14.4" customHeight="1" x14ac:dyDescent="0.3">
      <c r="B127" s="14"/>
      <c r="C127" s="3" t="s">
        <v>25</v>
      </c>
      <c r="D127" s="57">
        <f t="shared" si="1"/>
        <v>0.9384232890449502</v>
      </c>
      <c r="E127" s="57">
        <f t="shared" si="1"/>
        <v>0.98757779567429749</v>
      </c>
      <c r="F127" s="57">
        <f t="shared" si="1"/>
        <v>0.98757779567429749</v>
      </c>
      <c r="G127" s="57">
        <f t="shared" si="1"/>
        <v>0.98757779567429749</v>
      </c>
    </row>
    <row r="128" spans="2:7" ht="14.4" customHeight="1" x14ac:dyDescent="0.3">
      <c r="B128" s="9" t="s">
        <v>1</v>
      </c>
      <c r="C128" s="9" t="s">
        <v>229</v>
      </c>
      <c r="D128" s="6"/>
      <c r="E128" s="6"/>
      <c r="F128" s="6"/>
      <c r="G128" s="6"/>
    </row>
    <row r="129" spans="2:7" ht="14.4" customHeight="1" x14ac:dyDescent="0.3">
      <c r="B129" s="25"/>
      <c r="C129" s="25"/>
      <c r="D129" s="23" t="str">
        <f>Input_!D$5</f>
        <v>2023-24</v>
      </c>
      <c r="E129" s="23" t="str">
        <f>Input_!E$5</f>
        <v>2024-25</v>
      </c>
      <c r="F129" s="23" t="str">
        <f>Input_!F$5</f>
        <v>2025-26</v>
      </c>
      <c r="G129" s="23" t="str">
        <f>Input_!G$5</f>
        <v>2026-27</v>
      </c>
    </row>
    <row r="130" spans="2:7" ht="14.4" customHeight="1" x14ac:dyDescent="0.3">
      <c r="B130" s="24"/>
      <c r="C130" s="24"/>
      <c r="D130" s="8"/>
      <c r="E130" s="8"/>
      <c r="F130" s="8"/>
      <c r="G130" s="8"/>
    </row>
    <row r="131" spans="2:7" ht="14.4" customHeight="1" x14ac:dyDescent="0.3">
      <c r="B131" s="10" t="s">
        <v>8</v>
      </c>
      <c r="C131" s="3" t="s">
        <v>12</v>
      </c>
      <c r="D131" s="57">
        <f t="shared" ref="D131:G131" si="2">D29*D63*(1-D97)</f>
        <v>6.1910368224107906E-2</v>
      </c>
      <c r="E131" s="57">
        <f t="shared" si="2"/>
        <v>6.3182086524503397E-2</v>
      </c>
      <c r="F131" s="57">
        <f t="shared" si="2"/>
        <v>6.3182086524503397E-2</v>
      </c>
      <c r="G131" s="57">
        <f t="shared" si="2"/>
        <v>6.3182086524503397E-2</v>
      </c>
    </row>
    <row r="132" spans="2:7" ht="14.4" customHeight="1" x14ac:dyDescent="0.3">
      <c r="B132" s="12"/>
      <c r="C132" s="3" t="s">
        <v>13</v>
      </c>
      <c r="D132" s="57">
        <f t="shared" ref="D132:G135" si="3">D30*D64*(1-D98)</f>
        <v>6.8101405046518695E-2</v>
      </c>
      <c r="E132" s="57">
        <f t="shared" si="3"/>
        <v>6.9370022833604245E-2</v>
      </c>
      <c r="F132" s="57">
        <f t="shared" si="3"/>
        <v>6.9370022833604245E-2</v>
      </c>
      <c r="G132" s="57">
        <f t="shared" si="3"/>
        <v>6.9370022833604245E-2</v>
      </c>
    </row>
    <row r="133" spans="2:7" ht="14.4" customHeight="1" x14ac:dyDescent="0.3">
      <c r="B133" s="10" t="s">
        <v>14</v>
      </c>
      <c r="C133" s="3" t="s">
        <v>12</v>
      </c>
      <c r="D133" s="57">
        <f t="shared" si="3"/>
        <v>0</v>
      </c>
      <c r="E133" s="57">
        <f t="shared" si="3"/>
        <v>0</v>
      </c>
      <c r="F133" s="57">
        <f t="shared" si="3"/>
        <v>0</v>
      </c>
      <c r="G133" s="57">
        <f t="shared" si="3"/>
        <v>0</v>
      </c>
    </row>
    <row r="134" spans="2:7" ht="14.4" customHeight="1" x14ac:dyDescent="0.3">
      <c r="B134" s="12"/>
      <c r="C134" s="3" t="s">
        <v>13</v>
      </c>
      <c r="D134" s="57">
        <f t="shared" si="3"/>
        <v>0</v>
      </c>
      <c r="E134" s="57">
        <f t="shared" si="3"/>
        <v>0</v>
      </c>
      <c r="F134" s="57">
        <f t="shared" si="3"/>
        <v>0</v>
      </c>
      <c r="G134" s="57">
        <f t="shared" si="3"/>
        <v>0</v>
      </c>
    </row>
    <row r="135" spans="2:7" ht="14.4" customHeight="1" x14ac:dyDescent="0.3">
      <c r="B135" s="15" t="s">
        <v>15</v>
      </c>
      <c r="C135" s="3" t="s">
        <v>13</v>
      </c>
      <c r="D135" s="57">
        <f t="shared" si="3"/>
        <v>0</v>
      </c>
      <c r="E135" s="57">
        <f t="shared" si="3"/>
        <v>0</v>
      </c>
      <c r="F135" s="57">
        <f t="shared" si="3"/>
        <v>0</v>
      </c>
      <c r="G135" s="57">
        <f t="shared" si="3"/>
        <v>0</v>
      </c>
    </row>
    <row r="138" spans="2:7" ht="28.8" customHeight="1" x14ac:dyDescent="0.3">
      <c r="B138" s="32" t="s">
        <v>640</v>
      </c>
      <c r="C138" s="5"/>
      <c r="D138" s="5"/>
      <c r="E138" s="5"/>
      <c r="F138" s="5"/>
      <c r="G138" s="5"/>
    </row>
    <row r="139" spans="2:7" ht="14.4" customHeight="1" x14ac:dyDescent="0.3">
      <c r="B139" s="37"/>
    </row>
    <row r="140" spans="2:7" ht="14.4" customHeight="1" x14ac:dyDescent="0.3">
      <c r="B140" s="9" t="s">
        <v>1</v>
      </c>
      <c r="C140" s="9" t="s">
        <v>228</v>
      </c>
      <c r="D140" s="6"/>
      <c r="E140" s="6"/>
      <c r="F140" s="6"/>
      <c r="G140" s="6"/>
    </row>
    <row r="141" spans="2:7" ht="14.4" customHeight="1" x14ac:dyDescent="0.3">
      <c r="B141" s="25"/>
      <c r="C141" s="25"/>
      <c r="D141" s="23" t="str">
        <f>Input_!D$5</f>
        <v>2023-24</v>
      </c>
      <c r="E141" s="23" t="str">
        <f>Input_!E$5</f>
        <v>2024-25</v>
      </c>
      <c r="F141" s="23" t="str">
        <f>Input_!F$5</f>
        <v>2025-26</v>
      </c>
      <c r="G141" s="23" t="str">
        <f>Input_!G$5</f>
        <v>2026-27</v>
      </c>
    </row>
    <row r="142" spans="2:7" ht="14.4" customHeight="1" x14ac:dyDescent="0.3">
      <c r="B142" s="24"/>
      <c r="C142" s="24"/>
      <c r="D142" s="8"/>
      <c r="E142" s="8"/>
      <c r="F142" s="8"/>
      <c r="G142" s="8"/>
    </row>
    <row r="143" spans="2:7" ht="14.4" customHeight="1" x14ac:dyDescent="0.3">
      <c r="B143" s="10" t="s">
        <v>8</v>
      </c>
      <c r="C143" s="3" t="s">
        <v>9</v>
      </c>
      <c r="D143" s="38">
        <f>Input_!D65</f>
        <v>1994814</v>
      </c>
      <c r="E143" s="38">
        <f>Input_!E65</f>
        <v>0</v>
      </c>
      <c r="F143" s="38">
        <f>Input_!F65</f>
        <v>0</v>
      </c>
      <c r="G143" s="38">
        <f>Input_!G65</f>
        <v>0</v>
      </c>
    </row>
    <row r="144" spans="2:7" ht="14.4" customHeight="1" x14ac:dyDescent="0.3">
      <c r="B144" s="13"/>
      <c r="C144" s="3" t="s">
        <v>10</v>
      </c>
      <c r="D144" s="38">
        <f>Input_!D66</f>
        <v>0</v>
      </c>
      <c r="E144" s="38">
        <f>Input_!E66</f>
        <v>0</v>
      </c>
      <c r="F144" s="38">
        <f>Input_!F66</f>
        <v>0</v>
      </c>
      <c r="G144" s="38">
        <f>Input_!G66</f>
        <v>0</v>
      </c>
    </row>
    <row r="145" spans="2:7" ht="14.4" customHeight="1" x14ac:dyDescent="0.3">
      <c r="B145" s="13"/>
      <c r="C145" s="3" t="s">
        <v>11</v>
      </c>
      <c r="D145" s="38">
        <f>Input_!D67</f>
        <v>3844403.9999999995</v>
      </c>
      <c r="E145" s="38">
        <f>Input_!E67</f>
        <v>2561584.0000000005</v>
      </c>
      <c r="F145" s="38">
        <f>Input_!F67</f>
        <v>2561584.0000000005</v>
      </c>
      <c r="G145" s="38">
        <f>Input_!G67</f>
        <v>2561584.0000000005</v>
      </c>
    </row>
    <row r="146" spans="2:7" ht="14.4" customHeight="1" x14ac:dyDescent="0.3">
      <c r="B146" s="13"/>
      <c r="C146" s="3" t="s">
        <v>12</v>
      </c>
      <c r="D146" s="38">
        <f>Input_!D68</f>
        <v>7164681.5342465742</v>
      </c>
      <c r="E146" s="38">
        <f>Input_!E68</f>
        <v>25198760.186301369</v>
      </c>
      <c r="F146" s="38">
        <f>Input_!F68</f>
        <v>25198760.186301369</v>
      </c>
      <c r="G146" s="38">
        <f>Input_!G68</f>
        <v>25198760.186301369</v>
      </c>
    </row>
    <row r="147" spans="2:7" ht="14.4" customHeight="1" x14ac:dyDescent="0.3">
      <c r="B147" s="14"/>
      <c r="C147" s="3" t="s">
        <v>13</v>
      </c>
      <c r="D147" s="38">
        <f>Input_!D69</f>
        <v>747673.69315068494</v>
      </c>
      <c r="E147" s="38">
        <f>Input_!E69</f>
        <v>395278.85205479449</v>
      </c>
      <c r="F147" s="38">
        <f>Input_!F69</f>
        <v>395278.85205479449</v>
      </c>
      <c r="G147" s="38">
        <f>Input_!G69</f>
        <v>395278.85205479449</v>
      </c>
    </row>
    <row r="148" spans="2:7" ht="14.4" customHeight="1" x14ac:dyDescent="0.3">
      <c r="B148" s="10" t="s">
        <v>14</v>
      </c>
      <c r="C148" s="3" t="s">
        <v>9</v>
      </c>
      <c r="D148" s="38">
        <f>Input_!D70</f>
        <v>0</v>
      </c>
      <c r="E148" s="38">
        <f>Input_!E70</f>
        <v>0</v>
      </c>
      <c r="F148" s="38">
        <f>Input_!F70</f>
        <v>0</v>
      </c>
      <c r="G148" s="38">
        <f>Input_!G70</f>
        <v>0</v>
      </c>
    </row>
    <row r="149" spans="2:7" ht="14.4" customHeight="1" x14ac:dyDescent="0.3">
      <c r="B149" s="13"/>
      <c r="C149" s="3" t="s">
        <v>10</v>
      </c>
      <c r="D149" s="38">
        <f>Input_!D71</f>
        <v>0</v>
      </c>
      <c r="E149" s="38">
        <f>Input_!E71</f>
        <v>0</v>
      </c>
      <c r="F149" s="38">
        <f>Input_!F71</f>
        <v>0</v>
      </c>
      <c r="G149" s="38">
        <f>Input_!G71</f>
        <v>0</v>
      </c>
    </row>
    <row r="150" spans="2:7" ht="14.4" customHeight="1" x14ac:dyDescent="0.3">
      <c r="B150" s="13"/>
      <c r="C150" s="3" t="s">
        <v>11</v>
      </c>
      <c r="D150" s="38">
        <f>Input_!D72</f>
        <v>0</v>
      </c>
      <c r="E150" s="38">
        <f>Input_!E72</f>
        <v>0</v>
      </c>
      <c r="F150" s="38">
        <f>Input_!F72</f>
        <v>0</v>
      </c>
      <c r="G150" s="38">
        <f>Input_!G72</f>
        <v>0</v>
      </c>
    </row>
    <row r="151" spans="2:7" ht="14.4" customHeight="1" x14ac:dyDescent="0.3">
      <c r="B151" s="13"/>
      <c r="C151" s="3" t="s">
        <v>12</v>
      </c>
      <c r="D151" s="38">
        <f>Input_!D73</f>
        <v>0</v>
      </c>
      <c r="E151" s="38">
        <f>Input_!E73</f>
        <v>0</v>
      </c>
      <c r="F151" s="38">
        <f>Input_!F73</f>
        <v>0</v>
      </c>
      <c r="G151" s="38">
        <f>Input_!G73</f>
        <v>0</v>
      </c>
    </row>
    <row r="152" spans="2:7" ht="14.4" customHeight="1" x14ac:dyDescent="0.3">
      <c r="B152" s="14"/>
      <c r="C152" s="3" t="s">
        <v>13</v>
      </c>
      <c r="D152" s="38">
        <f>Input_!D74</f>
        <v>0</v>
      </c>
      <c r="E152" s="38">
        <f>Input_!E74</f>
        <v>0</v>
      </c>
      <c r="F152" s="38">
        <f>Input_!F74</f>
        <v>0</v>
      </c>
      <c r="G152" s="38">
        <f>Input_!G74</f>
        <v>0</v>
      </c>
    </row>
    <row r="153" spans="2:7" ht="14.4" customHeight="1" x14ac:dyDescent="0.3">
      <c r="B153" s="10" t="s">
        <v>15</v>
      </c>
      <c r="C153" s="3" t="s">
        <v>12</v>
      </c>
      <c r="D153" s="38">
        <f>Input_!D75</f>
        <v>8951694.2465753425</v>
      </c>
      <c r="E153" s="38">
        <f>Input_!E75</f>
        <v>6555128.6712328773</v>
      </c>
      <c r="F153" s="38">
        <f>Input_!F75</f>
        <v>6555128.6712328773</v>
      </c>
      <c r="G153" s="38">
        <f>Input_!G75</f>
        <v>6555128.6712328773</v>
      </c>
    </row>
    <row r="154" spans="2:7" ht="14.4" customHeight="1" x14ac:dyDescent="0.3">
      <c r="B154" s="14"/>
      <c r="C154" s="3" t="s">
        <v>13</v>
      </c>
      <c r="D154" s="38">
        <f>Input_!D76</f>
        <v>2674277.9479452055</v>
      </c>
      <c r="E154" s="38">
        <f>Input_!E76</f>
        <v>515312</v>
      </c>
      <c r="F154" s="38">
        <f>Input_!F76</f>
        <v>515312</v>
      </c>
      <c r="G154" s="38">
        <f>Input_!G76</f>
        <v>515312</v>
      </c>
    </row>
    <row r="155" spans="2:7" ht="14.4" customHeight="1" x14ac:dyDescent="0.3">
      <c r="B155" s="15" t="s">
        <v>17</v>
      </c>
      <c r="C155" s="3" t="s">
        <v>18</v>
      </c>
      <c r="D155" s="38">
        <f>Input_!D77</f>
        <v>175449767.87513986</v>
      </c>
      <c r="E155" s="38">
        <f>Input_!E77</f>
        <v>165852149.48415494</v>
      </c>
      <c r="F155" s="38">
        <f>Input_!F77</f>
        <v>165852149.48415494</v>
      </c>
      <c r="G155" s="38">
        <f>Input_!G77</f>
        <v>165852149.48415494</v>
      </c>
    </row>
    <row r="156" spans="2:7" ht="14.4" customHeight="1" x14ac:dyDescent="0.3">
      <c r="B156" s="10" t="s">
        <v>19</v>
      </c>
      <c r="C156" s="3" t="s">
        <v>20</v>
      </c>
      <c r="D156" s="38">
        <f>Input_!D78</f>
        <v>132905216.57454209</v>
      </c>
      <c r="E156" s="38">
        <f>Input_!E78</f>
        <v>146529209.96653783</v>
      </c>
      <c r="F156" s="38">
        <f>Input_!F78</f>
        <v>146529209.96653783</v>
      </c>
      <c r="G156" s="38">
        <f>Input_!G78</f>
        <v>146529209.96653783</v>
      </c>
    </row>
    <row r="157" spans="2:7" ht="14.4" customHeight="1" x14ac:dyDescent="0.3">
      <c r="B157" s="13"/>
      <c r="C157" s="3" t="s">
        <v>21</v>
      </c>
      <c r="D157" s="38">
        <f>Input_!D79</f>
        <v>2812532.9945013379</v>
      </c>
      <c r="E157" s="38">
        <f>Input_!E79</f>
        <v>0</v>
      </c>
      <c r="F157" s="38">
        <f>Input_!F79</f>
        <v>0</v>
      </c>
      <c r="G157" s="38">
        <f>Input_!G79</f>
        <v>0</v>
      </c>
    </row>
    <row r="158" spans="2:7" ht="14.4" customHeight="1" x14ac:dyDescent="0.3">
      <c r="B158" s="13"/>
      <c r="C158" s="3" t="s">
        <v>22</v>
      </c>
      <c r="D158" s="38">
        <f>Input_!D80</f>
        <v>1161559.1052387906</v>
      </c>
      <c r="E158" s="38">
        <f>Input_!E80</f>
        <v>342023</v>
      </c>
      <c r="F158" s="38">
        <f>Input_!F80</f>
        <v>342023</v>
      </c>
      <c r="G158" s="38">
        <f>Input_!G80</f>
        <v>342023</v>
      </c>
    </row>
    <row r="159" spans="2:7" ht="14.4" customHeight="1" x14ac:dyDescent="0.3">
      <c r="B159" s="13"/>
      <c r="C159" s="3" t="s">
        <v>23</v>
      </c>
      <c r="D159" s="38">
        <f>Input_!D81</f>
        <v>181571.81352116147</v>
      </c>
      <c r="E159" s="38">
        <f>Input_!E81</f>
        <v>342023</v>
      </c>
      <c r="F159" s="38">
        <f>Input_!F81</f>
        <v>342023</v>
      </c>
      <c r="G159" s="38">
        <f>Input_!G81</f>
        <v>342023</v>
      </c>
    </row>
    <row r="160" spans="2:7" ht="14.4" customHeight="1" x14ac:dyDescent="0.3">
      <c r="B160" s="13"/>
      <c r="C160" s="3" t="s">
        <v>24</v>
      </c>
      <c r="D160" s="38">
        <f>Input_!D82</f>
        <v>0</v>
      </c>
      <c r="E160" s="38">
        <f>Input_!E82</f>
        <v>0</v>
      </c>
      <c r="F160" s="38">
        <f>Input_!F82</f>
        <v>0</v>
      </c>
      <c r="G160" s="38">
        <f>Input_!G82</f>
        <v>0</v>
      </c>
    </row>
    <row r="161" spans="2:7" ht="14.4" customHeight="1" x14ac:dyDescent="0.3">
      <c r="B161" s="14"/>
      <c r="C161" s="3" t="s">
        <v>25</v>
      </c>
      <c r="D161" s="38">
        <f>Input_!D83</f>
        <v>0</v>
      </c>
      <c r="E161" s="38">
        <f>Input_!E83</f>
        <v>0</v>
      </c>
      <c r="F161" s="38">
        <f>Input_!F83</f>
        <v>0</v>
      </c>
      <c r="G161" s="38">
        <f>Input_!G83</f>
        <v>0</v>
      </c>
    </row>
    <row r="162" spans="2:7" ht="14.4" customHeight="1" x14ac:dyDescent="0.3">
      <c r="B162" s="9" t="s">
        <v>1</v>
      </c>
      <c r="C162" s="9" t="s">
        <v>229</v>
      </c>
      <c r="D162" s="6"/>
      <c r="E162" s="6"/>
      <c r="F162" s="6"/>
      <c r="G162" s="6"/>
    </row>
    <row r="163" spans="2:7" ht="14.4" customHeight="1" x14ac:dyDescent="0.3">
      <c r="B163" s="25"/>
      <c r="C163" s="25"/>
      <c r="D163" s="23" t="str">
        <f>Input_!D$5</f>
        <v>2023-24</v>
      </c>
      <c r="E163" s="23" t="str">
        <f>Input_!E$5</f>
        <v>2024-25</v>
      </c>
      <c r="F163" s="23" t="str">
        <f>Input_!F$5</f>
        <v>2025-26</v>
      </c>
      <c r="G163" s="23" t="str">
        <f>Input_!G$5</f>
        <v>2026-27</v>
      </c>
    </row>
    <row r="164" spans="2:7" ht="14.4" customHeight="1" x14ac:dyDescent="0.3">
      <c r="B164" s="24"/>
      <c r="C164" s="24"/>
      <c r="D164" s="8"/>
      <c r="E164" s="8"/>
      <c r="F164" s="8"/>
      <c r="G164" s="8"/>
    </row>
    <row r="165" spans="2:7" ht="14.4" customHeight="1" x14ac:dyDescent="0.3">
      <c r="B165" s="10" t="s">
        <v>8</v>
      </c>
      <c r="C165" s="3" t="s">
        <v>12</v>
      </c>
      <c r="D165" s="38">
        <f>Input_!D91</f>
        <v>0</v>
      </c>
      <c r="E165" s="38">
        <f>Input_!E91</f>
        <v>0</v>
      </c>
      <c r="F165" s="38">
        <f>Input_!F91</f>
        <v>0</v>
      </c>
      <c r="G165" s="38">
        <f>Input_!G91</f>
        <v>0</v>
      </c>
    </row>
    <row r="166" spans="2:7" ht="14.4" customHeight="1" x14ac:dyDescent="0.3">
      <c r="B166" s="12"/>
      <c r="C166" s="3" t="s">
        <v>13</v>
      </c>
      <c r="D166" s="38">
        <f>Input_!D92</f>
        <v>0</v>
      </c>
      <c r="E166" s="38">
        <f>Input_!E92</f>
        <v>0</v>
      </c>
      <c r="F166" s="38">
        <f>Input_!F92</f>
        <v>0</v>
      </c>
      <c r="G166" s="38">
        <f>Input_!G92</f>
        <v>0</v>
      </c>
    </row>
    <row r="167" spans="2:7" ht="14.4" customHeight="1" x14ac:dyDescent="0.3">
      <c r="B167" s="10" t="s">
        <v>14</v>
      </c>
      <c r="C167" s="3" t="s">
        <v>12</v>
      </c>
      <c r="D167" s="38">
        <f>Input_!D93</f>
        <v>1</v>
      </c>
      <c r="E167" s="38">
        <f>Input_!E93</f>
        <v>1</v>
      </c>
      <c r="F167" s="38">
        <f>Input_!F93</f>
        <v>1</v>
      </c>
      <c r="G167" s="38">
        <f>Input_!G93</f>
        <v>1</v>
      </c>
    </row>
    <row r="168" spans="2:7" ht="14.4" customHeight="1" x14ac:dyDescent="0.3">
      <c r="B168" s="12"/>
      <c r="C168" s="3" t="s">
        <v>13</v>
      </c>
      <c r="D168" s="38">
        <f>Input_!D94</f>
        <v>0</v>
      </c>
      <c r="E168" s="38">
        <f>Input_!E94</f>
        <v>0</v>
      </c>
      <c r="F168" s="38">
        <f>Input_!F94</f>
        <v>0</v>
      </c>
      <c r="G168" s="38">
        <f>Input_!G94</f>
        <v>0</v>
      </c>
    </row>
    <row r="169" spans="2:7" ht="14.4" customHeight="1" x14ac:dyDescent="0.3">
      <c r="B169" s="15" t="s">
        <v>15</v>
      </c>
      <c r="C169" s="3" t="s">
        <v>13</v>
      </c>
      <c r="D169" s="38">
        <f>Input_!D95</f>
        <v>0</v>
      </c>
      <c r="E169" s="38">
        <f>Input_!E95</f>
        <v>0</v>
      </c>
      <c r="F169" s="38">
        <f>Input_!F95</f>
        <v>0</v>
      </c>
      <c r="G169" s="38">
        <f>Input_!G95</f>
        <v>0</v>
      </c>
    </row>
    <row r="172" spans="2:7" ht="28.8" customHeight="1" x14ac:dyDescent="0.3">
      <c r="B172" s="32" t="s">
        <v>627</v>
      </c>
      <c r="C172" s="5"/>
      <c r="D172" s="5"/>
      <c r="E172" s="5"/>
      <c r="F172" s="5"/>
      <c r="G172" s="5"/>
    </row>
    <row r="173" spans="2:7" ht="14.4" customHeight="1" x14ac:dyDescent="0.3">
      <c r="B173" s="37"/>
    </row>
    <row r="174" spans="2:7" ht="14.4" customHeight="1" x14ac:dyDescent="0.3">
      <c r="B174" s="9" t="s">
        <v>1</v>
      </c>
      <c r="C174" s="9" t="s">
        <v>228</v>
      </c>
      <c r="D174" s="6"/>
      <c r="E174" s="6"/>
      <c r="F174" s="6"/>
      <c r="G174" s="6"/>
    </row>
    <row r="175" spans="2:7" ht="14.4" customHeight="1" x14ac:dyDescent="0.3">
      <c r="B175" s="25"/>
      <c r="C175" s="25"/>
      <c r="D175" s="23" t="str">
        <f>Input_!D$5</f>
        <v>2023-24</v>
      </c>
      <c r="E175" s="23" t="str">
        <f>Input_!E$5</f>
        <v>2024-25</v>
      </c>
      <c r="F175" s="23" t="str">
        <f>Input_!F$5</f>
        <v>2025-26</v>
      </c>
      <c r="G175" s="23" t="str">
        <f>Input_!G$5</f>
        <v>2026-27</v>
      </c>
    </row>
    <row r="176" spans="2:7" ht="14.4" customHeight="1" x14ac:dyDescent="0.3">
      <c r="B176" s="24"/>
      <c r="C176" s="24"/>
      <c r="D176" s="8"/>
      <c r="E176" s="8"/>
      <c r="F176" s="8"/>
      <c r="G176" s="8"/>
    </row>
    <row r="177" spans="2:7" ht="14.4" customHeight="1" x14ac:dyDescent="0.3">
      <c r="B177" s="10" t="s">
        <v>8</v>
      </c>
      <c r="C177" s="3" t="s">
        <v>9</v>
      </c>
      <c r="D177" s="38">
        <f t="shared" ref="D177:G177" si="4">D109*D143</f>
        <v>64727.28997830482</v>
      </c>
      <c r="E177" s="38">
        <f t="shared" si="4"/>
        <v>0</v>
      </c>
      <c r="F177" s="38">
        <f t="shared" si="4"/>
        <v>0</v>
      </c>
      <c r="G177" s="38">
        <f t="shared" si="4"/>
        <v>0</v>
      </c>
    </row>
    <row r="178" spans="2:7" ht="14.4" customHeight="1" x14ac:dyDescent="0.3">
      <c r="B178" s="13"/>
      <c r="C178" s="3" t="s">
        <v>10</v>
      </c>
      <c r="D178" s="38">
        <f t="shared" ref="D178:G195" si="5">D110*D144</f>
        <v>0</v>
      </c>
      <c r="E178" s="38">
        <f t="shared" si="5"/>
        <v>0</v>
      </c>
      <c r="F178" s="38">
        <f t="shared" si="5"/>
        <v>0</v>
      </c>
      <c r="G178" s="38">
        <f t="shared" si="5"/>
        <v>0</v>
      </c>
    </row>
    <row r="179" spans="2:7" ht="14.4" customHeight="1" x14ac:dyDescent="0.3">
      <c r="B179" s="13"/>
      <c r="C179" s="3" t="s">
        <v>11</v>
      </c>
      <c r="D179" s="38">
        <f t="shared" si="5"/>
        <v>187113.57487596959</v>
      </c>
      <c r="E179" s="38">
        <f t="shared" si="5"/>
        <v>118055.50130892596</v>
      </c>
      <c r="F179" s="38">
        <f t="shared" si="5"/>
        <v>118055.50130892596</v>
      </c>
      <c r="G179" s="38">
        <f t="shared" si="5"/>
        <v>118055.50130892596</v>
      </c>
    </row>
    <row r="180" spans="2:7" ht="14.4" customHeight="1" x14ac:dyDescent="0.3">
      <c r="B180" s="13"/>
      <c r="C180" s="3" t="s">
        <v>12</v>
      </c>
      <c r="D180" s="38">
        <f t="shared" si="5"/>
        <v>464956.05030783208</v>
      </c>
      <c r="E180" s="38">
        <f t="shared" si="5"/>
        <v>1668878.6649906756</v>
      </c>
      <c r="F180" s="38">
        <f t="shared" si="5"/>
        <v>1668878.6649906756</v>
      </c>
      <c r="G180" s="38">
        <f t="shared" si="5"/>
        <v>1668878.6649906756</v>
      </c>
    </row>
    <row r="181" spans="2:7" ht="14.4" customHeight="1" x14ac:dyDescent="0.3">
      <c r="B181" s="14"/>
      <c r="C181" s="3" t="s">
        <v>13</v>
      </c>
      <c r="D181" s="38">
        <f t="shared" si="5"/>
        <v>53372.776750399717</v>
      </c>
      <c r="E181" s="38">
        <f t="shared" si="5"/>
        <v>28742.665610777745</v>
      </c>
      <c r="F181" s="38">
        <f t="shared" si="5"/>
        <v>28742.665610777745</v>
      </c>
      <c r="G181" s="38">
        <f t="shared" si="5"/>
        <v>28742.665610777745</v>
      </c>
    </row>
    <row r="182" spans="2:7" ht="14.4" customHeight="1" x14ac:dyDescent="0.3">
      <c r="B182" s="10" t="s">
        <v>14</v>
      </c>
      <c r="C182" s="3" t="s">
        <v>9</v>
      </c>
      <c r="D182" s="38">
        <f t="shared" si="5"/>
        <v>0</v>
      </c>
      <c r="E182" s="38">
        <f t="shared" si="5"/>
        <v>0</v>
      </c>
      <c r="F182" s="38">
        <f t="shared" si="5"/>
        <v>0</v>
      </c>
      <c r="G182" s="38">
        <f t="shared" si="5"/>
        <v>0</v>
      </c>
    </row>
    <row r="183" spans="2:7" ht="14.4" customHeight="1" x14ac:dyDescent="0.3">
      <c r="B183" s="13"/>
      <c r="C183" s="3" t="s">
        <v>10</v>
      </c>
      <c r="D183" s="38">
        <f t="shared" si="5"/>
        <v>0</v>
      </c>
      <c r="E183" s="38">
        <f t="shared" si="5"/>
        <v>0</v>
      </c>
      <c r="F183" s="38">
        <f t="shared" si="5"/>
        <v>0</v>
      </c>
      <c r="G183" s="38">
        <f t="shared" si="5"/>
        <v>0</v>
      </c>
    </row>
    <row r="184" spans="2:7" ht="14.4" customHeight="1" x14ac:dyDescent="0.3">
      <c r="B184" s="13"/>
      <c r="C184" s="3" t="s">
        <v>11</v>
      </c>
      <c r="D184" s="38">
        <f t="shared" si="5"/>
        <v>0</v>
      </c>
      <c r="E184" s="38">
        <f t="shared" si="5"/>
        <v>0</v>
      </c>
      <c r="F184" s="38">
        <f t="shared" si="5"/>
        <v>0</v>
      </c>
      <c r="G184" s="38">
        <f t="shared" si="5"/>
        <v>0</v>
      </c>
    </row>
    <row r="185" spans="2:7" ht="14.4" customHeight="1" x14ac:dyDescent="0.3">
      <c r="B185" s="13"/>
      <c r="C185" s="3" t="s">
        <v>12</v>
      </c>
      <c r="D185" s="38">
        <f t="shared" si="5"/>
        <v>0</v>
      </c>
      <c r="E185" s="38">
        <f t="shared" si="5"/>
        <v>0</v>
      </c>
      <c r="F185" s="38">
        <f t="shared" si="5"/>
        <v>0</v>
      </c>
      <c r="G185" s="38">
        <f t="shared" si="5"/>
        <v>0</v>
      </c>
    </row>
    <row r="186" spans="2:7" ht="14.4" customHeight="1" x14ac:dyDescent="0.3">
      <c r="B186" s="14"/>
      <c r="C186" s="3" t="s">
        <v>13</v>
      </c>
      <c r="D186" s="38">
        <f t="shared" si="5"/>
        <v>0</v>
      </c>
      <c r="E186" s="38">
        <f t="shared" si="5"/>
        <v>0</v>
      </c>
      <c r="F186" s="38">
        <f t="shared" si="5"/>
        <v>0</v>
      </c>
      <c r="G186" s="38">
        <f t="shared" si="5"/>
        <v>0</v>
      </c>
    </row>
    <row r="187" spans="2:7" ht="14.4" customHeight="1" x14ac:dyDescent="0.3">
      <c r="B187" s="10" t="s">
        <v>15</v>
      </c>
      <c r="C187" s="3" t="s">
        <v>12</v>
      </c>
      <c r="D187" s="38">
        <f t="shared" si="5"/>
        <v>0</v>
      </c>
      <c r="E187" s="38">
        <f t="shared" si="5"/>
        <v>0</v>
      </c>
      <c r="F187" s="38">
        <f t="shared" si="5"/>
        <v>0</v>
      </c>
      <c r="G187" s="38">
        <f t="shared" si="5"/>
        <v>0</v>
      </c>
    </row>
    <row r="188" spans="2:7" ht="14.4" customHeight="1" x14ac:dyDescent="0.3">
      <c r="B188" s="14"/>
      <c r="C188" s="3" t="s">
        <v>13</v>
      </c>
      <c r="D188" s="38">
        <f t="shared" si="5"/>
        <v>0</v>
      </c>
      <c r="E188" s="38">
        <f t="shared" si="5"/>
        <v>0</v>
      </c>
      <c r="F188" s="38">
        <f t="shared" si="5"/>
        <v>0</v>
      </c>
      <c r="G188" s="38">
        <f t="shared" si="5"/>
        <v>0</v>
      </c>
    </row>
    <row r="189" spans="2:7" ht="14.4" customHeight="1" x14ac:dyDescent="0.3">
      <c r="B189" s="15" t="s">
        <v>17</v>
      </c>
      <c r="C189" s="3" t="s">
        <v>18</v>
      </c>
      <c r="D189" s="38">
        <f t="shared" si="5"/>
        <v>27441024.705260299</v>
      </c>
      <c r="E189" s="38">
        <f t="shared" si="5"/>
        <v>27298650.032567635</v>
      </c>
      <c r="F189" s="38">
        <f t="shared" si="5"/>
        <v>27298650.032567635</v>
      </c>
      <c r="G189" s="38">
        <f t="shared" si="5"/>
        <v>27298650.032567635</v>
      </c>
    </row>
    <row r="190" spans="2:7" ht="14.4" customHeight="1" x14ac:dyDescent="0.3">
      <c r="B190" s="10" t="s">
        <v>19</v>
      </c>
      <c r="C190" s="3" t="s">
        <v>20</v>
      </c>
      <c r="D190" s="38">
        <f t="shared" si="5"/>
        <v>20786891.744852204</v>
      </c>
      <c r="E190" s="38">
        <f t="shared" si="5"/>
        <v>24118165.696774956</v>
      </c>
      <c r="F190" s="38">
        <f t="shared" si="5"/>
        <v>24118165.696774956</v>
      </c>
      <c r="G190" s="38">
        <f t="shared" si="5"/>
        <v>24118165.696774956</v>
      </c>
    </row>
    <row r="191" spans="2:7" ht="14.4" customHeight="1" x14ac:dyDescent="0.3">
      <c r="B191" s="13"/>
      <c r="C191" s="3" t="s">
        <v>21</v>
      </c>
      <c r="D191" s="38">
        <f t="shared" si="5"/>
        <v>659836.61581184703</v>
      </c>
      <c r="E191" s="38">
        <f t="shared" si="5"/>
        <v>0</v>
      </c>
      <c r="F191" s="38">
        <f t="shared" si="5"/>
        <v>0</v>
      </c>
      <c r="G191" s="38">
        <f t="shared" si="5"/>
        <v>0</v>
      </c>
    </row>
    <row r="192" spans="2:7" ht="14.4" customHeight="1" x14ac:dyDescent="0.3">
      <c r="B192" s="13"/>
      <c r="C192" s="3" t="s">
        <v>22</v>
      </c>
      <c r="D192" s="38">
        <f t="shared" si="5"/>
        <v>545017.05797914765</v>
      </c>
      <c r="E192" s="38">
        <f t="shared" si="5"/>
        <v>168887.16020495511</v>
      </c>
      <c r="F192" s="38">
        <f t="shared" si="5"/>
        <v>168887.16020495511</v>
      </c>
      <c r="G192" s="38">
        <f t="shared" si="5"/>
        <v>168887.16020495511</v>
      </c>
    </row>
    <row r="193" spans="2:7" ht="14.4" customHeight="1" x14ac:dyDescent="0.3">
      <c r="B193" s="13"/>
      <c r="C193" s="3" t="s">
        <v>23</v>
      </c>
      <c r="D193" s="38">
        <f t="shared" si="5"/>
        <v>42597.804610596177</v>
      </c>
      <c r="E193" s="38">
        <f t="shared" si="5"/>
        <v>84443.580102477557</v>
      </c>
      <c r="F193" s="38">
        <f t="shared" si="5"/>
        <v>84443.580102477557</v>
      </c>
      <c r="G193" s="38">
        <f t="shared" si="5"/>
        <v>84443.580102477557</v>
      </c>
    </row>
    <row r="194" spans="2:7" ht="14.4" customHeight="1" x14ac:dyDescent="0.3">
      <c r="B194" s="13"/>
      <c r="C194" s="3" t="s">
        <v>24</v>
      </c>
      <c r="D194" s="38">
        <f t="shared" si="5"/>
        <v>0</v>
      </c>
      <c r="E194" s="38">
        <f t="shared" si="5"/>
        <v>0</v>
      </c>
      <c r="F194" s="38">
        <f t="shared" si="5"/>
        <v>0</v>
      </c>
      <c r="G194" s="38">
        <f t="shared" si="5"/>
        <v>0</v>
      </c>
    </row>
    <row r="195" spans="2:7" ht="14.4" customHeight="1" x14ac:dyDescent="0.3">
      <c r="B195" s="14"/>
      <c r="C195" s="3" t="s">
        <v>25</v>
      </c>
      <c r="D195" s="38">
        <f t="shared" si="5"/>
        <v>0</v>
      </c>
      <c r="E195" s="38">
        <f t="shared" si="5"/>
        <v>0</v>
      </c>
      <c r="F195" s="38">
        <f t="shared" si="5"/>
        <v>0</v>
      </c>
      <c r="G195" s="38">
        <f t="shared" si="5"/>
        <v>0</v>
      </c>
    </row>
    <row r="196" spans="2:7" ht="14.4" customHeight="1" x14ac:dyDescent="0.3">
      <c r="B196" s="9" t="s">
        <v>1</v>
      </c>
      <c r="C196" s="9" t="s">
        <v>229</v>
      </c>
      <c r="D196" s="6"/>
      <c r="E196" s="6"/>
      <c r="F196" s="6"/>
      <c r="G196" s="6"/>
    </row>
    <row r="197" spans="2:7" ht="14.4" customHeight="1" x14ac:dyDescent="0.3">
      <c r="B197" s="25"/>
      <c r="C197" s="25"/>
      <c r="D197" s="23" t="str">
        <f>Input_!D$5</f>
        <v>2023-24</v>
      </c>
      <c r="E197" s="23" t="str">
        <f>Input_!E$5</f>
        <v>2024-25</v>
      </c>
      <c r="F197" s="23" t="str">
        <f>Input_!F$5</f>
        <v>2025-26</v>
      </c>
      <c r="G197" s="23" t="str">
        <f>Input_!G$5</f>
        <v>2026-27</v>
      </c>
    </row>
    <row r="198" spans="2:7" ht="14.4" customHeight="1" x14ac:dyDescent="0.3">
      <c r="B198" s="24"/>
      <c r="C198" s="24"/>
      <c r="D198" s="8"/>
      <c r="E198" s="8"/>
      <c r="F198" s="8"/>
      <c r="G198" s="8"/>
    </row>
    <row r="199" spans="2:7" ht="14.4" customHeight="1" x14ac:dyDescent="0.3">
      <c r="B199" s="10" t="s">
        <v>8</v>
      </c>
      <c r="C199" s="3" t="s">
        <v>12</v>
      </c>
      <c r="D199" s="38">
        <f t="shared" ref="D199:G203" si="6">D131*D165</f>
        <v>0</v>
      </c>
      <c r="E199" s="38">
        <f t="shared" si="6"/>
        <v>0</v>
      </c>
      <c r="F199" s="38">
        <f t="shared" si="6"/>
        <v>0</v>
      </c>
      <c r="G199" s="38">
        <f t="shared" si="6"/>
        <v>0</v>
      </c>
    </row>
    <row r="200" spans="2:7" ht="14.4" customHeight="1" x14ac:dyDescent="0.3">
      <c r="B200" s="12"/>
      <c r="C200" s="3" t="s">
        <v>13</v>
      </c>
      <c r="D200" s="38">
        <f t="shared" si="6"/>
        <v>0</v>
      </c>
      <c r="E200" s="38">
        <f t="shared" si="6"/>
        <v>0</v>
      </c>
      <c r="F200" s="38">
        <f t="shared" si="6"/>
        <v>0</v>
      </c>
      <c r="G200" s="38">
        <f t="shared" si="6"/>
        <v>0</v>
      </c>
    </row>
    <row r="201" spans="2:7" ht="14.4" customHeight="1" x14ac:dyDescent="0.3">
      <c r="B201" s="10" t="s">
        <v>14</v>
      </c>
      <c r="C201" s="3" t="s">
        <v>12</v>
      </c>
      <c r="D201" s="38">
        <f t="shared" si="6"/>
        <v>0</v>
      </c>
      <c r="E201" s="38">
        <f t="shared" si="6"/>
        <v>0</v>
      </c>
      <c r="F201" s="38">
        <f t="shared" si="6"/>
        <v>0</v>
      </c>
      <c r="G201" s="38">
        <f t="shared" si="6"/>
        <v>0</v>
      </c>
    </row>
    <row r="202" spans="2:7" ht="14.4" customHeight="1" x14ac:dyDescent="0.3">
      <c r="B202" s="12"/>
      <c r="C202" s="3" t="s">
        <v>13</v>
      </c>
      <c r="D202" s="38">
        <f t="shared" si="6"/>
        <v>0</v>
      </c>
      <c r="E202" s="38">
        <f t="shared" si="6"/>
        <v>0</v>
      </c>
      <c r="F202" s="38">
        <f t="shared" si="6"/>
        <v>0</v>
      </c>
      <c r="G202" s="38">
        <f t="shared" si="6"/>
        <v>0</v>
      </c>
    </row>
    <row r="203" spans="2:7" ht="14.4" customHeight="1" x14ac:dyDescent="0.3">
      <c r="B203" s="15" t="s">
        <v>15</v>
      </c>
      <c r="C203" s="3" t="s">
        <v>13</v>
      </c>
      <c r="D203" s="38">
        <f t="shared" si="6"/>
        <v>0</v>
      </c>
      <c r="E203" s="38">
        <f t="shared" si="6"/>
        <v>0</v>
      </c>
      <c r="F203" s="38">
        <f t="shared" si="6"/>
        <v>0</v>
      </c>
      <c r="G203" s="38">
        <f t="shared" si="6"/>
        <v>0</v>
      </c>
    </row>
    <row r="204" spans="2:7" ht="14.4" customHeight="1" x14ac:dyDescent="0.3">
      <c r="B204" s="21" t="s">
        <v>32</v>
      </c>
      <c r="C204" s="22"/>
      <c r="D204" s="20">
        <f>SUM(D177:D195,D199:D203)</f>
        <v>50245537.620426595</v>
      </c>
      <c r="E204" s="20">
        <f>SUM(E177:E195,E199:E203)</f>
        <v>53485823.301560402</v>
      </c>
      <c r="F204" s="20">
        <f>SUM(F177:F195,F199:F203)</f>
        <v>53485823.301560402</v>
      </c>
      <c r="G204" s="20">
        <f>SUM(G177:G195,G199:G203)</f>
        <v>53485823.301560402</v>
      </c>
    </row>
    <row r="205" spans="2:7" ht="14.4" customHeight="1" x14ac:dyDescent="0.3">
      <c r="C205" s="60"/>
    </row>
    <row r="206" spans="2:7" ht="14.4" customHeight="1" x14ac:dyDescent="0.3">
      <c r="C206" s="60"/>
    </row>
    <row r="207" spans="2:7" ht="28.8" customHeight="1" x14ac:dyDescent="0.3">
      <c r="B207" s="32" t="s">
        <v>628</v>
      </c>
      <c r="C207" s="5"/>
      <c r="D207" s="5"/>
      <c r="E207" s="5"/>
      <c r="F207" s="5"/>
      <c r="G207" s="5"/>
    </row>
    <row r="208" spans="2:7" ht="14.4" customHeight="1" x14ac:dyDescent="0.3">
      <c r="B208" s="37"/>
    </row>
    <row r="209" spans="2:7" ht="14.4" customHeight="1" x14ac:dyDescent="0.3">
      <c r="B209" s="9" t="s">
        <v>1</v>
      </c>
      <c r="C209" s="9" t="s">
        <v>228</v>
      </c>
      <c r="D209" s="6"/>
      <c r="E209" s="6"/>
      <c r="F209" s="6"/>
      <c r="G209" s="6"/>
    </row>
    <row r="210" spans="2:7" ht="14.4" customHeight="1" x14ac:dyDescent="0.3">
      <c r="B210" s="25"/>
      <c r="C210" s="25"/>
      <c r="D210" s="23" t="str">
        <f>Input_!D$5</f>
        <v>2023-24</v>
      </c>
      <c r="E210" s="23" t="str">
        <f>Input_!E$5</f>
        <v>2024-25</v>
      </c>
      <c r="F210" s="23" t="str">
        <f>Input_!F$5</f>
        <v>2025-26</v>
      </c>
      <c r="G210" s="23" t="str">
        <f>Input_!G$5</f>
        <v>2026-27</v>
      </c>
    </row>
    <row r="211" spans="2:7" ht="14.4" customHeight="1" x14ac:dyDescent="0.3">
      <c r="B211" s="24"/>
      <c r="C211" s="24"/>
      <c r="D211" s="8"/>
      <c r="E211" s="8"/>
      <c r="F211" s="8"/>
      <c r="G211" s="8"/>
    </row>
    <row r="212" spans="2:7" ht="14.4" customHeight="1" x14ac:dyDescent="0.3">
      <c r="B212" s="10" t="s">
        <v>8</v>
      </c>
      <c r="C212" s="3" t="s">
        <v>9</v>
      </c>
      <c r="D212" s="57">
        <f>D109*(Input_!D$191*Input_!D$7)/D$204</f>
        <v>3.2954080048979699E-2</v>
      </c>
      <c r="E212" s="57">
        <f>E109*(Input_!E$191*Input_!E$7)/E$204</f>
        <v>3.4453513090425783E-2</v>
      </c>
      <c r="F212" s="57">
        <f>F109*(Input_!F$191*Input_!F$7)/F$204</f>
        <v>3.4453513090425783E-2</v>
      </c>
      <c r="G212" s="57">
        <f>G109*(Input_!G$191*Input_!G$7)/G$204</f>
        <v>3.4453513090425783E-2</v>
      </c>
    </row>
    <row r="213" spans="2:7" ht="14.4" customHeight="1" x14ac:dyDescent="0.3">
      <c r="B213" s="13"/>
      <c r="C213" s="3" t="s">
        <v>10</v>
      </c>
      <c r="D213" s="57">
        <f>D110*(Input_!D$191*Input_!D$7)/D$204</f>
        <v>4.2840304063673611E-2</v>
      </c>
      <c r="E213" s="57">
        <f>E110*(Input_!E$191*Input_!E$7)/E$204</f>
        <v>4.0655145446702429E-2</v>
      </c>
      <c r="F213" s="57">
        <f>F110*(Input_!F$191*Input_!F$7)/F$204</f>
        <v>4.0655145446702429E-2</v>
      </c>
      <c r="G213" s="57">
        <f>G110*(Input_!G$191*Input_!G$7)/G$204</f>
        <v>4.0655145446702429E-2</v>
      </c>
    </row>
    <row r="214" spans="2:7" ht="14.4" customHeight="1" x14ac:dyDescent="0.3">
      <c r="B214" s="13"/>
      <c r="C214" s="3" t="s">
        <v>11</v>
      </c>
      <c r="D214" s="57">
        <f>D111*(Input_!D$191*Input_!D$7)/D$204</f>
        <v>4.9431120073469552E-2</v>
      </c>
      <c r="E214" s="57">
        <f>E111*(Input_!E$191*Input_!E$7)/E$204</f>
        <v>4.6512242672074815E-2</v>
      </c>
      <c r="F214" s="57">
        <f>F111*(Input_!F$191*Input_!F$7)/F$204</f>
        <v>4.6512242672074815E-2</v>
      </c>
      <c r="G214" s="57">
        <f>G111*(Input_!G$191*Input_!G$7)/G$204</f>
        <v>4.6512242672074815E-2</v>
      </c>
    </row>
    <row r="215" spans="2:7" ht="14.4" customHeight="1" x14ac:dyDescent="0.3">
      <c r="B215" s="13"/>
      <c r="C215" s="3" t="s">
        <v>12</v>
      </c>
      <c r="D215" s="57">
        <f>D112*(Input_!D$191*Input_!D$7)/D$204</f>
        <v>6.5908160097959398E-2</v>
      </c>
      <c r="E215" s="57">
        <f>E112*(Input_!E$191*Input_!E$7)/E$204</f>
        <v>6.6839815395426022E-2</v>
      </c>
      <c r="F215" s="57">
        <f>F112*(Input_!F$191*Input_!F$7)/F$204</f>
        <v>6.6839815395426022E-2</v>
      </c>
      <c r="G215" s="57">
        <f>G112*(Input_!G$191*Input_!G$7)/G$204</f>
        <v>6.6839815395426022E-2</v>
      </c>
    </row>
    <row r="216" spans="2:7" ht="14.4" customHeight="1" x14ac:dyDescent="0.3">
      <c r="B216" s="14"/>
      <c r="C216" s="3" t="s">
        <v>13</v>
      </c>
      <c r="D216" s="57">
        <f>D113*(Input_!D$191*Input_!D$7)/D$204</f>
        <v>7.2498976107755339E-2</v>
      </c>
      <c r="E216" s="57">
        <f>E113*(Input_!E$191*Input_!E$7)/E$204</f>
        <v>7.338598288260692E-2</v>
      </c>
      <c r="F216" s="57">
        <f>F113*(Input_!F$191*Input_!F$7)/F$204</f>
        <v>7.338598288260692E-2</v>
      </c>
      <c r="G216" s="57">
        <f>G113*(Input_!G$191*Input_!G$7)/G$204</f>
        <v>7.338598288260692E-2</v>
      </c>
    </row>
    <row r="217" spans="2:7" ht="14.4" customHeight="1" x14ac:dyDescent="0.3">
      <c r="B217" s="10" t="s">
        <v>14</v>
      </c>
      <c r="C217" s="3" t="s">
        <v>9</v>
      </c>
      <c r="D217" s="57">
        <f>D114*(Input_!D$191*Input_!D$7)/D$204</f>
        <v>0</v>
      </c>
      <c r="E217" s="57">
        <f>E114*(Input_!E$191*Input_!E$7)/E$204</f>
        <v>0</v>
      </c>
      <c r="F217" s="57">
        <f>F114*(Input_!F$191*Input_!F$7)/F$204</f>
        <v>0</v>
      </c>
      <c r="G217" s="57">
        <f>G114*(Input_!G$191*Input_!G$7)/G$204</f>
        <v>0</v>
      </c>
    </row>
    <row r="218" spans="2:7" ht="14.4" customHeight="1" x14ac:dyDescent="0.3">
      <c r="B218" s="13"/>
      <c r="C218" s="3" t="s">
        <v>10</v>
      </c>
      <c r="D218" s="57">
        <f>D115*(Input_!D$191*Input_!D$7)/D$204</f>
        <v>0</v>
      </c>
      <c r="E218" s="57">
        <f>E115*(Input_!E$191*Input_!E$7)/E$204</f>
        <v>0</v>
      </c>
      <c r="F218" s="57">
        <f>F115*(Input_!F$191*Input_!F$7)/F$204</f>
        <v>0</v>
      </c>
      <c r="G218" s="57">
        <f>G115*(Input_!G$191*Input_!G$7)/G$204</f>
        <v>0</v>
      </c>
    </row>
    <row r="219" spans="2:7" ht="14.4" customHeight="1" x14ac:dyDescent="0.3">
      <c r="B219" s="13"/>
      <c r="C219" s="3" t="s">
        <v>11</v>
      </c>
      <c r="D219" s="57">
        <f>D116*(Input_!D$191*Input_!D$7)/D$204</f>
        <v>0</v>
      </c>
      <c r="E219" s="57">
        <f>E116*(Input_!E$191*Input_!E$7)/E$204</f>
        <v>0</v>
      </c>
      <c r="F219" s="57">
        <f>F116*(Input_!F$191*Input_!F$7)/F$204</f>
        <v>0</v>
      </c>
      <c r="G219" s="57">
        <f>G116*(Input_!G$191*Input_!G$7)/G$204</f>
        <v>0</v>
      </c>
    </row>
    <row r="220" spans="2:7" ht="14.4" customHeight="1" x14ac:dyDescent="0.3">
      <c r="B220" s="13"/>
      <c r="C220" s="3" t="s">
        <v>12</v>
      </c>
      <c r="D220" s="57">
        <f>D117*(Input_!D$191*Input_!D$7)/D$204</f>
        <v>0</v>
      </c>
      <c r="E220" s="57">
        <f>E117*(Input_!E$191*Input_!E$7)/E$204</f>
        <v>0</v>
      </c>
      <c r="F220" s="57">
        <f>F117*(Input_!F$191*Input_!F$7)/F$204</f>
        <v>0</v>
      </c>
      <c r="G220" s="57">
        <f>G117*(Input_!G$191*Input_!G$7)/G$204</f>
        <v>0</v>
      </c>
    </row>
    <row r="221" spans="2:7" ht="14.4" customHeight="1" x14ac:dyDescent="0.3">
      <c r="B221" s="14"/>
      <c r="C221" s="3" t="s">
        <v>13</v>
      </c>
      <c r="D221" s="57">
        <f>D118*(Input_!D$191*Input_!D$7)/D$204</f>
        <v>0</v>
      </c>
      <c r="E221" s="57">
        <f>E118*(Input_!E$191*Input_!E$7)/E$204</f>
        <v>0</v>
      </c>
      <c r="F221" s="57">
        <f>F118*(Input_!F$191*Input_!F$7)/F$204</f>
        <v>0</v>
      </c>
      <c r="G221" s="57">
        <f>G118*(Input_!G$191*Input_!G$7)/G$204</f>
        <v>0</v>
      </c>
    </row>
    <row r="222" spans="2:7" ht="14.4" customHeight="1" x14ac:dyDescent="0.3">
      <c r="B222" s="10" t="s">
        <v>15</v>
      </c>
      <c r="C222" s="3" t="s">
        <v>12</v>
      </c>
      <c r="D222" s="57">
        <f>D119*(Input_!D$191*Input_!D$7)/D$204</f>
        <v>0</v>
      </c>
      <c r="E222" s="57">
        <f>E119*(Input_!E$191*Input_!E$7)/E$204</f>
        <v>0</v>
      </c>
      <c r="F222" s="57">
        <f>F119*(Input_!F$191*Input_!F$7)/F$204</f>
        <v>0</v>
      </c>
      <c r="G222" s="57">
        <f>G119*(Input_!G$191*Input_!G$7)/G$204</f>
        <v>0</v>
      </c>
    </row>
    <row r="223" spans="2:7" ht="14.4" customHeight="1" x14ac:dyDescent="0.3">
      <c r="B223" s="14"/>
      <c r="C223" s="3" t="s">
        <v>13</v>
      </c>
      <c r="D223" s="57">
        <f>D120*(Input_!D$191*Input_!D$7)/D$204</f>
        <v>0</v>
      </c>
      <c r="E223" s="57">
        <f>E120*(Input_!E$191*Input_!E$7)/E$204</f>
        <v>0</v>
      </c>
      <c r="F223" s="57">
        <f>F120*(Input_!F$191*Input_!F$7)/F$204</f>
        <v>0</v>
      </c>
      <c r="G223" s="57">
        <f>G120*(Input_!G$191*Input_!G$7)/G$204</f>
        <v>0</v>
      </c>
    </row>
    <row r="224" spans="2:7" ht="14.4" customHeight="1" x14ac:dyDescent="0.3">
      <c r="B224" s="15" t="s">
        <v>17</v>
      </c>
      <c r="C224" s="3" t="s">
        <v>18</v>
      </c>
      <c r="D224" s="57">
        <f>D121*(Input_!D$191*Input_!D$7)/D$204</f>
        <v>0.15884432461897521</v>
      </c>
      <c r="E224" s="57">
        <f>E121*(Input_!E$191*Input_!E$7)/E$204</f>
        <v>0.166115332177528</v>
      </c>
      <c r="F224" s="57">
        <f>F121*(Input_!F$191*Input_!F$7)/F$204</f>
        <v>0.166115332177528</v>
      </c>
      <c r="G224" s="57">
        <f>G121*(Input_!G$191*Input_!G$7)/G$204</f>
        <v>0.166115332177528</v>
      </c>
    </row>
    <row r="225" spans="2:7" ht="14.4" customHeight="1" x14ac:dyDescent="0.3">
      <c r="B225" s="10" t="s">
        <v>19</v>
      </c>
      <c r="C225" s="3" t="s">
        <v>20</v>
      </c>
      <c r="D225" s="57">
        <f>D122*(Input_!D$191*Input_!D$7)/D$204</f>
        <v>0.15884432461897521</v>
      </c>
      <c r="E225" s="57">
        <f>E122*(Input_!E$191*Input_!E$7)/E$204</f>
        <v>0.166115332177528</v>
      </c>
      <c r="F225" s="57">
        <f>F122*(Input_!F$191*Input_!F$7)/F$204</f>
        <v>0.166115332177528</v>
      </c>
      <c r="G225" s="57">
        <f>G122*(Input_!G$191*Input_!G$7)/G$204</f>
        <v>0.166115332177528</v>
      </c>
    </row>
    <row r="226" spans="2:7" ht="14.4" customHeight="1" x14ac:dyDescent="0.3">
      <c r="B226" s="13"/>
      <c r="C226" s="3" t="s">
        <v>21</v>
      </c>
      <c r="D226" s="57">
        <f>D123*(Input_!D$191*Input_!D$7)/D$204</f>
        <v>0.23826648692846281</v>
      </c>
      <c r="E226" s="57">
        <f>E123*(Input_!E$191*Input_!E$7)/E$204</f>
        <v>0.24917299826629197</v>
      </c>
      <c r="F226" s="57">
        <f>F123*(Input_!F$191*Input_!F$7)/F$204</f>
        <v>0.24917299826629197</v>
      </c>
      <c r="G226" s="57">
        <f>G123*(Input_!G$191*Input_!G$7)/G$204</f>
        <v>0.24917299826629197</v>
      </c>
    </row>
    <row r="227" spans="2:7" ht="14.4" customHeight="1" x14ac:dyDescent="0.3">
      <c r="B227" s="13"/>
      <c r="C227" s="3" t="s">
        <v>22</v>
      </c>
      <c r="D227" s="57">
        <f>D124*(Input_!D$191*Input_!D$7)/D$204</f>
        <v>0.47653297385692561</v>
      </c>
      <c r="E227" s="57">
        <f>E124*(Input_!E$191*Input_!E$7)/E$204</f>
        <v>0.49834599653258393</v>
      </c>
      <c r="F227" s="57">
        <f>F124*(Input_!F$191*Input_!F$7)/F$204</f>
        <v>0.49834599653258393</v>
      </c>
      <c r="G227" s="57">
        <f>G124*(Input_!G$191*Input_!G$7)/G$204</f>
        <v>0.49834599653258393</v>
      </c>
    </row>
    <row r="228" spans="2:7" ht="14.4" customHeight="1" x14ac:dyDescent="0.3">
      <c r="B228" s="13"/>
      <c r="C228" s="3" t="s">
        <v>23</v>
      </c>
      <c r="D228" s="57">
        <f>D125*(Input_!D$191*Input_!D$7)/D$204</f>
        <v>0.23826648692846281</v>
      </c>
      <c r="E228" s="57">
        <f>E125*(Input_!E$191*Input_!E$7)/E$204</f>
        <v>0.24917299826629197</v>
      </c>
      <c r="F228" s="57">
        <f>F125*(Input_!F$191*Input_!F$7)/F$204</f>
        <v>0.24917299826629197</v>
      </c>
      <c r="G228" s="57">
        <f>G125*(Input_!G$191*Input_!G$7)/G$204</f>
        <v>0.24917299826629197</v>
      </c>
    </row>
    <row r="229" spans="2:7" ht="14.4" customHeight="1" x14ac:dyDescent="0.3">
      <c r="B229" s="13"/>
      <c r="C229" s="3" t="s">
        <v>24</v>
      </c>
      <c r="D229" s="57">
        <f>D126*(Input_!D$191*Input_!D$7)/D$204</f>
        <v>1.5884432461897522</v>
      </c>
      <c r="E229" s="57">
        <f>E126*(Input_!E$191*Input_!E$7)/E$204</f>
        <v>1.6611533217752801</v>
      </c>
      <c r="F229" s="57">
        <f>F126*(Input_!F$191*Input_!F$7)/F$204</f>
        <v>1.6611533217752801</v>
      </c>
      <c r="G229" s="57">
        <f>G126*(Input_!G$191*Input_!G$7)/G$204</f>
        <v>1.6611533217752801</v>
      </c>
    </row>
    <row r="230" spans="2:7" ht="14.4" customHeight="1" x14ac:dyDescent="0.3">
      <c r="B230" s="14"/>
      <c r="C230" s="3" t="s">
        <v>25</v>
      </c>
      <c r="D230" s="57">
        <f>D127*(Input_!D$191*Input_!D$7)/D$204</f>
        <v>0.95306594771385122</v>
      </c>
      <c r="E230" s="57">
        <f>E127*(Input_!E$191*Input_!E$7)/E$204</f>
        <v>0.99669199306516787</v>
      </c>
      <c r="F230" s="57">
        <f>F127*(Input_!F$191*Input_!F$7)/F$204</f>
        <v>0.99669199306516787</v>
      </c>
      <c r="G230" s="57">
        <f>G127*(Input_!G$191*Input_!G$7)/G$204</f>
        <v>0.99669199306516787</v>
      </c>
    </row>
    <row r="231" spans="2:7" ht="14.4" customHeight="1" x14ac:dyDescent="0.3">
      <c r="B231" s="9" t="s">
        <v>1</v>
      </c>
      <c r="C231" s="9" t="s">
        <v>229</v>
      </c>
      <c r="D231" s="6"/>
      <c r="E231" s="6"/>
      <c r="F231" s="6"/>
      <c r="G231" s="6"/>
    </row>
    <row r="232" spans="2:7" ht="14.4" customHeight="1" x14ac:dyDescent="0.3">
      <c r="B232" s="25"/>
      <c r="C232" s="25"/>
      <c r="D232" s="23" t="str">
        <f>Input_!D$5</f>
        <v>2023-24</v>
      </c>
      <c r="E232" s="23" t="str">
        <f>Input_!E$5</f>
        <v>2024-25</v>
      </c>
      <c r="F232" s="23" t="str">
        <f>Input_!F$5</f>
        <v>2025-26</v>
      </c>
      <c r="G232" s="23" t="str">
        <f>Input_!G$5</f>
        <v>2026-27</v>
      </c>
    </row>
    <row r="233" spans="2:7" ht="14.4" customHeight="1" x14ac:dyDescent="0.3">
      <c r="B233" s="24"/>
      <c r="C233" s="24"/>
      <c r="D233" s="8"/>
      <c r="E233" s="8"/>
      <c r="F233" s="8"/>
      <c r="G233" s="8"/>
    </row>
    <row r="234" spans="2:7" ht="14.4" customHeight="1" x14ac:dyDescent="0.3">
      <c r="B234" s="10" t="s">
        <v>8</v>
      </c>
      <c r="C234" s="3" t="s">
        <v>12</v>
      </c>
      <c r="D234" s="57">
        <f>D131*(Input_!D$191*Input_!D$7)/D$204</f>
        <v>6.2876384733453264E-2</v>
      </c>
      <c r="E234" s="57">
        <f>E131*(Input_!E$191*Input_!E$7)/E$204</f>
        <v>6.3765183887236426E-2</v>
      </c>
      <c r="F234" s="57">
        <f>F131*(Input_!F$191*Input_!F$7)/F$204</f>
        <v>6.3765183887236426E-2</v>
      </c>
      <c r="G234" s="57">
        <f>G131*(Input_!G$191*Input_!G$7)/G$204</f>
        <v>6.3765183887236426E-2</v>
      </c>
    </row>
    <row r="235" spans="2:7" ht="14.4" customHeight="1" x14ac:dyDescent="0.3">
      <c r="B235" s="12"/>
      <c r="C235" s="3" t="s">
        <v>13</v>
      </c>
      <c r="D235" s="57">
        <f>D132*(Input_!D$191*Input_!D$7)/D$204</f>
        <v>6.9164023206798583E-2</v>
      </c>
      <c r="E235" s="57">
        <f>E132*(Input_!E$191*Input_!E$7)/E$204</f>
        <v>7.0010227670007003E-2</v>
      </c>
      <c r="F235" s="57">
        <f>F132*(Input_!F$191*Input_!F$7)/F$204</f>
        <v>7.0010227670007003E-2</v>
      </c>
      <c r="G235" s="57">
        <f>G132*(Input_!G$191*Input_!G$7)/G$204</f>
        <v>7.0010227670007003E-2</v>
      </c>
    </row>
    <row r="236" spans="2:7" ht="14.4" customHeight="1" x14ac:dyDescent="0.3">
      <c r="B236" s="10" t="s">
        <v>14</v>
      </c>
      <c r="C236" s="3" t="s">
        <v>12</v>
      </c>
      <c r="D236" s="57">
        <f>D133*(Input_!D$191*Input_!D$7)/D$204</f>
        <v>0</v>
      </c>
      <c r="E236" s="57">
        <f>E133*(Input_!E$191*Input_!E$7)/E$204</f>
        <v>0</v>
      </c>
      <c r="F236" s="57">
        <f>F133*(Input_!F$191*Input_!F$7)/F$204</f>
        <v>0</v>
      </c>
      <c r="G236" s="57">
        <f>G133*(Input_!G$191*Input_!G$7)/G$204</f>
        <v>0</v>
      </c>
    </row>
    <row r="237" spans="2:7" ht="14.4" customHeight="1" x14ac:dyDescent="0.3">
      <c r="B237" s="12"/>
      <c r="C237" s="3" t="s">
        <v>13</v>
      </c>
      <c r="D237" s="57">
        <f>D134*(Input_!D$191*Input_!D$7)/D$204</f>
        <v>0</v>
      </c>
      <c r="E237" s="57">
        <f>E134*(Input_!E$191*Input_!E$7)/E$204</f>
        <v>0</v>
      </c>
      <c r="F237" s="57">
        <f>F134*(Input_!F$191*Input_!F$7)/F$204</f>
        <v>0</v>
      </c>
      <c r="G237" s="57">
        <f>G134*(Input_!G$191*Input_!G$7)/G$204</f>
        <v>0</v>
      </c>
    </row>
    <row r="238" spans="2:7" ht="14.4" customHeight="1" x14ac:dyDescent="0.3">
      <c r="B238" s="15" t="s">
        <v>15</v>
      </c>
      <c r="C238" s="3" t="s">
        <v>13</v>
      </c>
      <c r="D238" s="57">
        <f>D135*(Input_!D$191*Input_!D$7)/D$204</f>
        <v>0</v>
      </c>
      <c r="E238" s="57">
        <f>E135*(Input_!E$191*Input_!E$7)/E$204</f>
        <v>0</v>
      </c>
      <c r="F238" s="57">
        <f>F135*(Input_!F$191*Input_!F$7)/F$204</f>
        <v>0</v>
      </c>
      <c r="G238" s="57">
        <f>G135*(Input_!G$191*Input_!G$7)/G$204</f>
        <v>0</v>
      </c>
    </row>
    <row r="239" spans="2:7" ht="14.4" customHeight="1" x14ac:dyDescent="0.3">
      <c r="B239"/>
      <c r="C239" s="114"/>
      <c r="D239" s="115"/>
      <c r="E239" s="115"/>
      <c r="F239" s="115"/>
      <c r="G239" s="115"/>
    </row>
    <row r="240" spans="2:7" ht="14.4" customHeight="1" x14ac:dyDescent="0.3">
      <c r="B240"/>
      <c r="C240" s="114"/>
      <c r="D240" s="115"/>
      <c r="E240" s="115"/>
      <c r="F240" s="115"/>
      <c r="G240" s="115"/>
    </row>
    <row r="241" spans="2:7" ht="28.8" customHeight="1" x14ac:dyDescent="0.3">
      <c r="B241" s="32" t="s">
        <v>641</v>
      </c>
      <c r="C241" s="5"/>
      <c r="D241" s="5"/>
      <c r="E241" s="5"/>
      <c r="F241" s="5"/>
      <c r="G241" s="5"/>
    </row>
    <row r="242" spans="2:7" ht="14.4" customHeight="1" x14ac:dyDescent="0.3">
      <c r="B242" s="37" t="s">
        <v>573</v>
      </c>
    </row>
    <row r="243" spans="2:7" ht="14.4" customHeight="1" x14ac:dyDescent="0.3">
      <c r="B243" s="9" t="s">
        <v>1</v>
      </c>
      <c r="C243" s="9" t="s">
        <v>228</v>
      </c>
      <c r="D243" s="6"/>
      <c r="E243" s="6"/>
      <c r="F243" s="6"/>
      <c r="G243" s="6"/>
    </row>
    <row r="244" spans="2:7" ht="14.4" customHeight="1" x14ac:dyDescent="0.3">
      <c r="B244" s="25"/>
      <c r="C244" s="25"/>
      <c r="D244" s="23" t="str">
        <f>Input_!D$5</f>
        <v>2023-24</v>
      </c>
      <c r="E244" s="23" t="str">
        <f>Input_!E$5</f>
        <v>2024-25</v>
      </c>
      <c r="F244" s="23" t="str">
        <f>Input_!F$5</f>
        <v>2025-26</v>
      </c>
      <c r="G244" s="23" t="str">
        <f>Input_!G$5</f>
        <v>2026-27</v>
      </c>
    </row>
    <row r="245" spans="2:7" ht="14.4" customHeight="1" x14ac:dyDescent="0.3">
      <c r="B245" s="24"/>
      <c r="C245" s="24"/>
      <c r="D245" s="8"/>
      <c r="E245" s="8"/>
      <c r="F245" s="8"/>
      <c r="G245" s="8"/>
    </row>
    <row r="246" spans="2:7" ht="14.4" customHeight="1" x14ac:dyDescent="0.3">
      <c r="B246" s="10" t="s">
        <v>8</v>
      </c>
      <c r="C246" s="3" t="s">
        <v>9</v>
      </c>
      <c r="D246" s="57">
        <v>0</v>
      </c>
      <c r="E246" s="57">
        <v>0</v>
      </c>
      <c r="F246" s="57">
        <v>0</v>
      </c>
      <c r="G246" s="57">
        <v>0</v>
      </c>
    </row>
    <row r="247" spans="2:7" ht="14.4" customHeight="1" x14ac:dyDescent="0.3">
      <c r="B247" s="13"/>
      <c r="C247" s="3" t="s">
        <v>10</v>
      </c>
      <c r="D247" s="57">
        <v>0</v>
      </c>
      <c r="E247" s="57">
        <v>0</v>
      </c>
      <c r="F247" s="57">
        <v>0</v>
      </c>
      <c r="G247" s="57">
        <v>0</v>
      </c>
    </row>
    <row r="248" spans="2:7" ht="14.4" customHeight="1" x14ac:dyDescent="0.3">
      <c r="B248" s="13"/>
      <c r="C248" s="3" t="s">
        <v>11</v>
      </c>
      <c r="D248" s="57">
        <v>0</v>
      </c>
      <c r="E248" s="57">
        <v>0</v>
      </c>
      <c r="F248" s="57">
        <v>0</v>
      </c>
      <c r="G248" s="57">
        <v>0</v>
      </c>
    </row>
    <row r="249" spans="2:7" ht="14.4" customHeight="1" x14ac:dyDescent="0.3">
      <c r="B249" s="13"/>
      <c r="C249" s="3" t="s">
        <v>12</v>
      </c>
      <c r="D249" s="57">
        <v>0</v>
      </c>
      <c r="E249" s="57">
        <v>0</v>
      </c>
      <c r="F249" s="57">
        <v>0</v>
      </c>
      <c r="G249" s="57">
        <v>0</v>
      </c>
    </row>
    <row r="250" spans="2:7" ht="14.4" customHeight="1" x14ac:dyDescent="0.3">
      <c r="B250" s="14"/>
      <c r="C250" s="3" t="s">
        <v>13</v>
      </c>
      <c r="D250" s="57">
        <v>0</v>
      </c>
      <c r="E250" s="57">
        <v>0</v>
      </c>
      <c r="F250" s="57">
        <v>0</v>
      </c>
      <c r="G250" s="57">
        <v>0</v>
      </c>
    </row>
    <row r="251" spans="2:7" ht="14.4" customHeight="1" x14ac:dyDescent="0.3">
      <c r="B251" s="10" t="s">
        <v>14</v>
      </c>
      <c r="C251" s="3" t="s">
        <v>9</v>
      </c>
      <c r="D251" s="57">
        <v>0</v>
      </c>
      <c r="E251" s="57">
        <v>0</v>
      </c>
      <c r="F251" s="57">
        <v>0</v>
      </c>
      <c r="G251" s="57">
        <v>0</v>
      </c>
    </row>
    <row r="252" spans="2:7" ht="14.4" customHeight="1" x14ac:dyDescent="0.3">
      <c r="B252" s="13"/>
      <c r="C252" s="3" t="s">
        <v>10</v>
      </c>
      <c r="D252" s="57">
        <v>0</v>
      </c>
      <c r="E252" s="57">
        <v>0</v>
      </c>
      <c r="F252" s="57">
        <v>0</v>
      </c>
      <c r="G252" s="57">
        <v>0</v>
      </c>
    </row>
    <row r="253" spans="2:7" ht="14.4" customHeight="1" x14ac:dyDescent="0.3">
      <c r="B253" s="13"/>
      <c r="C253" s="3" t="s">
        <v>11</v>
      </c>
      <c r="D253" s="57">
        <v>0</v>
      </c>
      <c r="E253" s="57">
        <v>0</v>
      </c>
      <c r="F253" s="57">
        <v>0</v>
      </c>
      <c r="G253" s="57">
        <v>0</v>
      </c>
    </row>
    <row r="254" spans="2:7" ht="14.4" customHeight="1" x14ac:dyDescent="0.3">
      <c r="B254" s="13"/>
      <c r="C254" s="3" t="s">
        <v>12</v>
      </c>
      <c r="D254" s="57">
        <v>0</v>
      </c>
      <c r="E254" s="57">
        <v>0</v>
      </c>
      <c r="F254" s="57">
        <v>0</v>
      </c>
      <c r="G254" s="57">
        <v>0</v>
      </c>
    </row>
    <row r="255" spans="2:7" ht="14.4" customHeight="1" x14ac:dyDescent="0.3">
      <c r="B255" s="14"/>
      <c r="C255" s="3" t="s">
        <v>13</v>
      </c>
      <c r="D255" s="57">
        <v>0</v>
      </c>
      <c r="E255" s="57">
        <v>0</v>
      </c>
      <c r="F255" s="57">
        <v>0</v>
      </c>
      <c r="G255" s="57">
        <v>0</v>
      </c>
    </row>
    <row r="256" spans="2:7" ht="14.4" customHeight="1" x14ac:dyDescent="0.3">
      <c r="B256" s="10" t="s">
        <v>15</v>
      </c>
      <c r="C256" s="3" t="s">
        <v>12</v>
      </c>
      <c r="D256" s="57">
        <v>0</v>
      </c>
      <c r="E256" s="57">
        <v>0</v>
      </c>
      <c r="F256" s="57">
        <v>0</v>
      </c>
      <c r="G256" s="57">
        <v>0</v>
      </c>
    </row>
    <row r="257" spans="2:7" ht="14.4" customHeight="1" x14ac:dyDescent="0.3">
      <c r="B257" s="14"/>
      <c r="C257" s="3" t="s">
        <v>13</v>
      </c>
      <c r="D257" s="57">
        <v>0</v>
      </c>
      <c r="E257" s="57">
        <v>0</v>
      </c>
      <c r="F257" s="57">
        <v>0</v>
      </c>
      <c r="G257" s="57">
        <v>0</v>
      </c>
    </row>
    <row r="258" spans="2:7" ht="14.4" customHeight="1" x14ac:dyDescent="0.3">
      <c r="B258" s="15" t="s">
        <v>17</v>
      </c>
      <c r="C258" s="3" t="s">
        <v>18</v>
      </c>
      <c r="D258" s="57">
        <f>Input_!D8/SUM('Input capacity'!D23:D107)</f>
        <v>0</v>
      </c>
      <c r="E258" s="57">
        <f>Input_!E8/SUM('Input capacity'!E23:E107)</f>
        <v>0</v>
      </c>
      <c r="F258" s="57">
        <f>Input_!F8/SUM('Input capacity'!F23:F107)</f>
        <v>0</v>
      </c>
      <c r="G258" s="57">
        <f>Input_!G8/SUM('Input capacity'!G23:G107)</f>
        <v>0</v>
      </c>
    </row>
    <row r="259" spans="2:7" ht="14.4" customHeight="1" x14ac:dyDescent="0.3">
      <c r="B259" s="10" t="s">
        <v>19</v>
      </c>
      <c r="C259" s="3" t="s">
        <v>20</v>
      </c>
      <c r="D259" s="57">
        <f>D258</f>
        <v>0</v>
      </c>
      <c r="E259" s="57">
        <f t="shared" ref="E259:G259" si="7">E258</f>
        <v>0</v>
      </c>
      <c r="F259" s="57">
        <f t="shared" si="7"/>
        <v>0</v>
      </c>
      <c r="G259" s="57">
        <f t="shared" si="7"/>
        <v>0</v>
      </c>
    </row>
    <row r="260" spans="2:7" ht="14.4" customHeight="1" x14ac:dyDescent="0.3">
      <c r="B260" s="13"/>
      <c r="C260" s="3" t="s">
        <v>21</v>
      </c>
      <c r="D260" s="57">
        <f>D$258*Input_!D145</f>
        <v>0</v>
      </c>
      <c r="E260" s="57">
        <f>E$258*Input_!E145</f>
        <v>0</v>
      </c>
      <c r="F260" s="57">
        <f>F$258*Input_!F145</f>
        <v>0</v>
      </c>
      <c r="G260" s="57">
        <f>G$258*Input_!G145</f>
        <v>0</v>
      </c>
    </row>
    <row r="261" spans="2:7" ht="14.4" customHeight="1" x14ac:dyDescent="0.3">
      <c r="B261" s="13"/>
      <c r="C261" s="3" t="s">
        <v>22</v>
      </c>
      <c r="D261" s="57">
        <f>D$258*Input_!D146</f>
        <v>0</v>
      </c>
      <c r="E261" s="57">
        <f>E$258*Input_!E146</f>
        <v>0</v>
      </c>
      <c r="F261" s="57">
        <f>F$258*Input_!F146</f>
        <v>0</v>
      </c>
      <c r="G261" s="57">
        <f>G$258*Input_!G146</f>
        <v>0</v>
      </c>
    </row>
    <row r="262" spans="2:7" ht="14.4" customHeight="1" x14ac:dyDescent="0.3">
      <c r="B262" s="13"/>
      <c r="C262" s="3" t="s">
        <v>23</v>
      </c>
      <c r="D262" s="57">
        <f>D$258*Input_!D147</f>
        <v>0</v>
      </c>
      <c r="E262" s="57">
        <f>E$258*Input_!E147</f>
        <v>0</v>
      </c>
      <c r="F262" s="57">
        <f>F$258*Input_!F147</f>
        <v>0</v>
      </c>
      <c r="G262" s="57">
        <f>G$258*Input_!G147</f>
        <v>0</v>
      </c>
    </row>
    <row r="263" spans="2:7" ht="14.4" customHeight="1" x14ac:dyDescent="0.3">
      <c r="B263" s="13"/>
      <c r="C263" s="3" t="s">
        <v>24</v>
      </c>
      <c r="D263" s="57">
        <f>D$258*Input_!D148</f>
        <v>0</v>
      </c>
      <c r="E263" s="57">
        <f>E$258*Input_!E148</f>
        <v>0</v>
      </c>
      <c r="F263" s="57">
        <f>F$258*Input_!F148</f>
        <v>0</v>
      </c>
      <c r="G263" s="57">
        <f>G$258*Input_!G148</f>
        <v>0</v>
      </c>
    </row>
    <row r="264" spans="2:7" ht="14.4" customHeight="1" x14ac:dyDescent="0.3">
      <c r="B264" s="14"/>
      <c r="C264" s="3" t="s">
        <v>25</v>
      </c>
      <c r="D264" s="57">
        <f>D$258*Input_!D149</f>
        <v>0</v>
      </c>
      <c r="E264" s="57">
        <f>E$258*Input_!E149</f>
        <v>0</v>
      </c>
      <c r="F264" s="57">
        <f>F$258*Input_!F149</f>
        <v>0</v>
      </c>
      <c r="G264" s="57">
        <f>G$258*Input_!G149</f>
        <v>0</v>
      </c>
    </row>
    <row r="265" spans="2:7" ht="14.4" customHeight="1" x14ac:dyDescent="0.3">
      <c r="B265" s="9" t="s">
        <v>1</v>
      </c>
      <c r="C265" s="9" t="s">
        <v>229</v>
      </c>
      <c r="D265" s="6"/>
      <c r="E265" s="6"/>
      <c r="F265" s="6"/>
      <c r="G265" s="6"/>
    </row>
    <row r="266" spans="2:7" ht="14.4" customHeight="1" x14ac:dyDescent="0.3">
      <c r="B266" s="25"/>
      <c r="C266" s="25"/>
      <c r="D266" s="23" t="str">
        <f>Input_!D$5</f>
        <v>2023-24</v>
      </c>
      <c r="E266" s="23" t="str">
        <f>Input_!E$5</f>
        <v>2024-25</v>
      </c>
      <c r="F266" s="23" t="str">
        <f>Input_!F$5</f>
        <v>2025-26</v>
      </c>
      <c r="G266" s="23" t="str">
        <f>Input_!G$5</f>
        <v>2026-27</v>
      </c>
    </row>
    <row r="267" spans="2:7" ht="14.4" customHeight="1" x14ac:dyDescent="0.3">
      <c r="B267" s="24"/>
      <c r="C267" s="24"/>
      <c r="D267" s="8"/>
      <c r="E267" s="8"/>
      <c r="F267" s="8"/>
      <c r="G267" s="8"/>
    </row>
    <row r="268" spans="2:7" ht="14.4" customHeight="1" x14ac:dyDescent="0.3">
      <c r="B268" s="10" t="s">
        <v>8</v>
      </c>
      <c r="C268" s="3" t="s">
        <v>12</v>
      </c>
      <c r="D268" s="57">
        <v>0</v>
      </c>
      <c r="E268" s="57">
        <v>0</v>
      </c>
      <c r="F268" s="57">
        <v>0</v>
      </c>
      <c r="G268" s="57">
        <v>0</v>
      </c>
    </row>
    <row r="269" spans="2:7" ht="14.4" customHeight="1" x14ac:dyDescent="0.3">
      <c r="B269" s="12"/>
      <c r="C269" s="3" t="s">
        <v>13</v>
      </c>
      <c r="D269" s="57">
        <v>0</v>
      </c>
      <c r="E269" s="57">
        <v>0</v>
      </c>
      <c r="F269" s="57">
        <v>0</v>
      </c>
      <c r="G269" s="57">
        <v>0</v>
      </c>
    </row>
    <row r="270" spans="2:7" ht="14.4" customHeight="1" x14ac:dyDescent="0.3">
      <c r="B270" s="10" t="s">
        <v>14</v>
      </c>
      <c r="C270" s="3" t="s">
        <v>12</v>
      </c>
      <c r="D270" s="57">
        <v>0</v>
      </c>
      <c r="E270" s="57">
        <v>0</v>
      </c>
      <c r="F270" s="57">
        <v>0</v>
      </c>
      <c r="G270" s="57">
        <v>0</v>
      </c>
    </row>
    <row r="271" spans="2:7" ht="14.4" customHeight="1" x14ac:dyDescent="0.3">
      <c r="B271" s="12"/>
      <c r="C271" s="3" t="s">
        <v>13</v>
      </c>
      <c r="D271" s="57">
        <v>0</v>
      </c>
      <c r="E271" s="57">
        <v>0</v>
      </c>
      <c r="F271" s="57">
        <v>0</v>
      </c>
      <c r="G271" s="57">
        <v>0</v>
      </c>
    </row>
    <row r="272" spans="2:7" ht="14.4" customHeight="1" x14ac:dyDescent="0.3">
      <c r="B272" s="15" t="s">
        <v>15</v>
      </c>
      <c r="C272" s="3" t="s">
        <v>13</v>
      </c>
      <c r="D272" s="57">
        <v>0</v>
      </c>
      <c r="E272" s="57">
        <v>0</v>
      </c>
      <c r="F272" s="57">
        <v>0</v>
      </c>
      <c r="G272" s="57">
        <v>0</v>
      </c>
    </row>
    <row r="275" spans="2:7" ht="28.8" customHeight="1" x14ac:dyDescent="0.3">
      <c r="B275" s="32" t="s">
        <v>642</v>
      </c>
      <c r="C275" s="5"/>
      <c r="D275" s="5"/>
      <c r="E275" s="5"/>
      <c r="F275" s="5"/>
      <c r="G275" s="5"/>
    </row>
    <row r="276" spans="2:7" ht="14.4" customHeight="1" x14ac:dyDescent="0.3">
      <c r="B276" s="37"/>
    </row>
    <row r="277" spans="2:7" ht="14.4" customHeight="1" x14ac:dyDescent="0.3">
      <c r="B277" s="9" t="s">
        <v>1</v>
      </c>
      <c r="C277" s="9" t="s">
        <v>228</v>
      </c>
      <c r="D277" s="6"/>
      <c r="E277" s="6"/>
      <c r="F277" s="6"/>
      <c r="G277" s="6"/>
    </row>
    <row r="278" spans="2:7" ht="14.4" customHeight="1" x14ac:dyDescent="0.3">
      <c r="B278" s="25"/>
      <c r="C278" s="25"/>
      <c r="D278" s="23" t="str">
        <f>Input_!D$5</f>
        <v>2023-24</v>
      </c>
      <c r="E278" s="23" t="str">
        <f>Input_!E$5</f>
        <v>2024-25</v>
      </c>
      <c r="F278" s="23" t="str">
        <f>Input_!F$5</f>
        <v>2025-26</v>
      </c>
      <c r="G278" s="23" t="str">
        <f>Input_!G$5</f>
        <v>2026-27</v>
      </c>
    </row>
    <row r="279" spans="2:7" ht="14.4" customHeight="1" x14ac:dyDescent="0.3">
      <c r="B279" s="24"/>
      <c r="C279" s="24"/>
      <c r="D279" s="8"/>
      <c r="E279" s="8"/>
      <c r="F279" s="8"/>
      <c r="G279" s="8"/>
    </row>
    <row r="280" spans="2:7" ht="14.4" customHeight="1" x14ac:dyDescent="0.3">
      <c r="B280" s="10" t="s">
        <v>8</v>
      </c>
      <c r="C280" s="3" t="s">
        <v>9</v>
      </c>
      <c r="D280" s="38">
        <f>D143*(D212+D246)</f>
        <v>65737.260238825387</v>
      </c>
      <c r="E280" s="38">
        <f t="shared" ref="E280:G280" si="8">E143*(E212+E246)</f>
        <v>0</v>
      </c>
      <c r="F280" s="38">
        <f t="shared" si="8"/>
        <v>0</v>
      </c>
      <c r="G280" s="38">
        <f t="shared" si="8"/>
        <v>0</v>
      </c>
    </row>
    <row r="281" spans="2:7" ht="14.4" customHeight="1" x14ac:dyDescent="0.3">
      <c r="B281" s="13"/>
      <c r="C281" s="3" t="s">
        <v>10</v>
      </c>
      <c r="D281" s="38">
        <f t="shared" ref="D281:G281" si="9">D144*(D213+D247)</f>
        <v>0</v>
      </c>
      <c r="E281" s="38">
        <f t="shared" si="9"/>
        <v>0</v>
      </c>
      <c r="F281" s="38">
        <f t="shared" si="9"/>
        <v>0</v>
      </c>
      <c r="G281" s="38">
        <f t="shared" si="9"/>
        <v>0</v>
      </c>
    </row>
    <row r="282" spans="2:7" ht="14.4" customHeight="1" x14ac:dyDescent="0.3">
      <c r="B282" s="13"/>
      <c r="C282" s="3" t="s">
        <v>11</v>
      </c>
      <c r="D282" s="38">
        <f t="shared" ref="D282:G282" si="10">D145*(D214+D248)</f>
        <v>190033.19573492662</v>
      </c>
      <c r="E282" s="38">
        <f t="shared" si="10"/>
        <v>119145.01663290411</v>
      </c>
      <c r="F282" s="38">
        <f t="shared" si="10"/>
        <v>119145.01663290411</v>
      </c>
      <c r="G282" s="38">
        <f t="shared" si="10"/>
        <v>119145.01663290411</v>
      </c>
    </row>
    <row r="283" spans="2:7" ht="14.4" customHeight="1" x14ac:dyDescent="0.3">
      <c r="B283" s="13"/>
      <c r="C283" s="3" t="s">
        <v>12</v>
      </c>
      <c r="D283" s="38">
        <f t="shared" ref="D283:G283" si="11">D146*(D215+D249)</f>
        <v>472210.97761001659</v>
      </c>
      <c r="E283" s="38">
        <f t="shared" si="11"/>
        <v>1684280.4790459946</v>
      </c>
      <c r="F283" s="38">
        <f t="shared" si="11"/>
        <v>1684280.4790459946</v>
      </c>
      <c r="G283" s="38">
        <f t="shared" si="11"/>
        <v>1684280.4790459946</v>
      </c>
    </row>
    <row r="284" spans="2:7" ht="14.4" customHeight="1" x14ac:dyDescent="0.3">
      <c r="B284" s="14"/>
      <c r="C284" s="3" t="s">
        <v>13</v>
      </c>
      <c r="D284" s="38">
        <f t="shared" ref="D284:G284" si="12">D147*(D216+D250)</f>
        <v>54205.577216128702</v>
      </c>
      <c r="E284" s="38">
        <f t="shared" si="12"/>
        <v>29007.927070749662</v>
      </c>
      <c r="F284" s="38">
        <f t="shared" si="12"/>
        <v>29007.927070749662</v>
      </c>
      <c r="G284" s="38">
        <f t="shared" si="12"/>
        <v>29007.927070749662</v>
      </c>
    </row>
    <row r="285" spans="2:7" ht="14.4" customHeight="1" x14ac:dyDescent="0.3">
      <c r="B285" s="10" t="s">
        <v>14</v>
      </c>
      <c r="C285" s="3" t="s">
        <v>9</v>
      </c>
      <c r="D285" s="38">
        <f t="shared" ref="D285:G285" si="13">D148*(D217+D251)</f>
        <v>0</v>
      </c>
      <c r="E285" s="38">
        <f t="shared" si="13"/>
        <v>0</v>
      </c>
      <c r="F285" s="38">
        <f t="shared" si="13"/>
        <v>0</v>
      </c>
      <c r="G285" s="38">
        <f t="shared" si="13"/>
        <v>0</v>
      </c>
    </row>
    <row r="286" spans="2:7" ht="14.4" customHeight="1" x14ac:dyDescent="0.3">
      <c r="B286" s="13"/>
      <c r="C286" s="3" t="s">
        <v>10</v>
      </c>
      <c r="D286" s="38">
        <f t="shared" ref="D286:G286" si="14">D149*(D218+D252)</f>
        <v>0</v>
      </c>
      <c r="E286" s="38">
        <f t="shared" si="14"/>
        <v>0</v>
      </c>
      <c r="F286" s="38">
        <f t="shared" si="14"/>
        <v>0</v>
      </c>
      <c r="G286" s="38">
        <f t="shared" si="14"/>
        <v>0</v>
      </c>
    </row>
    <row r="287" spans="2:7" ht="14.4" customHeight="1" x14ac:dyDescent="0.3">
      <c r="B287" s="13"/>
      <c r="C287" s="3" t="s">
        <v>11</v>
      </c>
      <c r="D287" s="38">
        <f t="shared" ref="D287:G287" si="15">D150*(D219+D253)</f>
        <v>0</v>
      </c>
      <c r="E287" s="38">
        <f t="shared" si="15"/>
        <v>0</v>
      </c>
      <c r="F287" s="38">
        <f t="shared" si="15"/>
        <v>0</v>
      </c>
      <c r="G287" s="38">
        <f t="shared" si="15"/>
        <v>0</v>
      </c>
    </row>
    <row r="288" spans="2:7" ht="14.4" customHeight="1" x14ac:dyDescent="0.3">
      <c r="B288" s="13"/>
      <c r="C288" s="3" t="s">
        <v>12</v>
      </c>
      <c r="D288" s="38">
        <f t="shared" ref="D288:G288" si="16">D151*(D220+D254)</f>
        <v>0</v>
      </c>
      <c r="E288" s="38">
        <f t="shared" si="16"/>
        <v>0</v>
      </c>
      <c r="F288" s="38">
        <f t="shared" si="16"/>
        <v>0</v>
      </c>
      <c r="G288" s="38">
        <f t="shared" si="16"/>
        <v>0</v>
      </c>
    </row>
    <row r="289" spans="2:7" ht="14.4" customHeight="1" x14ac:dyDescent="0.3">
      <c r="B289" s="14"/>
      <c r="C289" s="3" t="s">
        <v>13</v>
      </c>
      <c r="D289" s="38">
        <f t="shared" ref="D289:G289" si="17">D152*(D221+D255)</f>
        <v>0</v>
      </c>
      <c r="E289" s="38">
        <f t="shared" si="17"/>
        <v>0</v>
      </c>
      <c r="F289" s="38">
        <f t="shared" si="17"/>
        <v>0</v>
      </c>
      <c r="G289" s="38">
        <f t="shared" si="17"/>
        <v>0</v>
      </c>
    </row>
    <row r="290" spans="2:7" ht="14.4" customHeight="1" x14ac:dyDescent="0.3">
      <c r="B290" s="10" t="s">
        <v>15</v>
      </c>
      <c r="C290" s="3" t="s">
        <v>12</v>
      </c>
      <c r="D290" s="38">
        <f t="shared" ref="D290:G290" si="18">D153*(D222+D256)</f>
        <v>0</v>
      </c>
      <c r="E290" s="38">
        <f t="shared" si="18"/>
        <v>0</v>
      </c>
      <c r="F290" s="38">
        <f t="shared" si="18"/>
        <v>0</v>
      </c>
      <c r="G290" s="38">
        <f t="shared" si="18"/>
        <v>0</v>
      </c>
    </row>
    <row r="291" spans="2:7" ht="14.4" customHeight="1" x14ac:dyDescent="0.3">
      <c r="B291" s="14"/>
      <c r="C291" s="3" t="s">
        <v>13</v>
      </c>
      <c r="D291" s="38">
        <f t="shared" ref="D291:G291" si="19">D154*(D223+D257)</f>
        <v>0</v>
      </c>
      <c r="E291" s="38">
        <f t="shared" si="19"/>
        <v>0</v>
      </c>
      <c r="F291" s="38">
        <f t="shared" si="19"/>
        <v>0</v>
      </c>
      <c r="G291" s="38">
        <f t="shared" si="19"/>
        <v>0</v>
      </c>
    </row>
    <row r="292" spans="2:7" ht="14.4" customHeight="1" x14ac:dyDescent="0.3">
      <c r="B292" s="15" t="s">
        <v>17</v>
      </c>
      <c r="C292" s="3" t="s">
        <v>18</v>
      </c>
      <c r="D292" s="38">
        <f t="shared" ref="D292:G292" si="20">D155*(D224+D258)</f>
        <v>27869199.882682566</v>
      </c>
      <c r="E292" s="38">
        <f t="shared" si="20"/>
        <v>27550584.903917428</v>
      </c>
      <c r="F292" s="38">
        <f t="shared" si="20"/>
        <v>27550584.903917428</v>
      </c>
      <c r="G292" s="38">
        <f t="shared" si="20"/>
        <v>27550584.903917428</v>
      </c>
    </row>
    <row r="293" spans="2:7" ht="14.4" customHeight="1" x14ac:dyDescent="0.3">
      <c r="B293" s="10" t="s">
        <v>19</v>
      </c>
      <c r="C293" s="3" t="s">
        <v>20</v>
      </c>
      <c r="D293" s="38">
        <f t="shared" ref="D293:G293" si="21">D156*(D225+D259)</f>
        <v>21111239.365121767</v>
      </c>
      <c r="E293" s="38">
        <f t="shared" si="21"/>
        <v>24340748.387302179</v>
      </c>
      <c r="F293" s="38">
        <f t="shared" si="21"/>
        <v>24340748.387302179</v>
      </c>
      <c r="G293" s="38">
        <f t="shared" si="21"/>
        <v>24340748.387302179</v>
      </c>
    </row>
    <row r="294" spans="2:7" ht="14.4" customHeight="1" x14ac:dyDescent="0.3">
      <c r="B294" s="13"/>
      <c r="C294" s="3" t="s">
        <v>21</v>
      </c>
      <c r="D294" s="38">
        <f t="shared" ref="D294:G294" si="22">D157*(D226+D260)</f>
        <v>670132.35597022332</v>
      </c>
      <c r="E294" s="38">
        <f t="shared" si="22"/>
        <v>0</v>
      </c>
      <c r="F294" s="38">
        <f t="shared" si="22"/>
        <v>0</v>
      </c>
      <c r="G294" s="38">
        <f t="shared" si="22"/>
        <v>0</v>
      </c>
    </row>
    <row r="295" spans="2:7" ht="14.4" customHeight="1" x14ac:dyDescent="0.3">
      <c r="B295" s="13"/>
      <c r="C295" s="3" t="s">
        <v>22</v>
      </c>
      <c r="D295" s="38">
        <f t="shared" ref="D295:G295" si="23">D158*(D227+D261)</f>
        <v>553521.21473003051</v>
      </c>
      <c r="E295" s="38">
        <f t="shared" si="23"/>
        <v>170445.79277206396</v>
      </c>
      <c r="F295" s="38">
        <f t="shared" si="23"/>
        <v>170445.79277206396</v>
      </c>
      <c r="G295" s="38">
        <f t="shared" si="23"/>
        <v>170445.79277206396</v>
      </c>
    </row>
    <row r="296" spans="2:7" ht="14.4" customHeight="1" x14ac:dyDescent="0.3">
      <c r="B296" s="13"/>
      <c r="C296" s="3" t="s">
        <v>23</v>
      </c>
      <c r="D296" s="38">
        <f t="shared" ref="D296:G296" si="24">D159*(D228+D262)</f>
        <v>43262.478132917109</v>
      </c>
      <c r="E296" s="38">
        <f t="shared" si="24"/>
        <v>85222.896386031978</v>
      </c>
      <c r="F296" s="38">
        <f t="shared" si="24"/>
        <v>85222.896386031978</v>
      </c>
      <c r="G296" s="38">
        <f t="shared" si="24"/>
        <v>85222.896386031978</v>
      </c>
    </row>
    <row r="297" spans="2:7" ht="14.4" customHeight="1" x14ac:dyDescent="0.3">
      <c r="B297" s="13"/>
      <c r="C297" s="3" t="s">
        <v>24</v>
      </c>
      <c r="D297" s="38">
        <f t="shared" ref="D297:G297" si="25">D160*(D229+D263)</f>
        <v>0</v>
      </c>
      <c r="E297" s="38">
        <f t="shared" si="25"/>
        <v>0</v>
      </c>
      <c r="F297" s="38">
        <f t="shared" si="25"/>
        <v>0</v>
      </c>
      <c r="G297" s="38">
        <f t="shared" si="25"/>
        <v>0</v>
      </c>
    </row>
    <row r="298" spans="2:7" ht="14.4" customHeight="1" x14ac:dyDescent="0.3">
      <c r="B298" s="14"/>
      <c r="C298" s="3" t="s">
        <v>25</v>
      </c>
      <c r="D298" s="38">
        <f t="shared" ref="D298:G298" si="26">D161*(D230+D264)</f>
        <v>0</v>
      </c>
      <c r="E298" s="38">
        <f t="shared" si="26"/>
        <v>0</v>
      </c>
      <c r="F298" s="38">
        <f t="shared" si="26"/>
        <v>0</v>
      </c>
      <c r="G298" s="38">
        <f t="shared" si="26"/>
        <v>0</v>
      </c>
    </row>
    <row r="299" spans="2:7" ht="14.4" customHeight="1" x14ac:dyDescent="0.3">
      <c r="B299" s="9" t="s">
        <v>1</v>
      </c>
      <c r="C299" s="9" t="s">
        <v>229</v>
      </c>
      <c r="D299" s="6"/>
      <c r="E299" s="6"/>
      <c r="F299" s="6"/>
      <c r="G299" s="6"/>
    </row>
    <row r="300" spans="2:7" ht="14.4" customHeight="1" x14ac:dyDescent="0.3">
      <c r="B300" s="25"/>
      <c r="C300" s="25"/>
      <c r="D300" s="23" t="str">
        <f>Input_!D$5</f>
        <v>2023-24</v>
      </c>
      <c r="E300" s="23" t="str">
        <f>Input_!E$5</f>
        <v>2024-25</v>
      </c>
      <c r="F300" s="23" t="str">
        <f>Input_!F$5</f>
        <v>2025-26</v>
      </c>
      <c r="G300" s="23" t="str">
        <f>Input_!G$5</f>
        <v>2026-27</v>
      </c>
    </row>
    <row r="301" spans="2:7" ht="14.4" customHeight="1" x14ac:dyDescent="0.3">
      <c r="B301" s="24"/>
      <c r="C301" s="24"/>
      <c r="D301" s="8"/>
      <c r="E301" s="8"/>
      <c r="F301" s="8"/>
      <c r="G301" s="8"/>
    </row>
    <row r="302" spans="2:7" ht="14.4" customHeight="1" x14ac:dyDescent="0.3">
      <c r="B302" s="10" t="s">
        <v>8</v>
      </c>
      <c r="C302" s="3" t="s">
        <v>12</v>
      </c>
      <c r="D302" s="38">
        <f t="shared" ref="D302:G302" si="27">D165*(D234+D268)</f>
        <v>0</v>
      </c>
      <c r="E302" s="38">
        <f t="shared" si="27"/>
        <v>0</v>
      </c>
      <c r="F302" s="38">
        <f t="shared" si="27"/>
        <v>0</v>
      </c>
      <c r="G302" s="38">
        <f t="shared" si="27"/>
        <v>0</v>
      </c>
    </row>
    <row r="303" spans="2:7" ht="14.4" customHeight="1" x14ac:dyDescent="0.3">
      <c r="B303" s="12"/>
      <c r="C303" s="3" t="s">
        <v>13</v>
      </c>
      <c r="D303" s="38">
        <f t="shared" ref="D303:G303" si="28">D166*(D235+D269)</f>
        <v>0</v>
      </c>
      <c r="E303" s="38">
        <f t="shared" si="28"/>
        <v>0</v>
      </c>
      <c r="F303" s="38">
        <f t="shared" si="28"/>
        <v>0</v>
      </c>
      <c r="G303" s="38">
        <f t="shared" si="28"/>
        <v>0</v>
      </c>
    </row>
    <row r="304" spans="2:7" ht="14.4" customHeight="1" x14ac:dyDescent="0.3">
      <c r="B304" s="10" t="s">
        <v>14</v>
      </c>
      <c r="C304" s="3" t="s">
        <v>12</v>
      </c>
      <c r="D304" s="38">
        <f t="shared" ref="D304:G304" si="29">D167*(D236+D270)</f>
        <v>0</v>
      </c>
      <c r="E304" s="38">
        <f t="shared" si="29"/>
        <v>0</v>
      </c>
      <c r="F304" s="38">
        <f t="shared" si="29"/>
        <v>0</v>
      </c>
      <c r="G304" s="38">
        <f t="shared" si="29"/>
        <v>0</v>
      </c>
    </row>
    <row r="305" spans="2:7" ht="14.4" customHeight="1" x14ac:dyDescent="0.3">
      <c r="B305" s="12"/>
      <c r="C305" s="3" t="s">
        <v>13</v>
      </c>
      <c r="D305" s="38">
        <f t="shared" ref="D305:G305" si="30">D168*(D237+D271)</f>
        <v>0</v>
      </c>
      <c r="E305" s="38">
        <f t="shared" si="30"/>
        <v>0</v>
      </c>
      <c r="F305" s="38">
        <f t="shared" si="30"/>
        <v>0</v>
      </c>
      <c r="G305" s="38">
        <f t="shared" si="30"/>
        <v>0</v>
      </c>
    </row>
    <row r="306" spans="2:7" ht="14.4" customHeight="1" x14ac:dyDescent="0.3">
      <c r="B306" s="15" t="s">
        <v>15</v>
      </c>
      <c r="C306" s="3" t="s">
        <v>13</v>
      </c>
      <c r="D306" s="38">
        <f t="shared" ref="D306:G306" si="31">D169*(D238+D272)</f>
        <v>0</v>
      </c>
      <c r="E306" s="38">
        <f t="shared" si="31"/>
        <v>0</v>
      </c>
      <c r="F306" s="38">
        <f t="shared" si="31"/>
        <v>0</v>
      </c>
      <c r="G306" s="38">
        <f t="shared" si="31"/>
        <v>0</v>
      </c>
    </row>
    <row r="307" spans="2:7" ht="14.4" customHeight="1" x14ac:dyDescent="0.3">
      <c r="B307" s="21" t="s">
        <v>32</v>
      </c>
      <c r="C307" s="22"/>
      <c r="D307" s="20">
        <f t="shared" ref="D307:G307" si="32">SUM(D280:D298,D302:D306)</f>
        <v>51029542.307437405</v>
      </c>
      <c r="E307" s="20">
        <f t="shared" si="32"/>
        <v>53979435.403127357</v>
      </c>
      <c r="F307" s="20">
        <f t="shared" si="32"/>
        <v>53979435.403127357</v>
      </c>
      <c r="G307" s="20">
        <f t="shared" si="32"/>
        <v>53979435.403127357</v>
      </c>
    </row>
    <row r="308" spans="2:7" ht="14.4" customHeight="1" x14ac:dyDescent="0.3">
      <c r="D308" s="63">
        <f>Input_!D191*Input_!D7+Input_!D8-D307</f>
        <v>0</v>
      </c>
      <c r="E308" s="63">
        <f>Input_!E191*Input_!E7+Input_!E8-E307</f>
        <v>0</v>
      </c>
      <c r="F308" s="63">
        <f>Input_!F191*Input_!F7+Input_!F8-F307</f>
        <v>0</v>
      </c>
      <c r="G308" s="63">
        <f>Input_!G191*Input_!G7+Input_!G8-G307</f>
        <v>0</v>
      </c>
    </row>
  </sheetData>
  <conditionalFormatting sqref="D308:G308">
    <cfRule type="cellIs" dxfId="34" priority="1" operator="equal">
      <formula>0</formula>
    </cfRule>
    <cfRule type="cellIs" dxfId="33" priority="2" operator="lessThan">
      <formula>0</formula>
    </cfRule>
    <cfRule type="cellIs" dxfId="32" priority="3" operator="greaterThan">
      <formula>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G13"/>
  <sheetViews>
    <sheetView showGridLines="0" zoomScale="120" zoomScaleNormal="120" workbookViewId="0">
      <selection activeCell="D8" sqref="D8"/>
    </sheetView>
  </sheetViews>
  <sheetFormatPr defaultRowHeight="14.4" x14ac:dyDescent="0.3"/>
  <cols>
    <col min="2" max="2" width="10.33203125" customWidth="1"/>
    <col min="3" max="3" width="35.44140625" bestFit="1" customWidth="1"/>
    <col min="4" max="7" width="11.6640625" customWidth="1"/>
  </cols>
  <sheetData>
    <row r="1" spans="2:7" s="1" customFormat="1" x14ac:dyDescent="0.3"/>
    <row r="2" spans="2:7" ht="28.8" customHeight="1" x14ac:dyDescent="0.3">
      <c r="B2" s="32" t="s">
        <v>616</v>
      </c>
      <c r="C2" s="5"/>
      <c r="D2" s="5"/>
      <c r="E2" s="5"/>
      <c r="F2" s="5"/>
      <c r="G2" s="5"/>
    </row>
    <row r="3" spans="2:7" x14ac:dyDescent="0.3">
      <c r="B3" s="37" t="s">
        <v>267</v>
      </c>
    </row>
    <row r="4" spans="2:7" x14ac:dyDescent="0.3">
      <c r="B4" s="9" t="s">
        <v>265</v>
      </c>
      <c r="C4" s="9" t="s">
        <v>266</v>
      </c>
      <c r="D4" s="6"/>
      <c r="E4" s="6"/>
      <c r="F4" s="6"/>
      <c r="G4" s="6"/>
    </row>
    <row r="5" spans="2:7" x14ac:dyDescent="0.3">
      <c r="B5" s="25"/>
      <c r="C5" s="25"/>
      <c r="D5" s="23" t="str">
        <f>Input_!D5</f>
        <v>2023-24</v>
      </c>
      <c r="E5" s="23" t="str">
        <f>Input_!E5</f>
        <v>2024-25</v>
      </c>
      <c r="F5" s="23" t="str">
        <f>Input_!F5</f>
        <v>2025-26</v>
      </c>
      <c r="G5" s="23" t="str">
        <f>Input_!G5</f>
        <v>2026-27</v>
      </c>
    </row>
    <row r="6" spans="2:7" x14ac:dyDescent="0.3">
      <c r="B6" s="10" t="s">
        <v>7</v>
      </c>
      <c r="C6" s="3" t="str">
        <f>Input_!B20</f>
        <v>VIP</v>
      </c>
      <c r="D6" s="88">
        <f>'Entry Tariff_2'!D170</f>
        <v>3.3169012311713771E-2</v>
      </c>
      <c r="E6" s="88">
        <f>'Entry Tariff_2'!E170</f>
        <v>3.5228583569365819E-2</v>
      </c>
      <c r="F6" s="88">
        <f>'Entry Tariff_2'!F170</f>
        <v>3.5228583569365819E-2</v>
      </c>
      <c r="G6" s="88">
        <f>'Entry Tariff_2'!G170</f>
        <v>3.5228583569365819E-2</v>
      </c>
    </row>
    <row r="7" spans="2:7" x14ac:dyDescent="0.3">
      <c r="B7" s="11"/>
      <c r="C7" s="3" t="str">
        <f>Input_!B25</f>
        <v>LNG terminal</v>
      </c>
      <c r="D7" s="88">
        <f>'Entry Tariff_2'!D175</f>
        <v>9.3711496197110541E-2</v>
      </c>
      <c r="E7" s="88">
        <f>'Entry Tariff_2'!E175</f>
        <v>9.8902373364759225E-2</v>
      </c>
      <c r="F7" s="88">
        <f>'Entry Tariff_2'!F175</f>
        <v>9.8902373364759225E-2</v>
      </c>
      <c r="G7" s="88">
        <f>'Entry Tariff_2'!G175</f>
        <v>9.8902373364759225E-2</v>
      </c>
    </row>
    <row r="8" spans="2:7" x14ac:dyDescent="0.3">
      <c r="B8" s="11"/>
      <c r="C8" s="3" t="str">
        <f>Input_!B30</f>
        <v>Underground storage</v>
      </c>
      <c r="D8" s="88">
        <f>'Entry Tariff_2'!D180</f>
        <v>0</v>
      </c>
      <c r="E8" s="88">
        <f>'Entry Tariff_2'!E180</f>
        <v>0</v>
      </c>
      <c r="F8" s="88">
        <f>'Entry Tariff_2'!F180</f>
        <v>0</v>
      </c>
      <c r="G8" s="88">
        <f>'Entry Tariff_2'!G180</f>
        <v>0</v>
      </c>
    </row>
    <row r="9" spans="2:7" x14ac:dyDescent="0.3">
      <c r="B9" s="12"/>
      <c r="C9" s="3" t="str">
        <f>Input_!B32</f>
        <v>Gas producers</v>
      </c>
      <c r="D9" s="88">
        <f>'Entry Tariff_2'!D182</f>
        <v>6.8198216136762246E-3</v>
      </c>
      <c r="E9" s="88">
        <f>'Entry Tariff_2'!E182</f>
        <v>7.1206007464080477E-3</v>
      </c>
      <c r="F9" s="88">
        <f>'Entry Tariff_2'!F182</f>
        <v>7.1206007464080477E-3</v>
      </c>
      <c r="G9" s="88">
        <f>'Entry Tariff_2'!G182</f>
        <v>7.1206007464080477E-3</v>
      </c>
    </row>
    <row r="10" spans="2:7" x14ac:dyDescent="0.3">
      <c r="B10" s="10" t="s">
        <v>16</v>
      </c>
      <c r="C10" s="3" t="str">
        <f>Input_!B65</f>
        <v>VIP</v>
      </c>
      <c r="D10" s="88">
        <f>'Exit Tariff_2'!D212</f>
        <v>3.2954080048979699E-2</v>
      </c>
      <c r="E10" s="88">
        <f>'Exit Tariff_2'!E212</f>
        <v>3.4453513090425783E-2</v>
      </c>
      <c r="F10" s="88">
        <f>'Exit Tariff_2'!F212</f>
        <v>3.4453513090425783E-2</v>
      </c>
      <c r="G10" s="88">
        <f>'Exit Tariff_2'!G212</f>
        <v>3.4453513090425783E-2</v>
      </c>
    </row>
    <row r="11" spans="2:7" x14ac:dyDescent="0.3">
      <c r="B11" s="13"/>
      <c r="C11" s="3" t="str">
        <f>Input_!B70</f>
        <v>LNG terminal</v>
      </c>
      <c r="D11" s="88">
        <f>'Exit Tariff_2'!D217</f>
        <v>0</v>
      </c>
      <c r="E11" s="88">
        <f>'Exit Tariff_2'!E217</f>
        <v>0</v>
      </c>
      <c r="F11" s="88">
        <f>'Exit Tariff_2'!F217</f>
        <v>0</v>
      </c>
      <c r="G11" s="88">
        <f>'Exit Tariff_2'!G217</f>
        <v>0</v>
      </c>
    </row>
    <row r="12" spans="2:7" x14ac:dyDescent="0.3">
      <c r="B12" s="13"/>
      <c r="C12" s="3" t="str">
        <f>Input_!B75</f>
        <v>Underground storage</v>
      </c>
      <c r="D12" s="88">
        <f>'Exit Tariff_2'!D222</f>
        <v>0</v>
      </c>
      <c r="E12" s="88">
        <f>'Exit Tariff_2'!E222</f>
        <v>0</v>
      </c>
      <c r="F12" s="88">
        <f>'Exit Tariff_2'!F222</f>
        <v>0</v>
      </c>
      <c r="G12" s="88">
        <f>'Exit Tariff_2'!G222</f>
        <v>0</v>
      </c>
    </row>
    <row r="13" spans="2:7" x14ac:dyDescent="0.3">
      <c r="B13" s="14"/>
      <c r="C13" s="3" t="str">
        <f>Input_!B77</f>
        <v>Distribution networks and HP customers</v>
      </c>
      <c r="D13" s="88">
        <f>'Exit Tariff_2'!D224</f>
        <v>0.15884432461897521</v>
      </c>
      <c r="E13" s="88">
        <f>'Exit Tariff_2'!E224</f>
        <v>0.166115332177528</v>
      </c>
      <c r="F13" s="88">
        <f>'Exit Tariff_2'!F224</f>
        <v>0.166115332177528</v>
      </c>
      <c r="G13" s="88">
        <f>'Exit Tariff_2'!G224</f>
        <v>0.166115332177528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N265"/>
  <sheetViews>
    <sheetView showGridLines="0" workbookViewId="0">
      <selection activeCell="D8" sqref="D8"/>
    </sheetView>
  </sheetViews>
  <sheetFormatPr defaultRowHeight="14.4" customHeight="1" x14ac:dyDescent="0.3"/>
  <cols>
    <col min="1" max="1" width="8.88671875" style="1"/>
    <col min="2" max="2" width="42.44140625" style="1" customWidth="1"/>
    <col min="3" max="3" width="10.33203125" style="1" customWidth="1"/>
    <col min="4" max="7" width="11.6640625" style="1" customWidth="1"/>
    <col min="8" max="8" width="8.88671875" style="1"/>
    <col min="9" max="9" width="8.88671875" style="1" customWidth="1"/>
    <col min="10" max="10" width="24.33203125" style="1" customWidth="1"/>
    <col min="11" max="11" width="16.33203125" style="1" customWidth="1"/>
    <col min="12" max="12" width="10.33203125" style="1" customWidth="1"/>
    <col min="13" max="16384" width="8.88671875" style="1"/>
  </cols>
  <sheetData>
    <row r="2" spans="2:14" ht="28.95" customHeight="1" x14ac:dyDescent="0.3">
      <c r="B2" s="32" t="s">
        <v>823</v>
      </c>
      <c r="C2" s="32"/>
      <c r="D2" s="5"/>
      <c r="E2" s="5"/>
      <c r="F2" s="5"/>
      <c r="G2" s="5"/>
      <c r="J2"/>
      <c r="K2"/>
      <c r="L2"/>
    </row>
    <row r="3" spans="2:14" ht="14.4" customHeight="1" x14ac:dyDescent="0.3">
      <c r="B3" s="37" t="s">
        <v>243</v>
      </c>
      <c r="C3" s="37"/>
      <c r="J3"/>
      <c r="K3"/>
      <c r="L3"/>
    </row>
    <row r="4" spans="2:14" ht="14.4" customHeight="1" x14ac:dyDescent="0.3">
      <c r="B4" s="26" t="s">
        <v>242</v>
      </c>
      <c r="C4" s="27"/>
      <c r="D4" s="6"/>
      <c r="E4" s="6"/>
      <c r="F4" s="6"/>
      <c r="G4" s="6"/>
      <c r="J4"/>
      <c r="K4"/>
      <c r="L4"/>
      <c r="N4"/>
    </row>
    <row r="5" spans="2:14" ht="14.4" customHeight="1" x14ac:dyDescent="0.3">
      <c r="B5" s="28"/>
      <c r="C5" s="29"/>
      <c r="D5" s="23" t="str">
        <f>Input_!D$5</f>
        <v>2023-24</v>
      </c>
      <c r="E5" s="23" t="str">
        <f>Input_!E$5</f>
        <v>2024-25</v>
      </c>
      <c r="F5" s="23" t="str">
        <f>Input_!F$5</f>
        <v>2025-26</v>
      </c>
      <c r="G5" s="23" t="str">
        <f>Input_!G$5</f>
        <v>2026-27</v>
      </c>
      <c r="J5"/>
      <c r="K5"/>
      <c r="L5"/>
      <c r="N5"/>
    </row>
    <row r="6" spans="2:14" ht="14.4" customHeight="1" x14ac:dyDescent="0.3">
      <c r="B6" s="30"/>
      <c r="C6" s="31"/>
      <c r="D6" s="8"/>
      <c r="E6" s="8"/>
      <c r="F6" s="8"/>
      <c r="G6" s="8"/>
      <c r="J6"/>
      <c r="K6"/>
      <c r="L6"/>
      <c r="N6"/>
    </row>
    <row r="7" spans="2:14" ht="14.4" customHeight="1" x14ac:dyDescent="0.3">
      <c r="B7" s="72" t="s">
        <v>241</v>
      </c>
      <c r="C7" s="36" t="s">
        <v>7</v>
      </c>
      <c r="D7" s="38">
        <f>SUMPRODUCT('Entry Tariff_2'!D175:D179,'Exit Tariff_2'!D143:D147)</f>
        <v>2224304.6985095036</v>
      </c>
      <c r="E7" s="38">
        <f>SUMPRODUCT('Entry Tariff_2'!E175:E179,'Exit Tariff_2'!E143:E147)</f>
        <v>5260189.6958139678</v>
      </c>
      <c r="F7" s="38">
        <f>SUMPRODUCT('Entry Tariff_2'!F175:F179,'Exit Tariff_2'!F143:F147)</f>
        <v>5260189.6958139678</v>
      </c>
      <c r="G7" s="38">
        <f>SUMPRODUCT('Entry Tariff_2'!G175:G179,'Exit Tariff_2'!G143:G147)</f>
        <v>5260189.6958139678</v>
      </c>
      <c r="J7"/>
      <c r="K7"/>
      <c r="L7"/>
      <c r="N7"/>
    </row>
    <row r="8" spans="2:14" ht="14.4" customHeight="1" x14ac:dyDescent="0.3">
      <c r="B8" s="73"/>
      <c r="C8" s="36" t="s">
        <v>16</v>
      </c>
      <c r="D8" s="38">
        <f>+SUM('Exit Tariff_2'!D280:D284)</f>
        <v>782187.01079989725</v>
      </c>
      <c r="E8" s="38">
        <f>+SUM('Exit Tariff_2'!E280:E284)</f>
        <v>1832433.4227496483</v>
      </c>
      <c r="F8" s="38">
        <f>+SUM('Exit Tariff_2'!F280:F284)</f>
        <v>1832433.4227496483</v>
      </c>
      <c r="G8" s="38">
        <f>+SUM('Exit Tariff_2'!G280:G284)</f>
        <v>1832433.4227496483</v>
      </c>
      <c r="J8"/>
      <c r="K8"/>
      <c r="L8"/>
      <c r="N8"/>
    </row>
    <row r="9" spans="2:14" ht="14.4" customHeight="1" x14ac:dyDescent="0.3">
      <c r="B9" s="72" t="s">
        <v>240</v>
      </c>
      <c r="C9" s="36" t="s">
        <v>7</v>
      </c>
      <c r="D9" s="38">
        <f>'Entry Tariff_2'!D217-SUMPRODUCT('Entry Tariff_2'!D175:D179,'Exit Tariff_2'!D143:D147)</f>
        <v>17620517.309938375</v>
      </c>
      <c r="E9" s="38">
        <f>'Entry Tariff_2'!E217-SUMPRODUCT('Entry Tariff_2'!E175:E179,'Exit Tariff_2'!E143:E147)</f>
        <v>15731812.960957777</v>
      </c>
      <c r="F9" s="38">
        <f>'Entry Tariff_2'!F217-SUMPRODUCT('Entry Tariff_2'!F175:F179,'Exit Tariff_2'!F143:F147)</f>
        <v>15731812.960957777</v>
      </c>
      <c r="G9" s="38">
        <f>'Entry Tariff_2'!G217-SUMPRODUCT('Entry Tariff_2'!G175:G179,'Exit Tariff_2'!G143:G147)</f>
        <v>15731812.960957777</v>
      </c>
      <c r="J9"/>
      <c r="K9"/>
      <c r="L9"/>
    </row>
    <row r="10" spans="2:14" ht="14.4" customHeight="1" x14ac:dyDescent="0.3">
      <c r="B10" s="73"/>
      <c r="C10" s="36" t="s">
        <v>16</v>
      </c>
      <c r="D10" s="38">
        <f>+'Exit Tariff_2'!D307-SUM('Exit Tariff_2'!D280:D284)</f>
        <v>50247355.296637505</v>
      </c>
      <c r="E10" s="38">
        <f>+'Exit Tariff_2'!E307-SUM('Exit Tariff_2'!E280:E284)</f>
        <v>52147001.980377711</v>
      </c>
      <c r="F10" s="38">
        <f>+'Exit Tariff_2'!F307-SUM('Exit Tariff_2'!F280:F284)</f>
        <v>52147001.980377711</v>
      </c>
      <c r="G10" s="38">
        <f>+'Exit Tariff_2'!G307-SUM('Exit Tariff_2'!G280:G284)</f>
        <v>52147001.980377711</v>
      </c>
      <c r="J10"/>
      <c r="K10"/>
      <c r="L10"/>
    </row>
    <row r="11" spans="2:14" ht="14.4" customHeight="1" x14ac:dyDescent="0.3">
      <c r="B11" s="74" t="s">
        <v>241</v>
      </c>
      <c r="C11" s="75"/>
      <c r="D11" s="76">
        <f t="shared" ref="D11:G11" si="0">D7+D8</f>
        <v>3006491.709309401</v>
      </c>
      <c r="E11" s="76">
        <f t="shared" si="0"/>
        <v>7092623.1185636166</v>
      </c>
      <c r="F11" s="76">
        <f t="shared" si="0"/>
        <v>7092623.1185636166</v>
      </c>
      <c r="G11" s="76">
        <f t="shared" si="0"/>
        <v>7092623.1185636166</v>
      </c>
      <c r="J11"/>
      <c r="K11"/>
      <c r="L11"/>
    </row>
    <row r="12" spans="2:14" ht="14.4" customHeight="1" x14ac:dyDescent="0.3">
      <c r="B12" s="74" t="s">
        <v>240</v>
      </c>
      <c r="C12" s="75"/>
      <c r="D12" s="76">
        <f t="shared" ref="D12:G12" si="1">D9+D10</f>
        <v>67867872.606575876</v>
      </c>
      <c r="E12" s="76">
        <f t="shared" si="1"/>
        <v>67878814.941335484</v>
      </c>
      <c r="F12" s="76">
        <f t="shared" si="1"/>
        <v>67878814.941335484</v>
      </c>
      <c r="G12" s="76">
        <f t="shared" si="1"/>
        <v>67878814.941335484</v>
      </c>
      <c r="J12"/>
      <c r="K12"/>
      <c r="L12"/>
    </row>
    <row r="13" spans="2:14" ht="14.4" customHeight="1" x14ac:dyDescent="0.3">
      <c r="D13" s="63">
        <f>Input_!D9-SUM(D11:D12)</f>
        <v>0</v>
      </c>
      <c r="E13" s="63">
        <f>Input_!E9-SUM(E11:E12)</f>
        <v>0</v>
      </c>
      <c r="F13" s="63">
        <f>Input_!F9-SUM(F11:F12)</f>
        <v>0</v>
      </c>
      <c r="G13" s="63">
        <f>Input_!G9-SUM(G11:G12)</f>
        <v>0</v>
      </c>
      <c r="J13"/>
      <c r="K13"/>
      <c r="L13"/>
    </row>
    <row r="14" spans="2:14" ht="28.95" customHeight="1" x14ac:dyDescent="0.3">
      <c r="B14"/>
      <c r="C14"/>
      <c r="D14"/>
      <c r="E14"/>
      <c r="F14"/>
      <c r="G14"/>
    </row>
    <row r="15" spans="2:14" ht="28.95" customHeight="1" x14ac:dyDescent="0.3">
      <c r="B15"/>
      <c r="C15"/>
      <c r="D15"/>
      <c r="E15"/>
      <c r="F15"/>
      <c r="G15"/>
    </row>
    <row r="16" spans="2:14" ht="14.4" customHeight="1" x14ac:dyDescent="0.3">
      <c r="B16"/>
      <c r="C16"/>
      <c r="D16"/>
      <c r="E16"/>
      <c r="F16"/>
      <c r="G16"/>
    </row>
    <row r="17" spans="2:9" ht="28.95" customHeight="1" x14ac:dyDescent="0.3">
      <c r="B17"/>
      <c r="C17"/>
      <c r="D17"/>
      <c r="E17"/>
      <c r="F17"/>
      <c r="G17"/>
    </row>
    <row r="18" spans="2:9" ht="14.4" customHeight="1" x14ac:dyDescent="0.3">
      <c r="B18"/>
      <c r="C18"/>
      <c r="D18"/>
      <c r="E18"/>
      <c r="F18"/>
      <c r="G18"/>
    </row>
    <row r="19" spans="2:9" ht="14.4" customHeight="1" x14ac:dyDescent="0.3">
      <c r="B19"/>
      <c r="C19"/>
      <c r="D19"/>
      <c r="E19"/>
      <c r="F19"/>
      <c r="G19"/>
    </row>
    <row r="20" spans="2:9" ht="14.4" customHeight="1" x14ac:dyDescent="0.3">
      <c r="B20"/>
      <c r="C20"/>
      <c r="D20"/>
      <c r="E20"/>
      <c r="F20"/>
      <c r="G20"/>
    </row>
    <row r="21" spans="2:9" ht="14.4" customHeight="1" x14ac:dyDescent="0.3">
      <c r="B21"/>
      <c r="C21"/>
      <c r="D21"/>
      <c r="E21"/>
      <c r="F21"/>
      <c r="G21"/>
    </row>
    <row r="22" spans="2:9" ht="14.4" customHeight="1" x14ac:dyDescent="0.3">
      <c r="B22"/>
      <c r="C22"/>
      <c r="D22"/>
      <c r="E22"/>
      <c r="F22"/>
      <c r="G22"/>
    </row>
    <row r="23" spans="2:9" ht="14.4" customHeight="1" x14ac:dyDescent="0.3">
      <c r="B23"/>
      <c r="C23"/>
      <c r="D23"/>
      <c r="E23"/>
      <c r="F23"/>
      <c r="G23"/>
    </row>
    <row r="24" spans="2:9" ht="14.4" customHeight="1" x14ac:dyDescent="0.3">
      <c r="B24"/>
      <c r="C24"/>
      <c r="D24"/>
      <c r="E24"/>
      <c r="F24"/>
      <c r="G24"/>
    </row>
    <row r="25" spans="2:9" ht="14.4" customHeight="1" x14ac:dyDescent="0.3">
      <c r="B25"/>
      <c r="C25"/>
      <c r="D25"/>
      <c r="E25"/>
      <c r="F25"/>
      <c r="G25"/>
    </row>
    <row r="26" spans="2:9" ht="14.4" customHeight="1" x14ac:dyDescent="0.3">
      <c r="B26"/>
      <c r="C26"/>
      <c r="D26"/>
      <c r="E26"/>
      <c r="F26"/>
      <c r="G26"/>
    </row>
    <row r="27" spans="2:9" ht="14.4" customHeight="1" x14ac:dyDescent="0.3">
      <c r="B27"/>
      <c r="C27"/>
      <c r="D27"/>
      <c r="E27"/>
      <c r="F27"/>
      <c r="G27"/>
    </row>
    <row r="28" spans="2:9" ht="14.4" customHeight="1" x14ac:dyDescent="0.3">
      <c r="B28"/>
      <c r="C28"/>
      <c r="D28"/>
      <c r="E28"/>
      <c r="F28"/>
      <c r="G28"/>
      <c r="I28"/>
    </row>
    <row r="29" spans="2:9" ht="14.4" customHeight="1" x14ac:dyDescent="0.3">
      <c r="B29"/>
      <c r="C29"/>
      <c r="D29"/>
      <c r="E29"/>
      <c r="F29"/>
      <c r="G29"/>
    </row>
    <row r="30" spans="2:9" ht="28.8" customHeight="1" x14ac:dyDescent="0.3">
      <c r="B30"/>
      <c r="C30"/>
      <c r="D30"/>
      <c r="E30"/>
      <c r="F30"/>
      <c r="G30"/>
    </row>
    <row r="31" spans="2:9" ht="14.4" customHeight="1" x14ac:dyDescent="0.3">
      <c r="B31"/>
      <c r="C31"/>
      <c r="D31"/>
      <c r="E31"/>
      <c r="F31"/>
      <c r="G31"/>
    </row>
    <row r="32" spans="2:9" ht="14.4" customHeight="1" x14ac:dyDescent="0.3">
      <c r="B32"/>
      <c r="C32"/>
      <c r="D32"/>
      <c r="E32"/>
      <c r="F32"/>
      <c r="G32"/>
    </row>
    <row r="33" spans="2:7" ht="14.4" customHeight="1" x14ac:dyDescent="0.3">
      <c r="B33"/>
      <c r="C33"/>
      <c r="D33"/>
      <c r="E33"/>
      <c r="F33"/>
      <c r="G33"/>
    </row>
    <row r="34" spans="2:7" ht="14.4" customHeight="1" x14ac:dyDescent="0.3">
      <c r="B34"/>
      <c r="C34"/>
      <c r="D34"/>
      <c r="E34"/>
      <c r="F34"/>
      <c r="G34"/>
    </row>
    <row r="35" spans="2:7" ht="14.4" customHeight="1" x14ac:dyDescent="0.3">
      <c r="B35"/>
      <c r="C35"/>
      <c r="D35"/>
      <c r="E35"/>
      <c r="F35"/>
      <c r="G35"/>
    </row>
    <row r="36" spans="2:7" ht="14.4" customHeight="1" x14ac:dyDescent="0.3">
      <c r="B36"/>
      <c r="C36"/>
      <c r="D36"/>
      <c r="E36"/>
      <c r="F36"/>
      <c r="G36"/>
    </row>
    <row r="37" spans="2:7" ht="14.4" customHeight="1" x14ac:dyDescent="0.3">
      <c r="B37"/>
      <c r="C37"/>
      <c r="D37"/>
      <c r="E37"/>
      <c r="F37"/>
      <c r="G37"/>
    </row>
    <row r="38" spans="2:7" ht="14.4" customHeight="1" x14ac:dyDescent="0.3">
      <c r="B38"/>
      <c r="C38"/>
      <c r="D38"/>
      <c r="E38"/>
      <c r="F38"/>
      <c r="G38"/>
    </row>
    <row r="39" spans="2:7" ht="28.8" customHeight="1" x14ac:dyDescent="0.3">
      <c r="B39"/>
      <c r="C39"/>
      <c r="D39"/>
      <c r="E39"/>
      <c r="F39"/>
      <c r="G39"/>
    </row>
    <row r="40" spans="2:7" ht="14.4" customHeight="1" x14ac:dyDescent="0.3">
      <c r="B40"/>
      <c r="C40"/>
      <c r="D40"/>
      <c r="E40"/>
      <c r="F40"/>
      <c r="G40"/>
    </row>
    <row r="41" spans="2:7" ht="14.4" customHeight="1" x14ac:dyDescent="0.3">
      <c r="B41"/>
      <c r="C41"/>
      <c r="D41"/>
      <c r="E41"/>
      <c r="F41"/>
      <c r="G41"/>
    </row>
    <row r="42" spans="2:7" ht="14.4" customHeight="1" x14ac:dyDescent="0.3">
      <c r="B42"/>
      <c r="C42"/>
      <c r="D42"/>
      <c r="E42"/>
      <c r="F42"/>
      <c r="G42"/>
    </row>
    <row r="43" spans="2:7" ht="14.4" customHeight="1" x14ac:dyDescent="0.3">
      <c r="B43"/>
      <c r="C43"/>
      <c r="D43"/>
      <c r="E43"/>
      <c r="F43"/>
      <c r="G43"/>
    </row>
    <row r="44" spans="2:7" ht="14.4" customHeight="1" x14ac:dyDescent="0.3">
      <c r="B44"/>
      <c r="C44"/>
      <c r="D44"/>
      <c r="E44"/>
      <c r="F44"/>
      <c r="G44"/>
    </row>
    <row r="45" spans="2:7" ht="14.4" customHeight="1" x14ac:dyDescent="0.3">
      <c r="B45"/>
      <c r="C45"/>
      <c r="D45"/>
      <c r="E45"/>
      <c r="F45"/>
      <c r="G45"/>
    </row>
    <row r="46" spans="2:7" ht="14.4" customHeight="1" x14ac:dyDescent="0.3">
      <c r="B46"/>
      <c r="C46"/>
      <c r="D46"/>
      <c r="E46"/>
      <c r="F46"/>
      <c r="G46"/>
    </row>
    <row r="47" spans="2:7" ht="28.95" customHeight="1" x14ac:dyDescent="0.3">
      <c r="B47"/>
      <c r="C47"/>
      <c r="D47"/>
      <c r="E47"/>
      <c r="F47"/>
      <c r="G47"/>
    </row>
    <row r="48" spans="2:7" ht="14.4" customHeight="1" x14ac:dyDescent="0.3">
      <c r="B48"/>
      <c r="C48"/>
      <c r="D48"/>
      <c r="E48"/>
      <c r="F48"/>
      <c r="G48"/>
    </row>
    <row r="49" spans="2:7" ht="28.95" customHeight="1" x14ac:dyDescent="0.3">
      <c r="B49"/>
      <c r="C49"/>
      <c r="D49"/>
      <c r="E49"/>
      <c r="F49"/>
      <c r="G49"/>
    </row>
    <row r="50" spans="2:7" ht="14.4" customHeight="1" x14ac:dyDescent="0.3">
      <c r="B50"/>
      <c r="C50"/>
      <c r="D50"/>
      <c r="E50"/>
      <c r="F50"/>
      <c r="G50"/>
    </row>
    <row r="51" spans="2:7" ht="14.4" customHeight="1" x14ac:dyDescent="0.3">
      <c r="B51"/>
      <c r="C51"/>
      <c r="D51"/>
      <c r="E51"/>
      <c r="F51"/>
      <c r="G51"/>
    </row>
    <row r="52" spans="2:7" ht="14.4" customHeight="1" x14ac:dyDescent="0.3">
      <c r="B52"/>
      <c r="C52"/>
      <c r="D52"/>
      <c r="E52"/>
      <c r="F52"/>
      <c r="G52"/>
    </row>
    <row r="53" spans="2:7" ht="14.4" customHeight="1" x14ac:dyDescent="0.3">
      <c r="B53"/>
      <c r="C53"/>
      <c r="D53"/>
      <c r="E53"/>
      <c r="F53"/>
      <c r="G53"/>
    </row>
    <row r="54" spans="2:7" ht="14.4" customHeight="1" x14ac:dyDescent="0.3">
      <c r="B54"/>
      <c r="C54"/>
      <c r="D54"/>
      <c r="E54"/>
      <c r="F54"/>
      <c r="G54"/>
    </row>
    <row r="55" spans="2:7" ht="14.4" customHeight="1" x14ac:dyDescent="0.3">
      <c r="B55"/>
      <c r="C55"/>
      <c r="D55"/>
      <c r="E55"/>
      <c r="F55"/>
      <c r="G55"/>
    </row>
    <row r="56" spans="2:7" ht="14.4" customHeight="1" x14ac:dyDescent="0.3">
      <c r="B56"/>
      <c r="C56"/>
      <c r="D56"/>
      <c r="E56"/>
      <c r="F56"/>
      <c r="G56"/>
    </row>
    <row r="57" spans="2:7" ht="14.4" customHeight="1" x14ac:dyDescent="0.3">
      <c r="B57"/>
      <c r="C57"/>
      <c r="D57"/>
      <c r="E57"/>
      <c r="F57"/>
      <c r="G57"/>
    </row>
    <row r="58" spans="2:7" ht="14.4" customHeight="1" x14ac:dyDescent="0.3">
      <c r="B58"/>
      <c r="C58"/>
      <c r="D58"/>
      <c r="E58"/>
      <c r="F58"/>
      <c r="G58"/>
    </row>
    <row r="59" spans="2:7" ht="14.4" customHeight="1" x14ac:dyDescent="0.3">
      <c r="B59"/>
      <c r="C59"/>
      <c r="D59"/>
      <c r="E59"/>
      <c r="F59"/>
      <c r="G59"/>
    </row>
    <row r="60" spans="2:7" ht="14.4" customHeight="1" x14ac:dyDescent="0.3">
      <c r="B60"/>
      <c r="C60"/>
      <c r="D60"/>
      <c r="E60"/>
      <c r="F60"/>
      <c r="G60"/>
    </row>
    <row r="61" spans="2:7" ht="14.4" customHeight="1" x14ac:dyDescent="0.3">
      <c r="B61"/>
      <c r="C61"/>
      <c r="D61"/>
      <c r="E61"/>
      <c r="F61"/>
      <c r="G61"/>
    </row>
    <row r="62" spans="2:7" ht="28.8" customHeight="1" x14ac:dyDescent="0.3">
      <c r="B62"/>
      <c r="C62"/>
      <c r="D62"/>
      <c r="E62"/>
      <c r="F62"/>
      <c r="G62"/>
    </row>
    <row r="63" spans="2:7" ht="14.4" customHeight="1" x14ac:dyDescent="0.3">
      <c r="B63"/>
      <c r="C63"/>
      <c r="D63"/>
      <c r="E63"/>
      <c r="F63"/>
      <c r="G63"/>
    </row>
    <row r="64" spans="2:7" ht="14.4" customHeight="1" x14ac:dyDescent="0.3">
      <c r="B64"/>
      <c r="C64"/>
      <c r="D64"/>
      <c r="E64"/>
      <c r="F64"/>
      <c r="G64"/>
    </row>
    <row r="65" spans="2:9" ht="14.4" customHeight="1" x14ac:dyDescent="0.3">
      <c r="B65"/>
      <c r="C65"/>
      <c r="D65"/>
      <c r="E65"/>
      <c r="F65"/>
      <c r="G65"/>
    </row>
    <row r="66" spans="2:9" ht="14.4" customHeight="1" x14ac:dyDescent="0.3">
      <c r="B66"/>
      <c r="C66"/>
      <c r="D66"/>
      <c r="E66"/>
      <c r="F66"/>
      <c r="G66"/>
    </row>
    <row r="67" spans="2:9" ht="14.4" customHeight="1" x14ac:dyDescent="0.3">
      <c r="B67"/>
      <c r="C67"/>
      <c r="D67"/>
      <c r="E67"/>
      <c r="F67"/>
      <c r="G67"/>
    </row>
    <row r="68" spans="2:9" ht="14.4" customHeight="1" x14ac:dyDescent="0.3">
      <c r="B68"/>
      <c r="C68"/>
      <c r="D68"/>
      <c r="E68"/>
      <c r="F68"/>
      <c r="G68"/>
    </row>
    <row r="69" spans="2:9" ht="14.4" customHeight="1" x14ac:dyDescent="0.3">
      <c r="B69"/>
      <c r="C69"/>
      <c r="D69"/>
      <c r="E69"/>
      <c r="F69"/>
      <c r="G69"/>
    </row>
    <row r="70" spans="2:9" ht="14.4" customHeight="1" x14ac:dyDescent="0.3">
      <c r="B70"/>
      <c r="C70"/>
      <c r="D70"/>
      <c r="E70"/>
      <c r="F70"/>
      <c r="G70"/>
    </row>
    <row r="71" spans="2:9" ht="28.8" customHeight="1" x14ac:dyDescent="0.3">
      <c r="B71"/>
      <c r="C71"/>
      <c r="D71"/>
      <c r="E71"/>
      <c r="F71"/>
      <c r="G71"/>
    </row>
    <row r="72" spans="2:9" ht="14.4" customHeight="1" x14ac:dyDescent="0.3">
      <c r="B72"/>
      <c r="C72"/>
      <c r="D72"/>
      <c r="E72"/>
      <c r="F72"/>
      <c r="G72"/>
    </row>
    <row r="73" spans="2:9" ht="14.4" customHeight="1" x14ac:dyDescent="0.3">
      <c r="B73"/>
      <c r="C73"/>
      <c r="D73"/>
      <c r="E73"/>
      <c r="F73"/>
      <c r="G73"/>
    </row>
    <row r="74" spans="2:9" ht="14.4" customHeight="1" x14ac:dyDescent="0.3">
      <c r="B74"/>
      <c r="C74"/>
      <c r="D74"/>
      <c r="E74"/>
      <c r="F74"/>
      <c r="G74"/>
    </row>
    <row r="75" spans="2:9" ht="14.4" customHeight="1" x14ac:dyDescent="0.3">
      <c r="B75"/>
      <c r="C75"/>
      <c r="D75"/>
      <c r="E75"/>
      <c r="F75"/>
      <c r="G75"/>
    </row>
    <row r="76" spans="2:9" ht="14.4" customHeight="1" x14ac:dyDescent="0.3">
      <c r="B76"/>
      <c r="C76"/>
      <c r="D76"/>
      <c r="E76"/>
      <c r="F76"/>
      <c r="G76"/>
    </row>
    <row r="77" spans="2:9" ht="14.4" customHeight="1" x14ac:dyDescent="0.3">
      <c r="B77"/>
      <c r="C77"/>
      <c r="D77"/>
      <c r="E77"/>
      <c r="F77"/>
      <c r="G77"/>
    </row>
    <row r="78" spans="2:9" ht="14.4" customHeight="1" x14ac:dyDescent="0.3">
      <c r="B78"/>
      <c r="C78"/>
      <c r="D78"/>
      <c r="E78"/>
      <c r="F78"/>
      <c r="G78"/>
    </row>
    <row r="79" spans="2:9" ht="28.95" customHeight="1" x14ac:dyDescent="0.3">
      <c r="B79"/>
      <c r="C79"/>
      <c r="D79"/>
      <c r="E79"/>
      <c r="F79"/>
      <c r="G79"/>
      <c r="I79"/>
    </row>
    <row r="80" spans="2:9" ht="14.4" customHeight="1" x14ac:dyDescent="0.3">
      <c r="B80"/>
      <c r="C80"/>
      <c r="D80"/>
      <c r="E80"/>
      <c r="F80"/>
      <c r="G80"/>
      <c r="I80"/>
    </row>
    <row r="81" spans="2:12" ht="28.95" customHeight="1" x14ac:dyDescent="0.3">
      <c r="B81"/>
      <c r="C81"/>
      <c r="D81"/>
      <c r="E81"/>
      <c r="F81"/>
      <c r="G81"/>
      <c r="I81"/>
    </row>
    <row r="82" spans="2:12" ht="14.4" customHeight="1" x14ac:dyDescent="0.3">
      <c r="B82"/>
      <c r="C82"/>
      <c r="D82"/>
      <c r="E82"/>
      <c r="F82"/>
      <c r="G82"/>
      <c r="I82"/>
    </row>
    <row r="83" spans="2:12" ht="14.4" customHeight="1" x14ac:dyDescent="0.3">
      <c r="B83"/>
      <c r="C83"/>
      <c r="D83"/>
      <c r="E83"/>
      <c r="F83"/>
      <c r="G83"/>
    </row>
    <row r="84" spans="2:12" ht="14.4" customHeight="1" x14ac:dyDescent="0.3">
      <c r="B84"/>
      <c r="C84"/>
      <c r="D84"/>
      <c r="E84"/>
      <c r="F84"/>
      <c r="G84"/>
    </row>
    <row r="85" spans="2:12" ht="14.4" customHeight="1" x14ac:dyDescent="0.3">
      <c r="B85"/>
      <c r="C85"/>
      <c r="D85"/>
      <c r="E85"/>
      <c r="F85"/>
      <c r="G85"/>
    </row>
    <row r="86" spans="2:12" ht="14.4" customHeight="1" x14ac:dyDescent="0.3">
      <c r="B86"/>
      <c r="C86"/>
      <c r="D86"/>
      <c r="E86"/>
      <c r="F86"/>
      <c r="G86"/>
      <c r="I86"/>
      <c r="J86"/>
      <c r="K86"/>
      <c r="L86"/>
    </row>
    <row r="87" spans="2:12" ht="14.4" customHeight="1" x14ac:dyDescent="0.3">
      <c r="B87"/>
      <c r="C87"/>
      <c r="D87"/>
      <c r="E87"/>
      <c r="F87"/>
      <c r="G87"/>
      <c r="I87"/>
      <c r="J87"/>
    </row>
    <row r="88" spans="2:12" ht="14.4" customHeight="1" x14ac:dyDescent="0.3">
      <c r="B88"/>
      <c r="C88"/>
      <c r="D88"/>
      <c r="E88"/>
      <c r="F88"/>
      <c r="G88"/>
    </row>
    <row r="89" spans="2:12" ht="14.4" customHeight="1" x14ac:dyDescent="0.3">
      <c r="B89"/>
      <c r="C89"/>
      <c r="D89"/>
      <c r="E89"/>
      <c r="F89"/>
      <c r="G89"/>
    </row>
    <row r="90" spans="2:12" ht="14.4" customHeight="1" x14ac:dyDescent="0.3">
      <c r="B90"/>
      <c r="C90"/>
      <c r="D90"/>
      <c r="E90"/>
      <c r="F90"/>
      <c r="G90"/>
    </row>
    <row r="91" spans="2:12" ht="14.4" customHeight="1" x14ac:dyDescent="0.3">
      <c r="B91"/>
      <c r="C91"/>
      <c r="D91"/>
      <c r="E91"/>
      <c r="F91"/>
      <c r="G91"/>
    </row>
    <row r="92" spans="2:12" ht="14.4" customHeight="1" x14ac:dyDescent="0.3">
      <c r="B92"/>
      <c r="C92"/>
      <c r="D92"/>
      <c r="E92"/>
      <c r="F92"/>
      <c r="G92"/>
      <c r="I92"/>
    </row>
    <row r="93" spans="2:12" ht="14.4" customHeight="1" x14ac:dyDescent="0.3">
      <c r="B93"/>
      <c r="C93"/>
      <c r="D93"/>
      <c r="E93"/>
      <c r="F93"/>
      <c r="G93"/>
      <c r="I93"/>
    </row>
    <row r="94" spans="2:12" ht="14.4" customHeight="1" x14ac:dyDescent="0.3">
      <c r="B94"/>
      <c r="C94"/>
      <c r="D94"/>
      <c r="E94"/>
      <c r="F94"/>
      <c r="G94"/>
      <c r="I94"/>
    </row>
    <row r="95" spans="2:12" ht="14.4" customHeight="1" x14ac:dyDescent="0.3">
      <c r="B95"/>
      <c r="C95"/>
      <c r="D95"/>
      <c r="E95"/>
      <c r="F95"/>
      <c r="G95"/>
      <c r="I95"/>
    </row>
    <row r="96" spans="2:12" ht="14.4" customHeight="1" x14ac:dyDescent="0.3">
      <c r="B96"/>
      <c r="C96"/>
      <c r="D96"/>
      <c r="E96"/>
      <c r="F96"/>
      <c r="G96"/>
      <c r="I96"/>
    </row>
    <row r="97" spans="2:9" ht="14.4" customHeight="1" x14ac:dyDescent="0.3">
      <c r="B97"/>
      <c r="C97"/>
      <c r="D97"/>
      <c r="E97"/>
      <c r="F97"/>
      <c r="G97"/>
      <c r="I97"/>
    </row>
    <row r="98" spans="2:9" ht="14.4" customHeight="1" x14ac:dyDescent="0.3">
      <c r="B98"/>
      <c r="C98"/>
      <c r="D98"/>
      <c r="E98"/>
      <c r="F98"/>
      <c r="G98"/>
      <c r="I98"/>
    </row>
    <row r="99" spans="2:9" ht="14.4" customHeight="1" x14ac:dyDescent="0.3">
      <c r="B99"/>
      <c r="C99"/>
      <c r="D99"/>
      <c r="E99"/>
      <c r="F99"/>
      <c r="G99"/>
      <c r="I99"/>
    </row>
    <row r="100" spans="2:9" ht="14.4" customHeight="1" x14ac:dyDescent="0.3">
      <c r="B100"/>
      <c r="C100"/>
      <c r="D100"/>
      <c r="E100"/>
      <c r="F100"/>
      <c r="G100"/>
      <c r="I100"/>
    </row>
    <row r="101" spans="2:9" ht="14.4" customHeight="1" x14ac:dyDescent="0.3">
      <c r="B101"/>
      <c r="C101"/>
      <c r="D101"/>
      <c r="E101"/>
      <c r="F101"/>
      <c r="G101"/>
    </row>
    <row r="102" spans="2:9" ht="14.4" customHeight="1" x14ac:dyDescent="0.3">
      <c r="B102"/>
      <c r="C102"/>
      <c r="D102"/>
      <c r="E102"/>
      <c r="F102"/>
      <c r="G102"/>
    </row>
    <row r="103" spans="2:9" ht="14.4" customHeight="1" x14ac:dyDescent="0.3">
      <c r="B103"/>
      <c r="C103"/>
      <c r="D103"/>
      <c r="E103"/>
      <c r="F103"/>
      <c r="G103"/>
    </row>
    <row r="104" spans="2:9" ht="14.4" customHeight="1" x14ac:dyDescent="0.3">
      <c r="B104"/>
      <c r="C104"/>
      <c r="D104"/>
      <c r="E104"/>
      <c r="F104"/>
      <c r="G104"/>
    </row>
    <row r="105" spans="2:9" ht="14.4" customHeight="1" x14ac:dyDescent="0.3">
      <c r="B105"/>
      <c r="C105"/>
      <c r="D105"/>
      <c r="E105"/>
      <c r="F105"/>
      <c r="G105"/>
    </row>
    <row r="106" spans="2:9" ht="14.4" customHeight="1" x14ac:dyDescent="0.3">
      <c r="B106"/>
      <c r="C106"/>
      <c r="D106"/>
      <c r="E106"/>
      <c r="F106"/>
      <c r="G106"/>
    </row>
    <row r="107" spans="2:9" ht="14.4" customHeight="1" x14ac:dyDescent="0.3">
      <c r="B107"/>
      <c r="C107"/>
      <c r="D107"/>
      <c r="E107"/>
      <c r="F107"/>
      <c r="G107"/>
    </row>
    <row r="108" spans="2:9" ht="14.4" customHeight="1" x14ac:dyDescent="0.3">
      <c r="B108"/>
      <c r="C108"/>
      <c r="D108"/>
      <c r="E108"/>
      <c r="F108"/>
      <c r="G108"/>
    </row>
    <row r="109" spans="2:9" ht="14.4" customHeight="1" x14ac:dyDescent="0.3">
      <c r="B109"/>
      <c r="C109"/>
      <c r="D109"/>
      <c r="E109"/>
      <c r="F109"/>
      <c r="G109"/>
    </row>
    <row r="110" spans="2:9" ht="14.4" customHeight="1" x14ac:dyDescent="0.3">
      <c r="B110"/>
      <c r="C110"/>
      <c r="D110"/>
      <c r="E110"/>
      <c r="F110"/>
      <c r="G110"/>
    </row>
    <row r="111" spans="2:9" ht="14.4" customHeight="1" x14ac:dyDescent="0.3">
      <c r="B111"/>
      <c r="C111"/>
      <c r="D111"/>
      <c r="E111"/>
      <c r="F111"/>
      <c r="G111"/>
    </row>
    <row r="112" spans="2:9" ht="14.4" customHeight="1" x14ac:dyDescent="0.3">
      <c r="B112"/>
      <c r="C112"/>
      <c r="D112"/>
      <c r="E112"/>
      <c r="F112"/>
      <c r="G112"/>
    </row>
    <row r="113" spans="2:7" ht="14.4" customHeight="1" x14ac:dyDescent="0.3">
      <c r="B113"/>
      <c r="C113"/>
      <c r="D113"/>
      <c r="E113"/>
      <c r="F113"/>
      <c r="G113"/>
    </row>
    <row r="114" spans="2:7" ht="14.4" customHeight="1" x14ac:dyDescent="0.3">
      <c r="B114"/>
      <c r="C114"/>
      <c r="D114"/>
      <c r="E114"/>
      <c r="F114"/>
      <c r="G114"/>
    </row>
    <row r="115" spans="2:7" ht="14.4" customHeight="1" x14ac:dyDescent="0.3">
      <c r="B115"/>
      <c r="C115"/>
      <c r="D115"/>
      <c r="E115"/>
      <c r="F115"/>
      <c r="G115"/>
    </row>
    <row r="116" spans="2:7" ht="14.4" customHeight="1" x14ac:dyDescent="0.3">
      <c r="B116"/>
      <c r="C116"/>
      <c r="D116"/>
      <c r="E116"/>
      <c r="F116"/>
      <c r="G116"/>
    </row>
    <row r="117" spans="2:7" ht="14.4" customHeight="1" x14ac:dyDescent="0.3">
      <c r="B117"/>
      <c r="C117"/>
      <c r="D117"/>
      <c r="E117"/>
      <c r="F117"/>
      <c r="G117"/>
    </row>
    <row r="118" spans="2:7" ht="14.4" customHeight="1" x14ac:dyDescent="0.3">
      <c r="B118"/>
      <c r="C118"/>
      <c r="D118"/>
      <c r="E118"/>
      <c r="F118"/>
      <c r="G118"/>
    </row>
    <row r="119" spans="2:7" ht="14.4" customHeight="1" x14ac:dyDescent="0.3">
      <c r="B119"/>
      <c r="C119"/>
      <c r="D119"/>
      <c r="E119"/>
      <c r="F119"/>
      <c r="G119"/>
    </row>
    <row r="120" spans="2:7" ht="14.4" customHeight="1" x14ac:dyDescent="0.3">
      <c r="B120"/>
      <c r="C120"/>
      <c r="D120"/>
      <c r="E120"/>
      <c r="F120"/>
      <c r="G120"/>
    </row>
    <row r="121" spans="2:7" ht="14.4" customHeight="1" x14ac:dyDescent="0.3">
      <c r="B121"/>
      <c r="C121"/>
      <c r="D121"/>
      <c r="E121"/>
      <c r="F121"/>
      <c r="G121"/>
    </row>
    <row r="122" spans="2:7" ht="14.4" customHeight="1" x14ac:dyDescent="0.3">
      <c r="B122"/>
      <c r="C122"/>
      <c r="D122"/>
      <c r="E122"/>
      <c r="F122"/>
      <c r="G122"/>
    </row>
    <row r="123" spans="2:7" ht="14.4" customHeight="1" x14ac:dyDescent="0.3">
      <c r="B123"/>
      <c r="C123"/>
      <c r="D123"/>
      <c r="E123"/>
      <c r="F123"/>
      <c r="G123"/>
    </row>
    <row r="124" spans="2:7" ht="14.4" customHeight="1" x14ac:dyDescent="0.3">
      <c r="B124"/>
      <c r="C124"/>
      <c r="D124"/>
      <c r="E124"/>
      <c r="F124"/>
      <c r="G124"/>
    </row>
    <row r="125" spans="2:7" ht="14.4" customHeight="1" x14ac:dyDescent="0.3">
      <c r="B125"/>
      <c r="C125"/>
      <c r="D125"/>
      <c r="E125"/>
      <c r="F125"/>
      <c r="G125"/>
    </row>
    <row r="126" spans="2:7" ht="14.4" customHeight="1" x14ac:dyDescent="0.3">
      <c r="B126"/>
      <c r="C126"/>
      <c r="D126"/>
      <c r="E126"/>
      <c r="F126"/>
      <c r="G126"/>
    </row>
    <row r="127" spans="2:7" ht="14.4" customHeight="1" x14ac:dyDescent="0.3">
      <c r="B127"/>
      <c r="C127"/>
      <c r="D127"/>
      <c r="E127"/>
      <c r="F127"/>
      <c r="G127"/>
    </row>
    <row r="128" spans="2:7" ht="28.8" customHeight="1" x14ac:dyDescent="0.3">
      <c r="B128"/>
      <c r="C128"/>
      <c r="D128"/>
      <c r="E128"/>
      <c r="F128"/>
      <c r="G128"/>
    </row>
    <row r="129" spans="2:7" ht="14.4" customHeight="1" x14ac:dyDescent="0.3">
      <c r="B129"/>
      <c r="C129"/>
      <c r="D129"/>
      <c r="E129"/>
      <c r="F129"/>
      <c r="G129"/>
    </row>
    <row r="130" spans="2:7" ht="14.4" customHeight="1" x14ac:dyDescent="0.3">
      <c r="B130"/>
      <c r="C130"/>
      <c r="D130"/>
      <c r="E130"/>
      <c r="F130"/>
      <c r="G130"/>
    </row>
    <row r="131" spans="2:7" ht="14.4" customHeight="1" x14ac:dyDescent="0.3">
      <c r="B131"/>
      <c r="C131"/>
      <c r="D131"/>
      <c r="E131"/>
      <c r="F131"/>
      <c r="G131"/>
    </row>
    <row r="132" spans="2:7" ht="14.4" customHeight="1" x14ac:dyDescent="0.3">
      <c r="B132"/>
      <c r="C132"/>
      <c r="D132"/>
      <c r="E132"/>
      <c r="F132"/>
      <c r="G132"/>
    </row>
    <row r="133" spans="2:7" ht="14.4" customHeight="1" x14ac:dyDescent="0.3">
      <c r="B133"/>
      <c r="C133"/>
      <c r="D133"/>
      <c r="E133"/>
      <c r="F133"/>
      <c r="G133"/>
    </row>
    <row r="134" spans="2:7" ht="14.4" customHeight="1" x14ac:dyDescent="0.3">
      <c r="B134"/>
      <c r="C134"/>
      <c r="D134"/>
      <c r="E134"/>
      <c r="F134"/>
      <c r="G134"/>
    </row>
    <row r="135" spans="2:7" ht="14.4" customHeight="1" x14ac:dyDescent="0.3">
      <c r="B135"/>
      <c r="C135"/>
      <c r="D135"/>
      <c r="E135"/>
      <c r="F135"/>
      <c r="G135"/>
    </row>
    <row r="136" spans="2:7" ht="14.4" customHeight="1" x14ac:dyDescent="0.3">
      <c r="B136"/>
      <c r="C136"/>
      <c r="D136"/>
      <c r="E136"/>
      <c r="F136"/>
      <c r="G136"/>
    </row>
    <row r="137" spans="2:7" ht="28.8" customHeight="1" x14ac:dyDescent="0.3">
      <c r="B137"/>
      <c r="C137"/>
      <c r="D137"/>
      <c r="E137"/>
      <c r="F137"/>
      <c r="G137"/>
    </row>
    <row r="138" spans="2:7" ht="14.4" customHeight="1" x14ac:dyDescent="0.3">
      <c r="B138"/>
      <c r="C138"/>
      <c r="D138"/>
      <c r="E138"/>
      <c r="F138"/>
      <c r="G138"/>
    </row>
    <row r="139" spans="2:7" ht="14.4" customHeight="1" x14ac:dyDescent="0.3">
      <c r="B139"/>
      <c r="C139"/>
      <c r="D139"/>
      <c r="E139"/>
      <c r="F139"/>
      <c r="G139"/>
    </row>
    <row r="140" spans="2:7" ht="14.4" customHeight="1" x14ac:dyDescent="0.3">
      <c r="B140"/>
      <c r="C140"/>
      <c r="D140"/>
      <c r="E140"/>
      <c r="F140"/>
      <c r="G140"/>
    </row>
    <row r="141" spans="2:7" ht="14.4" customHeight="1" x14ac:dyDescent="0.3">
      <c r="B141"/>
      <c r="C141"/>
      <c r="D141"/>
      <c r="E141"/>
      <c r="F141"/>
      <c r="G141"/>
    </row>
    <row r="142" spans="2:7" ht="14.4" customHeight="1" x14ac:dyDescent="0.3">
      <c r="B142"/>
      <c r="C142"/>
      <c r="D142"/>
      <c r="E142"/>
      <c r="F142"/>
      <c r="G142"/>
    </row>
    <row r="143" spans="2:7" ht="14.4" customHeight="1" x14ac:dyDescent="0.3">
      <c r="B143"/>
      <c r="C143"/>
      <c r="D143"/>
      <c r="E143"/>
      <c r="F143"/>
      <c r="G143"/>
    </row>
    <row r="144" spans="2:7" ht="14.4" customHeight="1" x14ac:dyDescent="0.3">
      <c r="B144"/>
      <c r="C144"/>
      <c r="D144"/>
      <c r="E144"/>
      <c r="F144"/>
      <c r="G144"/>
    </row>
    <row r="145" spans="2:7" ht="28.95" customHeight="1" x14ac:dyDescent="0.3">
      <c r="B145"/>
      <c r="C145"/>
      <c r="D145"/>
      <c r="E145"/>
      <c r="F145"/>
      <c r="G145"/>
    </row>
    <row r="146" spans="2:7" ht="14.4" customHeight="1" x14ac:dyDescent="0.3">
      <c r="B146"/>
      <c r="C146"/>
      <c r="D146"/>
      <c r="E146"/>
      <c r="F146"/>
      <c r="G146"/>
    </row>
    <row r="147" spans="2:7" ht="28.95" customHeight="1" x14ac:dyDescent="0.3">
      <c r="B147"/>
      <c r="C147"/>
      <c r="D147"/>
      <c r="E147"/>
      <c r="F147"/>
      <c r="G147"/>
    </row>
    <row r="148" spans="2:7" ht="14.4" customHeight="1" x14ac:dyDescent="0.3">
      <c r="B148"/>
      <c r="C148"/>
      <c r="D148"/>
      <c r="E148"/>
      <c r="F148"/>
      <c r="G148"/>
    </row>
    <row r="149" spans="2:7" ht="14.4" customHeight="1" x14ac:dyDescent="0.3">
      <c r="B149"/>
      <c r="C149"/>
      <c r="D149"/>
      <c r="E149"/>
      <c r="F149"/>
      <c r="G149"/>
    </row>
    <row r="150" spans="2:7" ht="14.4" customHeight="1" x14ac:dyDescent="0.3">
      <c r="B150"/>
      <c r="C150"/>
      <c r="D150"/>
      <c r="E150"/>
      <c r="F150"/>
      <c r="G150"/>
    </row>
    <row r="151" spans="2:7" ht="14.4" customHeight="1" x14ac:dyDescent="0.3">
      <c r="B151"/>
      <c r="C151"/>
      <c r="D151"/>
      <c r="E151"/>
      <c r="F151"/>
      <c r="G151"/>
    </row>
    <row r="152" spans="2:7" ht="14.4" customHeight="1" x14ac:dyDescent="0.3">
      <c r="B152"/>
      <c r="C152"/>
      <c r="D152"/>
      <c r="E152"/>
      <c r="F152"/>
      <c r="G152"/>
    </row>
    <row r="153" spans="2:7" ht="14.4" customHeight="1" x14ac:dyDescent="0.3">
      <c r="B153"/>
      <c r="C153"/>
      <c r="D153"/>
      <c r="E153"/>
      <c r="F153"/>
      <c r="G153"/>
    </row>
    <row r="154" spans="2:7" ht="14.4" customHeight="1" x14ac:dyDescent="0.3">
      <c r="B154"/>
      <c r="C154"/>
      <c r="D154"/>
      <c r="E154"/>
      <c r="F154"/>
      <c r="G154"/>
    </row>
    <row r="155" spans="2:7" ht="14.4" customHeight="1" x14ac:dyDescent="0.3">
      <c r="B155"/>
      <c r="C155"/>
      <c r="D155"/>
      <c r="E155"/>
      <c r="F155"/>
      <c r="G155"/>
    </row>
    <row r="156" spans="2:7" ht="14.4" customHeight="1" x14ac:dyDescent="0.3">
      <c r="B156"/>
      <c r="C156"/>
      <c r="D156"/>
      <c r="E156"/>
      <c r="F156"/>
      <c r="G156"/>
    </row>
    <row r="157" spans="2:7" ht="14.4" customHeight="1" x14ac:dyDescent="0.3">
      <c r="B157"/>
      <c r="C157"/>
      <c r="D157"/>
      <c r="E157"/>
      <c r="F157"/>
      <c r="G157"/>
    </row>
    <row r="158" spans="2:7" ht="14.4" customHeight="1" x14ac:dyDescent="0.3">
      <c r="B158"/>
      <c r="C158"/>
      <c r="D158"/>
      <c r="E158"/>
      <c r="F158"/>
      <c r="G158"/>
    </row>
    <row r="159" spans="2:7" ht="14.4" customHeight="1" x14ac:dyDescent="0.3">
      <c r="B159"/>
      <c r="C159"/>
      <c r="D159"/>
      <c r="E159"/>
      <c r="F159"/>
      <c r="G159"/>
    </row>
    <row r="160" spans="2:7" ht="14.4" customHeight="1" x14ac:dyDescent="0.3">
      <c r="B160"/>
      <c r="C160"/>
      <c r="D160"/>
      <c r="E160"/>
      <c r="F160"/>
      <c r="G160"/>
    </row>
    <row r="161" spans="2:11" ht="14.4" customHeight="1" x14ac:dyDescent="0.3">
      <c r="B161"/>
      <c r="C161"/>
      <c r="D161"/>
      <c r="E161"/>
      <c r="F161"/>
      <c r="G161"/>
    </row>
    <row r="162" spans="2:11" ht="14.4" customHeight="1" x14ac:dyDescent="0.3">
      <c r="B162"/>
      <c r="C162"/>
      <c r="D162"/>
      <c r="E162"/>
      <c r="F162"/>
      <c r="G162"/>
    </row>
    <row r="163" spans="2:11" ht="14.4" customHeight="1" x14ac:dyDescent="0.3">
      <c r="B163"/>
      <c r="C163"/>
      <c r="D163"/>
      <c r="E163"/>
      <c r="F163"/>
      <c r="G163"/>
    </row>
    <row r="164" spans="2:11" ht="14.4" customHeight="1" x14ac:dyDescent="0.3">
      <c r="B164"/>
      <c r="C164"/>
      <c r="D164"/>
      <c r="E164"/>
      <c r="F164"/>
      <c r="G164"/>
    </row>
    <row r="165" spans="2:11" ht="14.4" customHeight="1" x14ac:dyDescent="0.3">
      <c r="B165"/>
      <c r="C165"/>
      <c r="D165"/>
      <c r="E165"/>
      <c r="F165"/>
      <c r="G165"/>
    </row>
    <row r="166" spans="2:11" ht="14.4" customHeight="1" x14ac:dyDescent="0.3">
      <c r="B166"/>
      <c r="C166"/>
      <c r="D166"/>
      <c r="E166"/>
      <c r="F166"/>
      <c r="G166"/>
    </row>
    <row r="167" spans="2:11" ht="14.4" customHeight="1" x14ac:dyDescent="0.3">
      <c r="B167"/>
      <c r="C167"/>
      <c r="D167"/>
      <c r="E167"/>
      <c r="F167"/>
      <c r="G167"/>
    </row>
    <row r="168" spans="2:11" ht="14.4" customHeight="1" x14ac:dyDescent="0.3">
      <c r="B168"/>
      <c r="C168"/>
      <c r="D168"/>
      <c r="E168"/>
      <c r="F168"/>
      <c r="G168"/>
    </row>
    <row r="169" spans="2:11" ht="14.4" customHeight="1" x14ac:dyDescent="0.3">
      <c r="B169"/>
      <c r="C169"/>
      <c r="D169"/>
      <c r="E169"/>
      <c r="F169"/>
      <c r="G169"/>
    </row>
    <row r="170" spans="2:11" ht="14.4" customHeight="1" x14ac:dyDescent="0.3">
      <c r="B170"/>
      <c r="C170"/>
      <c r="D170"/>
      <c r="E170"/>
      <c r="F170"/>
      <c r="G170"/>
      <c r="I170"/>
      <c r="J170"/>
      <c r="K170"/>
    </row>
    <row r="171" spans="2:11" ht="14.4" customHeight="1" x14ac:dyDescent="0.3">
      <c r="B171"/>
      <c r="C171"/>
      <c r="D171"/>
      <c r="E171"/>
      <c r="F171"/>
      <c r="G171"/>
      <c r="I171"/>
      <c r="J171"/>
      <c r="K171"/>
    </row>
    <row r="172" spans="2:11" ht="14.4" customHeight="1" x14ac:dyDescent="0.3">
      <c r="B172"/>
      <c r="C172"/>
      <c r="D172"/>
      <c r="E172"/>
      <c r="F172"/>
      <c r="G172"/>
      <c r="I172"/>
      <c r="J172"/>
      <c r="K172"/>
    </row>
    <row r="173" spans="2:11" ht="14.4" customHeight="1" x14ac:dyDescent="0.3">
      <c r="B173"/>
      <c r="C173"/>
      <c r="D173"/>
      <c r="E173"/>
      <c r="F173"/>
      <c r="G173"/>
      <c r="I173"/>
      <c r="J173"/>
      <c r="K173"/>
    </row>
    <row r="174" spans="2:11" ht="14.4" customHeight="1" x14ac:dyDescent="0.3">
      <c r="B174"/>
      <c r="C174"/>
      <c r="D174"/>
      <c r="E174"/>
      <c r="F174"/>
      <c r="G174"/>
    </row>
    <row r="175" spans="2:11" ht="14.4" customHeight="1" x14ac:dyDescent="0.3">
      <c r="B175"/>
      <c r="C175"/>
      <c r="D175"/>
      <c r="E175"/>
      <c r="F175"/>
      <c r="G175"/>
    </row>
    <row r="176" spans="2:11" ht="14.4" customHeight="1" x14ac:dyDescent="0.3">
      <c r="B176"/>
      <c r="C176"/>
      <c r="D176"/>
      <c r="E176"/>
      <c r="F176"/>
      <c r="G176"/>
    </row>
    <row r="177" spans="2:7" ht="14.4" customHeight="1" x14ac:dyDescent="0.3">
      <c r="B177"/>
      <c r="C177"/>
      <c r="D177"/>
      <c r="E177"/>
      <c r="F177"/>
      <c r="G177"/>
    </row>
    <row r="178" spans="2:7" ht="14.4" customHeight="1" x14ac:dyDescent="0.3">
      <c r="B178"/>
      <c r="C178"/>
      <c r="D178"/>
      <c r="E178"/>
      <c r="F178"/>
      <c r="G178"/>
    </row>
    <row r="179" spans="2:7" ht="14.4" customHeight="1" x14ac:dyDescent="0.3">
      <c r="B179"/>
      <c r="C179"/>
      <c r="D179"/>
      <c r="E179"/>
      <c r="F179"/>
      <c r="G179"/>
    </row>
    <row r="180" spans="2:7" ht="14.4" customHeight="1" x14ac:dyDescent="0.3">
      <c r="B180"/>
      <c r="C180"/>
      <c r="D180"/>
      <c r="E180"/>
      <c r="F180"/>
      <c r="G180"/>
    </row>
    <row r="181" spans="2:7" ht="14.4" customHeight="1" x14ac:dyDescent="0.3">
      <c r="B181"/>
      <c r="C181"/>
      <c r="D181"/>
      <c r="E181"/>
      <c r="F181"/>
      <c r="G181"/>
    </row>
    <row r="182" spans="2:7" ht="14.4" customHeight="1" x14ac:dyDescent="0.3">
      <c r="B182"/>
      <c r="C182"/>
      <c r="D182"/>
      <c r="E182"/>
      <c r="F182"/>
      <c r="G182"/>
    </row>
    <row r="183" spans="2:7" ht="14.4" customHeight="1" x14ac:dyDescent="0.3">
      <c r="B183"/>
      <c r="C183"/>
      <c r="D183"/>
      <c r="E183"/>
      <c r="F183"/>
      <c r="G183"/>
    </row>
    <row r="184" spans="2:7" ht="14.4" customHeight="1" x14ac:dyDescent="0.3">
      <c r="B184"/>
      <c r="C184"/>
      <c r="D184"/>
      <c r="E184"/>
      <c r="F184"/>
      <c r="G184"/>
    </row>
    <row r="185" spans="2:7" ht="14.4" customHeight="1" x14ac:dyDescent="0.3">
      <c r="B185"/>
      <c r="C185"/>
      <c r="D185"/>
      <c r="E185"/>
      <c r="F185"/>
      <c r="G185"/>
    </row>
    <row r="186" spans="2:7" ht="14.4" customHeight="1" x14ac:dyDescent="0.3">
      <c r="B186"/>
      <c r="C186"/>
      <c r="D186"/>
      <c r="E186"/>
      <c r="F186"/>
      <c r="G186"/>
    </row>
    <row r="187" spans="2:7" ht="14.4" customHeight="1" x14ac:dyDescent="0.3">
      <c r="B187"/>
      <c r="C187"/>
      <c r="D187"/>
      <c r="E187"/>
      <c r="F187"/>
      <c r="G187"/>
    </row>
    <row r="188" spans="2:7" ht="14.4" customHeight="1" x14ac:dyDescent="0.3">
      <c r="B188"/>
      <c r="C188"/>
      <c r="D188"/>
      <c r="E188"/>
      <c r="F188"/>
      <c r="G188"/>
    </row>
    <row r="189" spans="2:7" ht="14.4" customHeight="1" x14ac:dyDescent="0.3">
      <c r="B189"/>
      <c r="C189"/>
      <c r="D189"/>
      <c r="E189"/>
      <c r="F189"/>
      <c r="G189"/>
    </row>
    <row r="190" spans="2:7" ht="14.4" customHeight="1" x14ac:dyDescent="0.3">
      <c r="B190"/>
      <c r="C190"/>
      <c r="D190"/>
      <c r="E190"/>
      <c r="F190"/>
      <c r="G190"/>
    </row>
    <row r="191" spans="2:7" ht="14.4" customHeight="1" x14ac:dyDescent="0.3">
      <c r="B191"/>
      <c r="C191"/>
      <c r="D191"/>
      <c r="E191"/>
      <c r="F191"/>
      <c r="G191"/>
    </row>
    <row r="192" spans="2:7" ht="14.4" customHeight="1" x14ac:dyDescent="0.3">
      <c r="B192"/>
      <c r="C192"/>
      <c r="D192"/>
      <c r="E192"/>
      <c r="F192"/>
      <c r="G192"/>
    </row>
    <row r="193" spans="2:7" ht="14.4" customHeight="1" x14ac:dyDescent="0.3">
      <c r="B193"/>
      <c r="C193"/>
      <c r="D193"/>
      <c r="E193"/>
      <c r="F193"/>
      <c r="G193"/>
    </row>
    <row r="194" spans="2:7" ht="28.8" customHeight="1" x14ac:dyDescent="0.3">
      <c r="B194"/>
      <c r="C194"/>
      <c r="D194"/>
      <c r="E194"/>
      <c r="F194"/>
      <c r="G194"/>
    </row>
    <row r="195" spans="2:7" ht="14.4" customHeight="1" x14ac:dyDescent="0.3">
      <c r="B195"/>
      <c r="C195"/>
      <c r="D195"/>
      <c r="E195"/>
      <c r="F195"/>
      <c r="G195"/>
    </row>
    <row r="196" spans="2:7" ht="14.4" customHeight="1" x14ac:dyDescent="0.3">
      <c r="B196"/>
      <c r="C196"/>
      <c r="D196"/>
      <c r="E196"/>
      <c r="F196"/>
      <c r="G196"/>
    </row>
    <row r="197" spans="2:7" ht="14.4" customHeight="1" x14ac:dyDescent="0.3">
      <c r="B197"/>
      <c r="C197"/>
      <c r="D197"/>
      <c r="E197"/>
      <c r="F197"/>
      <c r="G197"/>
    </row>
    <row r="198" spans="2:7" ht="14.4" customHeight="1" x14ac:dyDescent="0.3">
      <c r="B198"/>
      <c r="C198"/>
      <c r="D198"/>
      <c r="E198"/>
      <c r="F198"/>
      <c r="G198"/>
    </row>
    <row r="199" spans="2:7" ht="14.4" customHeight="1" x14ac:dyDescent="0.3">
      <c r="B199"/>
      <c r="C199"/>
      <c r="D199"/>
      <c r="E199"/>
      <c r="F199"/>
      <c r="G199"/>
    </row>
    <row r="200" spans="2:7" ht="14.4" customHeight="1" x14ac:dyDescent="0.3">
      <c r="B200"/>
      <c r="C200"/>
      <c r="D200"/>
      <c r="E200"/>
      <c r="F200"/>
      <c r="G200"/>
    </row>
    <row r="201" spans="2:7" ht="14.4" customHeight="1" x14ac:dyDescent="0.3">
      <c r="B201"/>
      <c r="C201"/>
      <c r="D201"/>
      <c r="E201"/>
      <c r="F201"/>
      <c r="G201"/>
    </row>
    <row r="202" spans="2:7" ht="14.4" customHeight="1" x14ac:dyDescent="0.3">
      <c r="B202"/>
      <c r="C202"/>
      <c r="D202"/>
      <c r="E202"/>
      <c r="F202"/>
      <c r="G202"/>
    </row>
    <row r="203" spans="2:7" ht="28.8" customHeight="1" x14ac:dyDescent="0.3">
      <c r="B203"/>
      <c r="C203"/>
      <c r="D203"/>
      <c r="E203"/>
      <c r="F203"/>
      <c r="G203"/>
    </row>
    <row r="204" spans="2:7" ht="14.4" customHeight="1" x14ac:dyDescent="0.3">
      <c r="B204"/>
      <c r="C204"/>
      <c r="D204"/>
      <c r="E204"/>
      <c r="F204"/>
      <c r="G204"/>
    </row>
    <row r="205" spans="2:7" ht="14.4" customHeight="1" x14ac:dyDescent="0.3">
      <c r="B205"/>
      <c r="C205"/>
      <c r="D205"/>
      <c r="E205"/>
      <c r="F205"/>
      <c r="G205"/>
    </row>
    <row r="206" spans="2:7" ht="14.4" customHeight="1" x14ac:dyDescent="0.3">
      <c r="B206"/>
      <c r="C206"/>
      <c r="D206"/>
      <c r="E206"/>
      <c r="F206"/>
      <c r="G206"/>
    </row>
    <row r="207" spans="2:7" ht="14.4" customHeight="1" x14ac:dyDescent="0.3">
      <c r="B207"/>
      <c r="C207"/>
      <c r="D207"/>
      <c r="E207"/>
      <c r="F207"/>
      <c r="G207"/>
    </row>
    <row r="208" spans="2:7" ht="14.4" customHeight="1" x14ac:dyDescent="0.3">
      <c r="B208"/>
      <c r="C208"/>
      <c r="D208"/>
      <c r="E208"/>
      <c r="F208"/>
      <c r="G208"/>
    </row>
    <row r="209" spans="2:7" ht="14.4" customHeight="1" x14ac:dyDescent="0.3">
      <c r="B209"/>
      <c r="C209"/>
      <c r="D209"/>
      <c r="E209"/>
      <c r="F209"/>
      <c r="G209"/>
    </row>
    <row r="210" spans="2:7" ht="14.4" customHeight="1" x14ac:dyDescent="0.3">
      <c r="B210"/>
      <c r="C210"/>
      <c r="D210"/>
      <c r="E210"/>
      <c r="F210"/>
      <c r="G210"/>
    </row>
    <row r="211" spans="2:7" ht="28.95" customHeight="1" x14ac:dyDescent="0.3">
      <c r="B211"/>
      <c r="C211"/>
      <c r="D211"/>
      <c r="E211"/>
      <c r="F211"/>
      <c r="G211"/>
    </row>
    <row r="212" spans="2:7" ht="14.4" customHeight="1" x14ac:dyDescent="0.3">
      <c r="B212"/>
      <c r="C212"/>
      <c r="D212"/>
      <c r="E212"/>
      <c r="F212"/>
      <c r="G212"/>
    </row>
    <row r="213" spans="2:7" ht="28.95" customHeight="1" x14ac:dyDescent="0.3">
      <c r="B213"/>
      <c r="C213"/>
      <c r="D213"/>
      <c r="E213"/>
      <c r="F213"/>
      <c r="G213"/>
    </row>
    <row r="214" spans="2:7" ht="14.4" customHeight="1" x14ac:dyDescent="0.3">
      <c r="B214"/>
      <c r="C214"/>
      <c r="D214"/>
      <c r="E214"/>
      <c r="F214"/>
      <c r="G214"/>
    </row>
    <row r="215" spans="2:7" ht="14.4" customHeight="1" x14ac:dyDescent="0.3">
      <c r="B215"/>
      <c r="C215"/>
      <c r="D215"/>
      <c r="E215"/>
      <c r="F215"/>
      <c r="G215"/>
    </row>
    <row r="216" spans="2:7" ht="14.4" customHeight="1" x14ac:dyDescent="0.3">
      <c r="B216"/>
      <c r="C216"/>
      <c r="D216"/>
      <c r="E216"/>
      <c r="F216"/>
      <c r="G216"/>
    </row>
    <row r="217" spans="2:7" ht="14.4" customHeight="1" x14ac:dyDescent="0.3">
      <c r="B217"/>
      <c r="C217"/>
      <c r="D217"/>
      <c r="E217"/>
      <c r="F217"/>
      <c r="G217"/>
    </row>
    <row r="218" spans="2:7" ht="14.4" customHeight="1" x14ac:dyDescent="0.3">
      <c r="B218"/>
      <c r="C218"/>
      <c r="D218"/>
      <c r="E218"/>
      <c r="F218"/>
      <c r="G218"/>
    </row>
    <row r="219" spans="2:7" ht="14.4" customHeight="1" x14ac:dyDescent="0.3">
      <c r="B219"/>
      <c r="C219"/>
      <c r="D219"/>
      <c r="E219"/>
      <c r="F219"/>
      <c r="G219"/>
    </row>
    <row r="220" spans="2:7" ht="14.4" customHeight="1" x14ac:dyDescent="0.3">
      <c r="B220"/>
      <c r="C220"/>
      <c r="D220"/>
      <c r="E220"/>
      <c r="F220"/>
      <c r="G220"/>
    </row>
    <row r="221" spans="2:7" ht="14.4" customHeight="1" x14ac:dyDescent="0.3">
      <c r="B221"/>
      <c r="C221"/>
      <c r="D221"/>
      <c r="E221"/>
      <c r="F221"/>
      <c r="G221"/>
    </row>
    <row r="222" spans="2:7" ht="14.4" customHeight="1" x14ac:dyDescent="0.3">
      <c r="B222"/>
      <c r="C222"/>
      <c r="D222"/>
      <c r="E222"/>
      <c r="F222"/>
      <c r="G222"/>
    </row>
    <row r="223" spans="2:7" ht="14.4" customHeight="1" x14ac:dyDescent="0.3">
      <c r="B223"/>
      <c r="C223"/>
      <c r="D223"/>
      <c r="E223"/>
      <c r="F223"/>
      <c r="G223"/>
    </row>
    <row r="224" spans="2:7" ht="14.4" customHeight="1" x14ac:dyDescent="0.3">
      <c r="B224"/>
      <c r="C224"/>
      <c r="D224"/>
      <c r="E224"/>
      <c r="F224"/>
      <c r="G224"/>
    </row>
    <row r="225" spans="2:7" ht="14.4" customHeight="1" x14ac:dyDescent="0.3">
      <c r="B225"/>
      <c r="C225"/>
      <c r="D225"/>
      <c r="E225"/>
      <c r="F225"/>
      <c r="G225"/>
    </row>
    <row r="226" spans="2:7" ht="14.4" customHeight="1" x14ac:dyDescent="0.3">
      <c r="B226"/>
      <c r="C226"/>
      <c r="D226"/>
      <c r="E226"/>
      <c r="F226"/>
      <c r="G226"/>
    </row>
    <row r="227" spans="2:7" ht="14.4" customHeight="1" x14ac:dyDescent="0.3">
      <c r="B227"/>
      <c r="C227"/>
      <c r="D227"/>
      <c r="E227"/>
      <c r="F227"/>
      <c r="G227"/>
    </row>
    <row r="228" spans="2:7" ht="14.4" customHeight="1" x14ac:dyDescent="0.3">
      <c r="B228"/>
      <c r="C228"/>
      <c r="D228"/>
      <c r="E228"/>
      <c r="F228"/>
      <c r="G228"/>
    </row>
    <row r="229" spans="2:7" ht="14.4" customHeight="1" x14ac:dyDescent="0.3">
      <c r="B229"/>
      <c r="C229"/>
      <c r="D229"/>
      <c r="E229"/>
      <c r="F229"/>
      <c r="G229"/>
    </row>
    <row r="230" spans="2:7" ht="14.4" customHeight="1" x14ac:dyDescent="0.3">
      <c r="B230"/>
      <c r="C230"/>
      <c r="D230"/>
      <c r="E230"/>
      <c r="F230"/>
      <c r="G230"/>
    </row>
    <row r="231" spans="2:7" ht="14.4" customHeight="1" x14ac:dyDescent="0.3">
      <c r="B231"/>
      <c r="C231"/>
      <c r="D231"/>
      <c r="E231"/>
      <c r="F231"/>
      <c r="G231"/>
    </row>
    <row r="232" spans="2:7" ht="14.4" customHeight="1" x14ac:dyDescent="0.3">
      <c r="B232"/>
      <c r="C232"/>
      <c r="D232"/>
      <c r="E232"/>
      <c r="F232"/>
      <c r="G232"/>
    </row>
    <row r="233" spans="2:7" ht="14.4" customHeight="1" x14ac:dyDescent="0.3">
      <c r="B233"/>
      <c r="C233"/>
      <c r="D233"/>
      <c r="E233"/>
      <c r="F233"/>
      <c r="G233"/>
    </row>
    <row r="234" spans="2:7" ht="14.4" customHeight="1" x14ac:dyDescent="0.3">
      <c r="B234"/>
      <c r="C234"/>
      <c r="D234"/>
      <c r="E234"/>
      <c r="F234"/>
      <c r="G234"/>
    </row>
    <row r="235" spans="2:7" ht="14.4" customHeight="1" x14ac:dyDescent="0.3">
      <c r="B235"/>
      <c r="C235"/>
      <c r="D235"/>
      <c r="E235"/>
      <c r="F235"/>
      <c r="G235"/>
    </row>
    <row r="236" spans="2:7" ht="14.4" customHeight="1" x14ac:dyDescent="0.3">
      <c r="B236"/>
      <c r="C236"/>
      <c r="D236"/>
      <c r="E236"/>
      <c r="F236"/>
      <c r="G236"/>
    </row>
    <row r="237" spans="2:7" ht="14.4" customHeight="1" x14ac:dyDescent="0.3">
      <c r="B237"/>
      <c r="C237"/>
      <c r="D237"/>
      <c r="E237"/>
      <c r="F237"/>
      <c r="G237"/>
    </row>
    <row r="238" spans="2:7" ht="14.4" customHeight="1" x14ac:dyDescent="0.3">
      <c r="B238"/>
      <c r="C238"/>
      <c r="D238"/>
      <c r="E238"/>
      <c r="F238"/>
      <c r="G238"/>
    </row>
    <row r="239" spans="2:7" ht="14.4" customHeight="1" x14ac:dyDescent="0.3">
      <c r="B239"/>
      <c r="C239"/>
      <c r="D239"/>
      <c r="E239"/>
      <c r="F239"/>
      <c r="G239"/>
    </row>
    <row r="240" spans="2:7" ht="14.4" customHeight="1" x14ac:dyDescent="0.3">
      <c r="B240"/>
      <c r="C240"/>
      <c r="D240"/>
      <c r="E240"/>
      <c r="F240"/>
      <c r="G240"/>
    </row>
    <row r="241" spans="2:7" ht="14.4" customHeight="1" x14ac:dyDescent="0.3">
      <c r="B241"/>
      <c r="C241"/>
      <c r="D241"/>
      <c r="E241"/>
      <c r="F241"/>
      <c r="G241"/>
    </row>
    <row r="242" spans="2:7" ht="14.4" customHeight="1" x14ac:dyDescent="0.3">
      <c r="B242"/>
      <c r="C242"/>
      <c r="D242"/>
      <c r="E242"/>
      <c r="F242"/>
      <c r="G242"/>
    </row>
    <row r="243" spans="2:7" ht="14.4" customHeight="1" x14ac:dyDescent="0.3">
      <c r="B243"/>
      <c r="C243"/>
      <c r="D243"/>
      <c r="E243"/>
      <c r="F243"/>
      <c r="G243"/>
    </row>
    <row r="244" spans="2:7" ht="14.4" customHeight="1" x14ac:dyDescent="0.3">
      <c r="B244"/>
      <c r="C244"/>
      <c r="D244"/>
      <c r="E244"/>
      <c r="F244"/>
      <c r="G244"/>
    </row>
    <row r="245" spans="2:7" ht="14.4" customHeight="1" x14ac:dyDescent="0.3">
      <c r="B245"/>
      <c r="C245"/>
      <c r="D245"/>
      <c r="E245"/>
      <c r="F245"/>
      <c r="G245"/>
    </row>
    <row r="246" spans="2:7" ht="14.4" customHeight="1" x14ac:dyDescent="0.3">
      <c r="B246"/>
      <c r="C246"/>
      <c r="D246"/>
      <c r="E246"/>
      <c r="F246"/>
      <c r="G246"/>
    </row>
    <row r="247" spans="2:7" ht="14.4" customHeight="1" x14ac:dyDescent="0.3">
      <c r="B247"/>
      <c r="C247"/>
      <c r="D247"/>
      <c r="E247"/>
      <c r="F247"/>
      <c r="G247"/>
    </row>
    <row r="248" spans="2:7" ht="14.4" customHeight="1" x14ac:dyDescent="0.3">
      <c r="B248"/>
      <c r="C248"/>
      <c r="D248"/>
      <c r="E248"/>
      <c r="F248"/>
      <c r="G248"/>
    </row>
    <row r="249" spans="2:7" ht="14.4" customHeight="1" x14ac:dyDescent="0.3">
      <c r="B249"/>
      <c r="C249"/>
      <c r="D249"/>
      <c r="E249"/>
      <c r="F249"/>
      <c r="G249"/>
    </row>
    <row r="250" spans="2:7" ht="14.4" customHeight="1" x14ac:dyDescent="0.3">
      <c r="B250"/>
      <c r="C250"/>
      <c r="D250"/>
      <c r="E250"/>
      <c r="F250"/>
      <c r="G250"/>
    </row>
    <row r="251" spans="2:7" ht="28.8" customHeight="1" x14ac:dyDescent="0.3">
      <c r="B251"/>
      <c r="C251"/>
      <c r="D251"/>
      <c r="E251"/>
      <c r="F251"/>
      <c r="G251"/>
    </row>
    <row r="252" spans="2:7" ht="14.4" customHeight="1" x14ac:dyDescent="0.3">
      <c r="B252"/>
      <c r="C252"/>
      <c r="D252"/>
      <c r="E252"/>
      <c r="F252"/>
      <c r="G252"/>
    </row>
    <row r="253" spans="2:7" ht="14.4" customHeight="1" x14ac:dyDescent="0.3">
      <c r="B253"/>
      <c r="C253"/>
      <c r="D253"/>
      <c r="E253"/>
      <c r="F253"/>
      <c r="G253"/>
    </row>
    <row r="254" spans="2:7" ht="14.4" customHeight="1" x14ac:dyDescent="0.3">
      <c r="B254"/>
      <c r="C254"/>
      <c r="D254"/>
      <c r="E254"/>
      <c r="F254"/>
      <c r="G254"/>
    </row>
    <row r="255" spans="2:7" ht="14.4" customHeight="1" x14ac:dyDescent="0.3">
      <c r="B255"/>
      <c r="C255"/>
      <c r="D255"/>
      <c r="E255"/>
      <c r="F255"/>
      <c r="G255"/>
    </row>
    <row r="256" spans="2:7" ht="14.4" customHeight="1" x14ac:dyDescent="0.3">
      <c r="B256"/>
      <c r="C256"/>
      <c r="D256"/>
      <c r="E256"/>
      <c r="F256"/>
      <c r="G256"/>
    </row>
    <row r="257" spans="2:7" ht="14.4" customHeight="1" x14ac:dyDescent="0.3">
      <c r="B257"/>
      <c r="C257"/>
      <c r="D257"/>
      <c r="E257"/>
      <c r="F257"/>
      <c r="G257"/>
    </row>
    <row r="258" spans="2:7" ht="14.4" customHeight="1" x14ac:dyDescent="0.3">
      <c r="B258"/>
      <c r="C258"/>
      <c r="D258"/>
      <c r="E258"/>
      <c r="F258"/>
      <c r="G258"/>
    </row>
    <row r="259" spans="2:7" ht="14.4" customHeight="1" x14ac:dyDescent="0.3">
      <c r="B259"/>
      <c r="C259"/>
      <c r="D259"/>
      <c r="E259"/>
      <c r="F259"/>
      <c r="G259"/>
    </row>
    <row r="260" spans="2:7" ht="28.8" customHeight="1" x14ac:dyDescent="0.3">
      <c r="B260"/>
      <c r="C260"/>
      <c r="D260"/>
      <c r="E260"/>
      <c r="F260"/>
      <c r="G260"/>
    </row>
    <row r="261" spans="2:7" ht="14.4" customHeight="1" x14ac:dyDescent="0.3">
      <c r="B261"/>
      <c r="C261"/>
      <c r="D261"/>
      <c r="E261"/>
      <c r="F261"/>
      <c r="G261"/>
    </row>
    <row r="262" spans="2:7" ht="14.4" customHeight="1" x14ac:dyDescent="0.3">
      <c r="B262"/>
      <c r="C262"/>
      <c r="D262"/>
      <c r="E262"/>
      <c r="F262"/>
      <c r="G262"/>
    </row>
    <row r="263" spans="2:7" ht="14.4" customHeight="1" x14ac:dyDescent="0.3">
      <c r="B263"/>
      <c r="C263"/>
      <c r="D263"/>
      <c r="E263"/>
      <c r="F263"/>
      <c r="G263"/>
    </row>
    <row r="264" spans="2:7" ht="14.4" customHeight="1" x14ac:dyDescent="0.3">
      <c r="B264"/>
      <c r="C264"/>
      <c r="D264"/>
      <c r="E264"/>
      <c r="F264"/>
      <c r="G264"/>
    </row>
    <row r="265" spans="2:7" ht="14.4" customHeight="1" x14ac:dyDescent="0.3">
      <c r="B265"/>
      <c r="C265"/>
      <c r="D265"/>
      <c r="E265"/>
      <c r="F265"/>
      <c r="G265"/>
    </row>
  </sheetData>
  <conditionalFormatting sqref="D13:G13">
    <cfRule type="cellIs" dxfId="31" priority="73" operator="equal">
      <formula>0</formula>
    </cfRule>
    <cfRule type="cellIs" dxfId="30" priority="74" operator="lessThan">
      <formula>0</formula>
    </cfRule>
    <cfRule type="cellIs" dxfId="29" priority="75" operator="greaterThan">
      <formula>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5"/>
  <sheetViews>
    <sheetView showGridLines="0" workbookViewId="0">
      <selection activeCell="D8" sqref="D8"/>
    </sheetView>
  </sheetViews>
  <sheetFormatPr defaultColWidth="0" defaultRowHeight="14.4" zeroHeight="1" x14ac:dyDescent="0.3"/>
  <cols>
    <col min="1" max="1" width="8.88671875" customWidth="1"/>
    <col min="2" max="2" width="18.88671875" customWidth="1"/>
    <col min="3" max="3" width="8.88671875" customWidth="1"/>
    <col min="4" max="16384" width="8.88671875" hidden="1"/>
  </cols>
  <sheetData>
    <row r="1" spans="2:2" x14ac:dyDescent="0.3"/>
    <row r="2" spans="2:2" x14ac:dyDescent="0.3">
      <c r="B2" s="77" t="s">
        <v>252</v>
      </c>
    </row>
    <row r="3" spans="2:2" x14ac:dyDescent="0.3">
      <c r="B3" s="78" t="s">
        <v>251</v>
      </c>
    </row>
    <row r="4" spans="2:2" s="1" customFormat="1" x14ac:dyDescent="0.3">
      <c r="B4" s="79" t="s">
        <v>561</v>
      </c>
    </row>
    <row r="5" spans="2:2" s="1" customFormat="1" x14ac:dyDescent="0.3">
      <c r="B5" s="79" t="s">
        <v>580</v>
      </c>
    </row>
    <row r="6" spans="2:2" x14ac:dyDescent="0.3">
      <c r="B6" s="79" t="s">
        <v>268</v>
      </c>
    </row>
    <row r="7" spans="2:2" x14ac:dyDescent="0.3">
      <c r="B7" s="79" t="s">
        <v>575</v>
      </c>
    </row>
    <row r="8" spans="2:2" s="1" customFormat="1" x14ac:dyDescent="0.3">
      <c r="B8" s="80" t="s">
        <v>562</v>
      </c>
    </row>
    <row r="9" spans="2:2" x14ac:dyDescent="0.3"/>
    <row r="10" spans="2:2" x14ac:dyDescent="0.3"/>
    <row r="11" spans="2:2" x14ac:dyDescent="0.3">
      <c r="B11" s="77" t="s">
        <v>253</v>
      </c>
    </row>
    <row r="12" spans="2:2" x14ac:dyDescent="0.3">
      <c r="B12" s="78" t="s">
        <v>254</v>
      </c>
    </row>
    <row r="13" spans="2:2" x14ac:dyDescent="0.3">
      <c r="B13" s="80" t="s">
        <v>255</v>
      </c>
    </row>
    <row r="14" spans="2:2" x14ac:dyDescent="0.3"/>
    <row r="15" spans="2:2" x14ac:dyDescent="0.3"/>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155"/>
  <sheetViews>
    <sheetView showGridLines="0" workbookViewId="0">
      <selection activeCell="D8" sqref="D8"/>
    </sheetView>
  </sheetViews>
  <sheetFormatPr defaultRowHeight="14.4" x14ac:dyDescent="0.3"/>
  <cols>
    <col min="1" max="1" width="20" bestFit="1" customWidth="1"/>
    <col min="2" max="2" width="36.33203125" bestFit="1" customWidth="1"/>
    <col min="3" max="3" width="50.5546875" bestFit="1" customWidth="1"/>
    <col min="4" max="4" width="14.109375" bestFit="1" customWidth="1"/>
    <col min="5" max="5" width="12.6640625" bestFit="1" customWidth="1"/>
  </cols>
  <sheetData>
    <row r="1" spans="1:5" x14ac:dyDescent="0.3">
      <c r="A1" s="120" t="s">
        <v>269</v>
      </c>
      <c r="B1" s="120" t="s">
        <v>270</v>
      </c>
      <c r="C1" s="120" t="s">
        <v>271</v>
      </c>
      <c r="D1" s="120" t="s">
        <v>272</v>
      </c>
      <c r="E1" s="120" t="s">
        <v>273</v>
      </c>
    </row>
    <row r="2" spans="1:5" x14ac:dyDescent="0.3">
      <c r="A2" s="90" t="s">
        <v>274</v>
      </c>
      <c r="B2" s="90" t="s">
        <v>274</v>
      </c>
      <c r="C2" s="90" t="s">
        <v>0</v>
      </c>
      <c r="D2" s="90" t="s">
        <v>258</v>
      </c>
      <c r="E2" s="90" t="s">
        <v>258</v>
      </c>
    </row>
    <row r="3" spans="1:5" x14ac:dyDescent="0.3">
      <c r="A3" s="91" t="s">
        <v>275</v>
      </c>
      <c r="B3" s="91" t="s">
        <v>275</v>
      </c>
      <c r="C3" s="91" t="s">
        <v>276</v>
      </c>
      <c r="D3" s="91" t="s">
        <v>258</v>
      </c>
      <c r="E3" s="91" t="s">
        <v>258</v>
      </c>
    </row>
    <row r="4" spans="1:5" x14ac:dyDescent="0.3">
      <c r="A4" s="90" t="s">
        <v>246</v>
      </c>
      <c r="B4" s="90" t="s">
        <v>217</v>
      </c>
      <c r="C4" s="90" t="s">
        <v>277</v>
      </c>
      <c r="D4" s="90" t="s">
        <v>258</v>
      </c>
      <c r="E4" s="90" t="s">
        <v>258</v>
      </c>
    </row>
    <row r="5" spans="1:5" x14ac:dyDescent="0.3">
      <c r="A5" s="91" t="s">
        <v>15</v>
      </c>
      <c r="B5" s="91" t="s">
        <v>218</v>
      </c>
      <c r="C5" s="91" t="s">
        <v>278</v>
      </c>
      <c r="D5" s="91" t="s">
        <v>258</v>
      </c>
      <c r="E5" s="91" t="s">
        <v>258</v>
      </c>
    </row>
    <row r="6" spans="1:5" x14ac:dyDescent="0.3">
      <c r="A6" s="90" t="s">
        <v>279</v>
      </c>
      <c r="B6" s="90" t="s">
        <v>26</v>
      </c>
      <c r="C6" s="90" t="s">
        <v>26</v>
      </c>
      <c r="D6" s="90" t="s">
        <v>258</v>
      </c>
      <c r="E6" s="90" t="s">
        <v>259</v>
      </c>
    </row>
    <row r="7" spans="1:5" x14ac:dyDescent="0.3">
      <c r="A7" s="91" t="s">
        <v>54</v>
      </c>
      <c r="B7" s="91" t="s">
        <v>55</v>
      </c>
      <c r="C7" s="91" t="s">
        <v>280</v>
      </c>
      <c r="D7" s="91" t="s">
        <v>259</v>
      </c>
      <c r="E7" s="91" t="s">
        <v>258</v>
      </c>
    </row>
    <row r="8" spans="1:5" x14ac:dyDescent="0.3">
      <c r="A8" s="90" t="s">
        <v>56</v>
      </c>
      <c r="B8" s="90" t="s">
        <v>643</v>
      </c>
      <c r="C8" s="90" t="s">
        <v>281</v>
      </c>
      <c r="D8" s="90" t="s">
        <v>259</v>
      </c>
      <c r="E8" s="90" t="s">
        <v>258</v>
      </c>
    </row>
    <row r="9" spans="1:5" x14ac:dyDescent="0.3">
      <c r="A9" s="91" t="s">
        <v>58</v>
      </c>
      <c r="B9" s="91" t="s">
        <v>59</v>
      </c>
      <c r="C9" s="91" t="s">
        <v>282</v>
      </c>
      <c r="D9" s="91" t="s">
        <v>259</v>
      </c>
      <c r="E9" s="91" t="s">
        <v>258</v>
      </c>
    </row>
    <row r="10" spans="1:5" x14ac:dyDescent="0.3">
      <c r="A10" s="90" t="s">
        <v>60</v>
      </c>
      <c r="B10" s="90" t="s">
        <v>644</v>
      </c>
      <c r="C10" s="90" t="s">
        <v>283</v>
      </c>
      <c r="D10" s="90" t="s">
        <v>259</v>
      </c>
      <c r="E10" s="90" t="s">
        <v>258</v>
      </c>
    </row>
    <row r="11" spans="1:5" x14ac:dyDescent="0.3">
      <c r="A11" s="91" t="s">
        <v>61</v>
      </c>
      <c r="B11" s="91" t="s">
        <v>62</v>
      </c>
      <c r="C11" s="91" t="s">
        <v>284</v>
      </c>
      <c r="D11" s="91" t="s">
        <v>259</v>
      </c>
      <c r="E11" s="91" t="s">
        <v>258</v>
      </c>
    </row>
    <row r="12" spans="1:5" x14ac:dyDescent="0.3">
      <c r="A12" s="90" t="s">
        <v>63</v>
      </c>
      <c r="B12" s="90" t="s">
        <v>64</v>
      </c>
      <c r="C12" s="90" t="s">
        <v>285</v>
      </c>
      <c r="D12" s="90" t="s">
        <v>259</v>
      </c>
      <c r="E12" s="90" t="s">
        <v>258</v>
      </c>
    </row>
    <row r="13" spans="1:5" x14ac:dyDescent="0.3">
      <c r="A13" s="91" t="s">
        <v>65</v>
      </c>
      <c r="B13" s="91" t="s">
        <v>66</v>
      </c>
      <c r="C13" s="91" t="s">
        <v>286</v>
      </c>
      <c r="D13" s="91" t="s">
        <v>259</v>
      </c>
      <c r="E13" s="91" t="s">
        <v>258</v>
      </c>
    </row>
    <row r="14" spans="1:5" x14ac:dyDescent="0.3">
      <c r="A14" s="90" t="s">
        <v>67</v>
      </c>
      <c r="B14" s="90" t="s">
        <v>68</v>
      </c>
      <c r="C14" s="90" t="s">
        <v>287</v>
      </c>
      <c r="D14" s="90" t="s">
        <v>259</v>
      </c>
      <c r="E14" s="90" t="s">
        <v>258</v>
      </c>
    </row>
    <row r="15" spans="1:5" x14ac:dyDescent="0.3">
      <c r="A15" s="91" t="s">
        <v>69</v>
      </c>
      <c r="B15" s="91" t="s">
        <v>70</v>
      </c>
      <c r="C15" s="91" t="s">
        <v>288</v>
      </c>
      <c r="D15" s="91" t="s">
        <v>259</v>
      </c>
      <c r="E15" s="91" t="s">
        <v>258</v>
      </c>
    </row>
    <row r="16" spans="1:5" x14ac:dyDescent="0.3">
      <c r="A16" s="90" t="s">
        <v>71</v>
      </c>
      <c r="B16" s="90" t="s">
        <v>72</v>
      </c>
      <c r="C16" s="90" t="s">
        <v>289</v>
      </c>
      <c r="D16" s="90" t="s">
        <v>259</v>
      </c>
      <c r="E16" s="90" t="s">
        <v>258</v>
      </c>
    </row>
    <row r="17" spans="1:5" x14ac:dyDescent="0.3">
      <c r="A17" s="91" t="s">
        <v>73</v>
      </c>
      <c r="B17" s="91" t="s">
        <v>645</v>
      </c>
      <c r="C17" s="91" t="s">
        <v>290</v>
      </c>
      <c r="D17" s="91" t="s">
        <v>259</v>
      </c>
      <c r="E17" s="91" t="s">
        <v>258</v>
      </c>
    </row>
    <row r="18" spans="1:5" x14ac:dyDescent="0.3">
      <c r="A18" s="90" t="s">
        <v>75</v>
      </c>
      <c r="B18" s="90" t="s">
        <v>646</v>
      </c>
      <c r="C18" s="90" t="s">
        <v>291</v>
      </c>
      <c r="D18" s="90" t="s">
        <v>259</v>
      </c>
      <c r="E18" s="90" t="s">
        <v>258</v>
      </c>
    </row>
    <row r="19" spans="1:5" x14ac:dyDescent="0.3">
      <c r="A19" s="91" t="s">
        <v>77</v>
      </c>
      <c r="B19" s="91" t="s">
        <v>647</v>
      </c>
      <c r="C19" s="91" t="s">
        <v>292</v>
      </c>
      <c r="D19" s="91" t="s">
        <v>259</v>
      </c>
      <c r="E19" s="91" t="s">
        <v>258</v>
      </c>
    </row>
    <row r="20" spans="1:5" x14ac:dyDescent="0.3">
      <c r="A20" s="90" t="s">
        <v>79</v>
      </c>
      <c r="B20" s="90" t="s">
        <v>80</v>
      </c>
      <c r="C20" s="90" t="s">
        <v>293</v>
      </c>
      <c r="D20" s="90" t="s">
        <v>259</v>
      </c>
      <c r="E20" s="90" t="s">
        <v>258</v>
      </c>
    </row>
    <row r="21" spans="1:5" x14ac:dyDescent="0.3">
      <c r="A21" s="91" t="s">
        <v>81</v>
      </c>
      <c r="B21" s="91" t="s">
        <v>648</v>
      </c>
      <c r="C21" s="91" t="s">
        <v>294</v>
      </c>
      <c r="D21" s="91" t="s">
        <v>259</v>
      </c>
      <c r="E21" s="91" t="s">
        <v>258</v>
      </c>
    </row>
    <row r="22" spans="1:5" x14ac:dyDescent="0.3">
      <c r="A22" s="90" t="s">
        <v>82</v>
      </c>
      <c r="B22" s="90" t="s">
        <v>649</v>
      </c>
      <c r="C22" s="90" t="s">
        <v>295</v>
      </c>
      <c r="D22" s="90" t="s">
        <v>259</v>
      </c>
      <c r="E22" s="90" t="s">
        <v>258</v>
      </c>
    </row>
    <row r="23" spans="1:5" x14ac:dyDescent="0.3">
      <c r="A23" s="91" t="s">
        <v>83</v>
      </c>
      <c r="B23" s="91" t="s">
        <v>84</v>
      </c>
      <c r="C23" s="91" t="s">
        <v>296</v>
      </c>
      <c r="D23" s="91" t="s">
        <v>259</v>
      </c>
      <c r="E23" s="91" t="s">
        <v>258</v>
      </c>
    </row>
    <row r="24" spans="1:5" x14ac:dyDescent="0.3">
      <c r="A24" s="90" t="s">
        <v>85</v>
      </c>
      <c r="B24" s="90" t="s">
        <v>86</v>
      </c>
      <c r="C24" s="90" t="s">
        <v>297</v>
      </c>
      <c r="D24" s="90" t="s">
        <v>259</v>
      </c>
      <c r="E24" s="90" t="s">
        <v>258</v>
      </c>
    </row>
    <row r="25" spans="1:5" x14ac:dyDescent="0.3">
      <c r="A25" s="91" t="s">
        <v>87</v>
      </c>
      <c r="B25" s="91" t="s">
        <v>650</v>
      </c>
      <c r="C25" s="91" t="s">
        <v>298</v>
      </c>
      <c r="D25" s="91" t="s">
        <v>259</v>
      </c>
      <c r="E25" s="91" t="s">
        <v>258</v>
      </c>
    </row>
    <row r="26" spans="1:5" x14ac:dyDescent="0.3">
      <c r="A26" s="90" t="s">
        <v>89</v>
      </c>
      <c r="B26" s="90" t="s">
        <v>651</v>
      </c>
      <c r="C26" s="90" t="s">
        <v>299</v>
      </c>
      <c r="D26" s="90" t="s">
        <v>259</v>
      </c>
      <c r="E26" s="90" t="s">
        <v>258</v>
      </c>
    </row>
    <row r="27" spans="1:5" x14ac:dyDescent="0.3">
      <c r="A27" s="91" t="s">
        <v>90</v>
      </c>
      <c r="B27" s="91" t="s">
        <v>91</v>
      </c>
      <c r="C27" s="91" t="s">
        <v>300</v>
      </c>
      <c r="D27" s="91" t="s">
        <v>259</v>
      </c>
      <c r="E27" s="91" t="s">
        <v>258</v>
      </c>
    </row>
    <row r="28" spans="1:5" x14ac:dyDescent="0.3">
      <c r="A28" s="90" t="s">
        <v>92</v>
      </c>
      <c r="B28" s="90" t="s">
        <v>93</v>
      </c>
      <c r="C28" s="90" t="s">
        <v>301</v>
      </c>
      <c r="D28" s="90" t="s">
        <v>259</v>
      </c>
      <c r="E28" s="90" t="s">
        <v>258</v>
      </c>
    </row>
    <row r="29" spans="1:5" x14ac:dyDescent="0.3">
      <c r="A29" s="91" t="s">
        <v>94</v>
      </c>
      <c r="B29" s="91" t="s">
        <v>95</v>
      </c>
      <c r="C29" s="91" t="s">
        <v>302</v>
      </c>
      <c r="D29" s="91" t="s">
        <v>259</v>
      </c>
      <c r="E29" s="91" t="s">
        <v>258</v>
      </c>
    </row>
    <row r="30" spans="1:5" x14ac:dyDescent="0.3">
      <c r="A30" s="90" t="s">
        <v>96</v>
      </c>
      <c r="B30" s="90" t="s">
        <v>97</v>
      </c>
      <c r="C30" s="90" t="s">
        <v>303</v>
      </c>
      <c r="D30" s="90" t="s">
        <v>259</v>
      </c>
      <c r="E30" s="90" t="s">
        <v>258</v>
      </c>
    </row>
    <row r="31" spans="1:5" x14ac:dyDescent="0.3">
      <c r="A31" s="91" t="s">
        <v>98</v>
      </c>
      <c r="B31" s="91" t="s">
        <v>99</v>
      </c>
      <c r="C31" s="91" t="s">
        <v>304</v>
      </c>
      <c r="D31" s="91" t="s">
        <v>259</v>
      </c>
      <c r="E31" s="91" t="s">
        <v>258</v>
      </c>
    </row>
    <row r="32" spans="1:5" x14ac:dyDescent="0.3">
      <c r="A32" s="90" t="s">
        <v>100</v>
      </c>
      <c r="B32" s="90" t="s">
        <v>652</v>
      </c>
      <c r="C32" s="90" t="s">
        <v>305</v>
      </c>
      <c r="D32" s="90" t="s">
        <v>259</v>
      </c>
      <c r="E32" s="90" t="s">
        <v>258</v>
      </c>
    </row>
    <row r="33" spans="1:5" x14ac:dyDescent="0.3">
      <c r="A33" s="91" t="s">
        <v>102</v>
      </c>
      <c r="B33" s="91" t="s">
        <v>653</v>
      </c>
      <c r="C33" s="91" t="s">
        <v>306</v>
      </c>
      <c r="D33" s="91" t="s">
        <v>259</v>
      </c>
      <c r="E33" s="91" t="s">
        <v>258</v>
      </c>
    </row>
    <row r="34" spans="1:5" x14ac:dyDescent="0.3">
      <c r="A34" s="90" t="s">
        <v>103</v>
      </c>
      <c r="B34" s="90" t="s">
        <v>654</v>
      </c>
      <c r="C34" s="90" t="s">
        <v>307</v>
      </c>
      <c r="D34" s="90" t="s">
        <v>259</v>
      </c>
      <c r="E34" s="90" t="s">
        <v>258</v>
      </c>
    </row>
    <row r="35" spans="1:5" x14ac:dyDescent="0.3">
      <c r="A35" s="91" t="s">
        <v>105</v>
      </c>
      <c r="B35" s="91" t="s">
        <v>106</v>
      </c>
      <c r="C35" s="91" t="s">
        <v>308</v>
      </c>
      <c r="D35" s="91" t="s">
        <v>259</v>
      </c>
      <c r="E35" s="91" t="s">
        <v>258</v>
      </c>
    </row>
    <row r="36" spans="1:5" x14ac:dyDescent="0.3">
      <c r="A36" s="90" t="s">
        <v>107</v>
      </c>
      <c r="B36" s="90" t="s">
        <v>655</v>
      </c>
      <c r="C36" s="90" t="s">
        <v>309</v>
      </c>
      <c r="D36" s="90" t="s">
        <v>259</v>
      </c>
      <c r="E36" s="90" t="s">
        <v>258</v>
      </c>
    </row>
    <row r="37" spans="1:5" x14ac:dyDescent="0.3">
      <c r="A37" s="91" t="s">
        <v>108</v>
      </c>
      <c r="B37" s="91" t="s">
        <v>109</v>
      </c>
      <c r="C37" s="91" t="s">
        <v>310</v>
      </c>
      <c r="D37" s="91" t="s">
        <v>259</v>
      </c>
      <c r="E37" s="91" t="s">
        <v>258</v>
      </c>
    </row>
    <row r="38" spans="1:5" x14ac:dyDescent="0.3">
      <c r="A38" s="90" t="s">
        <v>110</v>
      </c>
      <c r="B38" s="90" t="s">
        <v>111</v>
      </c>
      <c r="C38" s="90" t="s">
        <v>311</v>
      </c>
      <c r="D38" s="90" t="s">
        <v>259</v>
      </c>
      <c r="E38" s="90" t="s">
        <v>258</v>
      </c>
    </row>
    <row r="39" spans="1:5" x14ac:dyDescent="0.3">
      <c r="A39" s="91" t="s">
        <v>112</v>
      </c>
      <c r="B39" s="91" t="s">
        <v>113</v>
      </c>
      <c r="C39" s="91" t="s">
        <v>312</v>
      </c>
      <c r="D39" s="91" t="s">
        <v>259</v>
      </c>
      <c r="E39" s="91" t="s">
        <v>258</v>
      </c>
    </row>
    <row r="40" spans="1:5" x14ac:dyDescent="0.3">
      <c r="A40" s="90" t="s">
        <v>114</v>
      </c>
      <c r="B40" s="90" t="s">
        <v>115</v>
      </c>
      <c r="C40" s="90" t="s">
        <v>313</v>
      </c>
      <c r="D40" s="90" t="s">
        <v>259</v>
      </c>
      <c r="E40" s="90" t="s">
        <v>258</v>
      </c>
    </row>
    <row r="41" spans="1:5" x14ac:dyDescent="0.3">
      <c r="A41" s="91" t="s">
        <v>116</v>
      </c>
      <c r="B41" s="91" t="s">
        <v>117</v>
      </c>
      <c r="C41" s="91" t="s">
        <v>314</v>
      </c>
      <c r="D41" s="91" t="s">
        <v>259</v>
      </c>
      <c r="E41" s="91" t="s">
        <v>258</v>
      </c>
    </row>
    <row r="42" spans="1:5" x14ac:dyDescent="0.3">
      <c r="A42" s="90" t="s">
        <v>118</v>
      </c>
      <c r="B42" s="90" t="s">
        <v>119</v>
      </c>
      <c r="C42" s="90" t="s">
        <v>315</v>
      </c>
      <c r="D42" s="90" t="s">
        <v>259</v>
      </c>
      <c r="E42" s="90" t="s">
        <v>258</v>
      </c>
    </row>
    <row r="43" spans="1:5" x14ac:dyDescent="0.3">
      <c r="A43" s="91" t="s">
        <v>120</v>
      </c>
      <c r="B43" s="91" t="s">
        <v>121</v>
      </c>
      <c r="C43" s="91" t="s">
        <v>316</v>
      </c>
      <c r="D43" s="91" t="s">
        <v>259</v>
      </c>
      <c r="E43" s="91" t="s">
        <v>258</v>
      </c>
    </row>
    <row r="44" spans="1:5" x14ac:dyDescent="0.3">
      <c r="A44" s="90" t="s">
        <v>122</v>
      </c>
      <c r="B44" s="90" t="s">
        <v>123</v>
      </c>
      <c r="C44" s="90" t="s">
        <v>317</v>
      </c>
      <c r="D44" s="90" t="s">
        <v>259</v>
      </c>
      <c r="E44" s="90" t="s">
        <v>258</v>
      </c>
    </row>
    <row r="45" spans="1:5" x14ac:dyDescent="0.3">
      <c r="A45" s="91" t="s">
        <v>124</v>
      </c>
      <c r="B45" s="91" t="s">
        <v>125</v>
      </c>
      <c r="C45" s="91" t="s">
        <v>318</v>
      </c>
      <c r="D45" s="91" t="s">
        <v>259</v>
      </c>
      <c r="E45" s="91" t="s">
        <v>258</v>
      </c>
    </row>
    <row r="46" spans="1:5" x14ac:dyDescent="0.3">
      <c r="A46" s="90" t="s">
        <v>126</v>
      </c>
      <c r="B46" s="90" t="s">
        <v>127</v>
      </c>
      <c r="C46" s="90" t="s">
        <v>319</v>
      </c>
      <c r="D46" s="90" t="s">
        <v>259</v>
      </c>
      <c r="E46" s="90" t="s">
        <v>258</v>
      </c>
    </row>
    <row r="47" spans="1:5" x14ac:dyDescent="0.3">
      <c r="A47" s="91" t="s">
        <v>128</v>
      </c>
      <c r="B47" s="91" t="s">
        <v>656</v>
      </c>
      <c r="C47" s="91" t="s">
        <v>320</v>
      </c>
      <c r="D47" s="91" t="s">
        <v>259</v>
      </c>
      <c r="E47" s="91" t="s">
        <v>258</v>
      </c>
    </row>
    <row r="48" spans="1:5" x14ac:dyDescent="0.3">
      <c r="A48" s="90" t="s">
        <v>130</v>
      </c>
      <c r="B48" s="90" t="s">
        <v>657</v>
      </c>
      <c r="C48" s="90" t="s">
        <v>321</v>
      </c>
      <c r="D48" s="90" t="s">
        <v>259</v>
      </c>
      <c r="E48" s="90" t="s">
        <v>258</v>
      </c>
    </row>
    <row r="49" spans="1:5" x14ac:dyDescent="0.3">
      <c r="A49" s="91" t="s">
        <v>131</v>
      </c>
      <c r="B49" s="91" t="s">
        <v>132</v>
      </c>
      <c r="C49" s="91" t="s">
        <v>322</v>
      </c>
      <c r="D49" s="91" t="s">
        <v>259</v>
      </c>
      <c r="E49" s="91" t="s">
        <v>258</v>
      </c>
    </row>
    <row r="50" spans="1:5" x14ac:dyDescent="0.3">
      <c r="A50" s="90" t="s">
        <v>133</v>
      </c>
      <c r="B50" s="90" t="s">
        <v>658</v>
      </c>
      <c r="C50" s="90" t="s">
        <v>323</v>
      </c>
      <c r="D50" s="90" t="s">
        <v>259</v>
      </c>
      <c r="E50" s="90" t="s">
        <v>258</v>
      </c>
    </row>
    <row r="51" spans="1:5" x14ac:dyDescent="0.3">
      <c r="A51" s="91" t="s">
        <v>135</v>
      </c>
      <c r="B51" s="91" t="s">
        <v>659</v>
      </c>
      <c r="C51" s="91" t="s">
        <v>324</v>
      </c>
      <c r="D51" s="91" t="s">
        <v>259</v>
      </c>
      <c r="E51" s="91" t="s">
        <v>258</v>
      </c>
    </row>
    <row r="52" spans="1:5" x14ac:dyDescent="0.3">
      <c r="A52" s="90" t="s">
        <v>136</v>
      </c>
      <c r="B52" s="90" t="s">
        <v>137</v>
      </c>
      <c r="C52" s="90" t="s">
        <v>325</v>
      </c>
      <c r="D52" s="90" t="s">
        <v>259</v>
      </c>
      <c r="E52" s="90" t="s">
        <v>258</v>
      </c>
    </row>
    <row r="53" spans="1:5" x14ac:dyDescent="0.3">
      <c r="A53" s="91" t="s">
        <v>138</v>
      </c>
      <c r="B53" s="91" t="s">
        <v>139</v>
      </c>
      <c r="C53" s="91" t="s">
        <v>326</v>
      </c>
      <c r="D53" s="91" t="s">
        <v>259</v>
      </c>
      <c r="E53" s="91" t="s">
        <v>258</v>
      </c>
    </row>
    <row r="54" spans="1:5" x14ac:dyDescent="0.3">
      <c r="A54" s="90" t="s">
        <v>140</v>
      </c>
      <c r="B54" s="90" t="s">
        <v>141</v>
      </c>
      <c r="C54" s="90" t="s">
        <v>327</v>
      </c>
      <c r="D54" s="90" t="s">
        <v>259</v>
      </c>
      <c r="E54" s="90" t="s">
        <v>258</v>
      </c>
    </row>
    <row r="55" spans="1:5" x14ac:dyDescent="0.3">
      <c r="A55" s="91" t="s">
        <v>142</v>
      </c>
      <c r="B55" s="91" t="s">
        <v>143</v>
      </c>
      <c r="C55" s="91" t="s">
        <v>328</v>
      </c>
      <c r="D55" s="91" t="s">
        <v>259</v>
      </c>
      <c r="E55" s="91" t="s">
        <v>258</v>
      </c>
    </row>
    <row r="56" spans="1:5" x14ac:dyDescent="0.3">
      <c r="A56" s="90" t="s">
        <v>144</v>
      </c>
      <c r="B56" s="90" t="s">
        <v>145</v>
      </c>
      <c r="C56" s="90" t="s">
        <v>329</v>
      </c>
      <c r="D56" s="90" t="s">
        <v>259</v>
      </c>
      <c r="E56" s="90" t="s">
        <v>258</v>
      </c>
    </row>
    <row r="57" spans="1:5" x14ac:dyDescent="0.3">
      <c r="A57" s="91" t="s">
        <v>146</v>
      </c>
      <c r="B57" s="91" t="s">
        <v>147</v>
      </c>
      <c r="C57" s="91" t="s">
        <v>330</v>
      </c>
      <c r="D57" s="91" t="s">
        <v>259</v>
      </c>
      <c r="E57" s="91" t="s">
        <v>258</v>
      </c>
    </row>
    <row r="58" spans="1:5" x14ac:dyDescent="0.3">
      <c r="A58" s="90" t="s">
        <v>148</v>
      </c>
      <c r="B58" s="90" t="s">
        <v>149</v>
      </c>
      <c r="C58" s="90" t="s">
        <v>331</v>
      </c>
      <c r="D58" s="90" t="s">
        <v>259</v>
      </c>
      <c r="E58" s="90" t="s">
        <v>258</v>
      </c>
    </row>
    <row r="59" spans="1:5" x14ac:dyDescent="0.3">
      <c r="A59" s="91" t="s">
        <v>150</v>
      </c>
      <c r="B59" s="91" t="s">
        <v>151</v>
      </c>
      <c r="C59" s="91" t="s">
        <v>332</v>
      </c>
      <c r="D59" s="91" t="s">
        <v>259</v>
      </c>
      <c r="E59" s="91" t="s">
        <v>258</v>
      </c>
    </row>
    <row r="60" spans="1:5" x14ac:dyDescent="0.3">
      <c r="A60" s="90" t="s">
        <v>152</v>
      </c>
      <c r="B60" s="90" t="s">
        <v>153</v>
      </c>
      <c r="C60" s="90" t="s">
        <v>333</v>
      </c>
      <c r="D60" s="90" t="s">
        <v>259</v>
      </c>
      <c r="E60" s="90" t="s">
        <v>258</v>
      </c>
    </row>
    <row r="61" spans="1:5" x14ac:dyDescent="0.3">
      <c r="A61" s="91" t="s">
        <v>154</v>
      </c>
      <c r="B61" s="91" t="s">
        <v>155</v>
      </c>
      <c r="C61" s="91" t="s">
        <v>334</v>
      </c>
      <c r="D61" s="91" t="s">
        <v>259</v>
      </c>
      <c r="E61" s="91" t="s">
        <v>258</v>
      </c>
    </row>
    <row r="62" spans="1:5" x14ac:dyDescent="0.3">
      <c r="A62" s="90" t="s">
        <v>156</v>
      </c>
      <c r="B62" s="90" t="s">
        <v>157</v>
      </c>
      <c r="C62" s="90" t="s">
        <v>335</v>
      </c>
      <c r="D62" s="90" t="s">
        <v>259</v>
      </c>
      <c r="E62" s="90" t="s">
        <v>258</v>
      </c>
    </row>
    <row r="63" spans="1:5" x14ac:dyDescent="0.3">
      <c r="A63" s="91" t="s">
        <v>158</v>
      </c>
      <c r="B63" s="91" t="s">
        <v>159</v>
      </c>
      <c r="C63" s="91" t="s">
        <v>336</v>
      </c>
      <c r="D63" s="91" t="s">
        <v>259</v>
      </c>
      <c r="E63" s="91" t="s">
        <v>258</v>
      </c>
    </row>
    <row r="64" spans="1:5" x14ac:dyDescent="0.3">
      <c r="A64" s="90" t="s">
        <v>160</v>
      </c>
      <c r="B64" s="90" t="s">
        <v>161</v>
      </c>
      <c r="C64" s="90" t="s">
        <v>337</v>
      </c>
      <c r="D64" s="90" t="s">
        <v>259</v>
      </c>
      <c r="E64" s="90" t="s">
        <v>258</v>
      </c>
    </row>
    <row r="65" spans="1:5" x14ac:dyDescent="0.3">
      <c r="A65" s="91" t="s">
        <v>162</v>
      </c>
      <c r="B65" s="91" t="s">
        <v>163</v>
      </c>
      <c r="C65" s="91" t="s">
        <v>338</v>
      </c>
      <c r="D65" s="91" t="s">
        <v>259</v>
      </c>
      <c r="E65" s="91" t="s">
        <v>258</v>
      </c>
    </row>
    <row r="66" spans="1:5" x14ac:dyDescent="0.3">
      <c r="A66" s="90" t="s">
        <v>164</v>
      </c>
      <c r="B66" s="90" t="s">
        <v>165</v>
      </c>
      <c r="C66" s="90" t="s">
        <v>339</v>
      </c>
      <c r="D66" s="90" t="s">
        <v>259</v>
      </c>
      <c r="E66" s="90" t="s">
        <v>258</v>
      </c>
    </row>
    <row r="67" spans="1:5" x14ac:dyDescent="0.3">
      <c r="A67" s="91" t="s">
        <v>166</v>
      </c>
      <c r="B67" s="91" t="s">
        <v>167</v>
      </c>
      <c r="C67" s="91" t="s">
        <v>340</v>
      </c>
      <c r="D67" s="91" t="s">
        <v>259</v>
      </c>
      <c r="E67" s="91" t="s">
        <v>258</v>
      </c>
    </row>
    <row r="68" spans="1:5" x14ac:dyDescent="0.3">
      <c r="A68" s="90" t="s">
        <v>168</v>
      </c>
      <c r="B68" s="90" t="s">
        <v>169</v>
      </c>
      <c r="C68" s="90" t="s">
        <v>341</v>
      </c>
      <c r="D68" s="90" t="s">
        <v>259</v>
      </c>
      <c r="E68" s="90" t="s">
        <v>258</v>
      </c>
    </row>
    <row r="69" spans="1:5" x14ac:dyDescent="0.3">
      <c r="A69" s="91" t="s">
        <v>170</v>
      </c>
      <c r="B69" s="91" t="s">
        <v>171</v>
      </c>
      <c r="C69" s="91" t="s">
        <v>342</v>
      </c>
      <c r="D69" s="91" t="s">
        <v>259</v>
      </c>
      <c r="E69" s="91" t="s">
        <v>258</v>
      </c>
    </row>
    <row r="70" spans="1:5" x14ac:dyDescent="0.3">
      <c r="A70" s="90" t="s">
        <v>172</v>
      </c>
      <c r="B70" s="90" t="s">
        <v>173</v>
      </c>
      <c r="C70" s="90" t="s">
        <v>343</v>
      </c>
      <c r="D70" s="90" t="s">
        <v>259</v>
      </c>
      <c r="E70" s="90" t="s">
        <v>258</v>
      </c>
    </row>
    <row r="71" spans="1:5" x14ac:dyDescent="0.3">
      <c r="A71" s="91" t="s">
        <v>174</v>
      </c>
      <c r="B71" s="91" t="s">
        <v>175</v>
      </c>
      <c r="C71" s="91" t="s">
        <v>344</v>
      </c>
      <c r="D71" s="91" t="s">
        <v>259</v>
      </c>
      <c r="E71" s="91" t="s">
        <v>258</v>
      </c>
    </row>
    <row r="72" spans="1:5" x14ac:dyDescent="0.3">
      <c r="A72" s="90" t="s">
        <v>176</v>
      </c>
      <c r="B72" s="90" t="s">
        <v>177</v>
      </c>
      <c r="C72" s="90" t="s">
        <v>345</v>
      </c>
      <c r="D72" s="90" t="s">
        <v>259</v>
      </c>
      <c r="E72" s="90" t="s">
        <v>258</v>
      </c>
    </row>
    <row r="73" spans="1:5" x14ac:dyDescent="0.3">
      <c r="A73" s="91" t="s">
        <v>178</v>
      </c>
      <c r="B73" s="91" t="s">
        <v>179</v>
      </c>
      <c r="C73" s="91" t="s">
        <v>346</v>
      </c>
      <c r="D73" s="91" t="s">
        <v>259</v>
      </c>
      <c r="E73" s="91" t="s">
        <v>258</v>
      </c>
    </row>
    <row r="74" spans="1:5" x14ac:dyDescent="0.3">
      <c r="A74" s="90" t="s">
        <v>180</v>
      </c>
      <c r="B74" s="90" t="s">
        <v>181</v>
      </c>
      <c r="C74" s="90" t="s">
        <v>347</v>
      </c>
      <c r="D74" s="90" t="s">
        <v>259</v>
      </c>
      <c r="E74" s="90" t="s">
        <v>258</v>
      </c>
    </row>
    <row r="75" spans="1:5" x14ac:dyDescent="0.3">
      <c r="A75" s="91" t="s">
        <v>182</v>
      </c>
      <c r="B75" s="91" t="s">
        <v>183</v>
      </c>
      <c r="C75" s="91" t="s">
        <v>348</v>
      </c>
      <c r="D75" s="91" t="s">
        <v>259</v>
      </c>
      <c r="E75" s="91" t="s">
        <v>258</v>
      </c>
    </row>
    <row r="76" spans="1:5" x14ac:dyDescent="0.3">
      <c r="A76" s="90" t="s">
        <v>184</v>
      </c>
      <c r="B76" s="90" t="s">
        <v>185</v>
      </c>
      <c r="C76" s="90" t="s">
        <v>349</v>
      </c>
      <c r="D76" s="90" t="s">
        <v>259</v>
      </c>
      <c r="E76" s="90" t="s">
        <v>258</v>
      </c>
    </row>
    <row r="77" spans="1:5" x14ac:dyDescent="0.3">
      <c r="A77" s="91" t="s">
        <v>186</v>
      </c>
      <c r="B77" s="91" t="s">
        <v>187</v>
      </c>
      <c r="C77" s="91" t="s">
        <v>350</v>
      </c>
      <c r="D77" s="91" t="s">
        <v>259</v>
      </c>
      <c r="E77" s="91" t="s">
        <v>258</v>
      </c>
    </row>
    <row r="78" spans="1:5" x14ac:dyDescent="0.3">
      <c r="A78" s="90" t="s">
        <v>188</v>
      </c>
      <c r="B78" s="90" t="s">
        <v>189</v>
      </c>
      <c r="C78" s="90" t="s">
        <v>351</v>
      </c>
      <c r="D78" s="90" t="s">
        <v>259</v>
      </c>
      <c r="E78" s="90" t="s">
        <v>258</v>
      </c>
    </row>
    <row r="79" spans="1:5" x14ac:dyDescent="0.3">
      <c r="A79" s="91" t="s">
        <v>190</v>
      </c>
      <c r="B79" s="91" t="s">
        <v>191</v>
      </c>
      <c r="C79" s="91" t="s">
        <v>352</v>
      </c>
      <c r="D79" s="91" t="s">
        <v>259</v>
      </c>
      <c r="E79" s="91" t="s">
        <v>258</v>
      </c>
    </row>
    <row r="80" spans="1:5" x14ac:dyDescent="0.3">
      <c r="A80" s="90" t="s">
        <v>192</v>
      </c>
      <c r="B80" s="90" t="s">
        <v>193</v>
      </c>
      <c r="C80" s="90" t="s">
        <v>353</v>
      </c>
      <c r="D80" s="90" t="s">
        <v>259</v>
      </c>
      <c r="E80" s="90" t="s">
        <v>258</v>
      </c>
    </row>
    <row r="81" spans="1:5" x14ac:dyDescent="0.3">
      <c r="A81" s="91" t="s">
        <v>194</v>
      </c>
      <c r="B81" s="91" t="s">
        <v>195</v>
      </c>
      <c r="C81" s="91" t="s">
        <v>354</v>
      </c>
      <c r="D81" s="91" t="s">
        <v>259</v>
      </c>
      <c r="E81" s="91" t="s">
        <v>258</v>
      </c>
    </row>
    <row r="82" spans="1:5" x14ac:dyDescent="0.3">
      <c r="A82" s="90" t="s">
        <v>196</v>
      </c>
      <c r="B82" s="90" t="s">
        <v>197</v>
      </c>
      <c r="C82" s="90" t="s">
        <v>355</v>
      </c>
      <c r="D82" s="90" t="s">
        <v>259</v>
      </c>
      <c r="E82" s="90" t="s">
        <v>258</v>
      </c>
    </row>
    <row r="83" spans="1:5" x14ac:dyDescent="0.3">
      <c r="A83" s="91" t="s">
        <v>198</v>
      </c>
      <c r="B83" s="91" t="s">
        <v>199</v>
      </c>
      <c r="C83" s="91" t="s">
        <v>356</v>
      </c>
      <c r="D83" s="91" t="s">
        <v>259</v>
      </c>
      <c r="E83" s="91" t="s">
        <v>258</v>
      </c>
    </row>
    <row r="84" spans="1:5" x14ac:dyDescent="0.3">
      <c r="A84" s="90" t="s">
        <v>200</v>
      </c>
      <c r="B84" s="90" t="s">
        <v>201</v>
      </c>
      <c r="C84" s="90" t="s">
        <v>357</v>
      </c>
      <c r="D84" s="90" t="s">
        <v>259</v>
      </c>
      <c r="E84" s="90" t="s">
        <v>258</v>
      </c>
    </row>
    <row r="85" spans="1:5" x14ac:dyDescent="0.3">
      <c r="A85" s="91" t="s">
        <v>202</v>
      </c>
      <c r="B85" s="91" t="s">
        <v>203</v>
      </c>
      <c r="C85" s="91" t="s">
        <v>358</v>
      </c>
      <c r="D85" s="91" t="s">
        <v>259</v>
      </c>
      <c r="E85" s="91" t="s">
        <v>258</v>
      </c>
    </row>
    <row r="86" spans="1:5" x14ac:dyDescent="0.3">
      <c r="A86" s="90" t="s">
        <v>204</v>
      </c>
      <c r="B86" s="90" t="s">
        <v>205</v>
      </c>
      <c r="C86" s="90" t="s">
        <v>359</v>
      </c>
      <c r="D86" s="90" t="s">
        <v>259</v>
      </c>
      <c r="E86" s="90" t="s">
        <v>258</v>
      </c>
    </row>
    <row r="87" spans="1:5" x14ac:dyDescent="0.3">
      <c r="A87" s="91" t="s">
        <v>206</v>
      </c>
      <c r="B87" s="91" t="s">
        <v>660</v>
      </c>
      <c r="C87" s="91" t="s">
        <v>360</v>
      </c>
      <c r="D87" s="91" t="s">
        <v>259</v>
      </c>
      <c r="E87" s="91" t="s">
        <v>258</v>
      </c>
    </row>
    <row r="88" spans="1:5" x14ac:dyDescent="0.3">
      <c r="A88" s="90" t="s">
        <v>208</v>
      </c>
      <c r="B88" s="90" t="s">
        <v>661</v>
      </c>
      <c r="C88" s="90" t="s">
        <v>361</v>
      </c>
      <c r="D88" s="90" t="s">
        <v>259</v>
      </c>
      <c r="E88" s="90" t="s">
        <v>258</v>
      </c>
    </row>
    <row r="89" spans="1:5" x14ac:dyDescent="0.3">
      <c r="A89" s="91" t="s">
        <v>209</v>
      </c>
      <c r="B89" s="91" t="s">
        <v>210</v>
      </c>
      <c r="C89" s="91" t="s">
        <v>362</v>
      </c>
      <c r="D89" s="91" t="s">
        <v>259</v>
      </c>
      <c r="E89" s="91" t="s">
        <v>258</v>
      </c>
    </row>
    <row r="90" spans="1:5" x14ac:dyDescent="0.3">
      <c r="A90" s="90" t="s">
        <v>211</v>
      </c>
      <c r="B90" s="90" t="s">
        <v>662</v>
      </c>
      <c r="C90" s="90" t="s">
        <v>363</v>
      </c>
      <c r="D90" s="90" t="s">
        <v>259</v>
      </c>
      <c r="E90" s="90" t="s">
        <v>258</v>
      </c>
    </row>
    <row r="91" spans="1:5" x14ac:dyDescent="0.3">
      <c r="A91" s="91" t="s">
        <v>212</v>
      </c>
      <c r="B91" s="91" t="s">
        <v>213</v>
      </c>
      <c r="C91" s="91" t="s">
        <v>364</v>
      </c>
      <c r="D91" s="91" t="s">
        <v>259</v>
      </c>
      <c r="E91" s="91" t="s">
        <v>258</v>
      </c>
    </row>
    <row r="92" spans="1:5" x14ac:dyDescent="0.3">
      <c r="A92" s="90" t="s">
        <v>365</v>
      </c>
      <c r="B92" s="90" t="s">
        <v>366</v>
      </c>
      <c r="C92" s="90" t="s">
        <v>366</v>
      </c>
      <c r="D92" s="90" t="s">
        <v>259</v>
      </c>
      <c r="E92" s="90" t="s">
        <v>259</v>
      </c>
    </row>
    <row r="93" spans="1:5" x14ac:dyDescent="0.3">
      <c r="A93" s="91" t="s">
        <v>367</v>
      </c>
      <c r="B93" s="91" t="s">
        <v>368</v>
      </c>
      <c r="C93" s="91" t="s">
        <v>368</v>
      </c>
      <c r="D93" s="91" t="s">
        <v>259</v>
      </c>
      <c r="E93" s="91" t="s">
        <v>259</v>
      </c>
    </row>
    <row r="94" spans="1:5" x14ac:dyDescent="0.3">
      <c r="A94" s="90" t="s">
        <v>369</v>
      </c>
      <c r="B94" s="90" t="s">
        <v>370</v>
      </c>
      <c r="C94" s="90" t="s">
        <v>370</v>
      </c>
      <c r="D94" s="90" t="s">
        <v>259</v>
      </c>
      <c r="E94" s="90" t="s">
        <v>259</v>
      </c>
    </row>
    <row r="95" spans="1:5" x14ac:dyDescent="0.3">
      <c r="A95" s="91" t="s">
        <v>371</v>
      </c>
      <c r="B95" s="91" t="s">
        <v>372</v>
      </c>
      <c r="C95" s="91" t="s">
        <v>372</v>
      </c>
      <c r="D95" s="91" t="s">
        <v>259</v>
      </c>
      <c r="E95" s="91" t="s">
        <v>259</v>
      </c>
    </row>
    <row r="96" spans="1:5" x14ac:dyDescent="0.3">
      <c r="A96" s="90" t="s">
        <v>373</v>
      </c>
      <c r="B96" s="90" t="s">
        <v>374</v>
      </c>
      <c r="C96" s="90" t="s">
        <v>374</v>
      </c>
      <c r="D96" s="90" t="s">
        <v>259</v>
      </c>
      <c r="E96" s="90" t="s">
        <v>259</v>
      </c>
    </row>
    <row r="97" spans="1:5" x14ac:dyDescent="0.3">
      <c r="A97" s="91" t="s">
        <v>375</v>
      </c>
      <c r="B97" s="91" t="s">
        <v>376</v>
      </c>
      <c r="C97" s="91" t="s">
        <v>376</v>
      </c>
      <c r="D97" s="91" t="s">
        <v>259</v>
      </c>
      <c r="E97" s="91" t="s">
        <v>259</v>
      </c>
    </row>
    <row r="98" spans="1:5" x14ac:dyDescent="0.3">
      <c r="A98" s="90" t="s">
        <v>377</v>
      </c>
      <c r="B98" s="90" t="s">
        <v>378</v>
      </c>
      <c r="C98" s="90" t="s">
        <v>378</v>
      </c>
      <c r="D98" s="90" t="s">
        <v>259</v>
      </c>
      <c r="E98" s="90" t="s">
        <v>259</v>
      </c>
    </row>
    <row r="99" spans="1:5" x14ac:dyDescent="0.3">
      <c r="A99" s="91" t="s">
        <v>379</v>
      </c>
      <c r="B99" s="91" t="s">
        <v>380</v>
      </c>
      <c r="C99" s="91" t="s">
        <v>380</v>
      </c>
      <c r="D99" s="91" t="s">
        <v>259</v>
      </c>
      <c r="E99" s="91" t="s">
        <v>259</v>
      </c>
    </row>
    <row r="100" spans="1:5" x14ac:dyDescent="0.3">
      <c r="A100" s="90" t="s">
        <v>381</v>
      </c>
      <c r="B100" s="90" t="s">
        <v>382</v>
      </c>
      <c r="C100" s="90" t="s">
        <v>382</v>
      </c>
      <c r="D100" s="90" t="s">
        <v>259</v>
      </c>
      <c r="E100" s="90" t="s">
        <v>259</v>
      </c>
    </row>
    <row r="101" spans="1:5" x14ac:dyDescent="0.3">
      <c r="A101" s="91" t="s">
        <v>383</v>
      </c>
      <c r="B101" s="91" t="s">
        <v>384</v>
      </c>
      <c r="C101" s="91" t="s">
        <v>384</v>
      </c>
      <c r="D101" s="91" t="s">
        <v>259</v>
      </c>
      <c r="E101" s="91" t="s">
        <v>259</v>
      </c>
    </row>
    <row r="102" spans="1:5" x14ac:dyDescent="0.3">
      <c r="A102" s="90" t="s">
        <v>385</v>
      </c>
      <c r="B102" s="90" t="s">
        <v>386</v>
      </c>
      <c r="C102" s="90" t="s">
        <v>386</v>
      </c>
      <c r="D102" s="90" t="s">
        <v>259</v>
      </c>
      <c r="E102" s="90" t="s">
        <v>259</v>
      </c>
    </row>
    <row r="103" spans="1:5" x14ac:dyDescent="0.3">
      <c r="A103" s="91" t="s">
        <v>387</v>
      </c>
      <c r="B103" s="91" t="s">
        <v>388</v>
      </c>
      <c r="C103" s="91" t="s">
        <v>388</v>
      </c>
      <c r="D103" s="91" t="s">
        <v>259</v>
      </c>
      <c r="E103" s="91" t="s">
        <v>259</v>
      </c>
    </row>
    <row r="104" spans="1:5" x14ac:dyDescent="0.3">
      <c r="A104" s="90" t="s">
        <v>389</v>
      </c>
      <c r="B104" s="90" t="s">
        <v>390</v>
      </c>
      <c r="C104" s="90" t="s">
        <v>390</v>
      </c>
      <c r="D104" s="90" t="s">
        <v>259</v>
      </c>
      <c r="E104" s="90" t="s">
        <v>259</v>
      </c>
    </row>
    <row r="105" spans="1:5" x14ac:dyDescent="0.3">
      <c r="A105" s="91" t="s">
        <v>391</v>
      </c>
      <c r="B105" s="91" t="s">
        <v>392</v>
      </c>
      <c r="C105" s="91" t="s">
        <v>392</v>
      </c>
      <c r="D105" s="91" t="s">
        <v>259</v>
      </c>
      <c r="E105" s="91" t="s">
        <v>259</v>
      </c>
    </row>
    <row r="106" spans="1:5" x14ac:dyDescent="0.3">
      <c r="A106" s="90" t="s">
        <v>393</v>
      </c>
      <c r="B106" s="90" t="s">
        <v>394</v>
      </c>
      <c r="C106" s="90" t="s">
        <v>394</v>
      </c>
      <c r="D106" s="90" t="s">
        <v>259</v>
      </c>
      <c r="E106" s="90" t="s">
        <v>259</v>
      </c>
    </row>
    <row r="107" spans="1:5" x14ac:dyDescent="0.3">
      <c r="A107" s="91" t="s">
        <v>395</v>
      </c>
      <c r="B107" s="91" t="s">
        <v>396</v>
      </c>
      <c r="C107" s="91" t="s">
        <v>396</v>
      </c>
      <c r="D107" s="91" t="s">
        <v>259</v>
      </c>
      <c r="E107" s="91" t="s">
        <v>259</v>
      </c>
    </row>
    <row r="108" spans="1:5" x14ac:dyDescent="0.3">
      <c r="A108" s="90" t="s">
        <v>397</v>
      </c>
      <c r="B108" s="90" t="s">
        <v>398</v>
      </c>
      <c r="C108" s="90" t="s">
        <v>398</v>
      </c>
      <c r="D108" s="90" t="s">
        <v>259</v>
      </c>
      <c r="E108" s="90" t="s">
        <v>259</v>
      </c>
    </row>
    <row r="109" spans="1:5" x14ac:dyDescent="0.3">
      <c r="A109" s="91" t="s">
        <v>399</v>
      </c>
      <c r="B109" s="91" t="s">
        <v>400</v>
      </c>
      <c r="C109" s="91" t="s">
        <v>400</v>
      </c>
      <c r="D109" s="91" t="s">
        <v>259</v>
      </c>
      <c r="E109" s="91" t="s">
        <v>259</v>
      </c>
    </row>
    <row r="110" spans="1:5" x14ac:dyDescent="0.3">
      <c r="A110" s="90" t="s">
        <v>401</v>
      </c>
      <c r="B110" s="90" t="s">
        <v>402</v>
      </c>
      <c r="C110" s="90" t="s">
        <v>402</v>
      </c>
      <c r="D110" s="90" t="s">
        <v>259</v>
      </c>
      <c r="E110" s="90" t="s">
        <v>259</v>
      </c>
    </row>
    <row r="111" spans="1:5" x14ac:dyDescent="0.3">
      <c r="A111" s="91" t="s">
        <v>403</v>
      </c>
      <c r="B111" s="91" t="s">
        <v>404</v>
      </c>
      <c r="C111" s="91" t="s">
        <v>404</v>
      </c>
      <c r="D111" s="91" t="s">
        <v>259</v>
      </c>
      <c r="E111" s="91" t="s">
        <v>259</v>
      </c>
    </row>
    <row r="112" spans="1:5" x14ac:dyDescent="0.3">
      <c r="A112" s="90" t="s">
        <v>405</v>
      </c>
      <c r="B112" s="90" t="s">
        <v>406</v>
      </c>
      <c r="C112" s="90" t="s">
        <v>406</v>
      </c>
      <c r="D112" s="90" t="s">
        <v>259</v>
      </c>
      <c r="E112" s="90" t="s">
        <v>259</v>
      </c>
    </row>
    <row r="113" spans="1:5" x14ac:dyDescent="0.3">
      <c r="A113" s="91" t="s">
        <v>407</v>
      </c>
      <c r="B113" s="91" t="s">
        <v>408</v>
      </c>
      <c r="C113" s="91" t="s">
        <v>408</v>
      </c>
      <c r="D113" s="91" t="s">
        <v>259</v>
      </c>
      <c r="E113" s="91" t="s">
        <v>259</v>
      </c>
    </row>
    <row r="114" spans="1:5" x14ac:dyDescent="0.3">
      <c r="A114" s="90" t="s">
        <v>409</v>
      </c>
      <c r="B114" s="90" t="s">
        <v>410</v>
      </c>
      <c r="C114" s="90" t="s">
        <v>410</v>
      </c>
      <c r="D114" s="90" t="s">
        <v>259</v>
      </c>
      <c r="E114" s="90" t="s">
        <v>259</v>
      </c>
    </row>
    <row r="115" spans="1:5" x14ac:dyDescent="0.3">
      <c r="A115" s="91" t="s">
        <v>411</v>
      </c>
      <c r="B115" s="91" t="s">
        <v>412</v>
      </c>
      <c r="C115" s="91" t="s">
        <v>412</v>
      </c>
      <c r="D115" s="91" t="s">
        <v>259</v>
      </c>
      <c r="E115" s="91" t="s">
        <v>259</v>
      </c>
    </row>
    <row r="116" spans="1:5" x14ac:dyDescent="0.3">
      <c r="A116" s="90" t="s">
        <v>413</v>
      </c>
      <c r="B116" s="90" t="s">
        <v>414</v>
      </c>
      <c r="C116" s="90" t="s">
        <v>414</v>
      </c>
      <c r="D116" s="90" t="s">
        <v>259</v>
      </c>
      <c r="E116" s="90" t="s">
        <v>259</v>
      </c>
    </row>
    <row r="117" spans="1:5" x14ac:dyDescent="0.3">
      <c r="A117" s="91" t="s">
        <v>415</v>
      </c>
      <c r="B117" s="91" t="s">
        <v>416</v>
      </c>
      <c r="C117" s="91" t="s">
        <v>416</v>
      </c>
      <c r="D117" s="91" t="s">
        <v>259</v>
      </c>
      <c r="E117" s="91" t="s">
        <v>259</v>
      </c>
    </row>
    <row r="118" spans="1:5" x14ac:dyDescent="0.3">
      <c r="A118" s="90" t="s">
        <v>417</v>
      </c>
      <c r="B118" s="90" t="s">
        <v>418</v>
      </c>
      <c r="C118" s="90" t="s">
        <v>418</v>
      </c>
      <c r="D118" s="90" t="s">
        <v>259</v>
      </c>
      <c r="E118" s="90" t="s">
        <v>259</v>
      </c>
    </row>
    <row r="119" spans="1:5" x14ac:dyDescent="0.3">
      <c r="A119" s="91" t="s">
        <v>419</v>
      </c>
      <c r="B119" s="91" t="s">
        <v>420</v>
      </c>
      <c r="C119" s="91" t="s">
        <v>420</v>
      </c>
      <c r="D119" s="91" t="s">
        <v>259</v>
      </c>
      <c r="E119" s="91" t="s">
        <v>259</v>
      </c>
    </row>
    <row r="120" spans="1:5" x14ac:dyDescent="0.3">
      <c r="A120" s="90" t="s">
        <v>421</v>
      </c>
      <c r="B120" s="90" t="s">
        <v>422</v>
      </c>
      <c r="C120" s="90" t="s">
        <v>422</v>
      </c>
      <c r="D120" s="90" t="s">
        <v>259</v>
      </c>
      <c r="E120" s="90" t="s">
        <v>259</v>
      </c>
    </row>
    <row r="121" spans="1:5" x14ac:dyDescent="0.3">
      <c r="A121" s="91" t="s">
        <v>423</v>
      </c>
      <c r="B121" s="91" t="s">
        <v>424</v>
      </c>
      <c r="C121" s="91" t="s">
        <v>424</v>
      </c>
      <c r="D121" s="91" t="s">
        <v>259</v>
      </c>
      <c r="E121" s="91" t="s">
        <v>259</v>
      </c>
    </row>
    <row r="122" spans="1:5" x14ac:dyDescent="0.3">
      <c r="A122" s="90" t="s">
        <v>425</v>
      </c>
      <c r="B122" s="90" t="s">
        <v>426</v>
      </c>
      <c r="C122" s="90" t="s">
        <v>426</v>
      </c>
      <c r="D122" s="90" t="s">
        <v>259</v>
      </c>
      <c r="E122" s="90" t="s">
        <v>259</v>
      </c>
    </row>
    <row r="123" spans="1:5" x14ac:dyDescent="0.3">
      <c r="A123" s="91" t="s">
        <v>427</v>
      </c>
      <c r="B123" s="91" t="s">
        <v>428</v>
      </c>
      <c r="C123" s="91" t="s">
        <v>428</v>
      </c>
      <c r="D123" s="91" t="s">
        <v>259</v>
      </c>
      <c r="E123" s="91" t="s">
        <v>259</v>
      </c>
    </row>
    <row r="124" spans="1:5" x14ac:dyDescent="0.3">
      <c r="A124" s="90" t="s">
        <v>429</v>
      </c>
      <c r="B124" s="90" t="s">
        <v>430</v>
      </c>
      <c r="C124" s="90" t="s">
        <v>430</v>
      </c>
      <c r="D124" s="90" t="s">
        <v>259</v>
      </c>
      <c r="E124" s="90" t="s">
        <v>259</v>
      </c>
    </row>
    <row r="125" spans="1:5" x14ac:dyDescent="0.3">
      <c r="A125" s="91" t="s">
        <v>431</v>
      </c>
      <c r="B125" s="91" t="s">
        <v>432</v>
      </c>
      <c r="C125" s="91" t="s">
        <v>432</v>
      </c>
      <c r="D125" s="91" t="s">
        <v>259</v>
      </c>
      <c r="E125" s="91" t="s">
        <v>259</v>
      </c>
    </row>
    <row r="126" spans="1:5" x14ac:dyDescent="0.3">
      <c r="A126" s="90" t="s">
        <v>433</v>
      </c>
      <c r="B126" s="90" t="s">
        <v>434</v>
      </c>
      <c r="C126" s="90" t="s">
        <v>434</v>
      </c>
      <c r="D126" s="90" t="s">
        <v>259</v>
      </c>
      <c r="E126" s="90" t="s">
        <v>259</v>
      </c>
    </row>
    <row r="127" spans="1:5" x14ac:dyDescent="0.3">
      <c r="A127" s="91" t="s">
        <v>435</v>
      </c>
      <c r="B127" s="91" t="s">
        <v>436</v>
      </c>
      <c r="C127" s="91" t="s">
        <v>436</v>
      </c>
      <c r="D127" s="91" t="s">
        <v>259</v>
      </c>
      <c r="E127" s="91" t="s">
        <v>259</v>
      </c>
    </row>
    <row r="128" spans="1:5" x14ac:dyDescent="0.3">
      <c r="A128" s="90" t="s">
        <v>437</v>
      </c>
      <c r="B128" s="90" t="s">
        <v>438</v>
      </c>
      <c r="C128" s="90" t="s">
        <v>438</v>
      </c>
      <c r="D128" s="90" t="s">
        <v>259</v>
      </c>
      <c r="E128" s="90" t="s">
        <v>259</v>
      </c>
    </row>
    <row r="129" spans="1:5" x14ac:dyDescent="0.3">
      <c r="A129" s="91" t="s">
        <v>439</v>
      </c>
      <c r="B129" s="91" t="s">
        <v>440</v>
      </c>
      <c r="C129" s="91" t="s">
        <v>440</v>
      </c>
      <c r="D129" s="91" t="s">
        <v>259</v>
      </c>
      <c r="E129" s="91" t="s">
        <v>259</v>
      </c>
    </row>
    <row r="130" spans="1:5" x14ac:dyDescent="0.3">
      <c r="A130" s="90" t="s">
        <v>441</v>
      </c>
      <c r="B130" s="90" t="s">
        <v>442</v>
      </c>
      <c r="C130" s="90" t="s">
        <v>442</v>
      </c>
      <c r="D130" s="90" t="s">
        <v>259</v>
      </c>
      <c r="E130" s="90" t="s">
        <v>259</v>
      </c>
    </row>
    <row r="131" spans="1:5" x14ac:dyDescent="0.3">
      <c r="A131" s="91" t="s">
        <v>443</v>
      </c>
      <c r="B131" s="91" t="s">
        <v>444</v>
      </c>
      <c r="C131" s="91" t="s">
        <v>444</v>
      </c>
      <c r="D131" s="91" t="s">
        <v>259</v>
      </c>
      <c r="E131" s="91" t="s">
        <v>259</v>
      </c>
    </row>
    <row r="132" spans="1:5" x14ac:dyDescent="0.3">
      <c r="A132" s="90" t="s">
        <v>445</v>
      </c>
      <c r="B132" s="90" t="s">
        <v>446</v>
      </c>
      <c r="C132" s="90" t="s">
        <v>446</v>
      </c>
      <c r="D132" s="90" t="s">
        <v>259</v>
      </c>
      <c r="E132" s="90" t="s">
        <v>259</v>
      </c>
    </row>
    <row r="133" spans="1:5" x14ac:dyDescent="0.3">
      <c r="A133" s="91" t="s">
        <v>447</v>
      </c>
      <c r="B133" s="91" t="s">
        <v>448</v>
      </c>
      <c r="C133" s="91" t="s">
        <v>448</v>
      </c>
      <c r="D133" s="91" t="s">
        <v>259</v>
      </c>
      <c r="E133" s="91" t="s">
        <v>259</v>
      </c>
    </row>
    <row r="134" spans="1:5" x14ac:dyDescent="0.3">
      <c r="A134" s="90" t="s">
        <v>449</v>
      </c>
      <c r="B134" s="90" t="s">
        <v>450</v>
      </c>
      <c r="C134" s="90" t="s">
        <v>450</v>
      </c>
      <c r="D134" s="90" t="s">
        <v>259</v>
      </c>
      <c r="E134" s="90" t="s">
        <v>259</v>
      </c>
    </row>
    <row r="135" spans="1:5" x14ac:dyDescent="0.3">
      <c r="A135" s="91" t="s">
        <v>451</v>
      </c>
      <c r="B135" s="91" t="s">
        <v>452</v>
      </c>
      <c r="C135" s="91" t="s">
        <v>452</v>
      </c>
      <c r="D135" s="91" t="s">
        <v>259</v>
      </c>
      <c r="E135" s="91" t="s">
        <v>259</v>
      </c>
    </row>
    <row r="136" spans="1:5" x14ac:dyDescent="0.3">
      <c r="A136" s="90" t="s">
        <v>453</v>
      </c>
      <c r="B136" s="90" t="s">
        <v>454</v>
      </c>
      <c r="C136" s="90" t="s">
        <v>454</v>
      </c>
      <c r="D136" s="90" t="s">
        <v>259</v>
      </c>
      <c r="E136" s="90" t="s">
        <v>259</v>
      </c>
    </row>
    <row r="137" spans="1:5" x14ac:dyDescent="0.3">
      <c r="A137" s="91" t="s">
        <v>455</v>
      </c>
      <c r="B137" s="91" t="s">
        <v>456</v>
      </c>
      <c r="C137" s="91" t="s">
        <v>456</v>
      </c>
      <c r="D137" s="91" t="s">
        <v>259</v>
      </c>
      <c r="E137" s="91" t="s">
        <v>259</v>
      </c>
    </row>
    <row r="138" spans="1:5" x14ac:dyDescent="0.3">
      <c r="A138" s="90" t="s">
        <v>457</v>
      </c>
      <c r="B138" s="90" t="s">
        <v>458</v>
      </c>
      <c r="C138" s="90" t="s">
        <v>458</v>
      </c>
      <c r="D138" s="90" t="s">
        <v>259</v>
      </c>
      <c r="E138" s="90" t="s">
        <v>259</v>
      </c>
    </row>
    <row r="139" spans="1:5" x14ac:dyDescent="0.3">
      <c r="A139" s="91" t="s">
        <v>459</v>
      </c>
      <c r="B139" s="91" t="s">
        <v>460</v>
      </c>
      <c r="C139" s="91" t="s">
        <v>460</v>
      </c>
      <c r="D139" s="91" t="s">
        <v>259</v>
      </c>
      <c r="E139" s="91" t="s">
        <v>259</v>
      </c>
    </row>
    <row r="140" spans="1:5" x14ac:dyDescent="0.3">
      <c r="A140" s="90" t="s">
        <v>461</v>
      </c>
      <c r="B140" s="90" t="s">
        <v>462</v>
      </c>
      <c r="C140" s="90" t="s">
        <v>462</v>
      </c>
      <c r="D140" s="90" t="s">
        <v>259</v>
      </c>
      <c r="E140" s="90" t="s">
        <v>259</v>
      </c>
    </row>
    <row r="141" spans="1:5" x14ac:dyDescent="0.3">
      <c r="A141" s="91" t="s">
        <v>463</v>
      </c>
      <c r="B141" s="91" t="s">
        <v>464</v>
      </c>
      <c r="C141" s="91" t="s">
        <v>464</v>
      </c>
      <c r="D141" s="91" t="s">
        <v>259</v>
      </c>
      <c r="E141" s="91" t="s">
        <v>259</v>
      </c>
    </row>
    <row r="142" spans="1:5" x14ac:dyDescent="0.3">
      <c r="A142" s="90" t="s">
        <v>465</v>
      </c>
      <c r="B142" s="90" t="s">
        <v>466</v>
      </c>
      <c r="C142" s="90" t="s">
        <v>466</v>
      </c>
      <c r="D142" s="90" t="s">
        <v>259</v>
      </c>
      <c r="E142" s="90" t="s">
        <v>259</v>
      </c>
    </row>
    <row r="143" spans="1:5" x14ac:dyDescent="0.3">
      <c r="A143" s="91" t="s">
        <v>467</v>
      </c>
      <c r="B143" s="91" t="s">
        <v>468</v>
      </c>
      <c r="C143" s="91" t="s">
        <v>468</v>
      </c>
      <c r="D143" s="91" t="s">
        <v>259</v>
      </c>
      <c r="E143" s="91" t="s">
        <v>259</v>
      </c>
    </row>
    <row r="144" spans="1:5" x14ac:dyDescent="0.3">
      <c r="A144" s="90" t="s">
        <v>469</v>
      </c>
      <c r="B144" s="90" t="s">
        <v>470</v>
      </c>
      <c r="C144" s="90" t="s">
        <v>470</v>
      </c>
      <c r="D144" s="90" t="s">
        <v>259</v>
      </c>
      <c r="E144" s="90" t="s">
        <v>259</v>
      </c>
    </row>
    <row r="145" spans="1:5" x14ac:dyDescent="0.3">
      <c r="A145" s="91" t="s">
        <v>471</v>
      </c>
      <c r="B145" s="91" t="s">
        <v>472</v>
      </c>
      <c r="C145" s="91" t="s">
        <v>472</v>
      </c>
      <c r="D145" s="91" t="s">
        <v>259</v>
      </c>
      <c r="E145" s="91" t="s">
        <v>259</v>
      </c>
    </row>
    <row r="146" spans="1:5" x14ac:dyDescent="0.3">
      <c r="A146" s="90" t="s">
        <v>473</v>
      </c>
      <c r="B146" s="90" t="s">
        <v>74</v>
      </c>
      <c r="C146" s="90" t="s">
        <v>74</v>
      </c>
      <c r="D146" s="90" t="s">
        <v>259</v>
      </c>
      <c r="E146" s="90" t="s">
        <v>259</v>
      </c>
    </row>
    <row r="147" spans="1:5" x14ac:dyDescent="0.3">
      <c r="A147" s="91" t="s">
        <v>474</v>
      </c>
      <c r="B147" s="91" t="s">
        <v>475</v>
      </c>
      <c r="C147" s="91" t="s">
        <v>475</v>
      </c>
      <c r="D147" s="91" t="s">
        <v>259</v>
      </c>
      <c r="E147" s="91" t="s">
        <v>259</v>
      </c>
    </row>
    <row r="148" spans="1:5" x14ac:dyDescent="0.3">
      <c r="A148" s="90" t="s">
        <v>476</v>
      </c>
      <c r="B148" s="90" t="s">
        <v>477</v>
      </c>
      <c r="C148" s="90" t="s">
        <v>478</v>
      </c>
      <c r="D148" s="90" t="s">
        <v>259</v>
      </c>
      <c r="E148" s="90" t="s">
        <v>259</v>
      </c>
    </row>
    <row r="149" spans="1:5" x14ac:dyDescent="0.3">
      <c r="A149" s="91" t="s">
        <v>479</v>
      </c>
      <c r="B149" s="91" t="s">
        <v>480</v>
      </c>
      <c r="C149" s="91" t="s">
        <v>480</v>
      </c>
      <c r="D149" s="91" t="s">
        <v>259</v>
      </c>
      <c r="E149" s="91" t="s">
        <v>259</v>
      </c>
    </row>
    <row r="150" spans="1:5" x14ac:dyDescent="0.3">
      <c r="A150" s="90" t="s">
        <v>481</v>
      </c>
      <c r="B150" s="90" t="s">
        <v>482</v>
      </c>
      <c r="C150" s="90" t="s">
        <v>482</v>
      </c>
      <c r="D150" s="90" t="s">
        <v>259</v>
      </c>
      <c r="E150" s="90" t="s">
        <v>259</v>
      </c>
    </row>
    <row r="151" spans="1:5" x14ac:dyDescent="0.3">
      <c r="A151" s="91" t="s">
        <v>483</v>
      </c>
      <c r="B151" s="91" t="s">
        <v>484</v>
      </c>
      <c r="C151" s="91" t="s">
        <v>485</v>
      </c>
      <c r="D151" s="91" t="s">
        <v>259</v>
      </c>
      <c r="E151" s="91" t="s">
        <v>259</v>
      </c>
    </row>
    <row r="152" spans="1:5" x14ac:dyDescent="0.3">
      <c r="A152" s="90" t="s">
        <v>486</v>
      </c>
      <c r="B152" s="90" t="s">
        <v>487</v>
      </c>
      <c r="C152" s="90" t="s">
        <v>487</v>
      </c>
      <c r="D152" s="90" t="s">
        <v>259</v>
      </c>
      <c r="E152" s="90" t="s">
        <v>259</v>
      </c>
    </row>
    <row r="153" spans="1:5" x14ac:dyDescent="0.3">
      <c r="A153" s="91" t="s">
        <v>488</v>
      </c>
      <c r="B153" s="91" t="s">
        <v>489</v>
      </c>
      <c r="C153" s="91" t="s">
        <v>489</v>
      </c>
      <c r="D153" s="91" t="s">
        <v>259</v>
      </c>
      <c r="E153" s="91" t="s">
        <v>259</v>
      </c>
    </row>
    <row r="154" spans="1:5" x14ac:dyDescent="0.3">
      <c r="A154" s="90" t="s">
        <v>490</v>
      </c>
      <c r="B154" s="90" t="s">
        <v>491</v>
      </c>
      <c r="C154" s="90" t="s">
        <v>491</v>
      </c>
      <c r="D154" s="90" t="s">
        <v>259</v>
      </c>
      <c r="E154" s="90" t="s">
        <v>259</v>
      </c>
    </row>
    <row r="155" spans="1:5" x14ac:dyDescent="0.3">
      <c r="A155" s="92" t="s">
        <v>492</v>
      </c>
      <c r="B155" s="92" t="s">
        <v>492</v>
      </c>
      <c r="C155" s="92" t="s">
        <v>493</v>
      </c>
      <c r="D155" s="92" t="s">
        <v>259</v>
      </c>
      <c r="E155" s="92" t="s">
        <v>259</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155"/>
  <sheetViews>
    <sheetView showGridLines="0" topLeftCell="B1" zoomScale="70" zoomScaleNormal="70" workbookViewId="0">
      <selection activeCell="D8" sqref="D8"/>
    </sheetView>
  </sheetViews>
  <sheetFormatPr defaultRowHeight="14.4" x14ac:dyDescent="0.3"/>
  <cols>
    <col min="1" max="1" width="19.44140625" bestFit="1" customWidth="1"/>
    <col min="2" max="2" width="20" bestFit="1" customWidth="1"/>
    <col min="3" max="3" width="15.33203125" bestFit="1" customWidth="1"/>
    <col min="4" max="4" width="13" bestFit="1" customWidth="1"/>
    <col min="5" max="5" width="9.44140625" bestFit="1" customWidth="1"/>
    <col min="6" max="6" width="16" bestFit="1" customWidth="1"/>
    <col min="7" max="7" width="15.33203125" bestFit="1" customWidth="1"/>
    <col min="8" max="8" width="7.109375" bestFit="1" customWidth="1"/>
    <col min="9" max="9" width="80.6640625" bestFit="1" customWidth="1"/>
  </cols>
  <sheetData>
    <row r="1" spans="1:9" x14ac:dyDescent="0.3">
      <c r="A1" s="120" t="s">
        <v>494</v>
      </c>
      <c r="B1" s="120" t="s">
        <v>495</v>
      </c>
      <c r="C1" s="120" t="s">
        <v>496</v>
      </c>
      <c r="D1" s="120" t="s">
        <v>497</v>
      </c>
      <c r="E1" s="120" t="s">
        <v>498</v>
      </c>
      <c r="F1" s="120" t="s">
        <v>499</v>
      </c>
      <c r="G1" s="120" t="s">
        <v>500</v>
      </c>
      <c r="H1" s="120" t="s">
        <v>501</v>
      </c>
      <c r="I1" s="120" t="s">
        <v>502</v>
      </c>
    </row>
    <row r="2" spans="1:9" x14ac:dyDescent="0.3">
      <c r="A2" s="90" t="s">
        <v>461</v>
      </c>
      <c r="B2" s="90" t="s">
        <v>275</v>
      </c>
      <c r="C2" s="90">
        <v>0.14000000000000001</v>
      </c>
      <c r="D2" s="90" t="s">
        <v>258</v>
      </c>
      <c r="E2" s="90" t="s">
        <v>258</v>
      </c>
      <c r="F2" s="90" t="s">
        <v>258</v>
      </c>
      <c r="G2" s="90" t="s">
        <v>259</v>
      </c>
      <c r="H2" s="90">
        <v>4</v>
      </c>
      <c r="I2" s="90"/>
    </row>
    <row r="3" spans="1:9" x14ac:dyDescent="0.3">
      <c r="A3" s="91" t="s">
        <v>275</v>
      </c>
      <c r="B3" s="91" t="s">
        <v>164</v>
      </c>
      <c r="C3" s="91">
        <v>4.6400000000000006</v>
      </c>
      <c r="D3" s="91" t="s">
        <v>258</v>
      </c>
      <c r="E3" s="91" t="s">
        <v>258</v>
      </c>
      <c r="F3" s="91" t="s">
        <v>258</v>
      </c>
      <c r="G3" s="91" t="s">
        <v>259</v>
      </c>
      <c r="H3" s="91">
        <v>4</v>
      </c>
      <c r="I3" s="91"/>
    </row>
    <row r="4" spans="1:9" x14ac:dyDescent="0.3">
      <c r="A4" s="90" t="s">
        <v>164</v>
      </c>
      <c r="B4" s="90" t="s">
        <v>437</v>
      </c>
      <c r="C4" s="90">
        <v>7.0499999999999972</v>
      </c>
      <c r="D4" s="90" t="s">
        <v>258</v>
      </c>
      <c r="E4" s="90" t="s">
        <v>258</v>
      </c>
      <c r="F4" s="90" t="s">
        <v>258</v>
      </c>
      <c r="G4" s="90" t="s">
        <v>259</v>
      </c>
      <c r="H4" s="90">
        <v>4</v>
      </c>
      <c r="I4" s="90"/>
    </row>
    <row r="5" spans="1:9" x14ac:dyDescent="0.3">
      <c r="A5" s="91" t="s">
        <v>437</v>
      </c>
      <c r="B5" s="91" t="s">
        <v>417</v>
      </c>
      <c r="C5" s="91">
        <v>10.32</v>
      </c>
      <c r="D5" s="91" t="s">
        <v>258</v>
      </c>
      <c r="E5" s="91" t="s">
        <v>258</v>
      </c>
      <c r="F5" s="91" t="s">
        <v>258</v>
      </c>
      <c r="G5" s="91" t="s">
        <v>259</v>
      </c>
      <c r="H5" s="91">
        <v>4</v>
      </c>
      <c r="I5" s="91"/>
    </row>
    <row r="6" spans="1:9" x14ac:dyDescent="0.3">
      <c r="A6" s="90" t="s">
        <v>417</v>
      </c>
      <c r="B6" s="90" t="s">
        <v>162</v>
      </c>
      <c r="C6" s="90">
        <v>12.469999999999999</v>
      </c>
      <c r="D6" s="90" t="s">
        <v>258</v>
      </c>
      <c r="E6" s="90" t="s">
        <v>258</v>
      </c>
      <c r="F6" s="90" t="s">
        <v>258</v>
      </c>
      <c r="G6" s="90" t="s">
        <v>259</v>
      </c>
      <c r="H6" s="90">
        <v>4</v>
      </c>
      <c r="I6" s="90"/>
    </row>
    <row r="7" spans="1:9" x14ac:dyDescent="0.3">
      <c r="A7" s="91" t="s">
        <v>162</v>
      </c>
      <c r="B7" s="91" t="s">
        <v>451</v>
      </c>
      <c r="C7" s="91">
        <v>12.310000000000002</v>
      </c>
      <c r="D7" s="91" t="s">
        <v>258</v>
      </c>
      <c r="E7" s="91" t="s">
        <v>258</v>
      </c>
      <c r="F7" s="91" t="s">
        <v>258</v>
      </c>
      <c r="G7" s="91" t="s">
        <v>259</v>
      </c>
      <c r="H7" s="91">
        <v>4</v>
      </c>
      <c r="I7" s="91"/>
    </row>
    <row r="8" spans="1:9" x14ac:dyDescent="0.3">
      <c r="A8" s="90" t="s">
        <v>451</v>
      </c>
      <c r="B8" s="90" t="s">
        <v>399</v>
      </c>
      <c r="C8" s="90">
        <v>5.1699999999999982</v>
      </c>
      <c r="D8" s="90" t="s">
        <v>258</v>
      </c>
      <c r="E8" s="90" t="s">
        <v>258</v>
      </c>
      <c r="F8" s="90" t="s">
        <v>258</v>
      </c>
      <c r="G8" s="90" t="s">
        <v>259</v>
      </c>
      <c r="H8" s="90">
        <v>4</v>
      </c>
      <c r="I8" s="90"/>
    </row>
    <row r="9" spans="1:9" x14ac:dyDescent="0.3">
      <c r="A9" s="91" t="s">
        <v>399</v>
      </c>
      <c r="B9" s="91" t="s">
        <v>441</v>
      </c>
      <c r="C9" s="91">
        <v>12.44</v>
      </c>
      <c r="D9" s="91" t="s">
        <v>258</v>
      </c>
      <c r="E9" s="91" t="s">
        <v>259</v>
      </c>
      <c r="F9" s="91" t="s">
        <v>259</v>
      </c>
      <c r="G9" s="91" t="s">
        <v>259</v>
      </c>
      <c r="H9" s="91">
        <v>4</v>
      </c>
      <c r="I9" s="91" t="s">
        <v>503</v>
      </c>
    </row>
    <row r="10" spans="1:9" x14ac:dyDescent="0.3">
      <c r="A10" s="90" t="s">
        <v>441</v>
      </c>
      <c r="B10" s="90" t="s">
        <v>160</v>
      </c>
      <c r="C10" s="90">
        <v>7.1399999999999988</v>
      </c>
      <c r="D10" s="90" t="s">
        <v>258</v>
      </c>
      <c r="E10" s="90" t="s">
        <v>259</v>
      </c>
      <c r="F10" s="90" t="s">
        <v>259</v>
      </c>
      <c r="G10" s="90" t="s">
        <v>259</v>
      </c>
      <c r="H10" s="90">
        <v>4</v>
      </c>
      <c r="I10" s="90" t="s">
        <v>503</v>
      </c>
    </row>
    <row r="11" spans="1:9" x14ac:dyDescent="0.3">
      <c r="A11" s="91" t="s">
        <v>160</v>
      </c>
      <c r="B11" s="91" t="s">
        <v>483</v>
      </c>
      <c r="C11" s="91">
        <v>0.66</v>
      </c>
      <c r="D11" s="91" t="s">
        <v>259</v>
      </c>
      <c r="E11" s="91" t="s">
        <v>259</v>
      </c>
      <c r="F11" s="91" t="s">
        <v>259</v>
      </c>
      <c r="G11" s="91" t="s">
        <v>259</v>
      </c>
      <c r="H11" s="91">
        <v>4</v>
      </c>
      <c r="I11" s="91" t="s">
        <v>503</v>
      </c>
    </row>
    <row r="12" spans="1:9" x14ac:dyDescent="0.3">
      <c r="A12" s="90" t="s">
        <v>399</v>
      </c>
      <c r="B12" s="90" t="s">
        <v>158</v>
      </c>
      <c r="C12" s="90">
        <v>7.99</v>
      </c>
      <c r="D12" s="90" t="s">
        <v>258</v>
      </c>
      <c r="E12" s="90" t="s">
        <v>258</v>
      </c>
      <c r="F12" s="90" t="s">
        <v>258</v>
      </c>
      <c r="G12" s="90" t="s">
        <v>259</v>
      </c>
      <c r="H12" s="90">
        <v>4</v>
      </c>
      <c r="I12" s="90"/>
    </row>
    <row r="13" spans="1:9" x14ac:dyDescent="0.3">
      <c r="A13" s="91" t="s">
        <v>158</v>
      </c>
      <c r="B13" s="91" t="s">
        <v>381</v>
      </c>
      <c r="C13" s="91">
        <v>1.3000000000000007</v>
      </c>
      <c r="D13" s="91" t="s">
        <v>258</v>
      </c>
      <c r="E13" s="91" t="s">
        <v>258</v>
      </c>
      <c r="F13" s="91" t="s">
        <v>258</v>
      </c>
      <c r="G13" s="91" t="s">
        <v>259</v>
      </c>
      <c r="H13" s="91">
        <v>4</v>
      </c>
      <c r="I13" s="91"/>
    </row>
    <row r="14" spans="1:9" x14ac:dyDescent="0.3">
      <c r="A14" s="90" t="s">
        <v>381</v>
      </c>
      <c r="B14" s="90" t="s">
        <v>449</v>
      </c>
      <c r="C14" s="90">
        <v>13.08</v>
      </c>
      <c r="D14" s="90" t="s">
        <v>258</v>
      </c>
      <c r="E14" s="90" t="s">
        <v>258</v>
      </c>
      <c r="F14" s="90" t="s">
        <v>258</v>
      </c>
      <c r="G14" s="90" t="s">
        <v>259</v>
      </c>
      <c r="H14" s="90">
        <v>4</v>
      </c>
      <c r="I14" s="90"/>
    </row>
    <row r="15" spans="1:9" x14ac:dyDescent="0.3">
      <c r="A15" s="91" t="s">
        <v>449</v>
      </c>
      <c r="B15" s="91" t="s">
        <v>156</v>
      </c>
      <c r="C15" s="91">
        <v>6.5</v>
      </c>
      <c r="D15" s="91" t="s">
        <v>258</v>
      </c>
      <c r="E15" s="91" t="s">
        <v>259</v>
      </c>
      <c r="F15" s="91" t="s">
        <v>259</v>
      </c>
      <c r="G15" s="91" t="s">
        <v>259</v>
      </c>
      <c r="H15" s="91">
        <v>2</v>
      </c>
      <c r="I15" s="91" t="s">
        <v>503</v>
      </c>
    </row>
    <row r="16" spans="1:9" x14ac:dyDescent="0.3">
      <c r="A16" s="90" t="s">
        <v>449</v>
      </c>
      <c r="B16" s="90" t="s">
        <v>154</v>
      </c>
      <c r="C16" s="90">
        <v>7.63</v>
      </c>
      <c r="D16" s="90" t="s">
        <v>258</v>
      </c>
      <c r="E16" s="90" t="s">
        <v>258</v>
      </c>
      <c r="F16" s="90" t="s">
        <v>258</v>
      </c>
      <c r="G16" s="90" t="s">
        <v>259</v>
      </c>
      <c r="H16" s="90">
        <v>2</v>
      </c>
      <c r="I16" s="90"/>
    </row>
    <row r="17" spans="1:9" x14ac:dyDescent="0.3">
      <c r="A17" s="91" t="s">
        <v>154</v>
      </c>
      <c r="B17" s="91" t="s">
        <v>152</v>
      </c>
      <c r="C17" s="91">
        <v>9.0900000000000034</v>
      </c>
      <c r="D17" s="91" t="s">
        <v>258</v>
      </c>
      <c r="E17" s="91" t="s">
        <v>258</v>
      </c>
      <c r="F17" s="91" t="s">
        <v>258</v>
      </c>
      <c r="G17" s="91" t="s">
        <v>259</v>
      </c>
      <c r="H17" s="91">
        <v>2</v>
      </c>
      <c r="I17" s="91"/>
    </row>
    <row r="18" spans="1:9" x14ac:dyDescent="0.3">
      <c r="A18" s="90" t="s">
        <v>152</v>
      </c>
      <c r="B18" s="90" t="s">
        <v>445</v>
      </c>
      <c r="C18" s="90">
        <v>2.7299999999999969</v>
      </c>
      <c r="D18" s="90" t="s">
        <v>258</v>
      </c>
      <c r="E18" s="90" t="s">
        <v>258</v>
      </c>
      <c r="F18" s="90" t="s">
        <v>258</v>
      </c>
      <c r="G18" s="90" t="s">
        <v>259</v>
      </c>
      <c r="H18" s="90">
        <v>2</v>
      </c>
      <c r="I18" s="90"/>
    </row>
    <row r="19" spans="1:9" x14ac:dyDescent="0.3">
      <c r="A19" s="91" t="s">
        <v>445</v>
      </c>
      <c r="B19" s="91" t="s">
        <v>425</v>
      </c>
      <c r="C19" s="91">
        <v>14.2</v>
      </c>
      <c r="D19" s="91" t="s">
        <v>258</v>
      </c>
      <c r="E19" s="91" t="s">
        <v>259</v>
      </c>
      <c r="F19" s="91" t="s">
        <v>259</v>
      </c>
      <c r="G19" s="91" t="s">
        <v>259</v>
      </c>
      <c r="H19" s="91">
        <v>2</v>
      </c>
      <c r="I19" s="91" t="s">
        <v>503</v>
      </c>
    </row>
    <row r="20" spans="1:9" x14ac:dyDescent="0.3">
      <c r="A20" s="90" t="s">
        <v>425</v>
      </c>
      <c r="B20" s="90" t="s">
        <v>150</v>
      </c>
      <c r="C20" s="90">
        <v>9.5399999999999991</v>
      </c>
      <c r="D20" s="90" t="s">
        <v>258</v>
      </c>
      <c r="E20" s="90" t="s">
        <v>259</v>
      </c>
      <c r="F20" s="90" t="s">
        <v>259</v>
      </c>
      <c r="G20" s="90" t="s">
        <v>259</v>
      </c>
      <c r="H20" s="90">
        <v>2</v>
      </c>
      <c r="I20" s="90" t="s">
        <v>503</v>
      </c>
    </row>
    <row r="21" spans="1:9" x14ac:dyDescent="0.3">
      <c r="A21" s="91" t="s">
        <v>445</v>
      </c>
      <c r="B21" s="91" t="s">
        <v>148</v>
      </c>
      <c r="C21" s="91">
        <v>7.57</v>
      </c>
      <c r="D21" s="91" t="s">
        <v>258</v>
      </c>
      <c r="E21" s="91" t="s">
        <v>258</v>
      </c>
      <c r="F21" s="91" t="s">
        <v>258</v>
      </c>
      <c r="G21" s="91" t="s">
        <v>259</v>
      </c>
      <c r="H21" s="91">
        <v>2</v>
      </c>
      <c r="I21" s="91"/>
    </row>
    <row r="22" spans="1:9" x14ac:dyDescent="0.3">
      <c r="A22" s="90" t="s">
        <v>148</v>
      </c>
      <c r="B22" s="90" t="s">
        <v>146</v>
      </c>
      <c r="C22" s="90">
        <v>9.49</v>
      </c>
      <c r="D22" s="90" t="s">
        <v>258</v>
      </c>
      <c r="E22" s="90" t="s">
        <v>258</v>
      </c>
      <c r="F22" s="90" t="s">
        <v>258</v>
      </c>
      <c r="G22" s="90" t="s">
        <v>259</v>
      </c>
      <c r="H22" s="90">
        <v>2</v>
      </c>
      <c r="I22" s="90"/>
    </row>
    <row r="23" spans="1:9" x14ac:dyDescent="0.3">
      <c r="A23" s="91" t="s">
        <v>146</v>
      </c>
      <c r="B23" s="91" t="s">
        <v>413</v>
      </c>
      <c r="C23" s="91">
        <v>13.37</v>
      </c>
      <c r="D23" s="91" t="s">
        <v>258</v>
      </c>
      <c r="E23" s="91" t="s">
        <v>258</v>
      </c>
      <c r="F23" s="91" t="s">
        <v>258</v>
      </c>
      <c r="G23" s="91" t="s">
        <v>259</v>
      </c>
      <c r="H23" s="91">
        <v>2</v>
      </c>
      <c r="I23" s="91"/>
    </row>
    <row r="24" spans="1:9" x14ac:dyDescent="0.3">
      <c r="A24" s="90" t="s">
        <v>413</v>
      </c>
      <c r="B24" s="90" t="s">
        <v>144</v>
      </c>
      <c r="C24" s="90">
        <v>7.01</v>
      </c>
      <c r="D24" s="90" t="s">
        <v>258</v>
      </c>
      <c r="E24" s="90" t="s">
        <v>259</v>
      </c>
      <c r="F24" s="90" t="s">
        <v>259</v>
      </c>
      <c r="G24" s="90" t="s">
        <v>259</v>
      </c>
      <c r="H24" s="90">
        <v>2</v>
      </c>
      <c r="I24" s="90" t="s">
        <v>503</v>
      </c>
    </row>
    <row r="25" spans="1:9" x14ac:dyDescent="0.3">
      <c r="A25" s="91" t="s">
        <v>144</v>
      </c>
      <c r="B25" s="91" t="s">
        <v>474</v>
      </c>
      <c r="C25" s="91">
        <v>0.17</v>
      </c>
      <c r="D25" s="91" t="s">
        <v>259</v>
      </c>
      <c r="E25" s="91" t="s">
        <v>259</v>
      </c>
      <c r="F25" s="91" t="s">
        <v>259</v>
      </c>
      <c r="G25" s="91" t="s">
        <v>259</v>
      </c>
      <c r="H25" s="91">
        <v>2</v>
      </c>
      <c r="I25" s="91" t="s">
        <v>504</v>
      </c>
    </row>
    <row r="26" spans="1:9" x14ac:dyDescent="0.3">
      <c r="A26" s="90" t="s">
        <v>413</v>
      </c>
      <c r="B26" s="90" t="s">
        <v>411</v>
      </c>
      <c r="C26" s="90">
        <v>3.3800000000000097</v>
      </c>
      <c r="D26" s="90" t="s">
        <v>258</v>
      </c>
      <c r="E26" s="90" t="s">
        <v>258</v>
      </c>
      <c r="F26" s="90" t="s">
        <v>258</v>
      </c>
      <c r="G26" s="90" t="s">
        <v>259</v>
      </c>
      <c r="H26" s="90">
        <v>2</v>
      </c>
      <c r="I26" s="90"/>
    </row>
    <row r="27" spans="1:9" x14ac:dyDescent="0.3">
      <c r="A27" s="91" t="s">
        <v>411</v>
      </c>
      <c r="B27" s="91" t="s">
        <v>142</v>
      </c>
      <c r="C27" s="91">
        <v>5.7</v>
      </c>
      <c r="D27" s="91" t="s">
        <v>258</v>
      </c>
      <c r="E27" s="91" t="s">
        <v>259</v>
      </c>
      <c r="F27" s="91" t="s">
        <v>259</v>
      </c>
      <c r="G27" s="91" t="s">
        <v>259</v>
      </c>
      <c r="H27" s="91">
        <v>2</v>
      </c>
      <c r="I27" s="91" t="s">
        <v>503</v>
      </c>
    </row>
    <row r="28" spans="1:9" x14ac:dyDescent="0.3">
      <c r="A28" s="90" t="s">
        <v>142</v>
      </c>
      <c r="B28" s="90" t="s">
        <v>140</v>
      </c>
      <c r="C28" s="90">
        <v>2.7399999999999993</v>
      </c>
      <c r="D28" s="90" t="s">
        <v>258</v>
      </c>
      <c r="E28" s="90" t="s">
        <v>259</v>
      </c>
      <c r="F28" s="90" t="s">
        <v>259</v>
      </c>
      <c r="G28" s="90" t="s">
        <v>259</v>
      </c>
      <c r="H28" s="90">
        <v>2</v>
      </c>
      <c r="I28" s="90" t="s">
        <v>503</v>
      </c>
    </row>
    <row r="29" spans="1:9" x14ac:dyDescent="0.3">
      <c r="A29" s="91" t="s">
        <v>411</v>
      </c>
      <c r="B29" s="91" t="s">
        <v>138</v>
      </c>
      <c r="C29" s="91">
        <v>5.9500000000000028</v>
      </c>
      <c r="D29" s="91" t="s">
        <v>258</v>
      </c>
      <c r="E29" s="91" t="s">
        <v>258</v>
      </c>
      <c r="F29" s="91" t="s">
        <v>258</v>
      </c>
      <c r="G29" s="91" t="s">
        <v>259</v>
      </c>
      <c r="H29" s="91">
        <v>2</v>
      </c>
      <c r="I29" s="91"/>
    </row>
    <row r="30" spans="1:9" x14ac:dyDescent="0.3">
      <c r="A30" s="90" t="s">
        <v>138</v>
      </c>
      <c r="B30" s="90" t="s">
        <v>409</v>
      </c>
      <c r="C30" s="90">
        <v>9.1799999999999926</v>
      </c>
      <c r="D30" s="90" t="s">
        <v>258</v>
      </c>
      <c r="E30" s="90" t="s">
        <v>258</v>
      </c>
      <c r="F30" s="90" t="s">
        <v>258</v>
      </c>
      <c r="G30" s="90" t="s">
        <v>259</v>
      </c>
      <c r="H30" s="90">
        <v>2</v>
      </c>
      <c r="I30" s="90"/>
    </row>
    <row r="31" spans="1:9" x14ac:dyDescent="0.3">
      <c r="A31" s="91" t="s">
        <v>409</v>
      </c>
      <c r="B31" s="91" t="s">
        <v>136</v>
      </c>
      <c r="C31" s="91">
        <v>8.3799999999999955</v>
      </c>
      <c r="D31" s="91" t="s">
        <v>258</v>
      </c>
      <c r="E31" s="91" t="s">
        <v>258</v>
      </c>
      <c r="F31" s="91" t="s">
        <v>258</v>
      </c>
      <c r="G31" s="91" t="s">
        <v>259</v>
      </c>
      <c r="H31" s="91">
        <v>2</v>
      </c>
      <c r="I31" s="91"/>
    </row>
    <row r="32" spans="1:9" x14ac:dyDescent="0.3">
      <c r="A32" s="90" t="s">
        <v>136</v>
      </c>
      <c r="B32" s="90" t="s">
        <v>431</v>
      </c>
      <c r="C32" s="90">
        <v>7.480000000000004</v>
      </c>
      <c r="D32" s="90" t="s">
        <v>258</v>
      </c>
      <c r="E32" s="90" t="s">
        <v>258</v>
      </c>
      <c r="F32" s="90" t="s">
        <v>258</v>
      </c>
      <c r="G32" s="90" t="s">
        <v>259</v>
      </c>
      <c r="H32" s="90">
        <v>2</v>
      </c>
      <c r="I32" s="90"/>
    </row>
    <row r="33" spans="1:9" x14ac:dyDescent="0.3">
      <c r="A33" s="91" t="s">
        <v>431</v>
      </c>
      <c r="B33" s="91" t="s">
        <v>135</v>
      </c>
      <c r="C33" s="91">
        <v>5.6800000000000068</v>
      </c>
      <c r="D33" s="91" t="s">
        <v>258</v>
      </c>
      <c r="E33" s="91" t="s">
        <v>258</v>
      </c>
      <c r="F33" s="91" t="s">
        <v>258</v>
      </c>
      <c r="G33" s="91" t="s">
        <v>259</v>
      </c>
      <c r="H33" s="91">
        <v>2</v>
      </c>
      <c r="I33" s="91"/>
    </row>
    <row r="34" spans="1:9" x14ac:dyDescent="0.3">
      <c r="A34" s="90" t="s">
        <v>135</v>
      </c>
      <c r="B34" s="90" t="s">
        <v>133</v>
      </c>
      <c r="C34" s="90">
        <v>1E-3</v>
      </c>
      <c r="D34" s="90" t="s">
        <v>258</v>
      </c>
      <c r="E34" s="90" t="s">
        <v>259</v>
      </c>
      <c r="F34" s="90" t="s">
        <v>259</v>
      </c>
      <c r="G34" s="90" t="s">
        <v>258</v>
      </c>
      <c r="H34" s="90">
        <v>2</v>
      </c>
      <c r="I34" s="90" t="s">
        <v>505</v>
      </c>
    </row>
    <row r="35" spans="1:9" x14ac:dyDescent="0.3">
      <c r="A35" s="91" t="s">
        <v>135</v>
      </c>
      <c r="B35" s="91" t="s">
        <v>469</v>
      </c>
      <c r="C35" s="91">
        <v>4.83</v>
      </c>
      <c r="D35" s="91" t="s">
        <v>259</v>
      </c>
      <c r="E35" s="91" t="s">
        <v>259</v>
      </c>
      <c r="F35" s="91" t="s">
        <v>259</v>
      </c>
      <c r="G35" s="91" t="s">
        <v>259</v>
      </c>
      <c r="H35" s="91">
        <v>2</v>
      </c>
      <c r="I35" s="91" t="s">
        <v>663</v>
      </c>
    </row>
    <row r="36" spans="1:9" x14ac:dyDescent="0.3">
      <c r="A36" s="90" t="s">
        <v>135</v>
      </c>
      <c r="B36" s="90" t="s">
        <v>367</v>
      </c>
      <c r="C36" s="90">
        <v>3.5300000000000011</v>
      </c>
      <c r="D36" s="90" t="s">
        <v>258</v>
      </c>
      <c r="E36" s="90" t="s">
        <v>258</v>
      </c>
      <c r="F36" s="90" t="s">
        <v>258</v>
      </c>
      <c r="G36" s="90" t="s">
        <v>259</v>
      </c>
      <c r="H36" s="90">
        <v>2</v>
      </c>
      <c r="I36" s="90"/>
    </row>
    <row r="37" spans="1:9" x14ac:dyDescent="0.3">
      <c r="A37" s="91" t="s">
        <v>367</v>
      </c>
      <c r="B37" s="91" t="s">
        <v>131</v>
      </c>
      <c r="C37" s="91">
        <v>5.2299999999999898</v>
      </c>
      <c r="D37" s="91" t="s">
        <v>258</v>
      </c>
      <c r="E37" s="91" t="s">
        <v>258</v>
      </c>
      <c r="F37" s="91" t="s">
        <v>258</v>
      </c>
      <c r="G37" s="91" t="s">
        <v>259</v>
      </c>
      <c r="H37" s="91">
        <v>2</v>
      </c>
      <c r="I37" s="91"/>
    </row>
    <row r="38" spans="1:9" x14ac:dyDescent="0.3">
      <c r="A38" s="90" t="s">
        <v>131</v>
      </c>
      <c r="B38" s="90" t="s">
        <v>387</v>
      </c>
      <c r="C38" s="90">
        <v>11.660000000000004</v>
      </c>
      <c r="D38" s="90" t="s">
        <v>258</v>
      </c>
      <c r="E38" s="90" t="s">
        <v>258</v>
      </c>
      <c r="F38" s="90" t="s">
        <v>258</v>
      </c>
      <c r="G38" s="90" t="s">
        <v>259</v>
      </c>
      <c r="H38" s="90">
        <v>2</v>
      </c>
      <c r="I38" s="90"/>
    </row>
    <row r="39" spans="1:9" x14ac:dyDescent="0.3">
      <c r="A39" s="91" t="s">
        <v>387</v>
      </c>
      <c r="B39" s="91" t="s">
        <v>130</v>
      </c>
      <c r="C39" s="91">
        <v>7.14</v>
      </c>
      <c r="D39" s="91" t="s">
        <v>258</v>
      </c>
      <c r="E39" s="91" t="s">
        <v>259</v>
      </c>
      <c r="F39" s="91" t="s">
        <v>259</v>
      </c>
      <c r="G39" s="91" t="s">
        <v>259</v>
      </c>
      <c r="H39" s="91">
        <v>2</v>
      </c>
      <c r="I39" s="91" t="s">
        <v>503</v>
      </c>
    </row>
    <row r="40" spans="1:9" x14ac:dyDescent="0.3">
      <c r="A40" s="90" t="s">
        <v>130</v>
      </c>
      <c r="B40" s="90" t="s">
        <v>128</v>
      </c>
      <c r="C40" s="90">
        <v>1E-3</v>
      </c>
      <c r="D40" s="90" t="s">
        <v>258</v>
      </c>
      <c r="E40" s="90" t="s">
        <v>259</v>
      </c>
      <c r="F40" s="90" t="s">
        <v>259</v>
      </c>
      <c r="G40" s="90" t="s">
        <v>258</v>
      </c>
      <c r="H40" s="90">
        <v>2</v>
      </c>
      <c r="I40" s="90" t="s">
        <v>505</v>
      </c>
    </row>
    <row r="41" spans="1:9" x14ac:dyDescent="0.3">
      <c r="A41" s="91" t="s">
        <v>387</v>
      </c>
      <c r="B41" s="91" t="s">
        <v>126</v>
      </c>
      <c r="C41" s="91">
        <v>5.68</v>
      </c>
      <c r="D41" s="91" t="s">
        <v>258</v>
      </c>
      <c r="E41" s="91" t="s">
        <v>258</v>
      </c>
      <c r="F41" s="91" t="s">
        <v>258</v>
      </c>
      <c r="G41" s="91" t="s">
        <v>259</v>
      </c>
      <c r="H41" s="91">
        <v>2</v>
      </c>
      <c r="I41" s="91"/>
    </row>
    <row r="42" spans="1:9" x14ac:dyDescent="0.3">
      <c r="A42" s="90" t="s">
        <v>126</v>
      </c>
      <c r="B42" s="90" t="s">
        <v>124</v>
      </c>
      <c r="C42" s="90">
        <v>7.0799999999999983</v>
      </c>
      <c r="D42" s="90" t="s">
        <v>258</v>
      </c>
      <c r="E42" s="90" t="s">
        <v>258</v>
      </c>
      <c r="F42" s="90" t="s">
        <v>258</v>
      </c>
      <c r="G42" s="90" t="s">
        <v>259</v>
      </c>
      <c r="H42" s="90">
        <v>2</v>
      </c>
      <c r="I42" s="90"/>
    </row>
    <row r="43" spans="1:9" x14ac:dyDescent="0.3">
      <c r="A43" s="91" t="s">
        <v>124</v>
      </c>
      <c r="B43" s="91" t="s">
        <v>122</v>
      </c>
      <c r="C43" s="91">
        <v>16.330000000000002</v>
      </c>
      <c r="D43" s="91" t="s">
        <v>258</v>
      </c>
      <c r="E43" s="91" t="s">
        <v>258</v>
      </c>
      <c r="F43" s="91" t="s">
        <v>258</v>
      </c>
      <c r="G43" s="91" t="s">
        <v>259</v>
      </c>
      <c r="H43" s="91">
        <v>2</v>
      </c>
      <c r="I43" s="91"/>
    </row>
    <row r="44" spans="1:9" x14ac:dyDescent="0.3">
      <c r="A44" s="90" t="s">
        <v>122</v>
      </c>
      <c r="B44" s="90" t="s">
        <v>120</v>
      </c>
      <c r="C44" s="90">
        <v>4.9899999999999984</v>
      </c>
      <c r="D44" s="90" t="s">
        <v>258</v>
      </c>
      <c r="E44" s="90" t="s">
        <v>258</v>
      </c>
      <c r="F44" s="90" t="s">
        <v>258</v>
      </c>
      <c r="G44" s="90" t="s">
        <v>259</v>
      </c>
      <c r="H44" s="90">
        <v>2</v>
      </c>
      <c r="I44" s="90"/>
    </row>
    <row r="45" spans="1:9" x14ac:dyDescent="0.3">
      <c r="A45" s="91" t="s">
        <v>120</v>
      </c>
      <c r="B45" s="91" t="s">
        <v>118</v>
      </c>
      <c r="C45" s="91">
        <v>4.84</v>
      </c>
      <c r="D45" s="91" t="s">
        <v>258</v>
      </c>
      <c r="E45" s="91" t="s">
        <v>258</v>
      </c>
      <c r="F45" s="91" t="s">
        <v>258</v>
      </c>
      <c r="G45" s="91" t="s">
        <v>259</v>
      </c>
      <c r="H45" s="91">
        <v>2</v>
      </c>
      <c r="I45" s="91"/>
    </row>
    <row r="46" spans="1:9" x14ac:dyDescent="0.3">
      <c r="A46" s="90" t="s">
        <v>118</v>
      </c>
      <c r="B46" s="90" t="s">
        <v>116</v>
      </c>
      <c r="C46" s="90">
        <v>7.1000000000000014</v>
      </c>
      <c r="D46" s="90" t="s">
        <v>258</v>
      </c>
      <c r="E46" s="90" t="s">
        <v>258</v>
      </c>
      <c r="F46" s="90" t="s">
        <v>258</v>
      </c>
      <c r="G46" s="90" t="s">
        <v>259</v>
      </c>
      <c r="H46" s="90">
        <v>2</v>
      </c>
      <c r="I46" s="90"/>
    </row>
    <row r="47" spans="1:9" x14ac:dyDescent="0.3">
      <c r="A47" s="91" t="s">
        <v>116</v>
      </c>
      <c r="B47" s="91" t="s">
        <v>114</v>
      </c>
      <c r="C47" s="91">
        <v>13.66</v>
      </c>
      <c r="D47" s="91" t="s">
        <v>258</v>
      </c>
      <c r="E47" s="91" t="s">
        <v>258</v>
      </c>
      <c r="F47" s="91" t="s">
        <v>258</v>
      </c>
      <c r="G47" s="91" t="s">
        <v>259</v>
      </c>
      <c r="H47" s="91">
        <v>2</v>
      </c>
      <c r="I47" s="91"/>
    </row>
    <row r="48" spans="1:9" x14ac:dyDescent="0.3">
      <c r="A48" s="90" t="s">
        <v>114</v>
      </c>
      <c r="B48" s="90" t="s">
        <v>112</v>
      </c>
      <c r="C48" s="90">
        <v>5.6499999999999986</v>
      </c>
      <c r="D48" s="90" t="s">
        <v>258</v>
      </c>
      <c r="E48" s="90" t="s">
        <v>258</v>
      </c>
      <c r="F48" s="90" t="s">
        <v>258</v>
      </c>
      <c r="G48" s="90" t="s">
        <v>259</v>
      </c>
      <c r="H48" s="90">
        <v>2</v>
      </c>
      <c r="I48" s="90"/>
    </row>
    <row r="49" spans="1:9" x14ac:dyDescent="0.3">
      <c r="A49" s="91" t="s">
        <v>112</v>
      </c>
      <c r="B49" s="91" t="s">
        <v>443</v>
      </c>
      <c r="C49" s="91">
        <v>10.400000000000002</v>
      </c>
      <c r="D49" s="91" t="s">
        <v>258</v>
      </c>
      <c r="E49" s="91" t="s">
        <v>258</v>
      </c>
      <c r="F49" s="91" t="s">
        <v>258</v>
      </c>
      <c r="G49" s="91" t="s">
        <v>259</v>
      </c>
      <c r="H49" s="91">
        <v>2</v>
      </c>
      <c r="I49" s="91"/>
    </row>
    <row r="50" spans="1:9" x14ac:dyDescent="0.3">
      <c r="A50" s="90" t="s">
        <v>443</v>
      </c>
      <c r="B50" s="90" t="s">
        <v>108</v>
      </c>
      <c r="C50" s="90">
        <v>4.57</v>
      </c>
      <c r="D50" s="90" t="s">
        <v>258</v>
      </c>
      <c r="E50" s="90" t="s">
        <v>259</v>
      </c>
      <c r="F50" s="90" t="s">
        <v>259</v>
      </c>
      <c r="G50" s="90" t="s">
        <v>259</v>
      </c>
      <c r="H50" s="90">
        <v>2</v>
      </c>
      <c r="I50" s="90" t="s">
        <v>503</v>
      </c>
    </row>
    <row r="51" spans="1:9" x14ac:dyDescent="0.3">
      <c r="A51" s="91" t="s">
        <v>108</v>
      </c>
      <c r="B51" s="91" t="s">
        <v>110</v>
      </c>
      <c r="C51" s="91">
        <v>9.92</v>
      </c>
      <c r="D51" s="91" t="s">
        <v>258</v>
      </c>
      <c r="E51" s="91" t="s">
        <v>259</v>
      </c>
      <c r="F51" s="91" t="s">
        <v>259</v>
      </c>
      <c r="G51" s="91" t="s">
        <v>259</v>
      </c>
      <c r="H51" s="91">
        <v>2</v>
      </c>
      <c r="I51" s="91" t="s">
        <v>503</v>
      </c>
    </row>
    <row r="52" spans="1:9" x14ac:dyDescent="0.3">
      <c r="A52" s="90" t="s">
        <v>443</v>
      </c>
      <c r="B52" s="90" t="s">
        <v>439</v>
      </c>
      <c r="C52" s="90">
        <v>9.34</v>
      </c>
      <c r="D52" s="90" t="s">
        <v>258</v>
      </c>
      <c r="E52" s="90" t="s">
        <v>258</v>
      </c>
      <c r="F52" s="90" t="s">
        <v>258</v>
      </c>
      <c r="G52" s="90" t="s">
        <v>259</v>
      </c>
      <c r="H52" s="90">
        <v>2</v>
      </c>
      <c r="I52" s="90"/>
    </row>
    <row r="53" spans="1:9" x14ac:dyDescent="0.3">
      <c r="A53" s="91" t="s">
        <v>439</v>
      </c>
      <c r="B53" s="91" t="s">
        <v>105</v>
      </c>
      <c r="C53" s="91">
        <v>9.3600000000000012</v>
      </c>
      <c r="D53" s="91" t="s">
        <v>258</v>
      </c>
      <c r="E53" s="91" t="s">
        <v>258</v>
      </c>
      <c r="F53" s="91" t="s">
        <v>258</v>
      </c>
      <c r="G53" s="91" t="s">
        <v>259</v>
      </c>
      <c r="H53" s="91">
        <v>2</v>
      </c>
      <c r="I53" s="91"/>
    </row>
    <row r="54" spans="1:9" x14ac:dyDescent="0.3">
      <c r="A54" s="90" t="s">
        <v>105</v>
      </c>
      <c r="B54" s="90" t="s">
        <v>397</v>
      </c>
      <c r="C54" s="90">
        <v>9.24</v>
      </c>
      <c r="D54" s="90" t="s">
        <v>258</v>
      </c>
      <c r="E54" s="90" t="s">
        <v>258</v>
      </c>
      <c r="F54" s="90" t="s">
        <v>258</v>
      </c>
      <c r="G54" s="90" t="s">
        <v>259</v>
      </c>
      <c r="H54" s="90">
        <v>2</v>
      </c>
      <c r="I54" s="90"/>
    </row>
    <row r="55" spans="1:9" x14ac:dyDescent="0.3">
      <c r="A55" s="91" t="s">
        <v>397</v>
      </c>
      <c r="B55" s="91" t="s">
        <v>98</v>
      </c>
      <c r="C55" s="91">
        <v>19.059999999999999</v>
      </c>
      <c r="D55" s="91" t="s">
        <v>258</v>
      </c>
      <c r="E55" s="91" t="s">
        <v>258</v>
      </c>
      <c r="F55" s="91" t="s">
        <v>258</v>
      </c>
      <c r="G55" s="91" t="s">
        <v>259</v>
      </c>
      <c r="H55" s="91">
        <v>2</v>
      </c>
      <c r="I55" s="91"/>
    </row>
    <row r="56" spans="1:9" x14ac:dyDescent="0.3">
      <c r="A56" s="90" t="s">
        <v>98</v>
      </c>
      <c r="B56" s="90" t="s">
        <v>15</v>
      </c>
      <c r="C56" s="90">
        <v>1E-3</v>
      </c>
      <c r="D56" s="90" t="s">
        <v>258</v>
      </c>
      <c r="E56" s="90" t="s">
        <v>258</v>
      </c>
      <c r="F56" s="90" t="s">
        <v>258</v>
      </c>
      <c r="G56" s="90" t="s">
        <v>258</v>
      </c>
      <c r="H56" s="90">
        <v>2</v>
      </c>
      <c r="I56" s="90" t="s">
        <v>506</v>
      </c>
    </row>
    <row r="57" spans="1:9" x14ac:dyDescent="0.3">
      <c r="A57" s="91" t="s">
        <v>279</v>
      </c>
      <c r="B57" s="91" t="s">
        <v>15</v>
      </c>
      <c r="C57" s="91">
        <v>1E-3</v>
      </c>
      <c r="D57" s="91" t="s">
        <v>258</v>
      </c>
      <c r="E57" s="91" t="s">
        <v>258</v>
      </c>
      <c r="F57" s="91" t="s">
        <v>259</v>
      </c>
      <c r="G57" s="91" t="s">
        <v>258</v>
      </c>
      <c r="H57" s="91">
        <v>2</v>
      </c>
      <c r="I57" s="91" t="s">
        <v>507</v>
      </c>
    </row>
    <row r="58" spans="1:9" x14ac:dyDescent="0.3">
      <c r="A58" s="90" t="s">
        <v>98</v>
      </c>
      <c r="B58" s="90" t="s">
        <v>100</v>
      </c>
      <c r="C58" s="90">
        <v>9.91</v>
      </c>
      <c r="D58" s="90" t="s">
        <v>258</v>
      </c>
      <c r="E58" s="90" t="s">
        <v>259</v>
      </c>
      <c r="F58" s="90" t="s">
        <v>259</v>
      </c>
      <c r="G58" s="90" t="s">
        <v>259</v>
      </c>
      <c r="H58" s="90">
        <v>2</v>
      </c>
      <c r="I58" s="90" t="s">
        <v>503</v>
      </c>
    </row>
    <row r="59" spans="1:9" x14ac:dyDescent="0.3">
      <c r="A59" s="91" t="s">
        <v>100</v>
      </c>
      <c r="B59" s="91" t="s">
        <v>492</v>
      </c>
      <c r="C59" s="91">
        <v>2.77</v>
      </c>
      <c r="D59" s="91" t="s">
        <v>259</v>
      </c>
      <c r="E59" s="91" t="s">
        <v>259</v>
      </c>
      <c r="F59" s="91" t="s">
        <v>259</v>
      </c>
      <c r="G59" s="91" t="s">
        <v>259</v>
      </c>
      <c r="H59" s="91">
        <v>2</v>
      </c>
      <c r="I59" s="91" t="s">
        <v>503</v>
      </c>
    </row>
    <row r="60" spans="1:9" x14ac:dyDescent="0.3">
      <c r="A60" s="90" t="s">
        <v>98</v>
      </c>
      <c r="B60" s="90" t="s">
        <v>102</v>
      </c>
      <c r="C60" s="90">
        <v>10.02</v>
      </c>
      <c r="D60" s="90" t="s">
        <v>258</v>
      </c>
      <c r="E60" s="90" t="s">
        <v>259</v>
      </c>
      <c r="F60" s="90" t="s">
        <v>259</v>
      </c>
      <c r="G60" s="90" t="s">
        <v>259</v>
      </c>
      <c r="H60" s="90">
        <v>2</v>
      </c>
      <c r="I60" s="90" t="s">
        <v>503</v>
      </c>
    </row>
    <row r="61" spans="1:9" x14ac:dyDescent="0.3">
      <c r="A61" s="91" t="s">
        <v>102</v>
      </c>
      <c r="B61" s="91" t="s">
        <v>103</v>
      </c>
      <c r="C61" s="91">
        <v>13.07</v>
      </c>
      <c r="D61" s="91" t="s">
        <v>258</v>
      </c>
      <c r="E61" s="91" t="s">
        <v>259</v>
      </c>
      <c r="F61" s="91" t="s">
        <v>259</v>
      </c>
      <c r="G61" s="91" t="s">
        <v>259</v>
      </c>
      <c r="H61" s="91">
        <v>2</v>
      </c>
      <c r="I61" s="91" t="s">
        <v>503</v>
      </c>
    </row>
    <row r="62" spans="1:9" x14ac:dyDescent="0.3">
      <c r="A62" s="90" t="s">
        <v>103</v>
      </c>
      <c r="B62" s="90" t="s">
        <v>107</v>
      </c>
      <c r="C62" s="90">
        <v>1E-3</v>
      </c>
      <c r="D62" s="90" t="s">
        <v>258</v>
      </c>
      <c r="E62" s="90" t="s">
        <v>259</v>
      </c>
      <c r="F62" s="90" t="s">
        <v>259</v>
      </c>
      <c r="G62" s="90" t="s">
        <v>258</v>
      </c>
      <c r="H62" s="90">
        <v>2</v>
      </c>
      <c r="I62" s="90" t="s">
        <v>505</v>
      </c>
    </row>
    <row r="63" spans="1:9" x14ac:dyDescent="0.3">
      <c r="A63" s="91" t="s">
        <v>103</v>
      </c>
      <c r="B63" s="91" t="s">
        <v>476</v>
      </c>
      <c r="C63" s="91">
        <v>0.2</v>
      </c>
      <c r="D63" s="91" t="s">
        <v>259</v>
      </c>
      <c r="E63" s="91" t="s">
        <v>259</v>
      </c>
      <c r="F63" s="91" t="s">
        <v>259</v>
      </c>
      <c r="G63" s="91" t="s">
        <v>259</v>
      </c>
      <c r="H63" s="91">
        <v>2</v>
      </c>
      <c r="I63" s="91" t="s">
        <v>503</v>
      </c>
    </row>
    <row r="64" spans="1:9" x14ac:dyDescent="0.3">
      <c r="A64" s="90" t="s">
        <v>397</v>
      </c>
      <c r="B64" s="90" t="s">
        <v>427</v>
      </c>
      <c r="C64" s="90">
        <v>10.850000000000009</v>
      </c>
      <c r="D64" s="90" t="s">
        <v>258</v>
      </c>
      <c r="E64" s="90" t="s">
        <v>258</v>
      </c>
      <c r="F64" s="90" t="s">
        <v>258</v>
      </c>
      <c r="G64" s="90" t="s">
        <v>259</v>
      </c>
      <c r="H64" s="90">
        <v>1</v>
      </c>
      <c r="I64" s="90"/>
    </row>
    <row r="65" spans="1:9" x14ac:dyDescent="0.3">
      <c r="A65" s="91" t="s">
        <v>427</v>
      </c>
      <c r="B65" s="91" t="s">
        <v>96</v>
      </c>
      <c r="C65" s="91">
        <v>7.8599999999999994</v>
      </c>
      <c r="D65" s="91" t="s">
        <v>258</v>
      </c>
      <c r="E65" s="91" t="s">
        <v>258</v>
      </c>
      <c r="F65" s="91" t="s">
        <v>258</v>
      </c>
      <c r="G65" s="91" t="s">
        <v>259</v>
      </c>
      <c r="H65" s="91">
        <v>1</v>
      </c>
      <c r="I65" s="91"/>
    </row>
    <row r="66" spans="1:9" x14ac:dyDescent="0.3">
      <c r="A66" s="90" t="s">
        <v>96</v>
      </c>
      <c r="B66" s="90" t="s">
        <v>94</v>
      </c>
      <c r="C66" s="90">
        <v>6.57</v>
      </c>
      <c r="D66" s="90" t="s">
        <v>258</v>
      </c>
      <c r="E66" s="90" t="s">
        <v>258</v>
      </c>
      <c r="F66" s="90" t="s">
        <v>258</v>
      </c>
      <c r="G66" s="90" t="s">
        <v>259</v>
      </c>
      <c r="H66" s="90">
        <v>1</v>
      </c>
      <c r="I66" s="90"/>
    </row>
    <row r="67" spans="1:9" x14ac:dyDescent="0.3">
      <c r="A67" s="91" t="s">
        <v>94</v>
      </c>
      <c r="B67" s="91" t="s">
        <v>421</v>
      </c>
      <c r="C67" s="91">
        <v>8.3399999999999963</v>
      </c>
      <c r="D67" s="91" t="s">
        <v>258</v>
      </c>
      <c r="E67" s="91" t="s">
        <v>258</v>
      </c>
      <c r="F67" s="91" t="s">
        <v>258</v>
      </c>
      <c r="G67" s="91" t="s">
        <v>259</v>
      </c>
      <c r="H67" s="91">
        <v>1</v>
      </c>
      <c r="I67" s="91"/>
    </row>
    <row r="68" spans="1:9" x14ac:dyDescent="0.3">
      <c r="A68" s="90" t="s">
        <v>421</v>
      </c>
      <c r="B68" s="90" t="s">
        <v>92</v>
      </c>
      <c r="C68" s="90">
        <v>4.34</v>
      </c>
      <c r="D68" s="90" t="s">
        <v>258</v>
      </c>
      <c r="E68" s="90" t="s">
        <v>258</v>
      </c>
      <c r="F68" s="90" t="s">
        <v>258</v>
      </c>
      <c r="G68" s="90" t="s">
        <v>259</v>
      </c>
      <c r="H68" s="90">
        <v>1</v>
      </c>
      <c r="I68" s="90"/>
    </row>
    <row r="69" spans="1:9" x14ac:dyDescent="0.3">
      <c r="A69" s="91" t="s">
        <v>92</v>
      </c>
      <c r="B69" s="91" t="s">
        <v>369</v>
      </c>
      <c r="C69" s="91">
        <v>11.610000000000003</v>
      </c>
      <c r="D69" s="91" t="s">
        <v>258</v>
      </c>
      <c r="E69" s="91" t="s">
        <v>258</v>
      </c>
      <c r="F69" s="91" t="s">
        <v>258</v>
      </c>
      <c r="G69" s="91" t="s">
        <v>259</v>
      </c>
      <c r="H69" s="91">
        <v>1</v>
      </c>
      <c r="I69" s="91"/>
    </row>
    <row r="70" spans="1:9" x14ac:dyDescent="0.3">
      <c r="A70" s="90" t="s">
        <v>369</v>
      </c>
      <c r="B70" s="90" t="s">
        <v>377</v>
      </c>
      <c r="C70" s="90">
        <v>18.329999999999998</v>
      </c>
      <c r="D70" s="90" t="s">
        <v>258</v>
      </c>
      <c r="E70" s="90" t="s">
        <v>258</v>
      </c>
      <c r="F70" s="90" t="s">
        <v>258</v>
      </c>
      <c r="G70" s="90" t="s">
        <v>259</v>
      </c>
      <c r="H70" s="90">
        <v>1</v>
      </c>
      <c r="I70" s="90"/>
    </row>
    <row r="71" spans="1:9" x14ac:dyDescent="0.3">
      <c r="A71" s="91" t="s">
        <v>377</v>
      </c>
      <c r="B71" s="91" t="s">
        <v>90</v>
      </c>
      <c r="C71" s="91">
        <v>4</v>
      </c>
      <c r="D71" s="91" t="s">
        <v>258</v>
      </c>
      <c r="E71" s="91" t="s">
        <v>258</v>
      </c>
      <c r="F71" s="91" t="s">
        <v>258</v>
      </c>
      <c r="G71" s="91" t="s">
        <v>259</v>
      </c>
      <c r="H71" s="91">
        <v>1</v>
      </c>
      <c r="I71" s="91"/>
    </row>
    <row r="72" spans="1:9" x14ac:dyDescent="0.3">
      <c r="A72" s="90" t="s">
        <v>90</v>
      </c>
      <c r="B72" s="90" t="s">
        <v>391</v>
      </c>
      <c r="C72" s="90">
        <v>10.629999999999995</v>
      </c>
      <c r="D72" s="90" t="s">
        <v>258</v>
      </c>
      <c r="E72" s="90" t="s">
        <v>258</v>
      </c>
      <c r="F72" s="90" t="s">
        <v>258</v>
      </c>
      <c r="G72" s="90" t="s">
        <v>259</v>
      </c>
      <c r="H72" s="90">
        <v>1</v>
      </c>
      <c r="I72" s="90"/>
    </row>
    <row r="73" spans="1:9" x14ac:dyDescent="0.3">
      <c r="A73" s="91" t="s">
        <v>391</v>
      </c>
      <c r="B73" s="91" t="s">
        <v>85</v>
      </c>
      <c r="C73" s="91">
        <v>13.970000000000013</v>
      </c>
      <c r="D73" s="91" t="s">
        <v>258</v>
      </c>
      <c r="E73" s="91" t="s">
        <v>258</v>
      </c>
      <c r="F73" s="91" t="s">
        <v>258</v>
      </c>
      <c r="G73" s="91" t="s">
        <v>259</v>
      </c>
      <c r="H73" s="91">
        <v>1</v>
      </c>
      <c r="I73" s="91"/>
    </row>
    <row r="74" spans="1:9" x14ac:dyDescent="0.3">
      <c r="A74" s="90" t="s">
        <v>85</v>
      </c>
      <c r="B74" s="90" t="s">
        <v>371</v>
      </c>
      <c r="C74" s="90">
        <v>15.11</v>
      </c>
      <c r="D74" s="90" t="s">
        <v>258</v>
      </c>
      <c r="E74" s="90" t="s">
        <v>259</v>
      </c>
      <c r="F74" s="90" t="s">
        <v>259</v>
      </c>
      <c r="G74" s="90" t="s">
        <v>259</v>
      </c>
      <c r="H74" s="90">
        <v>1</v>
      </c>
      <c r="I74" s="90" t="s">
        <v>503</v>
      </c>
    </row>
    <row r="75" spans="1:9" x14ac:dyDescent="0.3">
      <c r="A75" s="91" t="s">
        <v>371</v>
      </c>
      <c r="B75" s="91" t="s">
        <v>89</v>
      </c>
      <c r="C75" s="91">
        <v>8.620000000000001</v>
      </c>
      <c r="D75" s="91" t="s">
        <v>258</v>
      </c>
      <c r="E75" s="91" t="s">
        <v>259</v>
      </c>
      <c r="F75" s="91" t="s">
        <v>259</v>
      </c>
      <c r="G75" s="91" t="s">
        <v>259</v>
      </c>
      <c r="H75" s="91">
        <v>1</v>
      </c>
      <c r="I75" s="91" t="s">
        <v>503</v>
      </c>
    </row>
    <row r="76" spans="1:9" x14ac:dyDescent="0.3">
      <c r="A76" s="90" t="s">
        <v>89</v>
      </c>
      <c r="B76" s="90" t="s">
        <v>87</v>
      </c>
      <c r="C76" s="90">
        <v>1E-3</v>
      </c>
      <c r="D76" s="90" t="s">
        <v>258</v>
      </c>
      <c r="E76" s="90" t="s">
        <v>259</v>
      </c>
      <c r="F76" s="90" t="s">
        <v>259</v>
      </c>
      <c r="G76" s="90" t="s">
        <v>258</v>
      </c>
      <c r="H76" s="90">
        <v>1</v>
      </c>
      <c r="I76" s="90" t="s">
        <v>505</v>
      </c>
    </row>
    <row r="77" spans="1:9" x14ac:dyDescent="0.3">
      <c r="A77" s="91" t="s">
        <v>85</v>
      </c>
      <c r="B77" s="91" t="s">
        <v>83</v>
      </c>
      <c r="C77" s="91">
        <v>11.43</v>
      </c>
      <c r="D77" s="91" t="s">
        <v>258</v>
      </c>
      <c r="E77" s="91" t="s">
        <v>259</v>
      </c>
      <c r="F77" s="91" t="s">
        <v>259</v>
      </c>
      <c r="G77" s="91" t="s">
        <v>259</v>
      </c>
      <c r="H77" s="91">
        <v>1</v>
      </c>
      <c r="I77" s="91" t="s">
        <v>503</v>
      </c>
    </row>
    <row r="78" spans="1:9" x14ac:dyDescent="0.3">
      <c r="A78" s="90" t="s">
        <v>85</v>
      </c>
      <c r="B78" s="90" t="s">
        <v>79</v>
      </c>
      <c r="C78" s="90">
        <v>13.639999999999993</v>
      </c>
      <c r="D78" s="90" t="s">
        <v>258</v>
      </c>
      <c r="E78" s="90" t="s">
        <v>258</v>
      </c>
      <c r="F78" s="90" t="s">
        <v>258</v>
      </c>
      <c r="G78" s="90" t="s">
        <v>259</v>
      </c>
      <c r="H78" s="90">
        <v>1</v>
      </c>
      <c r="I78" s="90"/>
    </row>
    <row r="79" spans="1:9" x14ac:dyDescent="0.3">
      <c r="A79" s="91" t="s">
        <v>79</v>
      </c>
      <c r="B79" s="91" t="s">
        <v>401</v>
      </c>
      <c r="C79" s="91">
        <v>2.4299999999999997</v>
      </c>
      <c r="D79" s="91" t="s">
        <v>258</v>
      </c>
      <c r="E79" s="91" t="s">
        <v>258</v>
      </c>
      <c r="F79" s="91" t="s">
        <v>258</v>
      </c>
      <c r="G79" s="91" t="s">
        <v>259</v>
      </c>
      <c r="H79" s="91">
        <v>1</v>
      </c>
      <c r="I79" s="91"/>
    </row>
    <row r="80" spans="1:9" x14ac:dyDescent="0.3">
      <c r="A80" s="90" t="s">
        <v>401</v>
      </c>
      <c r="B80" s="90" t="s">
        <v>73</v>
      </c>
      <c r="C80" s="90">
        <v>0.14000000000000001</v>
      </c>
      <c r="D80" s="90" t="s">
        <v>258</v>
      </c>
      <c r="E80" s="90" t="s">
        <v>259</v>
      </c>
      <c r="F80" s="90" t="s">
        <v>259</v>
      </c>
      <c r="G80" s="90" t="s">
        <v>259</v>
      </c>
      <c r="H80" s="90">
        <v>1</v>
      </c>
      <c r="I80" s="90" t="s">
        <v>503</v>
      </c>
    </row>
    <row r="81" spans="1:9" x14ac:dyDescent="0.3">
      <c r="A81" s="91" t="s">
        <v>73</v>
      </c>
      <c r="B81" s="91" t="s">
        <v>473</v>
      </c>
      <c r="C81" s="91">
        <v>1.24</v>
      </c>
      <c r="D81" s="91" t="s">
        <v>259</v>
      </c>
      <c r="E81" s="91" t="s">
        <v>259</v>
      </c>
      <c r="F81" s="91" t="s">
        <v>259</v>
      </c>
      <c r="G81" s="91" t="s">
        <v>259</v>
      </c>
      <c r="H81" s="91">
        <v>1</v>
      </c>
      <c r="I81" s="91" t="s">
        <v>508</v>
      </c>
    </row>
    <row r="82" spans="1:9" x14ac:dyDescent="0.3">
      <c r="A82" s="90" t="s">
        <v>73</v>
      </c>
      <c r="B82" s="90" t="s">
        <v>81</v>
      </c>
      <c r="C82" s="90">
        <v>1E-3</v>
      </c>
      <c r="D82" s="90" t="s">
        <v>258</v>
      </c>
      <c r="E82" s="90" t="s">
        <v>259</v>
      </c>
      <c r="F82" s="90" t="s">
        <v>259</v>
      </c>
      <c r="G82" s="90" t="s">
        <v>258</v>
      </c>
      <c r="H82" s="90">
        <v>1</v>
      </c>
      <c r="I82" s="90" t="s">
        <v>505</v>
      </c>
    </row>
    <row r="83" spans="1:9" x14ac:dyDescent="0.3">
      <c r="A83" s="91" t="s">
        <v>81</v>
      </c>
      <c r="B83" s="91" t="s">
        <v>471</v>
      </c>
      <c r="C83" s="91">
        <v>1.24</v>
      </c>
      <c r="D83" s="91" t="s">
        <v>259</v>
      </c>
      <c r="E83" s="91" t="s">
        <v>259</v>
      </c>
      <c r="F83" s="91" t="s">
        <v>259</v>
      </c>
      <c r="G83" s="91" t="s">
        <v>259</v>
      </c>
      <c r="H83" s="91">
        <v>1</v>
      </c>
      <c r="I83" s="91" t="s">
        <v>509</v>
      </c>
    </row>
    <row r="84" spans="1:9" x14ac:dyDescent="0.3">
      <c r="A84" s="90" t="s">
        <v>81</v>
      </c>
      <c r="B84" s="90" t="s">
        <v>383</v>
      </c>
      <c r="C84" s="90">
        <v>11.65</v>
      </c>
      <c r="D84" s="90" t="s">
        <v>258</v>
      </c>
      <c r="E84" s="90" t="s">
        <v>259</v>
      </c>
      <c r="F84" s="90" t="s">
        <v>259</v>
      </c>
      <c r="G84" s="90" t="s">
        <v>259</v>
      </c>
      <c r="H84" s="90">
        <v>1</v>
      </c>
      <c r="I84" s="90" t="s">
        <v>503</v>
      </c>
    </row>
    <row r="85" spans="1:9" x14ac:dyDescent="0.3">
      <c r="A85" s="91" t="s">
        <v>383</v>
      </c>
      <c r="B85" s="91" t="s">
        <v>75</v>
      </c>
      <c r="C85" s="91">
        <v>9.1300000000000008</v>
      </c>
      <c r="D85" s="91" t="s">
        <v>258</v>
      </c>
      <c r="E85" s="91" t="s">
        <v>259</v>
      </c>
      <c r="F85" s="91" t="s">
        <v>259</v>
      </c>
      <c r="G85" s="91" t="s">
        <v>259</v>
      </c>
      <c r="H85" s="91">
        <v>1</v>
      </c>
      <c r="I85" s="91" t="s">
        <v>503</v>
      </c>
    </row>
    <row r="86" spans="1:9" x14ac:dyDescent="0.3">
      <c r="A86" s="90" t="s">
        <v>75</v>
      </c>
      <c r="B86" s="90" t="s">
        <v>82</v>
      </c>
      <c r="C86" s="90">
        <v>6.77</v>
      </c>
      <c r="D86" s="90" t="s">
        <v>258</v>
      </c>
      <c r="E86" s="90" t="s">
        <v>259</v>
      </c>
      <c r="F86" s="90" t="s">
        <v>259</v>
      </c>
      <c r="G86" s="90" t="s">
        <v>259</v>
      </c>
      <c r="H86" s="90">
        <v>1</v>
      </c>
      <c r="I86" s="90" t="s">
        <v>503</v>
      </c>
    </row>
    <row r="87" spans="1:9" x14ac:dyDescent="0.3">
      <c r="A87" s="91" t="s">
        <v>82</v>
      </c>
      <c r="B87" s="91" t="s">
        <v>77</v>
      </c>
      <c r="C87" s="91">
        <v>1E-3</v>
      </c>
      <c r="D87" s="91" t="s">
        <v>258</v>
      </c>
      <c r="E87" s="91" t="s">
        <v>259</v>
      </c>
      <c r="F87" s="91" t="s">
        <v>259</v>
      </c>
      <c r="G87" s="91" t="s">
        <v>258</v>
      </c>
      <c r="H87" s="91">
        <v>1</v>
      </c>
      <c r="I87" s="91" t="s">
        <v>505</v>
      </c>
    </row>
    <row r="88" spans="1:9" x14ac:dyDescent="0.3">
      <c r="A88" s="90" t="s">
        <v>82</v>
      </c>
      <c r="B88" s="90" t="s">
        <v>71</v>
      </c>
      <c r="C88" s="90">
        <v>5.34</v>
      </c>
      <c r="D88" s="90" t="s">
        <v>258</v>
      </c>
      <c r="E88" s="90" t="s">
        <v>259</v>
      </c>
      <c r="F88" s="90" t="s">
        <v>259</v>
      </c>
      <c r="G88" s="90" t="s">
        <v>259</v>
      </c>
      <c r="H88" s="90">
        <v>1</v>
      </c>
      <c r="I88" s="90" t="s">
        <v>503</v>
      </c>
    </row>
    <row r="89" spans="1:9" x14ac:dyDescent="0.3">
      <c r="A89" s="91" t="s">
        <v>401</v>
      </c>
      <c r="B89" s="91" t="s">
        <v>69</v>
      </c>
      <c r="C89" s="91">
        <v>3.7700000000000031</v>
      </c>
      <c r="D89" s="91" t="s">
        <v>258</v>
      </c>
      <c r="E89" s="91" t="s">
        <v>258</v>
      </c>
      <c r="F89" s="91" t="s">
        <v>258</v>
      </c>
      <c r="G89" s="91" t="s">
        <v>259</v>
      </c>
      <c r="H89" s="91">
        <v>1</v>
      </c>
      <c r="I89" s="91"/>
    </row>
    <row r="90" spans="1:9" x14ac:dyDescent="0.3">
      <c r="A90" s="90" t="s">
        <v>69</v>
      </c>
      <c r="B90" s="90" t="s">
        <v>67</v>
      </c>
      <c r="C90" s="90">
        <v>12.459999999999994</v>
      </c>
      <c r="D90" s="90" t="s">
        <v>258</v>
      </c>
      <c r="E90" s="90" t="s">
        <v>258</v>
      </c>
      <c r="F90" s="90" t="s">
        <v>258</v>
      </c>
      <c r="G90" s="90" t="s">
        <v>259</v>
      </c>
      <c r="H90" s="90">
        <v>1</v>
      </c>
      <c r="I90" s="90"/>
    </row>
    <row r="91" spans="1:9" x14ac:dyDescent="0.3">
      <c r="A91" s="91" t="s">
        <v>67</v>
      </c>
      <c r="B91" s="91" t="s">
        <v>395</v>
      </c>
      <c r="C91" s="91">
        <v>11.010000000000005</v>
      </c>
      <c r="D91" s="91" t="s">
        <v>258</v>
      </c>
      <c r="E91" s="91" t="s">
        <v>258</v>
      </c>
      <c r="F91" s="91" t="s">
        <v>258</v>
      </c>
      <c r="G91" s="91" t="s">
        <v>259</v>
      </c>
      <c r="H91" s="91">
        <v>1</v>
      </c>
      <c r="I91" s="91"/>
    </row>
    <row r="92" spans="1:9" x14ac:dyDescent="0.3">
      <c r="A92" s="90" t="s">
        <v>395</v>
      </c>
      <c r="B92" s="90" t="s">
        <v>63</v>
      </c>
      <c r="C92" s="90">
        <v>5.6899999999999977</v>
      </c>
      <c r="D92" s="90" t="s">
        <v>258</v>
      </c>
      <c r="E92" s="90" t="s">
        <v>258</v>
      </c>
      <c r="F92" s="90" t="s">
        <v>258</v>
      </c>
      <c r="G92" s="90" t="s">
        <v>259</v>
      </c>
      <c r="H92" s="90">
        <v>1</v>
      </c>
      <c r="I92" s="90"/>
    </row>
    <row r="93" spans="1:9" x14ac:dyDescent="0.3">
      <c r="A93" s="91" t="s">
        <v>63</v>
      </c>
      <c r="B93" s="91" t="s">
        <v>61</v>
      </c>
      <c r="C93" s="91">
        <v>12.39</v>
      </c>
      <c r="D93" s="91" t="s">
        <v>258</v>
      </c>
      <c r="E93" s="91" t="s">
        <v>258</v>
      </c>
      <c r="F93" s="91" t="s">
        <v>258</v>
      </c>
      <c r="G93" s="91" t="s">
        <v>259</v>
      </c>
      <c r="H93" s="91">
        <v>1</v>
      </c>
      <c r="I93" s="91"/>
    </row>
    <row r="94" spans="1:9" x14ac:dyDescent="0.3">
      <c r="A94" s="90" t="s">
        <v>61</v>
      </c>
      <c r="B94" s="90" t="s">
        <v>433</v>
      </c>
      <c r="C94" s="90">
        <v>9.34</v>
      </c>
      <c r="D94" s="90" t="s">
        <v>258</v>
      </c>
      <c r="E94" s="90" t="s">
        <v>258</v>
      </c>
      <c r="F94" s="90" t="s">
        <v>258</v>
      </c>
      <c r="G94" s="90" t="s">
        <v>259</v>
      </c>
      <c r="H94" s="90">
        <v>1</v>
      </c>
      <c r="I94" s="90"/>
    </row>
    <row r="95" spans="1:9" x14ac:dyDescent="0.3">
      <c r="A95" s="91" t="s">
        <v>433</v>
      </c>
      <c r="B95" s="91" t="s">
        <v>435</v>
      </c>
      <c r="C95" s="91">
        <v>10.199999999999999</v>
      </c>
      <c r="D95" s="91" t="s">
        <v>258</v>
      </c>
      <c r="E95" s="91" t="s">
        <v>259</v>
      </c>
      <c r="F95" s="91" t="s">
        <v>259</v>
      </c>
      <c r="G95" s="91" t="s">
        <v>259</v>
      </c>
      <c r="H95" s="91">
        <v>1</v>
      </c>
      <c r="I95" s="91" t="s">
        <v>503</v>
      </c>
    </row>
    <row r="96" spans="1:9" x14ac:dyDescent="0.3">
      <c r="A96" s="90" t="s">
        <v>435</v>
      </c>
      <c r="B96" s="90" t="s">
        <v>58</v>
      </c>
      <c r="C96" s="90">
        <v>1.08</v>
      </c>
      <c r="D96" s="90" t="s">
        <v>258</v>
      </c>
      <c r="E96" s="90" t="s">
        <v>259</v>
      </c>
      <c r="F96" s="90" t="s">
        <v>259</v>
      </c>
      <c r="G96" s="90" t="s">
        <v>259</v>
      </c>
      <c r="H96" s="90">
        <v>1</v>
      </c>
      <c r="I96" s="90" t="s">
        <v>503</v>
      </c>
    </row>
    <row r="97" spans="1:9" x14ac:dyDescent="0.3">
      <c r="A97" s="91" t="s">
        <v>58</v>
      </c>
      <c r="B97" s="91" t="s">
        <v>60</v>
      </c>
      <c r="C97" s="91">
        <v>8.31</v>
      </c>
      <c r="D97" s="91" t="s">
        <v>258</v>
      </c>
      <c r="E97" s="91" t="s">
        <v>259</v>
      </c>
      <c r="F97" s="91" t="s">
        <v>259</v>
      </c>
      <c r="G97" s="91" t="s">
        <v>259</v>
      </c>
      <c r="H97" s="91">
        <v>1</v>
      </c>
      <c r="I97" s="91" t="s">
        <v>503</v>
      </c>
    </row>
    <row r="98" spans="1:9" x14ac:dyDescent="0.3">
      <c r="A98" s="90" t="s">
        <v>60</v>
      </c>
      <c r="B98" s="90" t="s">
        <v>56</v>
      </c>
      <c r="C98" s="90">
        <v>1E-3</v>
      </c>
      <c r="D98" s="90" t="s">
        <v>258</v>
      </c>
      <c r="E98" s="90" t="s">
        <v>259</v>
      </c>
      <c r="F98" s="90" t="s">
        <v>259</v>
      </c>
      <c r="G98" s="90" t="s">
        <v>258</v>
      </c>
      <c r="H98" s="90">
        <v>1</v>
      </c>
      <c r="I98" s="90" t="s">
        <v>505</v>
      </c>
    </row>
    <row r="99" spans="1:9" x14ac:dyDescent="0.3">
      <c r="A99" s="91" t="s">
        <v>435</v>
      </c>
      <c r="B99" s="91" t="s">
        <v>447</v>
      </c>
      <c r="C99" s="91">
        <v>7.77</v>
      </c>
      <c r="D99" s="91" t="s">
        <v>258</v>
      </c>
      <c r="E99" s="91" t="s">
        <v>259</v>
      </c>
      <c r="F99" s="91" t="s">
        <v>259</v>
      </c>
      <c r="G99" s="91" t="s">
        <v>259</v>
      </c>
      <c r="H99" s="91">
        <v>1</v>
      </c>
      <c r="I99" s="91" t="s">
        <v>503</v>
      </c>
    </row>
    <row r="100" spans="1:9" x14ac:dyDescent="0.3">
      <c r="A100" s="90" t="s">
        <v>447</v>
      </c>
      <c r="B100" s="90" t="s">
        <v>65</v>
      </c>
      <c r="C100" s="90">
        <v>7.8800000000000008</v>
      </c>
      <c r="D100" s="90" t="s">
        <v>258</v>
      </c>
      <c r="E100" s="90" t="s">
        <v>259</v>
      </c>
      <c r="F100" s="90" t="s">
        <v>259</v>
      </c>
      <c r="G100" s="90" t="s">
        <v>259</v>
      </c>
      <c r="H100" s="90">
        <v>1</v>
      </c>
      <c r="I100" s="90" t="s">
        <v>503</v>
      </c>
    </row>
    <row r="101" spans="1:9" x14ac:dyDescent="0.3">
      <c r="A101" s="91" t="s">
        <v>433</v>
      </c>
      <c r="B101" s="91" t="s">
        <v>54</v>
      </c>
      <c r="C101" s="91">
        <v>6.59</v>
      </c>
      <c r="D101" s="91" t="s">
        <v>258</v>
      </c>
      <c r="E101" s="91" t="s">
        <v>258</v>
      </c>
      <c r="F101" s="91" t="s">
        <v>258</v>
      </c>
      <c r="G101" s="91" t="s">
        <v>259</v>
      </c>
      <c r="H101" s="91">
        <v>1</v>
      </c>
      <c r="I101" s="91"/>
    </row>
    <row r="102" spans="1:9" x14ac:dyDescent="0.3">
      <c r="A102" s="90" t="s">
        <v>54</v>
      </c>
      <c r="B102" s="90" t="s">
        <v>204</v>
      </c>
      <c r="C102" s="90">
        <v>5.3400000000000034</v>
      </c>
      <c r="D102" s="90" t="s">
        <v>258</v>
      </c>
      <c r="E102" s="90" t="s">
        <v>258</v>
      </c>
      <c r="F102" s="90" t="s">
        <v>258</v>
      </c>
      <c r="G102" s="90" t="s">
        <v>259</v>
      </c>
      <c r="H102" s="90">
        <v>7</v>
      </c>
      <c r="I102" s="90"/>
    </row>
    <row r="103" spans="1:9" x14ac:dyDescent="0.3">
      <c r="A103" s="91" t="s">
        <v>204</v>
      </c>
      <c r="B103" s="91" t="s">
        <v>481</v>
      </c>
      <c r="C103" s="91">
        <v>1.73</v>
      </c>
      <c r="D103" s="91" t="s">
        <v>259</v>
      </c>
      <c r="E103" s="91" t="s">
        <v>259</v>
      </c>
      <c r="F103" s="91" t="s">
        <v>259</v>
      </c>
      <c r="G103" s="91" t="s">
        <v>259</v>
      </c>
      <c r="H103" s="91">
        <v>7</v>
      </c>
      <c r="I103" s="91" t="s">
        <v>503</v>
      </c>
    </row>
    <row r="104" spans="1:9" x14ac:dyDescent="0.3">
      <c r="A104" s="90" t="s">
        <v>204</v>
      </c>
      <c r="B104" s="90" t="s">
        <v>365</v>
      </c>
      <c r="C104" s="90">
        <v>20.22</v>
      </c>
      <c r="D104" s="90" t="s">
        <v>258</v>
      </c>
      <c r="E104" s="90" t="s">
        <v>258</v>
      </c>
      <c r="F104" s="90" t="s">
        <v>258</v>
      </c>
      <c r="G104" s="90" t="s">
        <v>259</v>
      </c>
      <c r="H104" s="90">
        <v>7</v>
      </c>
      <c r="I104" s="90"/>
    </row>
    <row r="105" spans="1:9" x14ac:dyDescent="0.3">
      <c r="A105" s="91" t="s">
        <v>365</v>
      </c>
      <c r="B105" s="91" t="s">
        <v>415</v>
      </c>
      <c r="C105" s="91">
        <v>17.049999999999997</v>
      </c>
      <c r="D105" s="91" t="s">
        <v>258</v>
      </c>
      <c r="E105" s="91" t="s">
        <v>258</v>
      </c>
      <c r="F105" s="91" t="s">
        <v>258</v>
      </c>
      <c r="G105" s="91" t="s">
        <v>259</v>
      </c>
      <c r="H105" s="91">
        <v>7</v>
      </c>
      <c r="I105" s="91"/>
    </row>
    <row r="106" spans="1:9" x14ac:dyDescent="0.3">
      <c r="A106" s="90" t="s">
        <v>415</v>
      </c>
      <c r="B106" s="90" t="s">
        <v>455</v>
      </c>
      <c r="C106" s="90">
        <v>28.490000000000002</v>
      </c>
      <c r="D106" s="90" t="s">
        <v>258</v>
      </c>
      <c r="E106" s="90" t="s">
        <v>258</v>
      </c>
      <c r="F106" s="90" t="s">
        <v>258</v>
      </c>
      <c r="G106" s="90" t="s">
        <v>259</v>
      </c>
      <c r="H106" s="90">
        <v>7</v>
      </c>
      <c r="I106" s="90"/>
    </row>
    <row r="107" spans="1:9" x14ac:dyDescent="0.3">
      <c r="A107" s="91" t="s">
        <v>455</v>
      </c>
      <c r="B107" s="91" t="s">
        <v>206</v>
      </c>
      <c r="C107" s="91">
        <v>9.120000000000001</v>
      </c>
      <c r="D107" s="91" t="s">
        <v>258</v>
      </c>
      <c r="E107" s="91" t="s">
        <v>258</v>
      </c>
      <c r="F107" s="91" t="s">
        <v>258</v>
      </c>
      <c r="G107" s="91" t="s">
        <v>259</v>
      </c>
      <c r="H107" s="91">
        <v>7</v>
      </c>
      <c r="I107" s="91"/>
    </row>
    <row r="108" spans="1:9" x14ac:dyDescent="0.3">
      <c r="A108" s="90" t="s">
        <v>206</v>
      </c>
      <c r="B108" s="90" t="s">
        <v>486</v>
      </c>
      <c r="C108" s="90">
        <v>0.94</v>
      </c>
      <c r="D108" s="90" t="s">
        <v>259</v>
      </c>
      <c r="E108" s="90" t="s">
        <v>259</v>
      </c>
      <c r="F108" s="90" t="s">
        <v>259</v>
      </c>
      <c r="G108" s="90" t="s">
        <v>259</v>
      </c>
      <c r="H108" s="90">
        <v>7</v>
      </c>
      <c r="I108" s="90" t="s">
        <v>664</v>
      </c>
    </row>
    <row r="109" spans="1:9" x14ac:dyDescent="0.3">
      <c r="A109" s="91" t="s">
        <v>206</v>
      </c>
      <c r="B109" s="91" t="s">
        <v>211</v>
      </c>
      <c r="C109" s="91">
        <v>1E-3</v>
      </c>
      <c r="D109" s="91" t="s">
        <v>258</v>
      </c>
      <c r="E109" s="91" t="s">
        <v>258</v>
      </c>
      <c r="F109" s="91" t="s">
        <v>258</v>
      </c>
      <c r="G109" s="91" t="s">
        <v>258</v>
      </c>
      <c r="H109" s="91">
        <v>7</v>
      </c>
      <c r="I109" s="91" t="s">
        <v>505</v>
      </c>
    </row>
    <row r="110" spans="1:9" x14ac:dyDescent="0.3">
      <c r="A110" s="90" t="s">
        <v>211</v>
      </c>
      <c r="B110" s="90" t="s">
        <v>488</v>
      </c>
      <c r="C110" s="90">
        <v>0.94</v>
      </c>
      <c r="D110" s="90" t="s">
        <v>259</v>
      </c>
      <c r="E110" s="90" t="s">
        <v>259</v>
      </c>
      <c r="F110" s="90" t="s">
        <v>259</v>
      </c>
      <c r="G110" s="90" t="s">
        <v>259</v>
      </c>
      <c r="H110" s="90">
        <v>7</v>
      </c>
      <c r="I110" s="90" t="s">
        <v>665</v>
      </c>
    </row>
    <row r="111" spans="1:9" x14ac:dyDescent="0.3">
      <c r="A111" s="91" t="s">
        <v>206</v>
      </c>
      <c r="B111" s="91" t="s">
        <v>208</v>
      </c>
      <c r="C111" s="91">
        <v>1E-3</v>
      </c>
      <c r="D111" s="91" t="s">
        <v>258</v>
      </c>
      <c r="E111" s="91" t="s">
        <v>258</v>
      </c>
      <c r="F111" s="91" t="s">
        <v>258</v>
      </c>
      <c r="G111" s="91" t="s">
        <v>258</v>
      </c>
      <c r="H111" s="91">
        <v>7</v>
      </c>
      <c r="I111" s="91" t="s">
        <v>505</v>
      </c>
    </row>
    <row r="112" spans="1:9" x14ac:dyDescent="0.3">
      <c r="A112" s="90" t="s">
        <v>208</v>
      </c>
      <c r="B112" s="90" t="s">
        <v>465</v>
      </c>
      <c r="C112" s="90">
        <v>1.31</v>
      </c>
      <c r="D112" s="90" t="s">
        <v>258</v>
      </c>
      <c r="E112" s="90" t="s">
        <v>259</v>
      </c>
      <c r="F112" s="90" t="s">
        <v>259</v>
      </c>
      <c r="G112" s="90" t="s">
        <v>259</v>
      </c>
      <c r="H112" s="90">
        <v>7</v>
      </c>
      <c r="I112" s="90" t="s">
        <v>503</v>
      </c>
    </row>
    <row r="113" spans="1:9" x14ac:dyDescent="0.3">
      <c r="A113" s="91" t="s">
        <v>465</v>
      </c>
      <c r="B113" s="91" t="s">
        <v>467</v>
      </c>
      <c r="C113" s="91">
        <v>0.87999999999999989</v>
      </c>
      <c r="D113" s="91" t="s">
        <v>259</v>
      </c>
      <c r="E113" s="91" t="s">
        <v>259</v>
      </c>
      <c r="F113" s="91" t="s">
        <v>259</v>
      </c>
      <c r="G113" s="91" t="s">
        <v>259</v>
      </c>
      <c r="H113" s="91">
        <v>7</v>
      </c>
      <c r="I113" s="91" t="s">
        <v>510</v>
      </c>
    </row>
    <row r="114" spans="1:9" x14ac:dyDescent="0.3">
      <c r="A114" s="90" t="s">
        <v>467</v>
      </c>
      <c r="B114" s="90" t="s">
        <v>490</v>
      </c>
      <c r="C114" s="90">
        <v>0.20999999999999996</v>
      </c>
      <c r="D114" s="90" t="s">
        <v>259</v>
      </c>
      <c r="E114" s="90" t="s">
        <v>259</v>
      </c>
      <c r="F114" s="90" t="s">
        <v>259</v>
      </c>
      <c r="G114" s="90" t="s">
        <v>259</v>
      </c>
      <c r="H114" s="90">
        <v>7</v>
      </c>
      <c r="I114" s="90" t="s">
        <v>510</v>
      </c>
    </row>
    <row r="115" spans="1:9" x14ac:dyDescent="0.3">
      <c r="A115" s="91" t="s">
        <v>465</v>
      </c>
      <c r="B115" s="91" t="s">
        <v>209</v>
      </c>
      <c r="C115" s="91">
        <v>0.01</v>
      </c>
      <c r="D115" s="91" t="s">
        <v>258</v>
      </c>
      <c r="E115" s="91" t="s">
        <v>259</v>
      </c>
      <c r="F115" s="91" t="s">
        <v>259</v>
      </c>
      <c r="G115" s="91" t="s">
        <v>259</v>
      </c>
      <c r="H115" s="91">
        <v>7</v>
      </c>
      <c r="I115" s="91" t="s">
        <v>503</v>
      </c>
    </row>
    <row r="116" spans="1:9" x14ac:dyDescent="0.3">
      <c r="A116" s="90" t="s">
        <v>467</v>
      </c>
      <c r="B116" s="90" t="s">
        <v>479</v>
      </c>
      <c r="C116" s="90">
        <v>0.04</v>
      </c>
      <c r="D116" s="90" t="s">
        <v>259</v>
      </c>
      <c r="E116" s="90" t="s">
        <v>259</v>
      </c>
      <c r="F116" s="90" t="s">
        <v>259</v>
      </c>
      <c r="G116" s="90" t="s">
        <v>259</v>
      </c>
      <c r="H116" s="90">
        <v>7</v>
      </c>
      <c r="I116" s="90" t="s">
        <v>510</v>
      </c>
    </row>
    <row r="117" spans="1:9" x14ac:dyDescent="0.3">
      <c r="A117" s="91" t="s">
        <v>206</v>
      </c>
      <c r="B117" s="91" t="s">
        <v>459</v>
      </c>
      <c r="C117" s="91">
        <v>5.7299999999999995</v>
      </c>
      <c r="D117" s="91" t="s">
        <v>258</v>
      </c>
      <c r="E117" s="91" t="s">
        <v>258</v>
      </c>
      <c r="F117" s="91" t="s">
        <v>258</v>
      </c>
      <c r="G117" s="91" t="s">
        <v>259</v>
      </c>
      <c r="H117" s="91">
        <v>7</v>
      </c>
      <c r="I117" s="91"/>
    </row>
    <row r="118" spans="1:9" x14ac:dyDescent="0.3">
      <c r="A118" s="90" t="s">
        <v>459</v>
      </c>
      <c r="B118" s="90" t="s">
        <v>212</v>
      </c>
      <c r="C118" s="90">
        <v>1.36</v>
      </c>
      <c r="D118" s="90" t="s">
        <v>258</v>
      </c>
      <c r="E118" s="90" t="s">
        <v>258</v>
      </c>
      <c r="F118" s="90" t="s">
        <v>258</v>
      </c>
      <c r="G118" s="90" t="s">
        <v>259</v>
      </c>
      <c r="H118" s="90">
        <v>7</v>
      </c>
      <c r="I118" s="90" t="s">
        <v>511</v>
      </c>
    </row>
    <row r="119" spans="1:9" x14ac:dyDescent="0.3">
      <c r="A119" s="91" t="s">
        <v>246</v>
      </c>
      <c r="B119" s="91" t="s">
        <v>212</v>
      </c>
      <c r="C119" s="91">
        <v>1E-3</v>
      </c>
      <c r="D119" s="91" t="s">
        <v>258</v>
      </c>
      <c r="E119" s="91" t="s">
        <v>258</v>
      </c>
      <c r="F119" s="91" t="s">
        <v>258</v>
      </c>
      <c r="G119" s="91" t="s">
        <v>258</v>
      </c>
      <c r="H119" s="91">
        <v>7</v>
      </c>
      <c r="I119" s="91" t="s">
        <v>512</v>
      </c>
    </row>
    <row r="120" spans="1:9" x14ac:dyDescent="0.3">
      <c r="A120" s="90" t="s">
        <v>463</v>
      </c>
      <c r="B120" s="90" t="s">
        <v>274</v>
      </c>
      <c r="C120" s="90">
        <v>0.24</v>
      </c>
      <c r="D120" s="90" t="s">
        <v>258</v>
      </c>
      <c r="E120" s="90" t="s">
        <v>258</v>
      </c>
      <c r="F120" s="90" t="s">
        <v>258</v>
      </c>
      <c r="G120" s="90" t="s">
        <v>259</v>
      </c>
      <c r="H120" s="90">
        <v>3</v>
      </c>
      <c r="I120" s="90"/>
    </row>
    <row r="121" spans="1:9" x14ac:dyDescent="0.3">
      <c r="A121" s="91" t="s">
        <v>274</v>
      </c>
      <c r="B121" s="91" t="s">
        <v>166</v>
      </c>
      <c r="C121" s="91">
        <v>1E-3</v>
      </c>
      <c r="D121" s="91" t="s">
        <v>258</v>
      </c>
      <c r="E121" s="91" t="s">
        <v>258</v>
      </c>
      <c r="F121" s="91" t="s">
        <v>258</v>
      </c>
      <c r="G121" s="91" t="s">
        <v>258</v>
      </c>
      <c r="H121" s="91">
        <v>3</v>
      </c>
      <c r="I121" s="91" t="s">
        <v>512</v>
      </c>
    </row>
    <row r="122" spans="1:9" x14ac:dyDescent="0.3">
      <c r="A122" s="90" t="s">
        <v>166</v>
      </c>
      <c r="B122" s="90" t="s">
        <v>407</v>
      </c>
      <c r="C122" s="90">
        <v>23.7</v>
      </c>
      <c r="D122" s="90" t="s">
        <v>258</v>
      </c>
      <c r="E122" s="90" t="s">
        <v>258</v>
      </c>
      <c r="F122" s="90" t="s">
        <v>258</v>
      </c>
      <c r="G122" s="90" t="s">
        <v>259</v>
      </c>
      <c r="H122" s="90">
        <v>3</v>
      </c>
      <c r="I122" s="90"/>
    </row>
    <row r="123" spans="1:9" x14ac:dyDescent="0.3">
      <c r="A123" s="91" t="s">
        <v>407</v>
      </c>
      <c r="B123" s="91" t="s">
        <v>423</v>
      </c>
      <c r="C123" s="91">
        <v>25.66</v>
      </c>
      <c r="D123" s="91" t="s">
        <v>258</v>
      </c>
      <c r="E123" s="91" t="s">
        <v>258</v>
      </c>
      <c r="F123" s="91" t="s">
        <v>258</v>
      </c>
      <c r="G123" s="91" t="s">
        <v>259</v>
      </c>
      <c r="H123" s="91">
        <v>3</v>
      </c>
      <c r="I123" s="91"/>
    </row>
    <row r="124" spans="1:9" x14ac:dyDescent="0.3">
      <c r="A124" s="90" t="s">
        <v>423</v>
      </c>
      <c r="B124" s="90" t="s">
        <v>375</v>
      </c>
      <c r="C124" s="90">
        <v>27.790000000000006</v>
      </c>
      <c r="D124" s="90" t="s">
        <v>258</v>
      </c>
      <c r="E124" s="90" t="s">
        <v>258</v>
      </c>
      <c r="F124" s="90" t="s">
        <v>258</v>
      </c>
      <c r="G124" s="90" t="s">
        <v>259</v>
      </c>
      <c r="H124" s="90">
        <v>3</v>
      </c>
      <c r="I124" s="90"/>
    </row>
    <row r="125" spans="1:9" x14ac:dyDescent="0.3">
      <c r="A125" s="91" t="s">
        <v>375</v>
      </c>
      <c r="B125" s="91" t="s">
        <v>168</v>
      </c>
      <c r="C125" s="91">
        <v>26.22999999999999</v>
      </c>
      <c r="D125" s="91" t="s">
        <v>258</v>
      </c>
      <c r="E125" s="91" t="s">
        <v>258</v>
      </c>
      <c r="F125" s="91" t="s">
        <v>258</v>
      </c>
      <c r="G125" s="91" t="s">
        <v>259</v>
      </c>
      <c r="H125" s="91">
        <v>3</v>
      </c>
      <c r="I125" s="91"/>
    </row>
    <row r="126" spans="1:9" x14ac:dyDescent="0.3">
      <c r="A126" s="90" t="s">
        <v>168</v>
      </c>
      <c r="B126" s="90" t="s">
        <v>170</v>
      </c>
      <c r="C126" s="90">
        <v>22.59</v>
      </c>
      <c r="D126" s="90" t="s">
        <v>258</v>
      </c>
      <c r="E126" s="90" t="s">
        <v>258</v>
      </c>
      <c r="F126" s="90" t="s">
        <v>258</v>
      </c>
      <c r="G126" s="90" t="s">
        <v>259</v>
      </c>
      <c r="H126" s="90">
        <v>3</v>
      </c>
      <c r="I126" s="90"/>
    </row>
    <row r="127" spans="1:9" x14ac:dyDescent="0.3">
      <c r="A127" s="91" t="s">
        <v>170</v>
      </c>
      <c r="B127" s="91" t="s">
        <v>172</v>
      </c>
      <c r="C127" s="91">
        <v>5.0599999999999996</v>
      </c>
      <c r="D127" s="91" t="s">
        <v>258</v>
      </c>
      <c r="E127" s="91" t="s">
        <v>259</v>
      </c>
      <c r="F127" s="91" t="s">
        <v>259</v>
      </c>
      <c r="G127" s="91" t="s">
        <v>259</v>
      </c>
      <c r="H127" s="91">
        <v>3</v>
      </c>
      <c r="I127" s="91" t="s">
        <v>503</v>
      </c>
    </row>
    <row r="128" spans="1:9" x14ac:dyDescent="0.3">
      <c r="A128" s="90" t="s">
        <v>170</v>
      </c>
      <c r="B128" s="90" t="s">
        <v>174</v>
      </c>
      <c r="C128" s="90">
        <v>19.889999999999997</v>
      </c>
      <c r="D128" s="90" t="s">
        <v>258</v>
      </c>
      <c r="E128" s="90" t="s">
        <v>258</v>
      </c>
      <c r="F128" s="90" t="s">
        <v>258</v>
      </c>
      <c r="G128" s="90" t="s">
        <v>259</v>
      </c>
      <c r="H128" s="90">
        <v>3</v>
      </c>
      <c r="I128" s="90"/>
    </row>
    <row r="129" spans="1:9" x14ac:dyDescent="0.3">
      <c r="A129" s="91" t="s">
        <v>174</v>
      </c>
      <c r="B129" s="91" t="s">
        <v>176</v>
      </c>
      <c r="C129" s="91">
        <v>18.18</v>
      </c>
      <c r="D129" s="91" t="s">
        <v>258</v>
      </c>
      <c r="E129" s="91" t="s">
        <v>258</v>
      </c>
      <c r="F129" s="91" t="s">
        <v>258</v>
      </c>
      <c r="G129" s="91" t="s">
        <v>259</v>
      </c>
      <c r="H129" s="91">
        <v>3</v>
      </c>
      <c r="I129" s="91"/>
    </row>
    <row r="130" spans="1:9" x14ac:dyDescent="0.3">
      <c r="A130" s="90" t="s">
        <v>176</v>
      </c>
      <c r="B130" s="90" t="s">
        <v>178</v>
      </c>
      <c r="C130" s="90">
        <v>19.040000000000006</v>
      </c>
      <c r="D130" s="90" t="s">
        <v>258</v>
      </c>
      <c r="E130" s="90" t="s">
        <v>258</v>
      </c>
      <c r="F130" s="90" t="s">
        <v>258</v>
      </c>
      <c r="G130" s="90" t="s">
        <v>259</v>
      </c>
      <c r="H130" s="90">
        <v>3</v>
      </c>
      <c r="I130" s="90"/>
    </row>
    <row r="131" spans="1:9" x14ac:dyDescent="0.3">
      <c r="A131" s="91" t="s">
        <v>178</v>
      </c>
      <c r="B131" s="91" t="s">
        <v>429</v>
      </c>
      <c r="C131" s="91">
        <v>19.47</v>
      </c>
      <c r="D131" s="91" t="s">
        <v>258</v>
      </c>
      <c r="E131" s="91" t="s">
        <v>258</v>
      </c>
      <c r="F131" s="91" t="s">
        <v>258</v>
      </c>
      <c r="G131" s="91" t="s">
        <v>259</v>
      </c>
      <c r="H131" s="91">
        <v>3</v>
      </c>
      <c r="I131" s="91"/>
    </row>
    <row r="132" spans="1:9" x14ac:dyDescent="0.3">
      <c r="A132" s="90" t="s">
        <v>429</v>
      </c>
      <c r="B132" s="90" t="s">
        <v>180</v>
      </c>
      <c r="C132" s="90">
        <v>13.760000000000005</v>
      </c>
      <c r="D132" s="90" t="s">
        <v>258</v>
      </c>
      <c r="E132" s="90" t="s">
        <v>258</v>
      </c>
      <c r="F132" s="90" t="s">
        <v>258</v>
      </c>
      <c r="G132" s="90" t="s">
        <v>259</v>
      </c>
      <c r="H132" s="90">
        <v>3</v>
      </c>
      <c r="I132" s="90"/>
    </row>
    <row r="133" spans="1:9" x14ac:dyDescent="0.3">
      <c r="A133" s="91" t="s">
        <v>180</v>
      </c>
      <c r="B133" s="91" t="s">
        <v>397</v>
      </c>
      <c r="C133" s="91">
        <v>3.9099999999999966</v>
      </c>
      <c r="D133" s="91" t="s">
        <v>258</v>
      </c>
      <c r="E133" s="91" t="s">
        <v>258</v>
      </c>
      <c r="F133" s="91" t="s">
        <v>258</v>
      </c>
      <c r="G133" s="91" t="s">
        <v>259</v>
      </c>
      <c r="H133" s="91">
        <v>3</v>
      </c>
      <c r="I133" s="91"/>
    </row>
    <row r="134" spans="1:9" x14ac:dyDescent="0.3">
      <c r="A134" s="90" t="s">
        <v>423</v>
      </c>
      <c r="B134" s="90" t="s">
        <v>373</v>
      </c>
      <c r="C134" s="90">
        <v>17.690000000000001</v>
      </c>
      <c r="D134" s="90" t="s">
        <v>258</v>
      </c>
      <c r="E134" s="90" t="s">
        <v>258</v>
      </c>
      <c r="F134" s="90" t="s">
        <v>258</v>
      </c>
      <c r="G134" s="90" t="s">
        <v>259</v>
      </c>
      <c r="H134" s="90">
        <v>5</v>
      </c>
      <c r="I134" s="90"/>
    </row>
    <row r="135" spans="1:9" x14ac:dyDescent="0.3">
      <c r="A135" s="91" t="s">
        <v>373</v>
      </c>
      <c r="B135" s="91" t="s">
        <v>182</v>
      </c>
      <c r="C135" s="91">
        <v>4.25</v>
      </c>
      <c r="D135" s="91" t="s">
        <v>258</v>
      </c>
      <c r="E135" s="91" t="s">
        <v>259</v>
      </c>
      <c r="F135" s="91" t="s">
        <v>259</v>
      </c>
      <c r="G135" s="91" t="s">
        <v>259</v>
      </c>
      <c r="H135" s="91">
        <v>5</v>
      </c>
      <c r="I135" s="91" t="s">
        <v>503</v>
      </c>
    </row>
    <row r="136" spans="1:9" x14ac:dyDescent="0.3">
      <c r="A136" s="90" t="s">
        <v>373</v>
      </c>
      <c r="B136" s="90" t="s">
        <v>403</v>
      </c>
      <c r="C136" s="90">
        <v>18.249999999999996</v>
      </c>
      <c r="D136" s="90" t="s">
        <v>258</v>
      </c>
      <c r="E136" s="90" t="s">
        <v>258</v>
      </c>
      <c r="F136" s="90" t="s">
        <v>258</v>
      </c>
      <c r="G136" s="90" t="s">
        <v>259</v>
      </c>
      <c r="H136" s="90">
        <v>5</v>
      </c>
      <c r="I136" s="90"/>
    </row>
    <row r="137" spans="1:9" x14ac:dyDescent="0.3">
      <c r="A137" s="91" t="s">
        <v>403</v>
      </c>
      <c r="B137" s="91" t="s">
        <v>184</v>
      </c>
      <c r="C137" s="91">
        <v>25.86</v>
      </c>
      <c r="D137" s="91" t="s">
        <v>258</v>
      </c>
      <c r="E137" s="91" t="s">
        <v>258</v>
      </c>
      <c r="F137" s="91" t="s">
        <v>258</v>
      </c>
      <c r="G137" s="91" t="s">
        <v>259</v>
      </c>
      <c r="H137" s="91">
        <v>5</v>
      </c>
      <c r="I137" s="91"/>
    </row>
    <row r="138" spans="1:9" x14ac:dyDescent="0.3">
      <c r="A138" s="90" t="s">
        <v>184</v>
      </c>
      <c r="B138" s="90" t="s">
        <v>186</v>
      </c>
      <c r="C138" s="90">
        <v>24.870000000000005</v>
      </c>
      <c r="D138" s="90" t="s">
        <v>258</v>
      </c>
      <c r="E138" s="90" t="s">
        <v>258</v>
      </c>
      <c r="F138" s="90" t="s">
        <v>258</v>
      </c>
      <c r="G138" s="90" t="s">
        <v>259</v>
      </c>
      <c r="H138" s="90">
        <v>5</v>
      </c>
      <c r="I138" s="90"/>
    </row>
    <row r="139" spans="1:9" x14ac:dyDescent="0.3">
      <c r="A139" s="91" t="s">
        <v>186</v>
      </c>
      <c r="B139" s="91" t="s">
        <v>385</v>
      </c>
      <c r="C139" s="91">
        <v>26.78</v>
      </c>
      <c r="D139" s="91" t="s">
        <v>258</v>
      </c>
      <c r="E139" s="91" t="s">
        <v>258</v>
      </c>
      <c r="F139" s="91" t="s">
        <v>258</v>
      </c>
      <c r="G139" s="91" t="s">
        <v>259</v>
      </c>
      <c r="H139" s="91">
        <v>5</v>
      </c>
      <c r="I139" s="91"/>
    </row>
    <row r="140" spans="1:9" x14ac:dyDescent="0.3">
      <c r="A140" s="90" t="s">
        <v>385</v>
      </c>
      <c r="B140" s="90" t="s">
        <v>188</v>
      </c>
      <c r="C140" s="90">
        <v>20.320000000000007</v>
      </c>
      <c r="D140" s="90" t="s">
        <v>258</v>
      </c>
      <c r="E140" s="90" t="s">
        <v>258</v>
      </c>
      <c r="F140" s="90" t="s">
        <v>258</v>
      </c>
      <c r="G140" s="90" t="s">
        <v>259</v>
      </c>
      <c r="H140" s="90">
        <v>5</v>
      </c>
      <c r="I140" s="90"/>
    </row>
    <row r="141" spans="1:9" x14ac:dyDescent="0.3">
      <c r="A141" s="91" t="s">
        <v>188</v>
      </c>
      <c r="B141" s="91" t="s">
        <v>190</v>
      </c>
      <c r="C141" s="91">
        <v>10.780000000000001</v>
      </c>
      <c r="D141" s="91" t="s">
        <v>258</v>
      </c>
      <c r="E141" s="91" t="s">
        <v>258</v>
      </c>
      <c r="F141" s="91" t="s">
        <v>258</v>
      </c>
      <c r="G141" s="91" t="s">
        <v>259</v>
      </c>
      <c r="H141" s="91">
        <v>5</v>
      </c>
      <c r="I141" s="91"/>
    </row>
    <row r="142" spans="1:9" x14ac:dyDescent="0.3">
      <c r="A142" s="90" t="s">
        <v>190</v>
      </c>
      <c r="B142" s="90" t="s">
        <v>393</v>
      </c>
      <c r="C142" s="90">
        <v>19.139999999999986</v>
      </c>
      <c r="D142" s="90" t="s">
        <v>258</v>
      </c>
      <c r="E142" s="90" t="s">
        <v>258</v>
      </c>
      <c r="F142" s="90" t="s">
        <v>258</v>
      </c>
      <c r="G142" s="90" t="s">
        <v>259</v>
      </c>
      <c r="H142" s="90">
        <v>5</v>
      </c>
      <c r="I142" s="90"/>
    </row>
    <row r="143" spans="1:9" x14ac:dyDescent="0.3">
      <c r="A143" s="91" t="s">
        <v>393</v>
      </c>
      <c r="B143" s="91" t="s">
        <v>192</v>
      </c>
      <c r="C143" s="91">
        <v>20.390000000000015</v>
      </c>
      <c r="D143" s="91" t="s">
        <v>258</v>
      </c>
      <c r="E143" s="91" t="s">
        <v>258</v>
      </c>
      <c r="F143" s="91" t="s">
        <v>258</v>
      </c>
      <c r="G143" s="91" t="s">
        <v>259</v>
      </c>
      <c r="H143" s="91">
        <v>5</v>
      </c>
      <c r="I143" s="91"/>
    </row>
    <row r="144" spans="1:9" x14ac:dyDescent="0.3">
      <c r="A144" s="90" t="s">
        <v>192</v>
      </c>
      <c r="B144" s="90" t="s">
        <v>389</v>
      </c>
      <c r="C144" s="90">
        <v>14.26</v>
      </c>
      <c r="D144" s="90" t="s">
        <v>258</v>
      </c>
      <c r="E144" s="90" t="s">
        <v>258</v>
      </c>
      <c r="F144" s="90" t="s">
        <v>258</v>
      </c>
      <c r="G144" s="90" t="s">
        <v>259</v>
      </c>
      <c r="H144" s="90">
        <v>8</v>
      </c>
      <c r="I144" s="90"/>
    </row>
    <row r="145" spans="1:9" x14ac:dyDescent="0.3">
      <c r="A145" s="91" t="s">
        <v>389</v>
      </c>
      <c r="B145" s="91" t="s">
        <v>405</v>
      </c>
      <c r="C145" s="91">
        <v>14.53</v>
      </c>
      <c r="D145" s="91" t="s">
        <v>258</v>
      </c>
      <c r="E145" s="91" t="s">
        <v>258</v>
      </c>
      <c r="F145" s="91" t="s">
        <v>258</v>
      </c>
      <c r="G145" s="91" t="s">
        <v>259</v>
      </c>
      <c r="H145" s="91">
        <v>8</v>
      </c>
      <c r="I145" s="91"/>
    </row>
    <row r="146" spans="1:9" x14ac:dyDescent="0.3">
      <c r="A146" s="90" t="s">
        <v>405</v>
      </c>
      <c r="B146" s="90" t="s">
        <v>457</v>
      </c>
      <c r="C146" s="90">
        <v>12.530000000000001</v>
      </c>
      <c r="D146" s="90" t="s">
        <v>258</v>
      </c>
      <c r="E146" s="90" t="s">
        <v>258</v>
      </c>
      <c r="F146" s="90" t="s">
        <v>258</v>
      </c>
      <c r="G146" s="90" t="s">
        <v>259</v>
      </c>
      <c r="H146" s="90">
        <v>8</v>
      </c>
      <c r="I146" s="90"/>
    </row>
    <row r="147" spans="1:9" x14ac:dyDescent="0.3">
      <c r="A147" s="91" t="s">
        <v>457</v>
      </c>
      <c r="B147" s="91" t="s">
        <v>379</v>
      </c>
      <c r="C147" s="91">
        <v>13.36</v>
      </c>
      <c r="D147" s="91" t="s">
        <v>258</v>
      </c>
      <c r="E147" s="91" t="s">
        <v>258</v>
      </c>
      <c r="F147" s="91" t="s">
        <v>258</v>
      </c>
      <c r="G147" s="91" t="s">
        <v>259</v>
      </c>
      <c r="H147" s="91">
        <v>8</v>
      </c>
      <c r="I147" s="91"/>
    </row>
    <row r="148" spans="1:9" x14ac:dyDescent="0.3">
      <c r="A148" s="90" t="s">
        <v>379</v>
      </c>
      <c r="B148" s="90" t="s">
        <v>202</v>
      </c>
      <c r="C148" s="90">
        <v>21.65</v>
      </c>
      <c r="D148" s="90" t="s">
        <v>258</v>
      </c>
      <c r="E148" s="90" t="s">
        <v>258</v>
      </c>
      <c r="F148" s="90" t="s">
        <v>258</v>
      </c>
      <c r="G148" s="90" t="s">
        <v>259</v>
      </c>
      <c r="H148" s="90">
        <v>8</v>
      </c>
      <c r="I148" s="90"/>
    </row>
    <row r="149" spans="1:9" x14ac:dyDescent="0.3">
      <c r="A149" s="91" t="s">
        <v>202</v>
      </c>
      <c r="B149" s="91" t="s">
        <v>453</v>
      </c>
      <c r="C149" s="91">
        <v>10.310000000000002</v>
      </c>
      <c r="D149" s="91" t="s">
        <v>258</v>
      </c>
      <c r="E149" s="91" t="s">
        <v>258</v>
      </c>
      <c r="F149" s="91" t="s">
        <v>258</v>
      </c>
      <c r="G149" s="91" t="s">
        <v>259</v>
      </c>
      <c r="H149" s="91">
        <v>6</v>
      </c>
      <c r="I149" s="91"/>
    </row>
    <row r="150" spans="1:9" x14ac:dyDescent="0.3">
      <c r="A150" s="90" t="s">
        <v>453</v>
      </c>
      <c r="B150" s="90" t="s">
        <v>200</v>
      </c>
      <c r="C150" s="90">
        <v>8.17</v>
      </c>
      <c r="D150" s="90" t="s">
        <v>258</v>
      </c>
      <c r="E150" s="90" t="s">
        <v>259</v>
      </c>
      <c r="F150" s="90" t="s">
        <v>259</v>
      </c>
      <c r="G150" s="90" t="s">
        <v>259</v>
      </c>
      <c r="H150" s="90">
        <v>6</v>
      </c>
      <c r="I150" s="90" t="s">
        <v>503</v>
      </c>
    </row>
    <row r="151" spans="1:9" x14ac:dyDescent="0.3">
      <c r="A151" s="91" t="s">
        <v>453</v>
      </c>
      <c r="B151" s="91" t="s">
        <v>198</v>
      </c>
      <c r="C151" s="91">
        <v>14.049999999999997</v>
      </c>
      <c r="D151" s="91" t="s">
        <v>258</v>
      </c>
      <c r="E151" s="91" t="s">
        <v>258</v>
      </c>
      <c r="F151" s="91" t="s">
        <v>258</v>
      </c>
      <c r="G151" s="91" t="s">
        <v>259</v>
      </c>
      <c r="H151" s="91">
        <v>6</v>
      </c>
      <c r="I151" s="91"/>
    </row>
    <row r="152" spans="1:9" x14ac:dyDescent="0.3">
      <c r="A152" s="90" t="s">
        <v>198</v>
      </c>
      <c r="B152" s="90" t="s">
        <v>196</v>
      </c>
      <c r="C152" s="90">
        <v>11.300000000000004</v>
      </c>
      <c r="D152" s="90" t="s">
        <v>258</v>
      </c>
      <c r="E152" s="90" t="s">
        <v>258</v>
      </c>
      <c r="F152" s="90" t="s">
        <v>258</v>
      </c>
      <c r="G152" s="90" t="s">
        <v>259</v>
      </c>
      <c r="H152" s="90">
        <v>6</v>
      </c>
      <c r="I152" s="90"/>
    </row>
    <row r="153" spans="1:9" x14ac:dyDescent="0.3">
      <c r="A153" s="92" t="s">
        <v>196</v>
      </c>
      <c r="B153" s="92" t="s">
        <v>194</v>
      </c>
      <c r="C153" s="92">
        <v>9.5399999999999991</v>
      </c>
      <c r="D153" s="92" t="s">
        <v>258</v>
      </c>
      <c r="E153" s="92" t="s">
        <v>258</v>
      </c>
      <c r="F153" s="92" t="s">
        <v>258</v>
      </c>
      <c r="G153" s="92" t="s">
        <v>259</v>
      </c>
      <c r="H153" s="92">
        <v>6</v>
      </c>
      <c r="I153" s="92"/>
    </row>
    <row r="154" spans="1:9" x14ac:dyDescent="0.3">
      <c r="A154" s="91" t="s">
        <v>194</v>
      </c>
      <c r="B154" s="91" t="s">
        <v>419</v>
      </c>
      <c r="C154" s="91">
        <v>14.65</v>
      </c>
      <c r="D154" s="91" t="s">
        <v>258</v>
      </c>
      <c r="E154" s="91" t="s">
        <v>258</v>
      </c>
      <c r="F154" s="91" t="s">
        <v>258</v>
      </c>
      <c r="G154" s="91" t="s">
        <v>259</v>
      </c>
      <c r="H154" s="91">
        <v>6</v>
      </c>
      <c r="I154" s="91"/>
    </row>
    <row r="155" spans="1:9" x14ac:dyDescent="0.3">
      <c r="A155" s="91" t="s">
        <v>419</v>
      </c>
      <c r="B155" s="91" t="s">
        <v>122</v>
      </c>
      <c r="C155" s="91">
        <v>8.1</v>
      </c>
      <c r="D155" s="91" t="s">
        <v>258</v>
      </c>
      <c r="E155" s="91" t="s">
        <v>258</v>
      </c>
      <c r="F155" s="91" t="s">
        <v>258</v>
      </c>
      <c r="G155" s="91" t="s">
        <v>259</v>
      </c>
      <c r="H155" s="91">
        <v>6</v>
      </c>
      <c r="I155" s="91"/>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O21"/>
  <sheetViews>
    <sheetView showGridLines="0" zoomScale="70" zoomScaleNormal="70" workbookViewId="0">
      <selection activeCell="D8" sqref="D8"/>
    </sheetView>
  </sheetViews>
  <sheetFormatPr defaultColWidth="0" defaultRowHeight="14.4" zeroHeight="1" x14ac:dyDescent="0.3"/>
  <cols>
    <col min="1" max="1" width="23.109375" style="1" customWidth="1"/>
    <col min="2" max="2" width="4.77734375" customWidth="1"/>
    <col min="3" max="3" width="24.88671875" bestFit="1" customWidth="1"/>
    <col min="4" max="4" width="16.6640625" bestFit="1" customWidth="1"/>
    <col min="5" max="5" width="20.77734375" bestFit="1" customWidth="1"/>
    <col min="6" max="6" width="17.88671875" bestFit="1" customWidth="1"/>
    <col min="7" max="7" width="26.88671875" bestFit="1" customWidth="1"/>
    <col min="8" max="89" width="12.21875" bestFit="1" customWidth="1"/>
    <col min="90" max="90" width="13.33203125" bestFit="1" customWidth="1"/>
    <col min="91" max="92" width="12.21875" bestFit="1" customWidth="1"/>
    <col min="93" max="93" width="8.88671875" customWidth="1"/>
    <col min="94" max="16384" width="8.88671875" hidden="1"/>
  </cols>
  <sheetData>
    <row r="1" spans="1:92" x14ac:dyDescent="0.3"/>
    <row r="2" spans="1:92" x14ac:dyDescent="0.3"/>
    <row r="3" spans="1:92" x14ac:dyDescent="0.3">
      <c r="A3" s="104" t="s">
        <v>585</v>
      </c>
      <c r="C3" s="2" t="s">
        <v>4</v>
      </c>
      <c r="D3" s="41" t="s">
        <v>1</v>
      </c>
      <c r="E3" s="42"/>
      <c r="F3" s="42"/>
      <c r="G3" s="42"/>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4"/>
    </row>
    <row r="4" spans="1:92" x14ac:dyDescent="0.3">
      <c r="A4" s="104" t="s">
        <v>586</v>
      </c>
      <c r="C4" s="46" t="s">
        <v>2</v>
      </c>
      <c r="D4" s="48" t="s">
        <v>0</v>
      </c>
      <c r="E4" s="48" t="s">
        <v>215</v>
      </c>
      <c r="F4" s="48" t="s">
        <v>217</v>
      </c>
      <c r="G4" s="48" t="s">
        <v>218</v>
      </c>
      <c r="H4" s="48" t="s">
        <v>54</v>
      </c>
      <c r="I4" s="48" t="s">
        <v>56</v>
      </c>
      <c r="J4" s="48" t="s">
        <v>58</v>
      </c>
      <c r="K4" s="48" t="s">
        <v>60</v>
      </c>
      <c r="L4" s="48" t="s">
        <v>61</v>
      </c>
      <c r="M4" s="48" t="s">
        <v>63</v>
      </c>
      <c r="N4" s="48" t="s">
        <v>65</v>
      </c>
      <c r="O4" s="48" t="s">
        <v>67</v>
      </c>
      <c r="P4" s="48" t="s">
        <v>69</v>
      </c>
      <c r="Q4" s="48" t="s">
        <v>71</v>
      </c>
      <c r="R4" s="48" t="s">
        <v>73</v>
      </c>
      <c r="S4" s="48" t="s">
        <v>75</v>
      </c>
      <c r="T4" s="48" t="s">
        <v>77</v>
      </c>
      <c r="U4" s="48" t="s">
        <v>79</v>
      </c>
      <c r="V4" s="48" t="s">
        <v>81</v>
      </c>
      <c r="W4" s="48" t="s">
        <v>82</v>
      </c>
      <c r="X4" s="48" t="s">
        <v>83</v>
      </c>
      <c r="Y4" s="48" t="s">
        <v>85</v>
      </c>
      <c r="Z4" s="48" t="s">
        <v>87</v>
      </c>
      <c r="AA4" s="48" t="s">
        <v>89</v>
      </c>
      <c r="AB4" s="48" t="s">
        <v>90</v>
      </c>
      <c r="AC4" s="48" t="s">
        <v>92</v>
      </c>
      <c r="AD4" s="48" t="s">
        <v>94</v>
      </c>
      <c r="AE4" s="48" t="s">
        <v>96</v>
      </c>
      <c r="AF4" s="48" t="s">
        <v>98</v>
      </c>
      <c r="AG4" s="48" t="s">
        <v>100</v>
      </c>
      <c r="AH4" s="48" t="s">
        <v>102</v>
      </c>
      <c r="AI4" s="48" t="s">
        <v>103</v>
      </c>
      <c r="AJ4" s="48" t="s">
        <v>105</v>
      </c>
      <c r="AK4" s="48" t="s">
        <v>107</v>
      </c>
      <c r="AL4" s="48" t="s">
        <v>108</v>
      </c>
      <c r="AM4" s="48" t="s">
        <v>110</v>
      </c>
      <c r="AN4" s="48" t="s">
        <v>112</v>
      </c>
      <c r="AO4" s="48" t="s">
        <v>114</v>
      </c>
      <c r="AP4" s="48" t="s">
        <v>116</v>
      </c>
      <c r="AQ4" s="48" t="s">
        <v>118</v>
      </c>
      <c r="AR4" s="48" t="s">
        <v>120</v>
      </c>
      <c r="AS4" s="48" t="s">
        <v>122</v>
      </c>
      <c r="AT4" s="48" t="s">
        <v>124</v>
      </c>
      <c r="AU4" s="48" t="s">
        <v>126</v>
      </c>
      <c r="AV4" s="48" t="s">
        <v>128</v>
      </c>
      <c r="AW4" s="48" t="s">
        <v>130</v>
      </c>
      <c r="AX4" s="48" t="s">
        <v>131</v>
      </c>
      <c r="AY4" s="48" t="s">
        <v>133</v>
      </c>
      <c r="AZ4" s="48" t="s">
        <v>135</v>
      </c>
      <c r="BA4" s="48" t="s">
        <v>136</v>
      </c>
      <c r="BB4" s="48" t="s">
        <v>138</v>
      </c>
      <c r="BC4" s="48" t="s">
        <v>140</v>
      </c>
      <c r="BD4" s="48" t="s">
        <v>142</v>
      </c>
      <c r="BE4" s="48" t="s">
        <v>144</v>
      </c>
      <c r="BF4" s="48" t="s">
        <v>146</v>
      </c>
      <c r="BG4" s="48" t="s">
        <v>148</v>
      </c>
      <c r="BH4" s="48" t="s">
        <v>150</v>
      </c>
      <c r="BI4" s="48" t="s">
        <v>152</v>
      </c>
      <c r="BJ4" s="48" t="s">
        <v>154</v>
      </c>
      <c r="BK4" s="48" t="s">
        <v>156</v>
      </c>
      <c r="BL4" s="48" t="s">
        <v>158</v>
      </c>
      <c r="BM4" s="48" t="s">
        <v>160</v>
      </c>
      <c r="BN4" s="48" t="s">
        <v>162</v>
      </c>
      <c r="BO4" s="48" t="s">
        <v>164</v>
      </c>
      <c r="BP4" s="48" t="s">
        <v>166</v>
      </c>
      <c r="BQ4" s="48" t="s">
        <v>168</v>
      </c>
      <c r="BR4" s="48" t="s">
        <v>170</v>
      </c>
      <c r="BS4" s="48" t="s">
        <v>172</v>
      </c>
      <c r="BT4" s="48" t="s">
        <v>174</v>
      </c>
      <c r="BU4" s="48" t="s">
        <v>176</v>
      </c>
      <c r="BV4" s="48" t="s">
        <v>178</v>
      </c>
      <c r="BW4" s="48" t="s">
        <v>180</v>
      </c>
      <c r="BX4" s="48" t="s">
        <v>182</v>
      </c>
      <c r="BY4" s="48" t="s">
        <v>184</v>
      </c>
      <c r="BZ4" s="48" t="s">
        <v>186</v>
      </c>
      <c r="CA4" s="48" t="s">
        <v>188</v>
      </c>
      <c r="CB4" s="48" t="s">
        <v>190</v>
      </c>
      <c r="CC4" s="48" t="s">
        <v>192</v>
      </c>
      <c r="CD4" s="48" t="s">
        <v>194</v>
      </c>
      <c r="CE4" s="48" t="s">
        <v>196</v>
      </c>
      <c r="CF4" s="48" t="s">
        <v>198</v>
      </c>
      <c r="CG4" s="48" t="s">
        <v>200</v>
      </c>
      <c r="CH4" s="48" t="s">
        <v>202</v>
      </c>
      <c r="CI4" s="48" t="s">
        <v>204</v>
      </c>
      <c r="CJ4" s="48" t="s">
        <v>206</v>
      </c>
      <c r="CK4" s="48" t="s">
        <v>208</v>
      </c>
      <c r="CL4" s="48" t="s">
        <v>209</v>
      </c>
      <c r="CM4" s="48" t="s">
        <v>211</v>
      </c>
      <c r="CN4" s="48" t="s">
        <v>212</v>
      </c>
    </row>
    <row r="5" spans="1:92" x14ac:dyDescent="0.3">
      <c r="A5" s="104" t="s">
        <v>587</v>
      </c>
      <c r="C5" s="47" t="s">
        <v>0</v>
      </c>
      <c r="D5" s="49">
        <v>0</v>
      </c>
      <c r="E5" s="49">
        <v>508.95100000000002</v>
      </c>
      <c r="F5" s="49">
        <v>481.59199999999998</v>
      </c>
      <c r="G5" s="49">
        <v>239.52199999999999</v>
      </c>
      <c r="H5" s="49">
        <v>394.28100000000001</v>
      </c>
      <c r="I5" s="49">
        <v>407.28199999999998</v>
      </c>
      <c r="J5" s="49">
        <v>398.971</v>
      </c>
      <c r="K5" s="49">
        <v>407.28100000000001</v>
      </c>
      <c r="L5" s="49">
        <v>378.351</v>
      </c>
      <c r="M5" s="49">
        <v>365.96100000000001</v>
      </c>
      <c r="N5" s="49">
        <v>413.541</v>
      </c>
      <c r="O5" s="49">
        <v>349.26100000000002</v>
      </c>
      <c r="P5" s="49">
        <v>336.80099999999999</v>
      </c>
      <c r="Q5" s="49">
        <v>366.06200000000001</v>
      </c>
      <c r="R5" s="49">
        <v>333.17099999999999</v>
      </c>
      <c r="S5" s="49">
        <v>353.952</v>
      </c>
      <c r="T5" s="49">
        <v>360.72300000000001</v>
      </c>
      <c r="U5" s="49">
        <v>330.601</v>
      </c>
      <c r="V5" s="49">
        <v>333.17200000000003</v>
      </c>
      <c r="W5" s="49">
        <v>360.72199999999998</v>
      </c>
      <c r="X5" s="49">
        <v>328.39100000000002</v>
      </c>
      <c r="Y5" s="49">
        <v>316.96100000000001</v>
      </c>
      <c r="Z5" s="49">
        <v>340.69200000000001</v>
      </c>
      <c r="AA5" s="49">
        <v>340.69099999999997</v>
      </c>
      <c r="AB5" s="49">
        <v>292.36099999999999</v>
      </c>
      <c r="AC5" s="49">
        <v>258.42099999999999</v>
      </c>
      <c r="AD5" s="49">
        <v>245.74100000000001</v>
      </c>
      <c r="AE5" s="49">
        <v>239.17099999999999</v>
      </c>
      <c r="AF5" s="49">
        <v>239.52099999999999</v>
      </c>
      <c r="AG5" s="49">
        <v>249.43100000000001</v>
      </c>
      <c r="AH5" s="49">
        <v>249.541</v>
      </c>
      <c r="AI5" s="49">
        <v>262.61099999999999</v>
      </c>
      <c r="AJ5" s="49">
        <v>229.70099999999999</v>
      </c>
      <c r="AK5" s="49">
        <v>262.61200000000002</v>
      </c>
      <c r="AL5" s="49">
        <v>252.971</v>
      </c>
      <c r="AM5" s="49">
        <v>262.89100000000002</v>
      </c>
      <c r="AN5" s="49">
        <v>258.80099999999999</v>
      </c>
      <c r="AO5" s="49">
        <v>264.45100000000002</v>
      </c>
      <c r="AP5" s="49">
        <v>278.11099999999999</v>
      </c>
      <c r="AQ5" s="49">
        <v>285.21100000000001</v>
      </c>
      <c r="AR5" s="49">
        <v>290.05099999999999</v>
      </c>
      <c r="AS5" s="49">
        <v>295.041</v>
      </c>
      <c r="AT5" s="49">
        <v>311.37099999999998</v>
      </c>
      <c r="AU5" s="49">
        <v>318.45100000000002</v>
      </c>
      <c r="AV5" s="49">
        <v>331.27199999999999</v>
      </c>
      <c r="AW5" s="49">
        <v>331.27100000000002</v>
      </c>
      <c r="AX5" s="49">
        <v>335.791</v>
      </c>
      <c r="AY5" s="49">
        <v>344.55200000000002</v>
      </c>
      <c r="AZ5" s="49">
        <v>344.55099999999999</v>
      </c>
      <c r="BA5" s="49">
        <v>357.71100000000001</v>
      </c>
      <c r="BB5" s="49">
        <v>375.27100000000002</v>
      </c>
      <c r="BC5" s="49">
        <v>389.661</v>
      </c>
      <c r="BD5" s="49">
        <v>386.92099999999999</v>
      </c>
      <c r="BE5" s="49">
        <v>391.61099999999999</v>
      </c>
      <c r="BF5" s="49">
        <v>397.971</v>
      </c>
      <c r="BG5" s="49">
        <v>407.46100000000001</v>
      </c>
      <c r="BH5" s="49">
        <v>438.77100000000002</v>
      </c>
      <c r="BI5" s="49">
        <v>417.76100000000002</v>
      </c>
      <c r="BJ5" s="49">
        <v>426.851</v>
      </c>
      <c r="BK5" s="49">
        <v>440.98099999999999</v>
      </c>
      <c r="BL5" s="49">
        <v>448.86099999999999</v>
      </c>
      <c r="BM5" s="49">
        <v>476.43099999999998</v>
      </c>
      <c r="BN5" s="49">
        <v>474.33100000000002</v>
      </c>
      <c r="BO5" s="49">
        <v>504.17099999999999</v>
      </c>
      <c r="BP5" s="49">
        <v>0.24099999999999999</v>
      </c>
      <c r="BQ5" s="49">
        <v>103.621</v>
      </c>
      <c r="BR5" s="49">
        <v>126.211</v>
      </c>
      <c r="BS5" s="49">
        <v>131.27099999999999</v>
      </c>
      <c r="BT5" s="49">
        <v>146.101</v>
      </c>
      <c r="BU5" s="49">
        <v>164.28100000000001</v>
      </c>
      <c r="BV5" s="49">
        <v>183.321</v>
      </c>
      <c r="BW5" s="49">
        <v>216.55099999999999</v>
      </c>
      <c r="BX5" s="49">
        <v>71.540999999999997</v>
      </c>
      <c r="BY5" s="49">
        <v>111.401</v>
      </c>
      <c r="BZ5" s="49">
        <v>136.27099999999999</v>
      </c>
      <c r="CA5" s="49">
        <v>183.37100000000001</v>
      </c>
      <c r="CB5" s="49">
        <v>194.15100000000001</v>
      </c>
      <c r="CC5" s="49">
        <v>233.68100000000001</v>
      </c>
      <c r="CD5" s="49">
        <v>317.791</v>
      </c>
      <c r="CE5" s="49">
        <v>327.33100000000002</v>
      </c>
      <c r="CF5" s="49">
        <v>334.37099999999998</v>
      </c>
      <c r="CG5" s="49">
        <v>328.49099999999999</v>
      </c>
      <c r="CH5" s="49">
        <v>310.01100000000002</v>
      </c>
      <c r="CI5" s="49">
        <v>399.62099999999998</v>
      </c>
      <c r="CJ5" s="49">
        <v>474.50099999999998</v>
      </c>
      <c r="CK5" s="49">
        <v>474.50200000000001</v>
      </c>
      <c r="CL5" s="49">
        <v>475.822</v>
      </c>
      <c r="CM5" s="49">
        <v>474.50200000000001</v>
      </c>
      <c r="CN5" s="49">
        <v>481.59100000000001</v>
      </c>
    </row>
    <row r="6" spans="1:92" x14ac:dyDescent="0.3">
      <c r="A6" s="103"/>
      <c r="C6" s="47" t="s">
        <v>215</v>
      </c>
      <c r="D6" s="49">
        <v>508.95100000000002</v>
      </c>
      <c r="E6" s="49">
        <v>0</v>
      </c>
      <c r="F6" s="49">
        <v>549.62099999999998</v>
      </c>
      <c r="G6" s="49">
        <v>307.55099999999999</v>
      </c>
      <c r="H6" s="49">
        <v>462.31</v>
      </c>
      <c r="I6" s="49">
        <v>475.31099999999998</v>
      </c>
      <c r="J6" s="49">
        <v>467</v>
      </c>
      <c r="K6" s="49">
        <v>475.31</v>
      </c>
      <c r="L6" s="49">
        <v>446.38</v>
      </c>
      <c r="M6" s="49">
        <v>433.99</v>
      </c>
      <c r="N6" s="49">
        <v>481.57</v>
      </c>
      <c r="O6" s="49">
        <v>417.29</v>
      </c>
      <c r="P6" s="49">
        <v>404.83</v>
      </c>
      <c r="Q6" s="49">
        <v>434.09100000000001</v>
      </c>
      <c r="R6" s="49">
        <v>401.2</v>
      </c>
      <c r="S6" s="49">
        <v>421.98099999999999</v>
      </c>
      <c r="T6" s="49">
        <v>428.75200000000001</v>
      </c>
      <c r="U6" s="49">
        <v>398.63</v>
      </c>
      <c r="V6" s="49">
        <v>401.20100000000002</v>
      </c>
      <c r="W6" s="49">
        <v>428.75099999999998</v>
      </c>
      <c r="X6" s="49">
        <v>396.42</v>
      </c>
      <c r="Y6" s="49">
        <v>384.99</v>
      </c>
      <c r="Z6" s="49">
        <v>408.721</v>
      </c>
      <c r="AA6" s="49">
        <v>408.72</v>
      </c>
      <c r="AB6" s="49">
        <v>360.39</v>
      </c>
      <c r="AC6" s="49">
        <v>326.45</v>
      </c>
      <c r="AD6" s="49">
        <v>313.77</v>
      </c>
      <c r="AE6" s="49">
        <v>307.2</v>
      </c>
      <c r="AF6" s="49">
        <v>307.55</v>
      </c>
      <c r="AG6" s="49">
        <v>317.45999999999998</v>
      </c>
      <c r="AH6" s="49">
        <v>317.57</v>
      </c>
      <c r="AI6" s="49">
        <v>330.64</v>
      </c>
      <c r="AJ6" s="49">
        <v>279.25</v>
      </c>
      <c r="AK6" s="49">
        <v>330.64100000000002</v>
      </c>
      <c r="AL6" s="49">
        <v>265.12</v>
      </c>
      <c r="AM6" s="49">
        <v>275.04000000000002</v>
      </c>
      <c r="AN6" s="49">
        <v>250.15</v>
      </c>
      <c r="AO6" s="49">
        <v>244.5</v>
      </c>
      <c r="AP6" s="49">
        <v>230.84</v>
      </c>
      <c r="AQ6" s="49">
        <v>223.74</v>
      </c>
      <c r="AR6" s="49">
        <v>218.9</v>
      </c>
      <c r="AS6" s="49">
        <v>213.91</v>
      </c>
      <c r="AT6" s="49">
        <v>197.58</v>
      </c>
      <c r="AU6" s="49">
        <v>190.5</v>
      </c>
      <c r="AV6" s="49">
        <v>191.96100000000001</v>
      </c>
      <c r="AW6" s="49">
        <v>191.96</v>
      </c>
      <c r="AX6" s="49">
        <v>173.16</v>
      </c>
      <c r="AY6" s="49">
        <v>164.40100000000001</v>
      </c>
      <c r="AZ6" s="49">
        <v>164.4</v>
      </c>
      <c r="BA6" s="49">
        <v>151.24</v>
      </c>
      <c r="BB6" s="49">
        <v>133.68</v>
      </c>
      <c r="BC6" s="49">
        <v>136.16999999999999</v>
      </c>
      <c r="BD6" s="49">
        <v>133.43</v>
      </c>
      <c r="BE6" s="49">
        <v>131.36000000000001</v>
      </c>
      <c r="BF6" s="49">
        <v>110.98</v>
      </c>
      <c r="BG6" s="49">
        <v>101.49</v>
      </c>
      <c r="BH6" s="49">
        <v>117.66</v>
      </c>
      <c r="BI6" s="49">
        <v>91.19</v>
      </c>
      <c r="BJ6" s="49">
        <v>82.1</v>
      </c>
      <c r="BK6" s="49">
        <v>80.97</v>
      </c>
      <c r="BL6" s="49">
        <v>60.09</v>
      </c>
      <c r="BM6" s="49">
        <v>71.680000000000007</v>
      </c>
      <c r="BN6" s="49">
        <v>34.619999999999997</v>
      </c>
      <c r="BO6" s="49">
        <v>4.78</v>
      </c>
      <c r="BP6" s="49">
        <v>508.71</v>
      </c>
      <c r="BQ6" s="49">
        <v>405.33</v>
      </c>
      <c r="BR6" s="49">
        <v>382.74</v>
      </c>
      <c r="BS6" s="49">
        <v>387.8</v>
      </c>
      <c r="BT6" s="49">
        <v>362.85</v>
      </c>
      <c r="BU6" s="49">
        <v>344.67</v>
      </c>
      <c r="BV6" s="49">
        <v>325.63</v>
      </c>
      <c r="BW6" s="49">
        <v>292.39999999999998</v>
      </c>
      <c r="BX6" s="49">
        <v>481.29</v>
      </c>
      <c r="BY6" s="49">
        <v>480.47</v>
      </c>
      <c r="BZ6" s="49">
        <v>455.6</v>
      </c>
      <c r="CA6" s="49">
        <v>408.5</v>
      </c>
      <c r="CB6" s="49">
        <v>397.72</v>
      </c>
      <c r="CC6" s="49">
        <v>358.19</v>
      </c>
      <c r="CD6" s="49">
        <v>236.66</v>
      </c>
      <c r="CE6" s="49">
        <v>246.2</v>
      </c>
      <c r="CF6" s="49">
        <v>257.5</v>
      </c>
      <c r="CG6" s="49">
        <v>279.72000000000003</v>
      </c>
      <c r="CH6" s="49">
        <v>281.86</v>
      </c>
      <c r="CI6" s="49">
        <v>467.65</v>
      </c>
      <c r="CJ6" s="49">
        <v>542.53</v>
      </c>
      <c r="CK6" s="49">
        <v>542.53099999999995</v>
      </c>
      <c r="CL6" s="49">
        <v>543.851</v>
      </c>
      <c r="CM6" s="49">
        <v>542.53099999999995</v>
      </c>
      <c r="CN6" s="49">
        <v>549.62</v>
      </c>
    </row>
    <row r="7" spans="1:92" x14ac:dyDescent="0.3">
      <c r="A7" s="103"/>
      <c r="C7" s="47" t="s">
        <v>217</v>
      </c>
      <c r="D7" s="49">
        <v>481.59199999999998</v>
      </c>
      <c r="E7" s="49">
        <v>549.62099999999998</v>
      </c>
      <c r="F7" s="49">
        <v>0</v>
      </c>
      <c r="G7" s="49">
        <v>280.19200000000001</v>
      </c>
      <c r="H7" s="49">
        <v>87.311000000000007</v>
      </c>
      <c r="I7" s="49">
        <v>113.492</v>
      </c>
      <c r="J7" s="49">
        <v>105.181</v>
      </c>
      <c r="K7" s="49">
        <v>113.491</v>
      </c>
      <c r="L7" s="49">
        <v>103.241</v>
      </c>
      <c r="M7" s="49">
        <v>115.631</v>
      </c>
      <c r="N7" s="49">
        <v>119.751</v>
      </c>
      <c r="O7" s="49">
        <v>132.33099999999999</v>
      </c>
      <c r="P7" s="49">
        <v>144.791</v>
      </c>
      <c r="Q7" s="49">
        <v>181.59200000000001</v>
      </c>
      <c r="R7" s="49">
        <v>148.70099999999999</v>
      </c>
      <c r="S7" s="49">
        <v>169.482</v>
      </c>
      <c r="T7" s="49">
        <v>176.25299999999999</v>
      </c>
      <c r="U7" s="49">
        <v>150.99100000000001</v>
      </c>
      <c r="V7" s="49">
        <v>148.702</v>
      </c>
      <c r="W7" s="49">
        <v>176.25200000000001</v>
      </c>
      <c r="X7" s="49">
        <v>176.06100000000001</v>
      </c>
      <c r="Y7" s="49">
        <v>164.631</v>
      </c>
      <c r="Z7" s="49">
        <v>188.36199999999999</v>
      </c>
      <c r="AA7" s="49">
        <v>188.36099999999999</v>
      </c>
      <c r="AB7" s="49">
        <v>189.23099999999999</v>
      </c>
      <c r="AC7" s="49">
        <v>223.17099999999999</v>
      </c>
      <c r="AD7" s="49">
        <v>235.851</v>
      </c>
      <c r="AE7" s="49">
        <v>242.42099999999999</v>
      </c>
      <c r="AF7" s="49">
        <v>280.19099999999997</v>
      </c>
      <c r="AG7" s="49">
        <v>290.101</v>
      </c>
      <c r="AH7" s="49">
        <v>290.21100000000001</v>
      </c>
      <c r="AI7" s="49">
        <v>303.28100000000001</v>
      </c>
      <c r="AJ7" s="49">
        <v>270.37099999999998</v>
      </c>
      <c r="AK7" s="49">
        <v>303.28199999999998</v>
      </c>
      <c r="AL7" s="49">
        <v>293.64100000000002</v>
      </c>
      <c r="AM7" s="49">
        <v>303.56099999999998</v>
      </c>
      <c r="AN7" s="49">
        <v>299.471</v>
      </c>
      <c r="AO7" s="49">
        <v>305.12099999999998</v>
      </c>
      <c r="AP7" s="49">
        <v>318.78100000000001</v>
      </c>
      <c r="AQ7" s="49">
        <v>325.88099999999997</v>
      </c>
      <c r="AR7" s="49">
        <v>330.721</v>
      </c>
      <c r="AS7" s="49">
        <v>335.71100000000001</v>
      </c>
      <c r="AT7" s="49">
        <v>352.041</v>
      </c>
      <c r="AU7" s="49">
        <v>359.12099999999998</v>
      </c>
      <c r="AV7" s="49">
        <v>371.94200000000001</v>
      </c>
      <c r="AW7" s="49">
        <v>371.94099999999997</v>
      </c>
      <c r="AX7" s="49">
        <v>376.46100000000001</v>
      </c>
      <c r="AY7" s="49">
        <v>385.22199999999998</v>
      </c>
      <c r="AZ7" s="49">
        <v>385.221</v>
      </c>
      <c r="BA7" s="49">
        <v>398.38099999999997</v>
      </c>
      <c r="BB7" s="49">
        <v>415.94099999999997</v>
      </c>
      <c r="BC7" s="49">
        <v>430.33100000000002</v>
      </c>
      <c r="BD7" s="49">
        <v>427.59100000000001</v>
      </c>
      <c r="BE7" s="49">
        <v>432.28100000000001</v>
      </c>
      <c r="BF7" s="49">
        <v>438.64100000000002</v>
      </c>
      <c r="BG7" s="49">
        <v>448.13099999999997</v>
      </c>
      <c r="BH7" s="49">
        <v>479.44099999999997</v>
      </c>
      <c r="BI7" s="49">
        <v>458.43099999999998</v>
      </c>
      <c r="BJ7" s="49">
        <v>467.52100000000002</v>
      </c>
      <c r="BK7" s="49">
        <v>481.65100000000001</v>
      </c>
      <c r="BL7" s="49">
        <v>489.53100000000001</v>
      </c>
      <c r="BM7" s="49">
        <v>517.101</v>
      </c>
      <c r="BN7" s="49">
        <v>515.00099999999998</v>
      </c>
      <c r="BO7" s="49">
        <v>544.84100000000001</v>
      </c>
      <c r="BP7" s="49">
        <v>481.351</v>
      </c>
      <c r="BQ7" s="49">
        <v>377.971</v>
      </c>
      <c r="BR7" s="49">
        <v>355.38099999999997</v>
      </c>
      <c r="BS7" s="49">
        <v>360.44099999999997</v>
      </c>
      <c r="BT7" s="49">
        <v>335.49099999999999</v>
      </c>
      <c r="BU7" s="49">
        <v>317.31099999999998</v>
      </c>
      <c r="BV7" s="49">
        <v>298.27100000000002</v>
      </c>
      <c r="BW7" s="49">
        <v>265.041</v>
      </c>
      <c r="BX7" s="49">
        <v>453.93099999999998</v>
      </c>
      <c r="BY7" s="49">
        <v>493.791</v>
      </c>
      <c r="BZ7" s="49">
        <v>518.66099999999994</v>
      </c>
      <c r="CA7" s="49">
        <v>530.30100000000004</v>
      </c>
      <c r="CB7" s="49">
        <v>519.52099999999996</v>
      </c>
      <c r="CC7" s="49">
        <v>479.99099999999999</v>
      </c>
      <c r="CD7" s="49">
        <v>358.46100000000001</v>
      </c>
      <c r="CE7" s="49">
        <v>368.00099999999998</v>
      </c>
      <c r="CF7" s="49">
        <v>379.30099999999999</v>
      </c>
      <c r="CG7" s="49">
        <v>401.52100000000002</v>
      </c>
      <c r="CH7" s="49">
        <v>403.661</v>
      </c>
      <c r="CI7" s="49">
        <v>81.971000000000004</v>
      </c>
      <c r="CJ7" s="49">
        <v>7.0910000000000002</v>
      </c>
      <c r="CK7" s="49">
        <v>7.0919999999999996</v>
      </c>
      <c r="CL7" s="49">
        <v>8.4120000000000008</v>
      </c>
      <c r="CM7" s="49">
        <v>7.0919999999999996</v>
      </c>
      <c r="CN7" s="49">
        <v>9.9999999999989008E-4</v>
      </c>
    </row>
    <row r="8" spans="1:92" x14ac:dyDescent="0.3">
      <c r="A8" s="103"/>
      <c r="C8" s="47" t="s">
        <v>218</v>
      </c>
      <c r="D8" s="49">
        <v>239.52199999999999</v>
      </c>
      <c r="E8" s="49">
        <v>307.55099999999999</v>
      </c>
      <c r="F8" s="49">
        <v>280.19200000000001</v>
      </c>
      <c r="G8" s="49">
        <v>0</v>
      </c>
      <c r="H8" s="49">
        <v>192.881</v>
      </c>
      <c r="I8" s="49">
        <v>205.88200000000001</v>
      </c>
      <c r="J8" s="49">
        <v>197.571</v>
      </c>
      <c r="K8" s="49">
        <v>205.881</v>
      </c>
      <c r="L8" s="49">
        <v>176.95099999999999</v>
      </c>
      <c r="M8" s="49">
        <v>164.56100000000001</v>
      </c>
      <c r="N8" s="49">
        <v>212.14099999999999</v>
      </c>
      <c r="O8" s="49">
        <v>147.86099999999999</v>
      </c>
      <c r="P8" s="49">
        <v>135.40100000000001</v>
      </c>
      <c r="Q8" s="49">
        <v>164.66200000000001</v>
      </c>
      <c r="R8" s="49">
        <v>131.77099999999999</v>
      </c>
      <c r="S8" s="49">
        <v>152.55199999999999</v>
      </c>
      <c r="T8" s="49">
        <v>159.32300000000001</v>
      </c>
      <c r="U8" s="49">
        <v>129.20099999999999</v>
      </c>
      <c r="V8" s="49">
        <v>131.77199999999999</v>
      </c>
      <c r="W8" s="49">
        <v>159.322</v>
      </c>
      <c r="X8" s="49">
        <v>126.991</v>
      </c>
      <c r="Y8" s="49">
        <v>115.56100000000001</v>
      </c>
      <c r="Z8" s="49">
        <v>139.292</v>
      </c>
      <c r="AA8" s="49">
        <v>139.291</v>
      </c>
      <c r="AB8" s="49">
        <v>90.960999999999999</v>
      </c>
      <c r="AC8" s="49">
        <v>57.021000000000001</v>
      </c>
      <c r="AD8" s="49">
        <v>44.341000000000001</v>
      </c>
      <c r="AE8" s="49">
        <v>37.771000000000001</v>
      </c>
      <c r="AF8" s="49">
        <v>9.9999999999989008E-4</v>
      </c>
      <c r="AG8" s="49">
        <v>9.9109999999999996</v>
      </c>
      <c r="AH8" s="49">
        <v>10.021000000000001</v>
      </c>
      <c r="AI8" s="49">
        <v>23.091000000000001</v>
      </c>
      <c r="AJ8" s="49">
        <v>28.300999999999998</v>
      </c>
      <c r="AK8" s="49">
        <v>23.091999999999999</v>
      </c>
      <c r="AL8" s="49">
        <v>51.570999999999998</v>
      </c>
      <c r="AM8" s="49">
        <v>61.491</v>
      </c>
      <c r="AN8" s="49">
        <v>57.401000000000003</v>
      </c>
      <c r="AO8" s="49">
        <v>63.051000000000002</v>
      </c>
      <c r="AP8" s="49">
        <v>76.710999999999999</v>
      </c>
      <c r="AQ8" s="49">
        <v>83.811000000000007</v>
      </c>
      <c r="AR8" s="49">
        <v>88.650999999999996</v>
      </c>
      <c r="AS8" s="49">
        <v>93.641000000000005</v>
      </c>
      <c r="AT8" s="49">
        <v>109.971</v>
      </c>
      <c r="AU8" s="49">
        <v>117.051</v>
      </c>
      <c r="AV8" s="49">
        <v>129.87200000000001</v>
      </c>
      <c r="AW8" s="49">
        <v>129.87100000000001</v>
      </c>
      <c r="AX8" s="49">
        <v>134.39099999999999</v>
      </c>
      <c r="AY8" s="49">
        <v>143.15199999999999</v>
      </c>
      <c r="AZ8" s="49">
        <v>143.15100000000001</v>
      </c>
      <c r="BA8" s="49">
        <v>156.31100000000001</v>
      </c>
      <c r="BB8" s="49">
        <v>173.87100000000001</v>
      </c>
      <c r="BC8" s="49">
        <v>188.261</v>
      </c>
      <c r="BD8" s="49">
        <v>185.52099999999999</v>
      </c>
      <c r="BE8" s="49">
        <v>190.21100000000001</v>
      </c>
      <c r="BF8" s="49">
        <v>196.571</v>
      </c>
      <c r="BG8" s="49">
        <v>206.06100000000001</v>
      </c>
      <c r="BH8" s="49">
        <v>237.37100000000001</v>
      </c>
      <c r="BI8" s="49">
        <v>216.36099999999999</v>
      </c>
      <c r="BJ8" s="49">
        <v>225.45099999999999</v>
      </c>
      <c r="BK8" s="49">
        <v>239.58099999999999</v>
      </c>
      <c r="BL8" s="49">
        <v>247.46100000000001</v>
      </c>
      <c r="BM8" s="49">
        <v>275.03100000000001</v>
      </c>
      <c r="BN8" s="49">
        <v>272.93099999999998</v>
      </c>
      <c r="BO8" s="49">
        <v>302.77100000000002</v>
      </c>
      <c r="BP8" s="49">
        <v>239.28100000000001</v>
      </c>
      <c r="BQ8" s="49">
        <v>135.90100000000001</v>
      </c>
      <c r="BR8" s="49">
        <v>113.31100000000001</v>
      </c>
      <c r="BS8" s="49">
        <v>118.371</v>
      </c>
      <c r="BT8" s="49">
        <v>93.421000000000006</v>
      </c>
      <c r="BU8" s="49">
        <v>75.241</v>
      </c>
      <c r="BV8" s="49">
        <v>56.201000000000001</v>
      </c>
      <c r="BW8" s="49">
        <v>22.971</v>
      </c>
      <c r="BX8" s="49">
        <v>211.86099999999999</v>
      </c>
      <c r="BY8" s="49">
        <v>251.721</v>
      </c>
      <c r="BZ8" s="49">
        <v>276.59100000000001</v>
      </c>
      <c r="CA8" s="49">
        <v>288.23099999999999</v>
      </c>
      <c r="CB8" s="49">
        <v>277.45100000000002</v>
      </c>
      <c r="CC8" s="49">
        <v>237.92099999999999</v>
      </c>
      <c r="CD8" s="49">
        <v>116.39100000000001</v>
      </c>
      <c r="CE8" s="49">
        <v>125.931</v>
      </c>
      <c r="CF8" s="49">
        <v>137.23099999999999</v>
      </c>
      <c r="CG8" s="49">
        <v>159.45099999999999</v>
      </c>
      <c r="CH8" s="49">
        <v>161.59100000000001</v>
      </c>
      <c r="CI8" s="49">
        <v>198.221</v>
      </c>
      <c r="CJ8" s="49">
        <v>273.101</v>
      </c>
      <c r="CK8" s="49">
        <v>273.10199999999998</v>
      </c>
      <c r="CL8" s="49">
        <v>274.42200000000003</v>
      </c>
      <c r="CM8" s="49">
        <v>273.10199999999998</v>
      </c>
      <c r="CN8" s="49">
        <v>280.19099999999997</v>
      </c>
    </row>
    <row r="9" spans="1:92" x14ac:dyDescent="0.3">
      <c r="A9" s="103"/>
      <c r="C9" s="47" t="s">
        <v>26</v>
      </c>
      <c r="D9" s="49">
        <v>239.523</v>
      </c>
      <c r="E9" s="49">
        <v>307.55200000000002</v>
      </c>
      <c r="F9" s="49">
        <v>280.19299999999998</v>
      </c>
      <c r="G9" s="49">
        <v>9.9999999999989008E-4</v>
      </c>
      <c r="H9" s="49">
        <v>192.88200000000001</v>
      </c>
      <c r="I9" s="49">
        <v>205.88300000000001</v>
      </c>
      <c r="J9" s="49">
        <v>197.572</v>
      </c>
      <c r="K9" s="49">
        <v>205.88200000000001</v>
      </c>
      <c r="L9" s="49">
        <v>176.952</v>
      </c>
      <c r="M9" s="49">
        <v>164.56200000000001</v>
      </c>
      <c r="N9" s="49">
        <v>212.142</v>
      </c>
      <c r="O9" s="49">
        <v>147.86199999999999</v>
      </c>
      <c r="P9" s="49">
        <v>135.40199999999999</v>
      </c>
      <c r="Q9" s="49">
        <v>164.66300000000001</v>
      </c>
      <c r="R9" s="49">
        <v>131.77199999999999</v>
      </c>
      <c r="S9" s="49">
        <v>152.553</v>
      </c>
      <c r="T9" s="49">
        <v>159.32400000000001</v>
      </c>
      <c r="U9" s="49">
        <v>129.202</v>
      </c>
      <c r="V9" s="49">
        <v>131.773</v>
      </c>
      <c r="W9" s="49">
        <v>159.32300000000001</v>
      </c>
      <c r="X9" s="49">
        <v>126.992</v>
      </c>
      <c r="Y9" s="49">
        <v>115.562</v>
      </c>
      <c r="Z9" s="49">
        <v>139.29300000000001</v>
      </c>
      <c r="AA9" s="49">
        <v>139.292</v>
      </c>
      <c r="AB9" s="49">
        <v>90.962000000000003</v>
      </c>
      <c r="AC9" s="49">
        <v>57.021999999999998</v>
      </c>
      <c r="AD9" s="49">
        <v>44.341999999999999</v>
      </c>
      <c r="AE9" s="49">
        <v>37.771999999999998</v>
      </c>
      <c r="AF9" s="49">
        <v>1.9999999999997802E-3</v>
      </c>
      <c r="AG9" s="49">
        <v>9.9120000000000008</v>
      </c>
      <c r="AH9" s="49">
        <v>10.022</v>
      </c>
      <c r="AI9" s="49">
        <v>23.091999999999999</v>
      </c>
      <c r="AJ9" s="49">
        <v>28.302</v>
      </c>
      <c r="AK9" s="49">
        <v>23.093</v>
      </c>
      <c r="AL9" s="49">
        <v>51.572000000000003</v>
      </c>
      <c r="AM9" s="49">
        <v>61.491999999999997</v>
      </c>
      <c r="AN9" s="49">
        <v>57.402000000000001</v>
      </c>
      <c r="AO9" s="49">
        <v>63.052</v>
      </c>
      <c r="AP9" s="49">
        <v>76.712000000000003</v>
      </c>
      <c r="AQ9" s="49">
        <v>83.811999999999998</v>
      </c>
      <c r="AR9" s="49">
        <v>88.652000000000001</v>
      </c>
      <c r="AS9" s="49">
        <v>93.641999999999996</v>
      </c>
      <c r="AT9" s="49">
        <v>109.97199999999999</v>
      </c>
      <c r="AU9" s="49">
        <v>117.05200000000001</v>
      </c>
      <c r="AV9" s="49">
        <v>129.87299999999999</v>
      </c>
      <c r="AW9" s="49">
        <v>129.87200000000001</v>
      </c>
      <c r="AX9" s="49">
        <v>134.392</v>
      </c>
      <c r="AY9" s="49">
        <v>143.15299999999999</v>
      </c>
      <c r="AZ9" s="49">
        <v>143.15199999999999</v>
      </c>
      <c r="BA9" s="49">
        <v>156.31200000000001</v>
      </c>
      <c r="BB9" s="49">
        <v>173.87200000000001</v>
      </c>
      <c r="BC9" s="49">
        <v>188.262</v>
      </c>
      <c r="BD9" s="49">
        <v>185.52199999999999</v>
      </c>
      <c r="BE9" s="49">
        <v>190.21199999999999</v>
      </c>
      <c r="BF9" s="49">
        <v>196.572</v>
      </c>
      <c r="BG9" s="49">
        <v>206.06200000000001</v>
      </c>
      <c r="BH9" s="49">
        <v>237.37200000000001</v>
      </c>
      <c r="BI9" s="49">
        <v>216.36199999999999</v>
      </c>
      <c r="BJ9" s="49">
        <v>225.452</v>
      </c>
      <c r="BK9" s="49">
        <v>239.58199999999999</v>
      </c>
      <c r="BL9" s="49">
        <v>247.46199999999999</v>
      </c>
      <c r="BM9" s="49">
        <v>275.03199999999998</v>
      </c>
      <c r="BN9" s="49">
        <v>272.93200000000002</v>
      </c>
      <c r="BO9" s="49">
        <v>302.77199999999999</v>
      </c>
      <c r="BP9" s="49">
        <v>239.28200000000001</v>
      </c>
      <c r="BQ9" s="49">
        <v>135.90199999999999</v>
      </c>
      <c r="BR9" s="49">
        <v>113.312</v>
      </c>
      <c r="BS9" s="49">
        <v>118.372</v>
      </c>
      <c r="BT9" s="49">
        <v>93.421999999999997</v>
      </c>
      <c r="BU9" s="49">
        <v>75.242000000000004</v>
      </c>
      <c r="BV9" s="49">
        <v>56.201999999999998</v>
      </c>
      <c r="BW9" s="49">
        <v>22.972000000000001</v>
      </c>
      <c r="BX9" s="49">
        <v>211.86199999999999</v>
      </c>
      <c r="BY9" s="49">
        <v>251.72200000000001</v>
      </c>
      <c r="BZ9" s="49">
        <v>276.59199999999998</v>
      </c>
      <c r="CA9" s="49">
        <v>288.23200000000003</v>
      </c>
      <c r="CB9" s="49">
        <v>277.452</v>
      </c>
      <c r="CC9" s="49">
        <v>237.922</v>
      </c>
      <c r="CD9" s="49">
        <v>116.392</v>
      </c>
      <c r="CE9" s="49">
        <v>125.932</v>
      </c>
      <c r="CF9" s="49">
        <v>137.232</v>
      </c>
      <c r="CG9" s="49">
        <v>159.452</v>
      </c>
      <c r="CH9" s="49">
        <v>161.59200000000001</v>
      </c>
      <c r="CI9" s="49">
        <v>198.22200000000001</v>
      </c>
      <c r="CJ9" s="49">
        <v>273.10199999999998</v>
      </c>
      <c r="CK9" s="49">
        <v>273.10300000000001</v>
      </c>
      <c r="CL9" s="49">
        <v>274.423</v>
      </c>
      <c r="CM9" s="49">
        <v>273.10300000000001</v>
      </c>
      <c r="CN9" s="49">
        <v>280.19200000000001</v>
      </c>
    </row>
    <row r="10" spans="1:92" x14ac:dyDescent="0.3"/>
    <row r="11" spans="1:92" x14ac:dyDescent="0.3"/>
    <row r="12" spans="1:92" x14ac:dyDescent="0.3">
      <c r="A12" s="104" t="s">
        <v>584</v>
      </c>
      <c r="C12" s="2" t="s">
        <v>4</v>
      </c>
      <c r="D12" s="41" t="s">
        <v>1</v>
      </c>
      <c r="E12" s="42"/>
      <c r="F12" s="42"/>
      <c r="G12" s="42"/>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4"/>
    </row>
    <row r="13" spans="1:92" x14ac:dyDescent="0.3">
      <c r="A13" s="104"/>
      <c r="C13" s="46" t="s">
        <v>2</v>
      </c>
      <c r="D13" s="48" t="s">
        <v>0</v>
      </c>
      <c r="E13" s="48" t="s">
        <v>215</v>
      </c>
      <c r="F13" s="48" t="s">
        <v>217</v>
      </c>
      <c r="G13" s="48" t="s">
        <v>218</v>
      </c>
      <c r="H13" s="48" t="s">
        <v>54</v>
      </c>
      <c r="I13" s="48" t="s">
        <v>56</v>
      </c>
      <c r="J13" s="48" t="s">
        <v>58</v>
      </c>
      <c r="K13" s="48" t="s">
        <v>60</v>
      </c>
      <c r="L13" s="48" t="s">
        <v>61</v>
      </c>
      <c r="M13" s="48" t="s">
        <v>63</v>
      </c>
      <c r="N13" s="48" t="s">
        <v>65</v>
      </c>
      <c r="O13" s="48" t="s">
        <v>67</v>
      </c>
      <c r="P13" s="48" t="s">
        <v>69</v>
      </c>
      <c r="Q13" s="48" t="s">
        <v>71</v>
      </c>
      <c r="R13" s="48" t="s">
        <v>73</v>
      </c>
      <c r="S13" s="48" t="s">
        <v>75</v>
      </c>
      <c r="T13" s="48" t="s">
        <v>77</v>
      </c>
      <c r="U13" s="48" t="s">
        <v>79</v>
      </c>
      <c r="V13" s="48" t="s">
        <v>81</v>
      </c>
      <c r="W13" s="48" t="s">
        <v>82</v>
      </c>
      <c r="X13" s="48" t="s">
        <v>83</v>
      </c>
      <c r="Y13" s="48" t="s">
        <v>85</v>
      </c>
      <c r="Z13" s="48" t="s">
        <v>87</v>
      </c>
      <c r="AA13" s="48" t="s">
        <v>89</v>
      </c>
      <c r="AB13" s="48" t="s">
        <v>90</v>
      </c>
      <c r="AC13" s="48" t="s">
        <v>92</v>
      </c>
      <c r="AD13" s="48" t="s">
        <v>94</v>
      </c>
      <c r="AE13" s="48" t="s">
        <v>96</v>
      </c>
      <c r="AF13" s="48" t="s">
        <v>98</v>
      </c>
      <c r="AG13" s="48" t="s">
        <v>100</v>
      </c>
      <c r="AH13" s="48" t="s">
        <v>102</v>
      </c>
      <c r="AI13" s="48" t="s">
        <v>103</v>
      </c>
      <c r="AJ13" s="48" t="s">
        <v>105</v>
      </c>
      <c r="AK13" s="48" t="s">
        <v>107</v>
      </c>
      <c r="AL13" s="48" t="s">
        <v>108</v>
      </c>
      <c r="AM13" s="48" t="s">
        <v>110</v>
      </c>
      <c r="AN13" s="48" t="s">
        <v>112</v>
      </c>
      <c r="AO13" s="48" t="s">
        <v>114</v>
      </c>
      <c r="AP13" s="48" t="s">
        <v>116</v>
      </c>
      <c r="AQ13" s="48" t="s">
        <v>118</v>
      </c>
      <c r="AR13" s="48" t="s">
        <v>120</v>
      </c>
      <c r="AS13" s="48" t="s">
        <v>122</v>
      </c>
      <c r="AT13" s="48" t="s">
        <v>124</v>
      </c>
      <c r="AU13" s="48" t="s">
        <v>126</v>
      </c>
      <c r="AV13" s="48" t="s">
        <v>128</v>
      </c>
      <c r="AW13" s="48" t="s">
        <v>130</v>
      </c>
      <c r="AX13" s="48" t="s">
        <v>131</v>
      </c>
      <c r="AY13" s="48" t="s">
        <v>133</v>
      </c>
      <c r="AZ13" s="48" t="s">
        <v>135</v>
      </c>
      <c r="BA13" s="48" t="s">
        <v>136</v>
      </c>
      <c r="BB13" s="48" t="s">
        <v>138</v>
      </c>
      <c r="BC13" s="48" t="s">
        <v>140</v>
      </c>
      <c r="BD13" s="48" t="s">
        <v>142</v>
      </c>
      <c r="BE13" s="48" t="s">
        <v>144</v>
      </c>
      <c r="BF13" s="48" t="s">
        <v>146</v>
      </c>
      <c r="BG13" s="48" t="s">
        <v>148</v>
      </c>
      <c r="BH13" s="48" t="s">
        <v>150</v>
      </c>
      <c r="BI13" s="48" t="s">
        <v>152</v>
      </c>
      <c r="BJ13" s="48" t="s">
        <v>154</v>
      </c>
      <c r="BK13" s="48" t="s">
        <v>156</v>
      </c>
      <c r="BL13" s="48" t="s">
        <v>158</v>
      </c>
      <c r="BM13" s="48" t="s">
        <v>160</v>
      </c>
      <c r="BN13" s="48" t="s">
        <v>162</v>
      </c>
      <c r="BO13" s="48" t="s">
        <v>164</v>
      </c>
      <c r="BP13" s="48" t="s">
        <v>166</v>
      </c>
      <c r="BQ13" s="48" t="s">
        <v>168</v>
      </c>
      <c r="BR13" s="48" t="s">
        <v>170</v>
      </c>
      <c r="BS13" s="48" t="s">
        <v>172</v>
      </c>
      <c r="BT13" s="48" t="s">
        <v>174</v>
      </c>
      <c r="BU13" s="48" t="s">
        <v>176</v>
      </c>
      <c r="BV13" s="48" t="s">
        <v>178</v>
      </c>
      <c r="BW13" s="48" t="s">
        <v>180</v>
      </c>
      <c r="BX13" s="48" t="s">
        <v>182</v>
      </c>
      <c r="BY13" s="48" t="s">
        <v>184</v>
      </c>
      <c r="BZ13" s="48" t="s">
        <v>186</v>
      </c>
      <c r="CA13" s="48" t="s">
        <v>188</v>
      </c>
      <c r="CB13" s="48" t="s">
        <v>190</v>
      </c>
      <c r="CC13" s="48" t="s">
        <v>192</v>
      </c>
      <c r="CD13" s="48" t="s">
        <v>194</v>
      </c>
      <c r="CE13" s="48" t="s">
        <v>196</v>
      </c>
      <c r="CF13" s="48" t="s">
        <v>198</v>
      </c>
      <c r="CG13" s="48" t="s">
        <v>200</v>
      </c>
      <c r="CH13" s="48" t="s">
        <v>202</v>
      </c>
      <c r="CI13" s="48" t="s">
        <v>204</v>
      </c>
      <c r="CJ13" s="48" t="s">
        <v>206</v>
      </c>
      <c r="CK13" s="48" t="s">
        <v>208</v>
      </c>
      <c r="CL13" s="48" t="s">
        <v>209</v>
      </c>
      <c r="CM13" s="48" t="s">
        <v>211</v>
      </c>
      <c r="CN13" s="48" t="s">
        <v>212</v>
      </c>
    </row>
    <row r="14" spans="1:92" x14ac:dyDescent="0.3">
      <c r="A14" s="103"/>
      <c r="C14" s="47" t="s">
        <v>0</v>
      </c>
      <c r="D14" s="49">
        <v>0</v>
      </c>
      <c r="E14" s="49">
        <v>508.95100000000002</v>
      </c>
      <c r="F14" s="49">
        <v>481.59199999999998</v>
      </c>
      <c r="G14" s="49">
        <v>239.52199999999999</v>
      </c>
      <c r="H14" s="49">
        <v>394.28100000000001</v>
      </c>
      <c r="I14" s="49">
        <v>387.69499999999999</v>
      </c>
      <c r="J14" s="49">
        <v>387.69299999999998</v>
      </c>
      <c r="K14" s="49">
        <v>387.69400000000002</v>
      </c>
      <c r="L14" s="49">
        <v>378.351</v>
      </c>
      <c r="M14" s="49">
        <v>365.96100000000001</v>
      </c>
      <c r="N14" s="49">
        <v>387.69400000000002</v>
      </c>
      <c r="O14" s="49">
        <v>349.26100000000002</v>
      </c>
      <c r="P14" s="49">
        <v>336.80099999999999</v>
      </c>
      <c r="Q14" s="49">
        <v>333.03699999999998</v>
      </c>
      <c r="R14" s="49">
        <v>333.03199999999998</v>
      </c>
      <c r="S14" s="49">
        <v>333.03500000000003</v>
      </c>
      <c r="T14" s="49">
        <v>333.03699999999998</v>
      </c>
      <c r="U14" s="49">
        <v>330.601</v>
      </c>
      <c r="V14" s="49">
        <v>333.03300000000002</v>
      </c>
      <c r="W14" s="49">
        <v>333.036</v>
      </c>
      <c r="X14" s="49">
        <v>316.96199999999999</v>
      </c>
      <c r="Y14" s="49">
        <v>316.96100000000001</v>
      </c>
      <c r="Z14" s="49">
        <v>316.964</v>
      </c>
      <c r="AA14" s="49">
        <v>316.96300000000002</v>
      </c>
      <c r="AB14" s="49">
        <v>292.36099999999999</v>
      </c>
      <c r="AC14" s="49">
        <v>258.42099999999999</v>
      </c>
      <c r="AD14" s="49">
        <v>245.74100000000001</v>
      </c>
      <c r="AE14" s="49">
        <v>239.17099999999999</v>
      </c>
      <c r="AF14" s="49">
        <v>239.52099999999999</v>
      </c>
      <c r="AG14" s="49">
        <v>239.52199999999999</v>
      </c>
      <c r="AH14" s="49">
        <v>239.52199999999999</v>
      </c>
      <c r="AI14" s="49">
        <v>239.523</v>
      </c>
      <c r="AJ14" s="49">
        <v>229.70099999999999</v>
      </c>
      <c r="AK14" s="49">
        <v>239.524</v>
      </c>
      <c r="AL14" s="49">
        <v>248.40199999999999</v>
      </c>
      <c r="AM14" s="49">
        <v>248.40299999999999</v>
      </c>
      <c r="AN14" s="49">
        <v>258.80099999999999</v>
      </c>
      <c r="AO14" s="49">
        <v>264.45100000000002</v>
      </c>
      <c r="AP14" s="49">
        <v>278.11099999999999</v>
      </c>
      <c r="AQ14" s="49">
        <v>285.21100000000001</v>
      </c>
      <c r="AR14" s="49">
        <v>290.05099999999999</v>
      </c>
      <c r="AS14" s="49">
        <v>295.041</v>
      </c>
      <c r="AT14" s="49">
        <v>311.37099999999998</v>
      </c>
      <c r="AU14" s="49">
        <v>318.45100000000002</v>
      </c>
      <c r="AV14" s="49">
        <v>324.13299999999998</v>
      </c>
      <c r="AW14" s="49">
        <v>324.13200000000001</v>
      </c>
      <c r="AX14" s="49">
        <v>335.791</v>
      </c>
      <c r="AY14" s="49">
        <v>344.55200000000002</v>
      </c>
      <c r="AZ14" s="49">
        <v>344.55099999999999</v>
      </c>
      <c r="BA14" s="49">
        <v>357.71100000000001</v>
      </c>
      <c r="BB14" s="49">
        <v>375.27100000000002</v>
      </c>
      <c r="BC14" s="49">
        <v>381.22300000000001</v>
      </c>
      <c r="BD14" s="49">
        <v>381.22199999999998</v>
      </c>
      <c r="BE14" s="49">
        <v>384.60199999999998</v>
      </c>
      <c r="BF14" s="49">
        <v>397.971</v>
      </c>
      <c r="BG14" s="49">
        <v>407.46100000000001</v>
      </c>
      <c r="BH14" s="49">
        <v>415.03300000000002</v>
      </c>
      <c r="BI14" s="49">
        <v>417.76100000000002</v>
      </c>
      <c r="BJ14" s="49">
        <v>426.851</v>
      </c>
      <c r="BK14" s="49">
        <v>434.48200000000003</v>
      </c>
      <c r="BL14" s="49">
        <v>448.86099999999999</v>
      </c>
      <c r="BM14" s="49">
        <v>456.85300000000001</v>
      </c>
      <c r="BN14" s="49">
        <v>474.33100000000002</v>
      </c>
      <c r="BO14" s="49">
        <v>504.17099999999999</v>
      </c>
      <c r="BP14" s="49">
        <v>0.24099999999999999</v>
      </c>
      <c r="BQ14" s="49">
        <v>103.621</v>
      </c>
      <c r="BR14" s="49">
        <v>126.211</v>
      </c>
      <c r="BS14" s="49">
        <v>126.212</v>
      </c>
      <c r="BT14" s="49">
        <v>146.101</v>
      </c>
      <c r="BU14" s="49">
        <v>164.28100000000001</v>
      </c>
      <c r="BV14" s="49">
        <v>183.321</v>
      </c>
      <c r="BW14" s="49">
        <v>216.55099999999999</v>
      </c>
      <c r="BX14" s="49">
        <v>67.292000000000002</v>
      </c>
      <c r="BY14" s="49">
        <v>111.401</v>
      </c>
      <c r="BZ14" s="49">
        <v>136.27099999999999</v>
      </c>
      <c r="CA14" s="49">
        <v>183.37100000000001</v>
      </c>
      <c r="CB14" s="49">
        <v>194.15100000000001</v>
      </c>
      <c r="CC14" s="49">
        <v>233.68100000000001</v>
      </c>
      <c r="CD14" s="49">
        <v>317.791</v>
      </c>
      <c r="CE14" s="49">
        <v>327.33100000000002</v>
      </c>
      <c r="CF14" s="49">
        <v>334.37099999999998</v>
      </c>
      <c r="CG14" s="49">
        <v>320.322</v>
      </c>
      <c r="CH14" s="49">
        <v>310.01100000000002</v>
      </c>
      <c r="CI14" s="49">
        <v>399.62099999999998</v>
      </c>
      <c r="CJ14" s="49">
        <v>474.50099999999998</v>
      </c>
      <c r="CK14" s="49">
        <v>474.50200000000001</v>
      </c>
      <c r="CL14" s="49">
        <v>474.50400000000002</v>
      </c>
      <c r="CM14" s="49">
        <v>474.50200000000001</v>
      </c>
      <c r="CN14" s="49">
        <v>481.59100000000001</v>
      </c>
    </row>
    <row r="15" spans="1:92" x14ac:dyDescent="0.3">
      <c r="A15" s="103"/>
      <c r="C15" s="47" t="s">
        <v>215</v>
      </c>
      <c r="D15" s="49">
        <v>508.95100000000002</v>
      </c>
      <c r="E15" s="49">
        <v>0</v>
      </c>
      <c r="F15" s="49">
        <v>549.62099999999998</v>
      </c>
      <c r="G15" s="49">
        <v>307.55099999999999</v>
      </c>
      <c r="H15" s="49">
        <v>462.31</v>
      </c>
      <c r="I15" s="49">
        <v>455.72399999999999</v>
      </c>
      <c r="J15" s="49">
        <v>455.72199999999998</v>
      </c>
      <c r="K15" s="49">
        <v>455.72300000000001</v>
      </c>
      <c r="L15" s="49">
        <v>446.38</v>
      </c>
      <c r="M15" s="49">
        <v>433.99</v>
      </c>
      <c r="N15" s="49">
        <v>455.72300000000001</v>
      </c>
      <c r="O15" s="49">
        <v>417.29</v>
      </c>
      <c r="P15" s="49">
        <v>404.83</v>
      </c>
      <c r="Q15" s="49">
        <v>401.06599999999997</v>
      </c>
      <c r="R15" s="49">
        <v>401.06099999999998</v>
      </c>
      <c r="S15" s="49">
        <v>401.06400000000002</v>
      </c>
      <c r="T15" s="49">
        <v>401.06599999999997</v>
      </c>
      <c r="U15" s="49">
        <v>398.63</v>
      </c>
      <c r="V15" s="49">
        <v>401.06200000000001</v>
      </c>
      <c r="W15" s="49">
        <v>401.065</v>
      </c>
      <c r="X15" s="49">
        <v>384.99099999999999</v>
      </c>
      <c r="Y15" s="49">
        <v>384.99</v>
      </c>
      <c r="Z15" s="49">
        <v>384.99299999999999</v>
      </c>
      <c r="AA15" s="49">
        <v>384.99200000000002</v>
      </c>
      <c r="AB15" s="49">
        <v>360.39</v>
      </c>
      <c r="AC15" s="49">
        <v>326.45</v>
      </c>
      <c r="AD15" s="49">
        <v>313.77</v>
      </c>
      <c r="AE15" s="49">
        <v>307.2</v>
      </c>
      <c r="AF15" s="49">
        <v>307.55</v>
      </c>
      <c r="AG15" s="49">
        <v>307.55099999999999</v>
      </c>
      <c r="AH15" s="49">
        <v>307.55099999999999</v>
      </c>
      <c r="AI15" s="49">
        <v>307.55200000000002</v>
      </c>
      <c r="AJ15" s="49">
        <v>279.25</v>
      </c>
      <c r="AK15" s="49">
        <v>307.553</v>
      </c>
      <c r="AL15" s="49">
        <v>260.55099999999999</v>
      </c>
      <c r="AM15" s="49">
        <v>260.55200000000002</v>
      </c>
      <c r="AN15" s="49">
        <v>250.15</v>
      </c>
      <c r="AO15" s="49">
        <v>244.5</v>
      </c>
      <c r="AP15" s="49">
        <v>230.84</v>
      </c>
      <c r="AQ15" s="49">
        <v>223.74</v>
      </c>
      <c r="AR15" s="49">
        <v>218.9</v>
      </c>
      <c r="AS15" s="49">
        <v>213.91</v>
      </c>
      <c r="AT15" s="49">
        <v>197.58</v>
      </c>
      <c r="AU15" s="49">
        <v>190.5</v>
      </c>
      <c r="AV15" s="49">
        <v>184.822</v>
      </c>
      <c r="AW15" s="49">
        <v>184.821</v>
      </c>
      <c r="AX15" s="49">
        <v>173.16</v>
      </c>
      <c r="AY15" s="49">
        <v>164.40100000000001</v>
      </c>
      <c r="AZ15" s="49">
        <v>164.4</v>
      </c>
      <c r="BA15" s="49">
        <v>151.24</v>
      </c>
      <c r="BB15" s="49">
        <v>133.68</v>
      </c>
      <c r="BC15" s="49">
        <v>127.732</v>
      </c>
      <c r="BD15" s="49">
        <v>127.73099999999999</v>
      </c>
      <c r="BE15" s="49">
        <v>124.351</v>
      </c>
      <c r="BF15" s="49">
        <v>110.98</v>
      </c>
      <c r="BG15" s="49">
        <v>101.49</v>
      </c>
      <c r="BH15" s="49">
        <v>93.921999999999997</v>
      </c>
      <c r="BI15" s="49">
        <v>91.19</v>
      </c>
      <c r="BJ15" s="49">
        <v>82.1</v>
      </c>
      <c r="BK15" s="49">
        <v>74.471000000000004</v>
      </c>
      <c r="BL15" s="49">
        <v>60.09</v>
      </c>
      <c r="BM15" s="49">
        <v>52.101999999999997</v>
      </c>
      <c r="BN15" s="49">
        <v>34.619999999999997</v>
      </c>
      <c r="BO15" s="49">
        <v>4.78</v>
      </c>
      <c r="BP15" s="49">
        <v>508.71</v>
      </c>
      <c r="BQ15" s="49">
        <v>405.33</v>
      </c>
      <c r="BR15" s="49">
        <v>382.74</v>
      </c>
      <c r="BS15" s="49">
        <v>382.74099999999999</v>
      </c>
      <c r="BT15" s="49">
        <v>362.85</v>
      </c>
      <c r="BU15" s="49">
        <v>344.67</v>
      </c>
      <c r="BV15" s="49">
        <v>325.63</v>
      </c>
      <c r="BW15" s="49">
        <v>292.39999999999998</v>
      </c>
      <c r="BX15" s="49">
        <v>477.041</v>
      </c>
      <c r="BY15" s="49">
        <v>480.47</v>
      </c>
      <c r="BZ15" s="49">
        <v>455.6</v>
      </c>
      <c r="CA15" s="49">
        <v>408.5</v>
      </c>
      <c r="CB15" s="49">
        <v>397.72</v>
      </c>
      <c r="CC15" s="49">
        <v>358.19</v>
      </c>
      <c r="CD15" s="49">
        <v>236.66</v>
      </c>
      <c r="CE15" s="49">
        <v>246.2</v>
      </c>
      <c r="CF15" s="49">
        <v>257.5</v>
      </c>
      <c r="CG15" s="49">
        <v>271.55099999999999</v>
      </c>
      <c r="CH15" s="49">
        <v>281.86</v>
      </c>
      <c r="CI15" s="49">
        <v>467.65</v>
      </c>
      <c r="CJ15" s="49">
        <v>542.53</v>
      </c>
      <c r="CK15" s="49">
        <v>542.53099999999995</v>
      </c>
      <c r="CL15" s="49">
        <v>542.53300000000002</v>
      </c>
      <c r="CM15" s="49">
        <v>542.53099999999995</v>
      </c>
      <c r="CN15" s="49">
        <v>549.62</v>
      </c>
    </row>
    <row r="16" spans="1:92" x14ac:dyDescent="0.3">
      <c r="A16" s="103"/>
      <c r="C16" s="47" t="s">
        <v>217</v>
      </c>
      <c r="D16" s="49">
        <v>481.59199999999998</v>
      </c>
      <c r="E16" s="49">
        <v>549.62099999999998</v>
      </c>
      <c r="F16" s="49">
        <v>0</v>
      </c>
      <c r="G16" s="49">
        <v>280.19200000000001</v>
      </c>
      <c r="H16" s="49">
        <v>87.311000000000007</v>
      </c>
      <c r="I16" s="49">
        <v>93.905000000000001</v>
      </c>
      <c r="J16" s="49">
        <v>93.903000000000006</v>
      </c>
      <c r="K16" s="49">
        <v>93.903999999999996</v>
      </c>
      <c r="L16" s="49">
        <v>103.241</v>
      </c>
      <c r="M16" s="49">
        <v>115.631</v>
      </c>
      <c r="N16" s="49">
        <v>93.903999999999996</v>
      </c>
      <c r="O16" s="49">
        <v>132.33099999999999</v>
      </c>
      <c r="P16" s="49">
        <v>144.791</v>
      </c>
      <c r="Q16" s="49">
        <v>148.56700000000001</v>
      </c>
      <c r="R16" s="49">
        <v>148.56200000000001</v>
      </c>
      <c r="S16" s="49">
        <v>148.565</v>
      </c>
      <c r="T16" s="49">
        <v>148.56700000000001</v>
      </c>
      <c r="U16" s="49">
        <v>150.99100000000001</v>
      </c>
      <c r="V16" s="49">
        <v>148.56299999999999</v>
      </c>
      <c r="W16" s="49">
        <v>148.566</v>
      </c>
      <c r="X16" s="49">
        <v>164.63200000000001</v>
      </c>
      <c r="Y16" s="49">
        <v>164.631</v>
      </c>
      <c r="Z16" s="49">
        <v>164.63399999999999</v>
      </c>
      <c r="AA16" s="49">
        <v>164.63300000000001</v>
      </c>
      <c r="AB16" s="49">
        <v>189.23099999999999</v>
      </c>
      <c r="AC16" s="49">
        <v>223.17099999999999</v>
      </c>
      <c r="AD16" s="49">
        <v>235.851</v>
      </c>
      <c r="AE16" s="49">
        <v>242.42099999999999</v>
      </c>
      <c r="AF16" s="49">
        <v>280.19099999999997</v>
      </c>
      <c r="AG16" s="49">
        <v>280.19200000000001</v>
      </c>
      <c r="AH16" s="49">
        <v>280.19200000000001</v>
      </c>
      <c r="AI16" s="49">
        <v>280.19299999999998</v>
      </c>
      <c r="AJ16" s="49">
        <v>270.37099999999998</v>
      </c>
      <c r="AK16" s="49">
        <v>280.19400000000002</v>
      </c>
      <c r="AL16" s="49">
        <v>289.072</v>
      </c>
      <c r="AM16" s="49">
        <v>289.07299999999998</v>
      </c>
      <c r="AN16" s="49">
        <v>299.471</v>
      </c>
      <c r="AO16" s="49">
        <v>305.12099999999998</v>
      </c>
      <c r="AP16" s="49">
        <v>318.78100000000001</v>
      </c>
      <c r="AQ16" s="49">
        <v>325.88099999999997</v>
      </c>
      <c r="AR16" s="49">
        <v>330.721</v>
      </c>
      <c r="AS16" s="49">
        <v>335.71100000000001</v>
      </c>
      <c r="AT16" s="49">
        <v>352.041</v>
      </c>
      <c r="AU16" s="49">
        <v>359.12099999999998</v>
      </c>
      <c r="AV16" s="49">
        <v>364.803</v>
      </c>
      <c r="AW16" s="49">
        <v>364.80200000000002</v>
      </c>
      <c r="AX16" s="49">
        <v>376.46100000000001</v>
      </c>
      <c r="AY16" s="49">
        <v>385.22199999999998</v>
      </c>
      <c r="AZ16" s="49">
        <v>385.221</v>
      </c>
      <c r="BA16" s="49">
        <v>398.38099999999997</v>
      </c>
      <c r="BB16" s="49">
        <v>415.94099999999997</v>
      </c>
      <c r="BC16" s="49">
        <v>421.89299999999997</v>
      </c>
      <c r="BD16" s="49">
        <v>421.892</v>
      </c>
      <c r="BE16" s="49">
        <v>425.27199999999999</v>
      </c>
      <c r="BF16" s="49">
        <v>438.64100000000002</v>
      </c>
      <c r="BG16" s="49">
        <v>448.13099999999997</v>
      </c>
      <c r="BH16" s="49">
        <v>455.70299999999997</v>
      </c>
      <c r="BI16" s="49">
        <v>458.43099999999998</v>
      </c>
      <c r="BJ16" s="49">
        <v>467.52100000000002</v>
      </c>
      <c r="BK16" s="49">
        <v>475.15199999999999</v>
      </c>
      <c r="BL16" s="49">
        <v>489.53100000000001</v>
      </c>
      <c r="BM16" s="49">
        <v>497.52300000000002</v>
      </c>
      <c r="BN16" s="49">
        <v>515.00099999999998</v>
      </c>
      <c r="BO16" s="49">
        <v>544.84100000000001</v>
      </c>
      <c r="BP16" s="49">
        <v>481.351</v>
      </c>
      <c r="BQ16" s="49">
        <v>377.971</v>
      </c>
      <c r="BR16" s="49">
        <v>355.38099999999997</v>
      </c>
      <c r="BS16" s="49">
        <v>355.38200000000001</v>
      </c>
      <c r="BT16" s="49">
        <v>335.49099999999999</v>
      </c>
      <c r="BU16" s="49">
        <v>317.31099999999998</v>
      </c>
      <c r="BV16" s="49">
        <v>298.27100000000002</v>
      </c>
      <c r="BW16" s="49">
        <v>265.041</v>
      </c>
      <c r="BX16" s="49">
        <v>449.68200000000002</v>
      </c>
      <c r="BY16" s="49">
        <v>493.791</v>
      </c>
      <c r="BZ16" s="49">
        <v>518.66099999999994</v>
      </c>
      <c r="CA16" s="49">
        <v>530.30100000000004</v>
      </c>
      <c r="CB16" s="49">
        <v>519.52099999999996</v>
      </c>
      <c r="CC16" s="49">
        <v>479.99099999999999</v>
      </c>
      <c r="CD16" s="49">
        <v>358.46100000000001</v>
      </c>
      <c r="CE16" s="49">
        <v>368.00099999999998</v>
      </c>
      <c r="CF16" s="49">
        <v>379.30099999999999</v>
      </c>
      <c r="CG16" s="49">
        <v>393.35199999999998</v>
      </c>
      <c r="CH16" s="49">
        <v>403.661</v>
      </c>
      <c r="CI16" s="49">
        <v>81.971000000000004</v>
      </c>
      <c r="CJ16" s="49">
        <v>7.0910000000000002</v>
      </c>
      <c r="CK16" s="49">
        <v>7.0919999999999996</v>
      </c>
      <c r="CL16" s="49">
        <v>7.0940000000000003</v>
      </c>
      <c r="CM16" s="49">
        <v>7.0919999999999996</v>
      </c>
      <c r="CN16" s="49">
        <v>9.9999999999989008E-4</v>
      </c>
    </row>
    <row r="17" spans="1:92" x14ac:dyDescent="0.3">
      <c r="A17" s="103"/>
      <c r="C17" s="47" t="s">
        <v>218</v>
      </c>
      <c r="D17" s="49">
        <v>239.52199999999999</v>
      </c>
      <c r="E17" s="49">
        <v>307.55099999999999</v>
      </c>
      <c r="F17" s="49">
        <v>280.19200000000001</v>
      </c>
      <c r="G17" s="49">
        <v>0</v>
      </c>
      <c r="H17" s="49">
        <v>192.881</v>
      </c>
      <c r="I17" s="49">
        <v>186.29499999999999</v>
      </c>
      <c r="J17" s="49">
        <v>186.29300000000001</v>
      </c>
      <c r="K17" s="49">
        <v>186.29400000000001</v>
      </c>
      <c r="L17" s="49">
        <v>176.95099999999999</v>
      </c>
      <c r="M17" s="49">
        <v>164.56100000000001</v>
      </c>
      <c r="N17" s="49">
        <v>186.29400000000001</v>
      </c>
      <c r="O17" s="49">
        <v>147.86099999999999</v>
      </c>
      <c r="P17" s="49">
        <v>135.40100000000001</v>
      </c>
      <c r="Q17" s="49">
        <v>131.637</v>
      </c>
      <c r="R17" s="49">
        <v>131.63200000000001</v>
      </c>
      <c r="S17" s="49">
        <v>131.63499999999999</v>
      </c>
      <c r="T17" s="49">
        <v>131.637</v>
      </c>
      <c r="U17" s="49">
        <v>129.20099999999999</v>
      </c>
      <c r="V17" s="49">
        <v>131.63300000000001</v>
      </c>
      <c r="W17" s="49">
        <v>131.636</v>
      </c>
      <c r="X17" s="49">
        <v>115.562</v>
      </c>
      <c r="Y17" s="49">
        <v>115.56100000000001</v>
      </c>
      <c r="Z17" s="49">
        <v>115.56399999999999</v>
      </c>
      <c r="AA17" s="49">
        <v>115.563</v>
      </c>
      <c r="AB17" s="49">
        <v>90.960999999999999</v>
      </c>
      <c r="AC17" s="49">
        <v>57.021000000000001</v>
      </c>
      <c r="AD17" s="49">
        <v>44.341000000000001</v>
      </c>
      <c r="AE17" s="49">
        <v>37.771000000000001</v>
      </c>
      <c r="AF17" s="49">
        <v>9.9999999999989008E-4</v>
      </c>
      <c r="AG17" s="49">
        <v>1.9999999999997802E-3</v>
      </c>
      <c r="AH17" s="49">
        <v>1.9999999999997802E-3</v>
      </c>
      <c r="AI17" s="49">
        <v>2.99999999999967E-3</v>
      </c>
      <c r="AJ17" s="49">
        <v>28.300999999999998</v>
      </c>
      <c r="AK17" s="49">
        <v>3.9999999999995603E-3</v>
      </c>
      <c r="AL17" s="49">
        <v>47.002000000000002</v>
      </c>
      <c r="AM17" s="49">
        <v>47.003</v>
      </c>
      <c r="AN17" s="49">
        <v>57.401000000000003</v>
      </c>
      <c r="AO17" s="49">
        <v>63.051000000000002</v>
      </c>
      <c r="AP17" s="49">
        <v>76.710999999999999</v>
      </c>
      <c r="AQ17" s="49">
        <v>83.811000000000007</v>
      </c>
      <c r="AR17" s="49">
        <v>88.650999999999996</v>
      </c>
      <c r="AS17" s="49">
        <v>93.641000000000005</v>
      </c>
      <c r="AT17" s="49">
        <v>109.971</v>
      </c>
      <c r="AU17" s="49">
        <v>117.051</v>
      </c>
      <c r="AV17" s="49">
        <v>122.733</v>
      </c>
      <c r="AW17" s="49">
        <v>122.732</v>
      </c>
      <c r="AX17" s="49">
        <v>134.39099999999999</v>
      </c>
      <c r="AY17" s="49">
        <v>143.15199999999999</v>
      </c>
      <c r="AZ17" s="49">
        <v>143.15100000000001</v>
      </c>
      <c r="BA17" s="49">
        <v>156.31100000000001</v>
      </c>
      <c r="BB17" s="49">
        <v>173.87100000000001</v>
      </c>
      <c r="BC17" s="49">
        <v>179.82300000000001</v>
      </c>
      <c r="BD17" s="49">
        <v>179.822</v>
      </c>
      <c r="BE17" s="49">
        <v>183.202</v>
      </c>
      <c r="BF17" s="49">
        <v>196.571</v>
      </c>
      <c r="BG17" s="49">
        <v>206.06100000000001</v>
      </c>
      <c r="BH17" s="49">
        <v>213.63300000000001</v>
      </c>
      <c r="BI17" s="49">
        <v>216.36099999999999</v>
      </c>
      <c r="BJ17" s="49">
        <v>225.45099999999999</v>
      </c>
      <c r="BK17" s="49">
        <v>233.08199999999999</v>
      </c>
      <c r="BL17" s="49">
        <v>247.46100000000001</v>
      </c>
      <c r="BM17" s="49">
        <v>255.453</v>
      </c>
      <c r="BN17" s="49">
        <v>272.93099999999998</v>
      </c>
      <c r="BO17" s="49">
        <v>302.77100000000002</v>
      </c>
      <c r="BP17" s="49">
        <v>239.28100000000001</v>
      </c>
      <c r="BQ17" s="49">
        <v>135.90100000000001</v>
      </c>
      <c r="BR17" s="49">
        <v>113.31100000000001</v>
      </c>
      <c r="BS17" s="49">
        <v>113.312</v>
      </c>
      <c r="BT17" s="49">
        <v>93.421000000000006</v>
      </c>
      <c r="BU17" s="49">
        <v>75.241</v>
      </c>
      <c r="BV17" s="49">
        <v>56.201000000000001</v>
      </c>
      <c r="BW17" s="49">
        <v>22.971</v>
      </c>
      <c r="BX17" s="49">
        <v>207.61199999999999</v>
      </c>
      <c r="BY17" s="49">
        <v>251.721</v>
      </c>
      <c r="BZ17" s="49">
        <v>276.59100000000001</v>
      </c>
      <c r="CA17" s="49">
        <v>288.23099999999999</v>
      </c>
      <c r="CB17" s="49">
        <v>277.45100000000002</v>
      </c>
      <c r="CC17" s="49">
        <v>237.92099999999999</v>
      </c>
      <c r="CD17" s="49">
        <v>116.39100000000001</v>
      </c>
      <c r="CE17" s="49">
        <v>125.931</v>
      </c>
      <c r="CF17" s="49">
        <v>137.23099999999999</v>
      </c>
      <c r="CG17" s="49">
        <v>151.28200000000001</v>
      </c>
      <c r="CH17" s="49">
        <v>161.59100000000001</v>
      </c>
      <c r="CI17" s="49">
        <v>198.221</v>
      </c>
      <c r="CJ17" s="49">
        <v>273.101</v>
      </c>
      <c r="CK17" s="49">
        <v>273.10199999999998</v>
      </c>
      <c r="CL17" s="49">
        <v>273.10399999999998</v>
      </c>
      <c r="CM17" s="49">
        <v>273.10199999999998</v>
      </c>
      <c r="CN17" s="49">
        <v>280.19099999999997</v>
      </c>
    </row>
    <row r="18" spans="1:92" x14ac:dyDescent="0.3">
      <c r="A18" s="103"/>
      <c r="C18" s="47" t="s">
        <v>26</v>
      </c>
      <c r="D18" s="49">
        <v>239.523</v>
      </c>
      <c r="E18" s="49">
        <v>307.55200000000002</v>
      </c>
      <c r="F18" s="49">
        <v>280.19299999999998</v>
      </c>
      <c r="G18" s="49">
        <v>9.9999999999989008E-4</v>
      </c>
      <c r="H18" s="49">
        <v>192.88200000000001</v>
      </c>
      <c r="I18" s="49">
        <v>186.29599999999999</v>
      </c>
      <c r="J18" s="49">
        <v>186.29400000000001</v>
      </c>
      <c r="K18" s="49">
        <v>186.29499999999999</v>
      </c>
      <c r="L18" s="49">
        <v>176.952</v>
      </c>
      <c r="M18" s="49">
        <v>164.56200000000001</v>
      </c>
      <c r="N18" s="49">
        <v>186.29499999999999</v>
      </c>
      <c r="O18" s="49">
        <v>147.86199999999999</v>
      </c>
      <c r="P18" s="49">
        <v>135.40199999999999</v>
      </c>
      <c r="Q18" s="49">
        <v>131.63800000000001</v>
      </c>
      <c r="R18" s="49">
        <v>131.63300000000001</v>
      </c>
      <c r="S18" s="49">
        <v>131.636</v>
      </c>
      <c r="T18" s="49">
        <v>131.63800000000001</v>
      </c>
      <c r="U18" s="49">
        <v>129.202</v>
      </c>
      <c r="V18" s="49">
        <v>131.63399999999999</v>
      </c>
      <c r="W18" s="49">
        <v>131.637</v>
      </c>
      <c r="X18" s="49">
        <v>115.563</v>
      </c>
      <c r="Y18" s="49">
        <v>115.562</v>
      </c>
      <c r="Z18" s="49">
        <v>115.565</v>
      </c>
      <c r="AA18" s="49">
        <v>115.56399999999999</v>
      </c>
      <c r="AB18" s="49">
        <v>90.962000000000003</v>
      </c>
      <c r="AC18" s="49">
        <v>57.021999999999998</v>
      </c>
      <c r="AD18" s="49">
        <v>44.341999999999999</v>
      </c>
      <c r="AE18" s="49">
        <v>37.771999999999998</v>
      </c>
      <c r="AF18" s="49">
        <v>1.9999999999997802E-3</v>
      </c>
      <c r="AG18" s="49">
        <v>2.99999999999967E-3</v>
      </c>
      <c r="AH18" s="49">
        <v>2.99999999999967E-3</v>
      </c>
      <c r="AI18" s="49">
        <v>3.9999999999995603E-3</v>
      </c>
      <c r="AJ18" s="49">
        <v>28.302</v>
      </c>
      <c r="AK18" s="49">
        <v>4.9999999999994502E-3</v>
      </c>
      <c r="AL18" s="49">
        <v>47.003</v>
      </c>
      <c r="AM18" s="49">
        <v>47.003999999999998</v>
      </c>
      <c r="AN18" s="49">
        <v>57.402000000000001</v>
      </c>
      <c r="AO18" s="49">
        <v>63.052</v>
      </c>
      <c r="AP18" s="49">
        <v>76.712000000000003</v>
      </c>
      <c r="AQ18" s="49">
        <v>83.811999999999998</v>
      </c>
      <c r="AR18" s="49">
        <v>88.652000000000001</v>
      </c>
      <c r="AS18" s="49">
        <v>93.641999999999996</v>
      </c>
      <c r="AT18" s="49">
        <v>109.97199999999999</v>
      </c>
      <c r="AU18" s="49">
        <v>117.05200000000001</v>
      </c>
      <c r="AV18" s="49">
        <v>122.73399999999999</v>
      </c>
      <c r="AW18" s="49">
        <v>122.733</v>
      </c>
      <c r="AX18" s="49">
        <v>134.392</v>
      </c>
      <c r="AY18" s="49">
        <v>143.15299999999999</v>
      </c>
      <c r="AZ18" s="49">
        <v>143.15199999999999</v>
      </c>
      <c r="BA18" s="49">
        <v>156.31200000000001</v>
      </c>
      <c r="BB18" s="49">
        <v>173.87200000000001</v>
      </c>
      <c r="BC18" s="49">
        <v>179.82400000000001</v>
      </c>
      <c r="BD18" s="49">
        <v>179.82300000000001</v>
      </c>
      <c r="BE18" s="49">
        <v>183.203</v>
      </c>
      <c r="BF18" s="49">
        <v>196.572</v>
      </c>
      <c r="BG18" s="49">
        <v>206.06200000000001</v>
      </c>
      <c r="BH18" s="49">
        <v>213.63399999999999</v>
      </c>
      <c r="BI18" s="49">
        <v>216.36199999999999</v>
      </c>
      <c r="BJ18" s="49">
        <v>225.452</v>
      </c>
      <c r="BK18" s="49">
        <v>233.083</v>
      </c>
      <c r="BL18" s="49">
        <v>247.46199999999999</v>
      </c>
      <c r="BM18" s="49">
        <v>255.45400000000001</v>
      </c>
      <c r="BN18" s="49">
        <v>272.93200000000002</v>
      </c>
      <c r="BO18" s="49">
        <v>302.77199999999999</v>
      </c>
      <c r="BP18" s="49">
        <v>239.28200000000001</v>
      </c>
      <c r="BQ18" s="49">
        <v>135.90199999999999</v>
      </c>
      <c r="BR18" s="49">
        <v>113.312</v>
      </c>
      <c r="BS18" s="49">
        <v>113.313</v>
      </c>
      <c r="BT18" s="49">
        <v>93.421999999999997</v>
      </c>
      <c r="BU18" s="49">
        <v>75.242000000000004</v>
      </c>
      <c r="BV18" s="49">
        <v>56.201999999999998</v>
      </c>
      <c r="BW18" s="49">
        <v>22.972000000000001</v>
      </c>
      <c r="BX18" s="49">
        <v>207.613</v>
      </c>
      <c r="BY18" s="49">
        <v>251.72200000000001</v>
      </c>
      <c r="BZ18" s="49">
        <v>276.59199999999998</v>
      </c>
      <c r="CA18" s="49">
        <v>288.23200000000003</v>
      </c>
      <c r="CB18" s="49">
        <v>277.452</v>
      </c>
      <c r="CC18" s="49">
        <v>237.922</v>
      </c>
      <c r="CD18" s="49">
        <v>116.392</v>
      </c>
      <c r="CE18" s="49">
        <v>125.932</v>
      </c>
      <c r="CF18" s="49">
        <v>137.232</v>
      </c>
      <c r="CG18" s="49">
        <v>151.28299999999999</v>
      </c>
      <c r="CH18" s="49">
        <v>161.59200000000001</v>
      </c>
      <c r="CI18" s="49">
        <v>198.22200000000001</v>
      </c>
      <c r="CJ18" s="49">
        <v>273.10199999999998</v>
      </c>
      <c r="CK18" s="49">
        <v>273.10300000000001</v>
      </c>
      <c r="CL18" s="49">
        <v>273.10500000000002</v>
      </c>
      <c r="CM18" s="49">
        <v>273.10300000000001</v>
      </c>
      <c r="CN18" s="49">
        <v>280.19200000000001</v>
      </c>
    </row>
    <row r="19" spans="1:92" x14ac:dyDescent="0.3"/>
    <row r="20" spans="1:92" x14ac:dyDescent="0.3"/>
    <row r="21" spans="1:92"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N23"/>
  <sheetViews>
    <sheetView showGridLines="0" workbookViewId="0">
      <selection activeCell="D8" sqref="D8"/>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9" width="12" style="1" bestFit="1" customWidth="1"/>
    <col min="10" max="16384" width="8.88671875" style="1"/>
  </cols>
  <sheetData>
    <row r="2" spans="2:12" ht="28.95" customHeight="1" x14ac:dyDescent="0.3">
      <c r="B2" s="32" t="s">
        <v>221</v>
      </c>
      <c r="C2" s="5"/>
      <c r="D2" s="5"/>
      <c r="E2" s="5"/>
      <c r="F2" s="5"/>
      <c r="G2" s="5"/>
    </row>
    <row r="3" spans="2:12" ht="14.4" customHeight="1" x14ac:dyDescent="0.3">
      <c r="B3" s="37" t="s">
        <v>233</v>
      </c>
    </row>
    <row r="4" spans="2:12" ht="14.4" customHeight="1" x14ac:dyDescent="0.3">
      <c r="B4" s="9" t="s">
        <v>2</v>
      </c>
      <c r="C4" s="9" t="s">
        <v>214</v>
      </c>
      <c r="D4" s="6"/>
      <c r="E4" s="6"/>
      <c r="F4" s="6"/>
      <c r="G4" s="6"/>
    </row>
    <row r="5" spans="2:12" ht="14.4" customHeight="1" x14ac:dyDescent="0.3">
      <c r="B5" s="25"/>
      <c r="C5" s="25"/>
      <c r="D5" s="23" t="str">
        <f>Input_!D$5</f>
        <v>2023-24</v>
      </c>
      <c r="E5" s="23" t="str">
        <f>Input_!E$5</f>
        <v>2024-25</v>
      </c>
      <c r="F5" s="23" t="str">
        <f>Input_!F$5</f>
        <v>2025-26</v>
      </c>
      <c r="G5" s="23" t="str">
        <f>Input_!G$5</f>
        <v>2026-27</v>
      </c>
    </row>
    <row r="6" spans="2:12" ht="14.4" customHeight="1" x14ac:dyDescent="0.3">
      <c r="B6" s="24"/>
      <c r="C6" s="24"/>
      <c r="D6" s="8"/>
      <c r="E6" s="8"/>
      <c r="F6" s="8"/>
      <c r="G6" s="8"/>
    </row>
    <row r="7" spans="2:12" ht="14.4" customHeight="1" x14ac:dyDescent="0.3">
      <c r="B7" s="36" t="s">
        <v>0</v>
      </c>
      <c r="C7" s="3" t="s">
        <v>216</v>
      </c>
      <c r="D7" s="38">
        <f>(SUMPRODUCT(Input_!D$20:D$24,Input_!D115:D119)+Input_!D$40*Input_!D118+Input_!D$41*Input_!D119)*Input_!D258/SUM(Input_!D258:D259)</f>
        <v>30931240.224923894</v>
      </c>
      <c r="E7" s="38">
        <f>(SUMPRODUCT(Input_!E$20:E$24,Input_!E115:E119)+Input_!E$40*Input_!E118+Input_!E$41*Input_!E119)*Input_!E258/SUM(Input_!E258:E259)</f>
        <v>32002254.47123478</v>
      </c>
      <c r="F7" s="38">
        <f>(SUMPRODUCT(Input_!F$20:F$24,Input_!F115:F119)+Input_!F$40*Input_!F118+Input_!F$41*Input_!F119)*Input_!F258/SUM(Input_!F258:F259)</f>
        <v>32002254.47123478</v>
      </c>
      <c r="G7" s="38">
        <f>(SUMPRODUCT(Input_!G$20:G$24,Input_!G115:G119)+Input_!G$40*Input_!G118+Input_!G$41*Input_!G119)*Input_!G258/SUM(Input_!G258:G259)</f>
        <v>32002254.47123478</v>
      </c>
      <c r="I7"/>
      <c r="J7"/>
      <c r="K7"/>
      <c r="L7"/>
    </row>
    <row r="8" spans="2:12" ht="14.4" customHeight="1" x14ac:dyDescent="0.3">
      <c r="B8" s="36" t="s">
        <v>215</v>
      </c>
      <c r="C8" s="3" t="s">
        <v>216</v>
      </c>
      <c r="D8" s="38">
        <f>(SUMPRODUCT(Input_!D$20:D$24,Input_!D115:D119)+Input_!D$40*Input_!D118+Input_!D$41*Input_!D119)*Input_!D259/SUM(Input_!D258:D259)</f>
        <v>2308301.5093226787</v>
      </c>
      <c r="E8" s="38">
        <f>(SUMPRODUCT(Input_!E$20:E$24,Input_!E115:E119)+Input_!E$40*Input_!E118+Input_!E$41*Input_!E119)*Input_!E259/SUM(Input_!E258:E259)</f>
        <v>2388227.9456145358</v>
      </c>
      <c r="F8" s="38">
        <f>(SUMPRODUCT(Input_!F$20:F$24,Input_!F115:F119)+Input_!F$40*Input_!F118+Input_!F$41*Input_!F119)*Input_!F259/SUM(Input_!F258:F259)</f>
        <v>2388227.9456145358</v>
      </c>
      <c r="G8" s="38">
        <f>(SUMPRODUCT(Input_!G$20:G$24,Input_!G115:G119)+Input_!G$40*Input_!G118+Input_!G$41*Input_!G119)*Input_!G259/SUM(Input_!G258:G259)</f>
        <v>2388227.9456145358</v>
      </c>
    </row>
    <row r="9" spans="2:12" ht="14.4" customHeight="1" x14ac:dyDescent="0.3">
      <c r="B9" s="36" t="s">
        <v>217</v>
      </c>
      <c r="C9" s="3" t="s">
        <v>14</v>
      </c>
      <c r="D9" s="38">
        <f>SUMPRODUCT(Input_!D$25:D$29,Input_!D120:D124)+Input_!D$42*Input_!D124</f>
        <v>200000000</v>
      </c>
      <c r="E9" s="38">
        <f>SUMPRODUCT(Input_!E$25:E$29,Input_!E120:E124)+Input_!E$42*Input_!E124</f>
        <v>200000000</v>
      </c>
      <c r="F9" s="38">
        <f>SUMPRODUCT(Input_!F$25:F$29,Input_!F120:F124)+Input_!F$42*Input_!F124</f>
        <v>200000000</v>
      </c>
      <c r="G9" s="38">
        <f>SUMPRODUCT(Input_!G$25:G$29,Input_!G120:G124)+Input_!G$42*Input_!G124</f>
        <v>200000000</v>
      </c>
    </row>
    <row r="10" spans="2:12" ht="14.4" customHeight="1" x14ac:dyDescent="0.3">
      <c r="B10" s="36" t="s">
        <v>218</v>
      </c>
      <c r="C10" s="3" t="s">
        <v>15</v>
      </c>
      <c r="D10" s="38">
        <f>SUMPRODUCT(Input_!D$30:D$31,Input_!D125:D126)+Input_!D$43*Input_!D126</f>
        <v>8990275.9128767122</v>
      </c>
      <c r="E10" s="38">
        <f>SUMPRODUCT(Input_!E$30:E$31,Input_!E125:E126)+Input_!E$43*Input_!E126</f>
        <v>7435783.7183561651</v>
      </c>
      <c r="F10" s="38">
        <f>SUMPRODUCT(Input_!F$30:F$31,Input_!F125:F126)+Input_!F$43*Input_!F126</f>
        <v>7435783.7183561651</v>
      </c>
      <c r="G10" s="38">
        <f>SUMPRODUCT(Input_!G$30:G$31,Input_!G125:G126)+Input_!G$43*Input_!G126</f>
        <v>7435783.7183561651</v>
      </c>
      <c r="I10"/>
      <c r="J10"/>
      <c r="K10"/>
      <c r="L10"/>
    </row>
    <row r="11" spans="2:12" ht="14.4" customHeight="1" x14ac:dyDescent="0.3">
      <c r="B11" s="36" t="s">
        <v>26</v>
      </c>
      <c r="C11" s="3" t="s">
        <v>219</v>
      </c>
      <c r="D11" s="38">
        <f>Input_!D32</f>
        <v>1E-3</v>
      </c>
      <c r="E11" s="38">
        <f>Input_!E32</f>
        <v>1E-3</v>
      </c>
      <c r="F11" s="38">
        <f>Input_!F32</f>
        <v>1E-3</v>
      </c>
      <c r="G11" s="38">
        <f>Input_!G32</f>
        <v>1E-3</v>
      </c>
      <c r="I11"/>
      <c r="J11"/>
      <c r="K11"/>
      <c r="L11"/>
    </row>
    <row r="14" spans="2:12" ht="28.8" customHeight="1" x14ac:dyDescent="0.3">
      <c r="B14" s="32" t="s">
        <v>247</v>
      </c>
      <c r="C14" s="5"/>
      <c r="D14" s="5"/>
      <c r="E14" s="5"/>
      <c r="F14" s="5"/>
      <c r="G14" s="5"/>
    </row>
    <row r="15" spans="2:12" ht="14.4" customHeight="1" x14ac:dyDescent="0.3">
      <c r="B15" s="37" t="s">
        <v>248</v>
      </c>
    </row>
    <row r="16" spans="2:12" ht="14.4" customHeight="1" x14ac:dyDescent="0.3">
      <c r="B16" s="9" t="s">
        <v>2</v>
      </c>
      <c r="C16" s="9" t="s">
        <v>214</v>
      </c>
      <c r="D16" s="6"/>
      <c r="E16" s="6"/>
      <c r="F16" s="6"/>
      <c r="G16" s="6"/>
    </row>
    <row r="17" spans="2:14" ht="14.4" customHeight="1" x14ac:dyDescent="0.3">
      <c r="B17" s="25"/>
      <c r="C17" s="25"/>
      <c r="D17" s="23" t="str">
        <f>Input_!D$5</f>
        <v>2023-24</v>
      </c>
      <c r="E17" s="23" t="str">
        <f>Input_!E$5</f>
        <v>2024-25</v>
      </c>
      <c r="F17" s="23" t="str">
        <f>Input_!F$5</f>
        <v>2025-26</v>
      </c>
      <c r="G17" s="23" t="str">
        <f>Input_!G$5</f>
        <v>2026-27</v>
      </c>
    </row>
    <row r="18" spans="2:14" ht="14.4" customHeight="1" x14ac:dyDescent="0.3">
      <c r="B18" s="24"/>
      <c r="C18" s="24"/>
      <c r="D18" s="8"/>
      <c r="E18" s="8"/>
      <c r="F18" s="8"/>
      <c r="G18" s="8"/>
      <c r="J18"/>
      <c r="K18"/>
      <c r="L18"/>
      <c r="M18"/>
      <c r="N18"/>
    </row>
    <row r="19" spans="2:14" ht="14.4" customHeight="1" x14ac:dyDescent="0.3">
      <c r="B19" s="36" t="s">
        <v>0</v>
      </c>
      <c r="C19" s="3" t="s">
        <v>216</v>
      </c>
      <c r="D19" s="55">
        <f>SUMPRODUCT('A4b.CWD Exit Av. Distance'!$D7:$D95,'Distance Matrix_Exit'!C$191:C$279)/SUMIFS('A4b.CWD Exit Av. Distance'!$D$7:$D$95,'Distance Matrix_Exit'!C$191:C$279,"&gt;0")</f>
        <v>336.93618268481231</v>
      </c>
      <c r="E19" s="55">
        <f>SUMPRODUCT('A4b.CWD Exit Av. Distance'!$E7:$E95,'Distance Matrix_Exit'!C$191:C$279)/SUMIFS('A4b.CWD Exit Av. Distance'!$E$7:$E$95,'Distance Matrix_Exit'!C$191:C$279,"&gt;0")</f>
        <v>343.00369207992873</v>
      </c>
      <c r="F19" s="55">
        <f>SUMPRODUCT('A4b.CWD Exit Av. Distance'!$F7:$F95,'Distance Matrix_Exit'!C$191:C$279)/SUMIFS('A4b.CWD Exit Av. Distance'!$F$7:$F$95,'Distance Matrix_Exit'!C$191:C$279,"&gt;0")</f>
        <v>343.00369207992873</v>
      </c>
      <c r="G19" s="55">
        <f>SUMPRODUCT('A4b.CWD Exit Av. Distance'!$G7:$G95,'Distance Matrix_Exit'!C$191:C$279)/SUMIFS('A4b.CWD Exit Av. Distance'!$G$7:$G$95,'Distance Matrix_Exit'!C$191:C$279,"&gt;0")</f>
        <v>343.00369207992873</v>
      </c>
      <c r="J19"/>
      <c r="K19"/>
      <c r="L19"/>
      <c r="M19"/>
      <c r="N19"/>
    </row>
    <row r="20" spans="2:14" ht="14.4" customHeight="1" x14ac:dyDescent="0.3">
      <c r="B20" s="36" t="s">
        <v>215</v>
      </c>
      <c r="C20" s="3" t="s">
        <v>216</v>
      </c>
      <c r="D20" s="55">
        <f>SUMPRODUCT('A4b.CWD Exit Av. Distance'!$D7:$D95,'Distance Matrix_Exit'!D$191:D$279)/SUMIFS('A4b.CWD Exit Av. Distance'!$D$7:$D$95,'Distance Matrix_Exit'!D$191:D$279,"&gt;0")</f>
        <v>317.04278397350726</v>
      </c>
      <c r="E20" s="55">
        <f>SUMPRODUCT('A4b.CWD Exit Av. Distance'!$E7:$E95,'Distance Matrix_Exit'!D$191:D$279)/SUMIFS('A4b.CWD Exit Av. Distance'!$E$7:$E$95,'Distance Matrix_Exit'!D$191:D$279,"&gt;0")</f>
        <v>328.09913328640084</v>
      </c>
      <c r="F20" s="55">
        <f>SUMPRODUCT('A4b.CWD Exit Av. Distance'!$F7:$F95,'Distance Matrix_Exit'!D$191:D$279)/SUMIFS('A4b.CWD Exit Av. Distance'!$F$7:$F$95,'Distance Matrix_Exit'!D$191:D$279,"&gt;0")</f>
        <v>328.09913328640084</v>
      </c>
      <c r="G20" s="55">
        <f>SUMPRODUCT('A4b.CWD Exit Av. Distance'!$G7:$G95,'Distance Matrix_Exit'!D$191:D$279)/SUMIFS('A4b.CWD Exit Av. Distance'!$G$7:$G$95,'Distance Matrix_Exit'!D$191:D$279,"&gt;0")</f>
        <v>328.09913328640084</v>
      </c>
    </row>
    <row r="21" spans="2:14" ht="14.4" customHeight="1" x14ac:dyDescent="0.3">
      <c r="B21" s="36" t="s">
        <v>217</v>
      </c>
      <c r="C21" s="3" t="s">
        <v>14</v>
      </c>
      <c r="D21" s="55">
        <f>SUMPRODUCT('A4b.CWD Exit Av. Distance'!$D7:$D95,'Distance Matrix_Exit'!E$191:E$279)/SUMIFS('A4b.CWD Exit Av. Distance'!$D$7:$D$95,'Distance Matrix_Exit'!E$191:E$279,"&gt;0")</f>
        <v>302.46740381130962</v>
      </c>
      <c r="E21" s="55">
        <f>SUMPRODUCT('A4b.CWD Exit Av. Distance'!$E7:$E95,'Distance Matrix_Exit'!E$191:E$279)/SUMIFS('A4b.CWD Exit Av. Distance'!$E$7:$E$95,'Distance Matrix_Exit'!E$191:E$279,"&gt;0")</f>
        <v>318.61212678739832</v>
      </c>
      <c r="F21" s="55">
        <f>SUMPRODUCT('A4b.CWD Exit Av. Distance'!$F7:$F95,'Distance Matrix_Exit'!E$191:E$279)/SUMIFS('A4b.CWD Exit Av. Distance'!$F$7:$F$95,'Distance Matrix_Exit'!E$191:E$279,"&gt;0")</f>
        <v>318.61212678739832</v>
      </c>
      <c r="G21" s="55">
        <f>SUMPRODUCT('A4b.CWD Exit Av. Distance'!$G7:$G95,'Distance Matrix_Exit'!E$191:E$279)/SUMIFS('A4b.CWD Exit Av. Distance'!$G$7:$G$95,'Distance Matrix_Exit'!E$191:E$279,"&gt;0")</f>
        <v>318.61212678739832</v>
      </c>
    </row>
    <row r="22" spans="2:14" ht="14.4" customHeight="1" x14ac:dyDescent="0.3">
      <c r="B22" s="36" t="s">
        <v>218</v>
      </c>
      <c r="C22" s="3" t="s">
        <v>15</v>
      </c>
      <c r="D22" s="55">
        <f>SUMPRODUCT('A4b.CWD Exit Av. Distance'!$D7:$D95,'Distance Matrix_Exit'!F$191:F$279)/SUMIFS('A4b.CWD Exit Av. Distance'!$D$7:$D$95,'Distance Matrix_Exit'!F$191:F$279,"&gt;0")</f>
        <v>161.31350312647035</v>
      </c>
      <c r="E22" s="55">
        <f>SUMPRODUCT('A4b.CWD Exit Av. Distance'!$E7:$E95,'Distance Matrix_Exit'!F$191:F$279)/SUMIFS('A4b.CWD Exit Av. Distance'!$E$7:$E$95,'Distance Matrix_Exit'!F$191:F$279,"&gt;0")</f>
        <v>169.34199982130426</v>
      </c>
      <c r="F22" s="55">
        <f>SUMPRODUCT('A4b.CWD Exit Av. Distance'!$F7:$F95,'Distance Matrix_Exit'!F$191:F$279)/SUMIFS('A4b.CWD Exit Av. Distance'!$F$7:$F$95,'Distance Matrix_Exit'!F$191:F$279,"&gt;0")</f>
        <v>169.34199982130426</v>
      </c>
      <c r="G22" s="55">
        <f>SUMPRODUCT('A4b.CWD Exit Av. Distance'!$G7:$G95,'Distance Matrix_Exit'!F$191:F$279)/SUMIFS('A4b.CWD Exit Av. Distance'!$G$7:$G$95,'Distance Matrix_Exit'!F$191:F$279,"&gt;0")</f>
        <v>169.34199982130426</v>
      </c>
    </row>
    <row r="23" spans="2:14" ht="14.4" customHeight="1" x14ac:dyDescent="0.3">
      <c r="B23" s="36" t="s">
        <v>26</v>
      </c>
      <c r="C23" s="3" t="s">
        <v>219</v>
      </c>
      <c r="D23" s="55">
        <f>SUMPRODUCT('A4b.CWD Exit Av. Distance'!$D7:$D95,'Distance Matrix_Exit'!G$191:G$279)/SUMIFS('A4b.CWD Exit Av. Distance'!$D$7:$D$95,'Distance Matrix_Exit'!G$191:G$279,"&gt;0")</f>
        <v>155.86341028378308</v>
      </c>
      <c r="E23" s="55">
        <f>SUMPRODUCT('A4b.CWD Exit Av. Distance'!$E7:$E95,'Distance Matrix_Exit'!G$191:G$279)/SUMIFS('A4b.CWD Exit Av. Distance'!$E$7:$E$95,'Distance Matrix_Exit'!G$191:G$279,"&gt;0")</f>
        <v>166.12023564453773</v>
      </c>
      <c r="F23" s="55">
        <f>SUMPRODUCT('A4b.CWD Exit Av. Distance'!$F7:$F95,'Distance Matrix_Exit'!G$191:G$279)/SUMIFS('A4b.CWD Exit Av. Distance'!$F$7:$F$95,'Distance Matrix_Exit'!G$191:G$279,"&gt;0")</f>
        <v>166.12023564453773</v>
      </c>
      <c r="G23" s="55">
        <f>SUMPRODUCT('A4b.CWD Exit Av. Distance'!$G7:$G95,'Distance Matrix_Exit'!G$191:G$279)/SUMIFS('A4b.CWD Exit Av. Distance'!$G$7:$G$95,'Distance Matrix_Exit'!G$191:G$279,"&gt;0")</f>
        <v>166.12023564453773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2:J191"/>
  <sheetViews>
    <sheetView showGridLines="0" topLeftCell="A4" workbookViewId="0">
      <selection activeCell="D8" sqref="D8"/>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10" width="8.88671875" style="1"/>
  </cols>
  <sheetData>
    <row r="2" spans="2:9" ht="28.95" customHeight="1" x14ac:dyDescent="0.3">
      <c r="B2" s="32" t="s">
        <v>222</v>
      </c>
      <c r="C2" s="5"/>
      <c r="D2" s="5"/>
      <c r="E2" s="5"/>
      <c r="F2" s="5"/>
      <c r="G2" s="5"/>
    </row>
    <row r="3" spans="2:9" ht="14.4" customHeight="1" x14ac:dyDescent="0.3">
      <c r="B3" s="37" t="s">
        <v>233</v>
      </c>
    </row>
    <row r="4" spans="2:9" ht="14.4" customHeight="1" x14ac:dyDescent="0.3">
      <c r="B4" s="9" t="s">
        <v>1</v>
      </c>
      <c r="C4" s="9" t="s">
        <v>214</v>
      </c>
      <c r="D4" s="6"/>
      <c r="E4" s="6"/>
      <c r="F4" s="6"/>
      <c r="G4" s="6"/>
    </row>
    <row r="5" spans="2:9" ht="14.4" customHeight="1" x14ac:dyDescent="0.3">
      <c r="B5" s="25"/>
      <c r="C5" s="25"/>
      <c r="D5" s="23" t="str">
        <f>Input_!D$5</f>
        <v>2023-24</v>
      </c>
      <c r="E5" s="23" t="str">
        <f>Input_!E$5</f>
        <v>2024-25</v>
      </c>
      <c r="F5" s="23" t="str">
        <f>Input_!F$5</f>
        <v>2025-26</v>
      </c>
      <c r="G5" s="23" t="str">
        <f>Input_!G$5</f>
        <v>2026-27</v>
      </c>
    </row>
    <row r="6" spans="2:9" ht="14.4" customHeight="1" x14ac:dyDescent="0.3">
      <c r="B6" s="24"/>
      <c r="C6" s="24"/>
      <c r="D6" s="8"/>
      <c r="E6" s="8"/>
      <c r="F6" s="8"/>
      <c r="G6" s="8"/>
    </row>
    <row r="7" spans="2:9" ht="14.4" customHeight="1" x14ac:dyDescent="0.3">
      <c r="B7" s="36" t="s">
        <v>0</v>
      </c>
      <c r="C7" s="3" t="s">
        <v>216</v>
      </c>
      <c r="D7" s="38">
        <f>(SUMPRODUCT(Input_!D$65:D$69,Input_!D133:D137)+Input_!D$91*Input_!D136+Input_!D$92*Input_!D137)*Input_!D260/SUM(Input_!D260:D261)</f>
        <v>16318269.820479449</v>
      </c>
      <c r="E7" s="38">
        <f>(SUMPRODUCT(Input_!E$65:E$69,Input_!E133:E137)+Input_!E$91*Input_!E136+Input_!E$92*Input_!E137)*Input_!E260/SUM(Input_!E260:E261)</f>
        <v>36565153.017457187</v>
      </c>
      <c r="F7" s="38">
        <f>(SUMPRODUCT(Input_!F$65:F$69,Input_!F133:F137)+Input_!F$91*Input_!F136+Input_!F$92*Input_!F137)*Input_!F260/SUM(Input_!F260:F261)</f>
        <v>36565153.017457187</v>
      </c>
      <c r="G7" s="38">
        <f>(SUMPRODUCT(Input_!G$65:G$69,Input_!G133:G137)+Input_!G$91*Input_!G136+Input_!G$92*Input_!G137)*Input_!G260/SUM(Input_!G260:G261)</f>
        <v>36565153.017457187</v>
      </c>
      <c r="I7"/>
    </row>
    <row r="8" spans="2:9" ht="14.4" customHeight="1" x14ac:dyDescent="0.3">
      <c r="B8" s="36" t="s">
        <v>215</v>
      </c>
      <c r="C8" s="3" t="s">
        <v>216</v>
      </c>
      <c r="D8" s="38">
        <f>(SUMPRODUCT(Input_!D$65:D$69,Input_!D133:D137)+Input_!D$91*Input_!D136+Input_!D$92*Input_!D137)*Input_!D261/SUM(Input_!D260:D261)</f>
        <v>7417395.3729452044</v>
      </c>
      <c r="E8" s="38">
        <f>(SUMPRODUCT(Input_!E$65:E$69,Input_!E133:E137)+Input_!E$91*Input_!E136+Input_!E$92*Input_!E137)*Input_!E261/SUM(Input_!E260:E261)</f>
        <v>16620524.098844176</v>
      </c>
      <c r="F8" s="38">
        <f>(SUMPRODUCT(Input_!F$65:F$69,Input_!F133:F137)+Input_!F$91*Input_!F136+Input_!F$92*Input_!F137)*Input_!F261/SUM(Input_!F260:F261)</f>
        <v>16620524.098844176</v>
      </c>
      <c r="G8" s="38">
        <f>(SUMPRODUCT(Input_!G$65:G$69,Input_!G133:G137)+Input_!G$91*Input_!G136+Input_!G$92*Input_!G137)*Input_!G261/SUM(Input_!G260:G261)</f>
        <v>16620524.098844176</v>
      </c>
      <c r="I8"/>
    </row>
    <row r="9" spans="2:9" ht="14.4" customHeight="1" x14ac:dyDescent="0.3">
      <c r="B9" s="36" t="s">
        <v>217</v>
      </c>
      <c r="C9" s="3" t="s">
        <v>14</v>
      </c>
      <c r="D9" s="38">
        <f>SUMPRODUCT(Input_!D$70:D$74,Input_!D138:D142)+Input_!D$93*Input_!D141+Input_!D$94*Input_!D142</f>
        <v>2</v>
      </c>
      <c r="E9" s="38">
        <f>SUMPRODUCT(Input_!E$70:E$74,Input_!E138:E142)+Input_!E$93*Input_!E141+Input_!E$94*Input_!E142</f>
        <v>1.94</v>
      </c>
      <c r="F9" s="38">
        <f>SUMPRODUCT(Input_!F$70:F$74,Input_!F138:F142)+Input_!F$93*Input_!F141+Input_!F$94*Input_!F142</f>
        <v>1.94</v>
      </c>
      <c r="G9" s="38">
        <f>SUMPRODUCT(Input_!G$70:G$74,Input_!G138:G142)+Input_!G$93*Input_!G141+Input_!G$94*Input_!G142</f>
        <v>1.94</v>
      </c>
      <c r="I9"/>
    </row>
    <row r="10" spans="2:9" ht="14.4" customHeight="1" x14ac:dyDescent="0.3">
      <c r="B10" s="36" t="s">
        <v>218</v>
      </c>
      <c r="C10" s="3" t="s">
        <v>15</v>
      </c>
      <c r="D10" s="38">
        <f>SUMPRODUCT(Input_!D$75:D$76,Input_!D143:D144)+Input_!D$95*Input_!D144</f>
        <v>11893399.989315068</v>
      </c>
      <c r="E10" s="38">
        <f>SUMPRODUCT(Input_!E$75:E$76,Input_!E143:E144)+Input_!E$95*Input_!E144</f>
        <v>7121971.8712328775</v>
      </c>
      <c r="F10" s="38">
        <f>SUMPRODUCT(Input_!F$75:F$76,Input_!F143:F144)+Input_!F$95*Input_!F144</f>
        <v>7121971.8712328775</v>
      </c>
      <c r="G10" s="38">
        <f>SUMPRODUCT(Input_!G$75:G$76,Input_!G143:G144)+Input_!G$95*Input_!G144</f>
        <v>7121971.8712328775</v>
      </c>
      <c r="I10"/>
    </row>
    <row r="11" spans="2:9" ht="14.4" customHeight="1" x14ac:dyDescent="0.3">
      <c r="B11" s="36" t="s">
        <v>54</v>
      </c>
      <c r="C11" s="3" t="s">
        <v>220</v>
      </c>
      <c r="D11" s="38">
        <f>(SUM(Input_!D$77:D$78)+SUMPRODUCT(Input_!D$79:D$83,Input_!D$145:D$149))*Input_!D267</f>
        <v>778231.03827960521</v>
      </c>
      <c r="E11" s="38">
        <f>(SUM(Input_!E$77:E$78)+SUMPRODUCT(Input_!E$79:E$83,Input_!E$145:E$149))*Input_!E267</f>
        <v>772301.12642537442</v>
      </c>
      <c r="F11" s="38">
        <f>(SUM(Input_!F$77:F$78)+SUMPRODUCT(Input_!F$79:F$83,Input_!F$145:F$149))*Input_!F267</f>
        <v>772301.12642537442</v>
      </c>
      <c r="G11" s="38">
        <f>(SUM(Input_!G$77:G$78)+SUMPRODUCT(Input_!G$79:G$83,Input_!G$145:G$149))*Input_!G267</f>
        <v>772301.12642537442</v>
      </c>
      <c r="I11"/>
    </row>
    <row r="12" spans="2:9" ht="14.4" customHeight="1" x14ac:dyDescent="0.3">
      <c r="B12" s="36" t="s">
        <v>56</v>
      </c>
      <c r="C12" s="3" t="s">
        <v>220</v>
      </c>
      <c r="D12" s="38">
        <f>(SUM(Input_!D$77:D$78)+SUMPRODUCT(Input_!D$79:D$83,Input_!D$145:D$149))*Input_!D268</f>
        <v>2721441.4963189051</v>
      </c>
      <c r="E12" s="38">
        <f>(SUM(Input_!E$77:E$78)+SUMPRODUCT(Input_!E$79:E$83,Input_!E$145:E$149))*Input_!E268</f>
        <v>2700704.8417833927</v>
      </c>
      <c r="F12" s="38">
        <f>(SUM(Input_!F$77:F$78)+SUMPRODUCT(Input_!F$79:F$83,Input_!F$145:F$149))*Input_!F268</f>
        <v>2700704.8417833927</v>
      </c>
      <c r="G12" s="38">
        <f>(SUM(Input_!G$77:G$78)+SUMPRODUCT(Input_!G$79:G$83,Input_!G$145:G$149))*Input_!G268</f>
        <v>2700704.8417833927</v>
      </c>
      <c r="I12"/>
    </row>
    <row r="13" spans="2:9" ht="14.4" customHeight="1" x14ac:dyDescent="0.3">
      <c r="B13" s="36" t="s">
        <v>58</v>
      </c>
      <c r="C13" s="3" t="s">
        <v>220</v>
      </c>
      <c r="D13" s="38">
        <f>(SUM(Input_!D$77:D$78)+SUMPRODUCT(Input_!D$79:D$83,Input_!D$145:D$149))*Input_!D269</f>
        <v>937349.00434786058</v>
      </c>
      <c r="E13" s="38">
        <f>(SUM(Input_!E$77:E$78)+SUMPRODUCT(Input_!E$79:E$83,Input_!E$145:E$149))*Input_!E269</f>
        <v>930206.65625452122</v>
      </c>
      <c r="F13" s="38">
        <f>(SUM(Input_!F$77:F$78)+SUMPRODUCT(Input_!F$79:F$83,Input_!F$145:F$149))*Input_!F269</f>
        <v>930206.65625452122</v>
      </c>
      <c r="G13" s="38">
        <f>(SUM(Input_!G$77:G$78)+SUMPRODUCT(Input_!G$79:G$83,Input_!G$145:G$149))*Input_!G269</f>
        <v>930206.65625452122</v>
      </c>
      <c r="I13"/>
    </row>
    <row r="14" spans="2:9" ht="14.4" customHeight="1" x14ac:dyDescent="0.3">
      <c r="B14" s="36" t="s">
        <v>60</v>
      </c>
      <c r="C14" s="3" t="s">
        <v>220</v>
      </c>
      <c r="D14" s="38">
        <f>(SUM(Input_!D$77:D$78)+SUMPRODUCT(Input_!D$79:D$83,Input_!D$145:D$149))*Input_!D270</f>
        <v>1551124.3972204293</v>
      </c>
      <c r="E14" s="38">
        <f>(SUM(Input_!E$77:E$78)+SUMPRODUCT(Input_!E$79:E$83,Input_!E$145:E$149))*Input_!E270</f>
        <v>1539305.245197403</v>
      </c>
      <c r="F14" s="38">
        <f>(SUM(Input_!F$77:F$78)+SUMPRODUCT(Input_!F$79:F$83,Input_!F$145:F$149))*Input_!F270</f>
        <v>1539305.245197403</v>
      </c>
      <c r="G14" s="38">
        <f>(SUM(Input_!G$77:G$78)+SUMPRODUCT(Input_!G$79:G$83,Input_!G$145:G$149))*Input_!G270</f>
        <v>1539305.245197403</v>
      </c>
      <c r="I14"/>
    </row>
    <row r="15" spans="2:9" ht="14.4" customHeight="1" x14ac:dyDescent="0.3">
      <c r="B15" s="36" t="s">
        <v>61</v>
      </c>
      <c r="C15" s="3" t="s">
        <v>220</v>
      </c>
      <c r="D15" s="38">
        <f>(SUM(Input_!D$77:D$78)+SUMPRODUCT(Input_!D$79:D$83,Input_!D$145:D$149))*Input_!D271</f>
        <v>402361.86818631936</v>
      </c>
      <c r="E15" s="38">
        <f>(SUM(Input_!E$77:E$78)+SUMPRODUCT(Input_!E$79:E$83,Input_!E$145:E$149))*Input_!E271</f>
        <v>399295.97863104916</v>
      </c>
      <c r="F15" s="38">
        <f>(SUM(Input_!F$77:F$78)+SUMPRODUCT(Input_!F$79:F$83,Input_!F$145:F$149))*Input_!F271</f>
        <v>399295.97863104916</v>
      </c>
      <c r="G15" s="38">
        <f>(SUM(Input_!G$77:G$78)+SUMPRODUCT(Input_!G$79:G$83,Input_!G$145:G$149))*Input_!G271</f>
        <v>399295.97863104916</v>
      </c>
      <c r="I15"/>
    </row>
    <row r="16" spans="2:9" ht="14.4" customHeight="1" x14ac:dyDescent="0.3">
      <c r="B16" s="36" t="s">
        <v>63</v>
      </c>
      <c r="C16" s="3" t="s">
        <v>220</v>
      </c>
      <c r="D16" s="38">
        <f>(SUM(Input_!D$77:D$78)+SUMPRODUCT(Input_!D$79:D$83,Input_!D$145:D$149))*Input_!D272</f>
        <v>880886.04402429983</v>
      </c>
      <c r="E16" s="38">
        <f>(SUM(Input_!E$77:E$78)+SUMPRODUCT(Input_!E$79:E$83,Input_!E$145:E$149))*Input_!E272</f>
        <v>874173.92854991101</v>
      </c>
      <c r="F16" s="38">
        <f>(SUM(Input_!F$77:F$78)+SUMPRODUCT(Input_!F$79:F$83,Input_!F$145:F$149))*Input_!F272</f>
        <v>874173.92854991101</v>
      </c>
      <c r="G16" s="38">
        <f>(SUM(Input_!G$77:G$78)+SUMPRODUCT(Input_!G$79:G$83,Input_!G$145:G$149))*Input_!G272</f>
        <v>874173.92854991101</v>
      </c>
      <c r="I16"/>
    </row>
    <row r="17" spans="2:9" ht="14.4" customHeight="1" x14ac:dyDescent="0.3">
      <c r="B17" s="36" t="s">
        <v>65</v>
      </c>
      <c r="C17" s="3" t="s">
        <v>220</v>
      </c>
      <c r="D17" s="38">
        <f>(SUM(Input_!D$77:D$78)+SUMPRODUCT(Input_!D$79:D$83,Input_!D$145:D$149))*Input_!D273</f>
        <v>2025042.8064868895</v>
      </c>
      <c r="E17" s="38">
        <f>(SUM(Input_!E$77:E$78)+SUMPRODUCT(Input_!E$79:E$83,Input_!E$145:E$149))*Input_!E273</f>
        <v>2009612.5232511326</v>
      </c>
      <c r="F17" s="38">
        <f>(SUM(Input_!F$77:F$78)+SUMPRODUCT(Input_!F$79:F$83,Input_!F$145:F$149))*Input_!F273</f>
        <v>2009612.5232511326</v>
      </c>
      <c r="G17" s="38">
        <f>(SUM(Input_!G$77:G$78)+SUMPRODUCT(Input_!G$79:G$83,Input_!G$145:G$149))*Input_!G273</f>
        <v>2009612.5232511326</v>
      </c>
      <c r="I17"/>
    </row>
    <row r="18" spans="2:9" ht="14.4" customHeight="1" x14ac:dyDescent="0.3">
      <c r="B18" s="36" t="s">
        <v>67</v>
      </c>
      <c r="C18" s="3" t="s">
        <v>220</v>
      </c>
      <c r="D18" s="38">
        <f>(SUM(Input_!D$77:D$78)+SUMPRODUCT(Input_!D$79:D$83,Input_!D$145:D$149))*Input_!D274</f>
        <v>2396530.6110709882</v>
      </c>
      <c r="E18" s="38">
        <f>(SUM(Input_!E$77:E$78)+SUMPRODUCT(Input_!E$79:E$83,Input_!E$145:E$149))*Input_!E274</f>
        <v>2378269.6903667292</v>
      </c>
      <c r="F18" s="38">
        <f>(SUM(Input_!F$77:F$78)+SUMPRODUCT(Input_!F$79:F$83,Input_!F$145:F$149))*Input_!F274</f>
        <v>2378269.6903667292</v>
      </c>
      <c r="G18" s="38">
        <f>(SUM(Input_!G$77:G$78)+SUMPRODUCT(Input_!G$79:G$83,Input_!G$145:G$149))*Input_!G274</f>
        <v>2378269.6903667292</v>
      </c>
      <c r="I18"/>
    </row>
    <row r="19" spans="2:9" ht="14.4" customHeight="1" x14ac:dyDescent="0.3">
      <c r="B19" s="36" t="s">
        <v>69</v>
      </c>
      <c r="C19" s="3" t="s">
        <v>220</v>
      </c>
      <c r="D19" s="38">
        <f>(SUM(Input_!D$77:D$78)+SUMPRODUCT(Input_!D$79:D$83,Input_!D$145:D$149))*Input_!D275</f>
        <v>1709426.9524517185</v>
      </c>
      <c r="E19" s="38">
        <f>(SUM(Input_!E$77:E$78)+SUMPRODUCT(Input_!E$79:E$83,Input_!E$145:E$149))*Input_!E275</f>
        <v>1696401.5774015356</v>
      </c>
      <c r="F19" s="38">
        <f>(SUM(Input_!F$77:F$78)+SUMPRODUCT(Input_!F$79:F$83,Input_!F$145:F$149))*Input_!F275</f>
        <v>1696401.5774015356</v>
      </c>
      <c r="G19" s="38">
        <f>(SUM(Input_!G$77:G$78)+SUMPRODUCT(Input_!G$79:G$83,Input_!G$145:G$149))*Input_!G275</f>
        <v>1696401.5774015356</v>
      </c>
      <c r="I19"/>
    </row>
    <row r="20" spans="2:9" ht="14.4" customHeight="1" x14ac:dyDescent="0.3">
      <c r="B20" s="36" t="s">
        <v>71</v>
      </c>
      <c r="C20" s="3" t="s">
        <v>220</v>
      </c>
      <c r="D20" s="38">
        <f>(SUM(Input_!D$77:D$78)+SUMPRODUCT(Input_!D$79:D$83,Input_!D$145:D$149))*Input_!D276</f>
        <v>12643653.782261247</v>
      </c>
      <c r="E20" s="38">
        <f>(SUM(Input_!E$77:E$78)+SUMPRODUCT(Input_!E$79:E$83,Input_!E$145:E$149))*Input_!E276</f>
        <v>12547312.530426873</v>
      </c>
      <c r="F20" s="38">
        <f>(SUM(Input_!F$77:F$78)+SUMPRODUCT(Input_!F$79:F$83,Input_!F$145:F$149))*Input_!F276</f>
        <v>12547312.530426873</v>
      </c>
      <c r="G20" s="38">
        <f>(SUM(Input_!G$77:G$78)+SUMPRODUCT(Input_!G$79:G$83,Input_!G$145:G$149))*Input_!G276</f>
        <v>12547312.530426873</v>
      </c>
      <c r="I20"/>
    </row>
    <row r="21" spans="2:9" ht="14.4" customHeight="1" x14ac:dyDescent="0.3">
      <c r="B21" s="36" t="s">
        <v>73</v>
      </c>
      <c r="C21" s="3" t="s">
        <v>220</v>
      </c>
      <c r="D21" s="38">
        <f>(SUM(Input_!D$77:D$78)+SUMPRODUCT(Input_!D$79:D$83,Input_!D$145:D$149))*Input_!D277</f>
        <v>0</v>
      </c>
      <c r="E21" s="38">
        <f>(SUM(Input_!E$77:E$78)+SUMPRODUCT(Input_!E$79:E$83,Input_!E$145:E$149))*Input_!E277</f>
        <v>0</v>
      </c>
      <c r="F21" s="38">
        <f>(SUM(Input_!F$77:F$78)+SUMPRODUCT(Input_!F$79:F$83,Input_!F$145:F$149))*Input_!F277</f>
        <v>0</v>
      </c>
      <c r="G21" s="38">
        <f>(SUM(Input_!G$77:G$78)+SUMPRODUCT(Input_!G$79:G$83,Input_!G$145:G$149))*Input_!G277</f>
        <v>0</v>
      </c>
      <c r="I21"/>
    </row>
    <row r="22" spans="2:9" ht="14.4" customHeight="1" x14ac:dyDescent="0.3">
      <c r="B22" s="36" t="s">
        <v>75</v>
      </c>
      <c r="C22" s="3" t="s">
        <v>220</v>
      </c>
      <c r="D22" s="38">
        <f>(SUM(Input_!D$77:D$78)+SUMPRODUCT(Input_!D$79:D$83,Input_!D$145:D$149))*Input_!D278</f>
        <v>672717.85446917627</v>
      </c>
      <c r="E22" s="38">
        <f>(SUM(Input_!E$77:E$78)+SUMPRODUCT(Input_!E$79:E$83,Input_!E$145:E$149))*Input_!E278</f>
        <v>667591.92478563637</v>
      </c>
      <c r="F22" s="38">
        <f>(SUM(Input_!F$77:F$78)+SUMPRODUCT(Input_!F$79:F$83,Input_!F$145:F$149))*Input_!F278</f>
        <v>667591.92478563637</v>
      </c>
      <c r="G22" s="38">
        <f>(SUM(Input_!G$77:G$78)+SUMPRODUCT(Input_!G$79:G$83,Input_!G$145:G$149))*Input_!G278</f>
        <v>667591.92478563637</v>
      </c>
      <c r="I22"/>
    </row>
    <row r="23" spans="2:9" ht="14.4" customHeight="1" x14ac:dyDescent="0.3">
      <c r="B23" s="36" t="s">
        <v>77</v>
      </c>
      <c r="C23" s="3" t="s">
        <v>220</v>
      </c>
      <c r="D23" s="38">
        <f>(SUM(Input_!D$77:D$78)+SUMPRODUCT(Input_!D$79:D$83,Input_!D$145:D$149))*Input_!D279</f>
        <v>2756026.0053936564</v>
      </c>
      <c r="E23" s="38">
        <f>(SUM(Input_!E$77:E$78)+SUMPRODUCT(Input_!E$79:E$83,Input_!E$145:E$149))*Input_!E279</f>
        <v>2735025.8261717111</v>
      </c>
      <c r="F23" s="38">
        <f>(SUM(Input_!F$77:F$78)+SUMPRODUCT(Input_!F$79:F$83,Input_!F$145:F$149))*Input_!F279</f>
        <v>2735025.8261717111</v>
      </c>
      <c r="G23" s="38">
        <f>(SUM(Input_!G$77:G$78)+SUMPRODUCT(Input_!G$79:G$83,Input_!G$145:G$149))*Input_!G279</f>
        <v>2735025.8261717111</v>
      </c>
      <c r="I23"/>
    </row>
    <row r="24" spans="2:9" ht="14.4" customHeight="1" x14ac:dyDescent="0.3">
      <c r="B24" s="36" t="s">
        <v>79</v>
      </c>
      <c r="C24" s="3" t="s">
        <v>220</v>
      </c>
      <c r="D24" s="38">
        <f>(SUM(Input_!D$77:D$78)+SUMPRODUCT(Input_!D$79:D$83,Input_!D$145:D$149))*Input_!D280</f>
        <v>1690923.9759036149</v>
      </c>
      <c r="E24" s="38">
        <f>(SUM(Input_!E$77:E$78)+SUMPRODUCT(Input_!E$79:E$83,Input_!E$145:E$149))*Input_!E280</f>
        <v>1678039.5885737543</v>
      </c>
      <c r="F24" s="38">
        <f>(SUM(Input_!F$77:F$78)+SUMPRODUCT(Input_!F$79:F$83,Input_!F$145:F$149))*Input_!F280</f>
        <v>1678039.5885737543</v>
      </c>
      <c r="G24" s="38">
        <f>(SUM(Input_!G$77:G$78)+SUMPRODUCT(Input_!G$79:G$83,Input_!G$145:G$149))*Input_!G280</f>
        <v>1678039.5885737543</v>
      </c>
      <c r="I24"/>
    </row>
    <row r="25" spans="2:9" ht="14.4" customHeight="1" x14ac:dyDescent="0.3">
      <c r="B25" s="36" t="s">
        <v>81</v>
      </c>
      <c r="C25" s="3" t="s">
        <v>220</v>
      </c>
      <c r="D25" s="38">
        <f>(SUM(Input_!D$77:D$78)+SUMPRODUCT(Input_!D$79:D$83,Input_!D$145:D$149))*Input_!D281</f>
        <v>38955917.439126588</v>
      </c>
      <c r="E25" s="38">
        <f>(SUM(Input_!E$77:E$78)+SUMPRODUCT(Input_!E$79:E$83,Input_!E$145:E$149))*Input_!E281</f>
        <v>38659083.793008611</v>
      </c>
      <c r="F25" s="38">
        <f>(SUM(Input_!F$77:F$78)+SUMPRODUCT(Input_!F$79:F$83,Input_!F$145:F$149))*Input_!F281</f>
        <v>38659083.793008611</v>
      </c>
      <c r="G25" s="38">
        <f>(SUM(Input_!G$77:G$78)+SUMPRODUCT(Input_!G$79:G$83,Input_!G$145:G$149))*Input_!G281</f>
        <v>38659083.793008611</v>
      </c>
      <c r="I25"/>
    </row>
    <row r="26" spans="2:9" ht="14.4" customHeight="1" x14ac:dyDescent="0.3">
      <c r="B26" s="36" t="s">
        <v>82</v>
      </c>
      <c r="C26" s="3" t="s">
        <v>220</v>
      </c>
      <c r="D26" s="38">
        <f>(SUM(Input_!D$77:D$78)+SUMPRODUCT(Input_!D$79:D$83,Input_!D$145:D$149))*Input_!D282</f>
        <v>659810.22708433529</v>
      </c>
      <c r="E26" s="38">
        <f>(SUM(Input_!E$77:E$78)+SUMPRODUCT(Input_!E$79:E$83,Input_!E$145:E$149))*Input_!E282</f>
        <v>654782.65006070549</v>
      </c>
      <c r="F26" s="38">
        <f>(SUM(Input_!F$77:F$78)+SUMPRODUCT(Input_!F$79:F$83,Input_!F$145:F$149))*Input_!F282</f>
        <v>654782.65006070549</v>
      </c>
      <c r="G26" s="38">
        <f>(SUM(Input_!G$77:G$78)+SUMPRODUCT(Input_!G$79:G$83,Input_!G$145:G$149))*Input_!G282</f>
        <v>654782.65006070549</v>
      </c>
      <c r="I26"/>
    </row>
    <row r="27" spans="2:9" ht="14.4" customHeight="1" x14ac:dyDescent="0.3">
      <c r="B27" s="36" t="s">
        <v>83</v>
      </c>
      <c r="C27" s="3" t="s">
        <v>220</v>
      </c>
      <c r="D27" s="38">
        <f>(SUM(Input_!D$77:D$78)+SUMPRODUCT(Input_!D$79:D$83,Input_!D$145:D$149))*Input_!D283</f>
        <v>475141.19935757492</v>
      </c>
      <c r="E27" s="38">
        <f>(SUM(Input_!E$77:E$78)+SUMPRODUCT(Input_!E$79:E$83,Input_!E$145:E$149))*Input_!E283</f>
        <v>471520.75081220135</v>
      </c>
      <c r="F27" s="38">
        <f>(SUM(Input_!F$77:F$78)+SUMPRODUCT(Input_!F$79:F$83,Input_!F$145:F$149))*Input_!F283</f>
        <v>471520.75081220135</v>
      </c>
      <c r="G27" s="38">
        <f>(SUM(Input_!G$77:G$78)+SUMPRODUCT(Input_!G$79:G$83,Input_!G$145:G$149))*Input_!G283</f>
        <v>471520.75081220135</v>
      </c>
      <c r="I27"/>
    </row>
    <row r="28" spans="2:9" ht="14.4" customHeight="1" x14ac:dyDescent="0.3">
      <c r="B28" s="36" t="s">
        <v>85</v>
      </c>
      <c r="C28" s="3" t="s">
        <v>220</v>
      </c>
      <c r="D28" s="38">
        <f>(SUM(Input_!D$77:D$78)+SUMPRODUCT(Input_!D$79:D$83,Input_!D$145:D$149))*Input_!D284</f>
        <v>46458.19551831967</v>
      </c>
      <c r="E28" s="38">
        <f>(SUM(Input_!E$77:E$78)+SUMPRODUCT(Input_!E$79:E$83,Input_!E$145:E$149))*Input_!E284</f>
        <v>46104.19652473124</v>
      </c>
      <c r="F28" s="38">
        <f>(SUM(Input_!F$77:F$78)+SUMPRODUCT(Input_!F$79:F$83,Input_!F$145:F$149))*Input_!F284</f>
        <v>46104.19652473124</v>
      </c>
      <c r="G28" s="38">
        <f>(SUM(Input_!G$77:G$78)+SUMPRODUCT(Input_!G$79:G$83,Input_!G$145:G$149))*Input_!G284</f>
        <v>46104.19652473124</v>
      </c>
      <c r="I28"/>
    </row>
    <row r="29" spans="2:9" ht="14.4" customHeight="1" x14ac:dyDescent="0.3">
      <c r="B29" s="36" t="s">
        <v>87</v>
      </c>
      <c r="C29" s="3" t="s">
        <v>220</v>
      </c>
      <c r="D29" s="38">
        <f>(SUM(Input_!D$77:D$78)+SUMPRODUCT(Input_!D$79:D$83,Input_!D$145:D$149))*Input_!D285</f>
        <v>0</v>
      </c>
      <c r="E29" s="38">
        <f>(SUM(Input_!E$77:E$78)+SUMPRODUCT(Input_!E$79:E$83,Input_!E$145:E$149))*Input_!E285</f>
        <v>0</v>
      </c>
      <c r="F29" s="38">
        <f>(SUM(Input_!F$77:F$78)+SUMPRODUCT(Input_!F$79:F$83,Input_!F$145:F$149))*Input_!F285</f>
        <v>0</v>
      </c>
      <c r="G29" s="38">
        <f>(SUM(Input_!G$77:G$78)+SUMPRODUCT(Input_!G$79:G$83,Input_!G$145:G$149))*Input_!G285</f>
        <v>0</v>
      </c>
      <c r="I29"/>
    </row>
    <row r="30" spans="2:9" ht="14.4" customHeight="1" x14ac:dyDescent="0.3">
      <c r="B30" s="36" t="s">
        <v>89</v>
      </c>
      <c r="C30" s="3" t="s">
        <v>220</v>
      </c>
      <c r="D30" s="38">
        <f>(SUM(Input_!D$77:D$78)+SUMPRODUCT(Input_!D$79:D$83,Input_!D$145:D$149))*Input_!D286</f>
        <v>1530398.6107307556</v>
      </c>
      <c r="E30" s="38">
        <f>(SUM(Input_!E$77:E$78)+SUMPRODUCT(Input_!E$79:E$83,Input_!E$145:E$149))*Input_!E286</f>
        <v>1518737.3836438321</v>
      </c>
      <c r="F30" s="38">
        <f>(SUM(Input_!F$77:F$78)+SUMPRODUCT(Input_!F$79:F$83,Input_!F$145:F$149))*Input_!F286</f>
        <v>1518737.3836438321</v>
      </c>
      <c r="G30" s="38">
        <f>(SUM(Input_!G$77:G$78)+SUMPRODUCT(Input_!G$79:G$83,Input_!G$145:G$149))*Input_!G286</f>
        <v>1518737.3836438321</v>
      </c>
      <c r="I30"/>
    </row>
    <row r="31" spans="2:9" ht="14.4" customHeight="1" x14ac:dyDescent="0.3">
      <c r="B31" s="36" t="s">
        <v>90</v>
      </c>
      <c r="C31" s="3" t="s">
        <v>220</v>
      </c>
      <c r="D31" s="38">
        <f>(SUM(Input_!D$77:D$78)+SUMPRODUCT(Input_!D$79:D$83,Input_!D$145:D$149))*Input_!D287</f>
        <v>868322.19384832378</v>
      </c>
      <c r="E31" s="38">
        <f>(SUM(Input_!E$77:E$78)+SUMPRODUCT(Input_!E$79:E$83,Input_!E$145:E$149))*Input_!E287</f>
        <v>861705.8115436862</v>
      </c>
      <c r="F31" s="38">
        <f>(SUM(Input_!F$77:F$78)+SUMPRODUCT(Input_!F$79:F$83,Input_!F$145:F$149))*Input_!F287</f>
        <v>861705.8115436862</v>
      </c>
      <c r="G31" s="38">
        <f>(SUM(Input_!G$77:G$78)+SUMPRODUCT(Input_!G$79:G$83,Input_!G$145:G$149))*Input_!G287</f>
        <v>861705.8115436862</v>
      </c>
      <c r="I31"/>
    </row>
    <row r="32" spans="2:9" ht="14.4" customHeight="1" x14ac:dyDescent="0.3">
      <c r="B32" s="36" t="s">
        <v>92</v>
      </c>
      <c r="C32" s="3" t="s">
        <v>220</v>
      </c>
      <c r="D32" s="38">
        <f>(SUM(Input_!D$77:D$78)+SUMPRODUCT(Input_!D$79:D$83,Input_!D$145:D$149))*Input_!D288</f>
        <v>1575749.4783324753</v>
      </c>
      <c r="E32" s="38">
        <f>(SUM(Input_!E$77:E$78)+SUMPRODUCT(Input_!E$79:E$83,Input_!E$145:E$149))*Input_!E288</f>
        <v>1563742.6897937937</v>
      </c>
      <c r="F32" s="38">
        <f>(SUM(Input_!F$77:F$78)+SUMPRODUCT(Input_!F$79:F$83,Input_!F$145:F$149))*Input_!F288</f>
        <v>1563742.6897937937</v>
      </c>
      <c r="G32" s="38">
        <f>(SUM(Input_!G$77:G$78)+SUMPRODUCT(Input_!G$79:G$83,Input_!G$145:G$149))*Input_!G288</f>
        <v>1563742.6897937937</v>
      </c>
      <c r="I32"/>
    </row>
    <row r="33" spans="2:9" ht="14.4" customHeight="1" x14ac:dyDescent="0.3">
      <c r="B33" s="36" t="s">
        <v>94</v>
      </c>
      <c r="C33" s="3" t="s">
        <v>220</v>
      </c>
      <c r="D33" s="38">
        <f>(SUM(Input_!D$77:D$78)+SUMPRODUCT(Input_!D$79:D$83,Input_!D$145:D$149))*Input_!D289</f>
        <v>1602787.5231932716</v>
      </c>
      <c r="E33" s="38">
        <f>(SUM(Input_!E$77:E$78)+SUMPRODUCT(Input_!E$79:E$83,Input_!E$145:E$149))*Input_!E289</f>
        <v>1590574.7120021272</v>
      </c>
      <c r="F33" s="38">
        <f>(SUM(Input_!F$77:F$78)+SUMPRODUCT(Input_!F$79:F$83,Input_!F$145:F$149))*Input_!F289</f>
        <v>1590574.7120021272</v>
      </c>
      <c r="G33" s="38">
        <f>(SUM(Input_!G$77:G$78)+SUMPRODUCT(Input_!G$79:G$83,Input_!G$145:G$149))*Input_!G289</f>
        <v>1590574.7120021272</v>
      </c>
      <c r="I33"/>
    </row>
    <row r="34" spans="2:9" ht="14.4" customHeight="1" x14ac:dyDescent="0.3">
      <c r="B34" s="36" t="s">
        <v>96</v>
      </c>
      <c r="C34" s="3" t="s">
        <v>220</v>
      </c>
      <c r="D34" s="38">
        <f>(SUM(Input_!D$77:D$78)+SUMPRODUCT(Input_!D$79:D$83,Input_!D$145:D$149))*Input_!D290</f>
        <v>4113892.1632950576</v>
      </c>
      <c r="E34" s="38">
        <f>(SUM(Input_!E$77:E$78)+SUMPRODUCT(Input_!E$79:E$83,Input_!E$145:E$149))*Input_!E290</f>
        <v>4082545.4080177564</v>
      </c>
      <c r="F34" s="38">
        <f>(SUM(Input_!F$77:F$78)+SUMPRODUCT(Input_!F$79:F$83,Input_!F$145:F$149))*Input_!F290</f>
        <v>4082545.4080177564</v>
      </c>
      <c r="G34" s="38">
        <f>(SUM(Input_!G$77:G$78)+SUMPRODUCT(Input_!G$79:G$83,Input_!G$145:G$149))*Input_!G290</f>
        <v>4082545.4080177564</v>
      </c>
      <c r="I34"/>
    </row>
    <row r="35" spans="2:9" ht="14.4" customHeight="1" x14ac:dyDescent="0.3">
      <c r="B35" s="36" t="s">
        <v>98</v>
      </c>
      <c r="C35" s="3" t="s">
        <v>220</v>
      </c>
      <c r="D35" s="38">
        <f>(SUM(Input_!D$77:D$78)+SUMPRODUCT(Input_!D$79:D$83,Input_!D$145:D$149))*Input_!D291</f>
        <v>0</v>
      </c>
      <c r="E35" s="38">
        <f>(SUM(Input_!E$77:E$78)+SUMPRODUCT(Input_!E$79:E$83,Input_!E$145:E$149))*Input_!E291</f>
        <v>0</v>
      </c>
      <c r="F35" s="38">
        <f>(SUM(Input_!F$77:F$78)+SUMPRODUCT(Input_!F$79:F$83,Input_!F$145:F$149))*Input_!F291</f>
        <v>0</v>
      </c>
      <c r="G35" s="38">
        <f>(SUM(Input_!G$77:G$78)+SUMPRODUCT(Input_!G$79:G$83,Input_!G$145:G$149))*Input_!G291</f>
        <v>0</v>
      </c>
      <c r="I35"/>
    </row>
    <row r="36" spans="2:9" ht="14.4" customHeight="1" x14ac:dyDescent="0.3">
      <c r="B36" s="36" t="s">
        <v>100</v>
      </c>
      <c r="C36" s="3" t="s">
        <v>220</v>
      </c>
      <c r="D36" s="38">
        <f>(SUM(Input_!D$77:D$78)+SUMPRODUCT(Input_!D$79:D$83,Input_!D$145:D$149))*Input_!D292</f>
        <v>9147753.9905232135</v>
      </c>
      <c r="E36" s="38">
        <f>(SUM(Input_!E$77:E$78)+SUMPRODUCT(Input_!E$79:E$83,Input_!E$145:E$149))*Input_!E292</f>
        <v>9078050.557789525</v>
      </c>
      <c r="F36" s="38">
        <f>(SUM(Input_!F$77:F$78)+SUMPRODUCT(Input_!F$79:F$83,Input_!F$145:F$149))*Input_!F292</f>
        <v>9078050.557789525</v>
      </c>
      <c r="G36" s="38">
        <f>(SUM(Input_!G$77:G$78)+SUMPRODUCT(Input_!G$79:G$83,Input_!G$145:G$149))*Input_!G292</f>
        <v>9078050.557789525</v>
      </c>
      <c r="I36"/>
    </row>
    <row r="37" spans="2:9" ht="14.4" customHeight="1" x14ac:dyDescent="0.3">
      <c r="B37" s="36" t="s">
        <v>102</v>
      </c>
      <c r="C37" s="3" t="s">
        <v>220</v>
      </c>
      <c r="D37" s="38">
        <f>(SUM(Input_!D$77:D$78)+SUMPRODUCT(Input_!D$79:D$83,Input_!D$145:D$149))*Input_!D293</f>
        <v>0</v>
      </c>
      <c r="E37" s="38">
        <f>(SUM(Input_!E$77:E$78)+SUMPRODUCT(Input_!E$79:E$83,Input_!E$145:E$149))*Input_!E293</f>
        <v>0</v>
      </c>
      <c r="F37" s="38">
        <f>(SUM(Input_!F$77:F$78)+SUMPRODUCT(Input_!F$79:F$83,Input_!F$145:F$149))*Input_!F293</f>
        <v>0</v>
      </c>
      <c r="G37" s="38">
        <f>(SUM(Input_!G$77:G$78)+SUMPRODUCT(Input_!G$79:G$83,Input_!G$145:G$149))*Input_!G293</f>
        <v>0</v>
      </c>
      <c r="I37"/>
    </row>
    <row r="38" spans="2:9" ht="14.4" customHeight="1" x14ac:dyDescent="0.3">
      <c r="B38" s="36" t="s">
        <v>103</v>
      </c>
      <c r="C38" s="3" t="s">
        <v>220</v>
      </c>
      <c r="D38" s="38">
        <f>(SUM(Input_!D$77:D$78)+SUMPRODUCT(Input_!D$79:D$83,Input_!D$145:D$149))*Input_!D294</f>
        <v>33600536.835732296</v>
      </c>
      <c r="E38" s="38">
        <f>(SUM(Input_!E$77:E$78)+SUMPRODUCT(Input_!E$79:E$83,Input_!E$145:E$149))*Input_!E294</f>
        <v>33344509.75394024</v>
      </c>
      <c r="F38" s="38">
        <f>(SUM(Input_!F$77:F$78)+SUMPRODUCT(Input_!F$79:F$83,Input_!F$145:F$149))*Input_!F294</f>
        <v>33344509.75394024</v>
      </c>
      <c r="G38" s="38">
        <f>(SUM(Input_!G$77:G$78)+SUMPRODUCT(Input_!G$79:G$83,Input_!G$145:G$149))*Input_!G294</f>
        <v>33344509.75394024</v>
      </c>
      <c r="I38"/>
    </row>
    <row r="39" spans="2:9" ht="14.4" customHeight="1" x14ac:dyDescent="0.3">
      <c r="B39" s="36" t="s">
        <v>105</v>
      </c>
      <c r="C39" s="3" t="s">
        <v>220</v>
      </c>
      <c r="D39" s="38">
        <f>(SUM(Input_!D$77:D$78)+SUMPRODUCT(Input_!D$79:D$83,Input_!D$145:D$149))*Input_!D295</f>
        <v>1204905.8483095798</v>
      </c>
      <c r="E39" s="38">
        <f>(SUM(Input_!E$77:E$78)+SUMPRODUCT(Input_!E$79:E$83,Input_!E$145:E$149))*Input_!E295</f>
        <v>1195724.7888019583</v>
      </c>
      <c r="F39" s="38">
        <f>(SUM(Input_!F$77:F$78)+SUMPRODUCT(Input_!F$79:F$83,Input_!F$145:F$149))*Input_!F295</f>
        <v>1195724.7888019583</v>
      </c>
      <c r="G39" s="38">
        <f>(SUM(Input_!G$77:G$78)+SUMPRODUCT(Input_!G$79:G$83,Input_!G$145:G$149))*Input_!G295</f>
        <v>1195724.7888019583</v>
      </c>
      <c r="I39"/>
    </row>
    <row r="40" spans="2:9" ht="14.4" customHeight="1" x14ac:dyDescent="0.3">
      <c r="B40" s="36" t="s">
        <v>107</v>
      </c>
      <c r="C40" s="3" t="s">
        <v>220</v>
      </c>
      <c r="D40" s="38">
        <f>(SUM(Input_!D$77:D$78)+SUMPRODUCT(Input_!D$79:D$83,Input_!D$145:D$149))*Input_!D296</f>
        <v>0</v>
      </c>
      <c r="E40" s="38">
        <f>(SUM(Input_!E$77:E$78)+SUMPRODUCT(Input_!E$79:E$83,Input_!E$145:E$149))*Input_!E296</f>
        <v>0</v>
      </c>
      <c r="F40" s="38">
        <f>(SUM(Input_!F$77:F$78)+SUMPRODUCT(Input_!F$79:F$83,Input_!F$145:F$149))*Input_!F296</f>
        <v>0</v>
      </c>
      <c r="G40" s="38">
        <f>(SUM(Input_!G$77:G$78)+SUMPRODUCT(Input_!G$79:G$83,Input_!G$145:G$149))*Input_!G296</f>
        <v>0</v>
      </c>
      <c r="I40"/>
    </row>
    <row r="41" spans="2:9" ht="14.4" customHeight="1" x14ac:dyDescent="0.3">
      <c r="B41" s="36" t="s">
        <v>108</v>
      </c>
      <c r="C41" s="3" t="s">
        <v>220</v>
      </c>
      <c r="D41" s="38">
        <f>(SUM(Input_!D$77:D$78)+SUMPRODUCT(Input_!D$79:D$83,Input_!D$145:D$149))*Input_!D297</f>
        <v>44555.352789175216</v>
      </c>
      <c r="E41" s="38">
        <f>(SUM(Input_!E$77:E$78)+SUMPRODUCT(Input_!E$79:E$83,Input_!E$145:E$149))*Input_!E297</f>
        <v>44215.852946997191</v>
      </c>
      <c r="F41" s="38">
        <f>(SUM(Input_!F$77:F$78)+SUMPRODUCT(Input_!F$79:F$83,Input_!F$145:F$149))*Input_!F297</f>
        <v>44215.852946997191</v>
      </c>
      <c r="G41" s="38">
        <f>(SUM(Input_!G$77:G$78)+SUMPRODUCT(Input_!G$79:G$83,Input_!G$145:G$149))*Input_!G297</f>
        <v>44215.852946997191</v>
      </c>
      <c r="I41"/>
    </row>
    <row r="42" spans="2:9" ht="14.4" customHeight="1" x14ac:dyDescent="0.3">
      <c r="B42" s="36" t="s">
        <v>110</v>
      </c>
      <c r="C42" s="3" t="s">
        <v>220</v>
      </c>
      <c r="D42" s="38">
        <f>(SUM(Input_!D$77:D$78)+SUMPRODUCT(Input_!D$79:D$83,Input_!D$145:D$149))*Input_!D298</f>
        <v>1572261.1507719336</v>
      </c>
      <c r="E42" s="38">
        <f>(SUM(Input_!E$77:E$78)+SUMPRODUCT(Input_!E$79:E$83,Input_!E$145:E$149))*Input_!E298</f>
        <v>1560280.9423539811</v>
      </c>
      <c r="F42" s="38">
        <f>(SUM(Input_!F$77:F$78)+SUMPRODUCT(Input_!F$79:F$83,Input_!F$145:F$149))*Input_!F298</f>
        <v>1560280.9423539811</v>
      </c>
      <c r="G42" s="38">
        <f>(SUM(Input_!G$77:G$78)+SUMPRODUCT(Input_!G$79:G$83,Input_!G$145:G$149))*Input_!G298</f>
        <v>1560280.9423539811</v>
      </c>
      <c r="I42"/>
    </row>
    <row r="43" spans="2:9" ht="14.4" customHeight="1" x14ac:dyDescent="0.3">
      <c r="B43" s="36" t="s">
        <v>112</v>
      </c>
      <c r="C43" s="3" t="s">
        <v>220</v>
      </c>
      <c r="D43" s="38">
        <f>(SUM(Input_!D$77:D$78)+SUMPRODUCT(Input_!D$79:D$83,Input_!D$145:D$149))*Input_!D299</f>
        <v>448079.01833600411</v>
      </c>
      <c r="E43" s="38">
        <f>(SUM(Input_!E$77:E$78)+SUMPRODUCT(Input_!E$79:E$83,Input_!E$145:E$149))*Input_!E299</f>
        <v>444664.77635416714</v>
      </c>
      <c r="F43" s="38">
        <f>(SUM(Input_!F$77:F$78)+SUMPRODUCT(Input_!F$79:F$83,Input_!F$145:F$149))*Input_!F299</f>
        <v>444664.77635416714</v>
      </c>
      <c r="G43" s="38">
        <f>(SUM(Input_!G$77:G$78)+SUMPRODUCT(Input_!G$79:G$83,Input_!G$145:G$149))*Input_!G299</f>
        <v>444664.77635416714</v>
      </c>
      <c r="I43"/>
    </row>
    <row r="44" spans="2:9" ht="14.4" customHeight="1" x14ac:dyDescent="0.3">
      <c r="B44" s="36" t="s">
        <v>114</v>
      </c>
      <c r="C44" s="3" t="s">
        <v>220</v>
      </c>
      <c r="D44" s="38">
        <f>(SUM(Input_!D$77:D$78)+SUMPRODUCT(Input_!D$79:D$83,Input_!D$145:D$149))*Input_!D300</f>
        <v>0</v>
      </c>
      <c r="E44" s="38">
        <f>(SUM(Input_!E$77:E$78)+SUMPRODUCT(Input_!E$79:E$83,Input_!E$145:E$149))*Input_!E300</f>
        <v>0</v>
      </c>
      <c r="F44" s="38">
        <f>(SUM(Input_!F$77:F$78)+SUMPRODUCT(Input_!F$79:F$83,Input_!F$145:F$149))*Input_!F300</f>
        <v>0</v>
      </c>
      <c r="G44" s="38">
        <f>(SUM(Input_!G$77:G$78)+SUMPRODUCT(Input_!G$79:G$83,Input_!G$145:G$149))*Input_!G300</f>
        <v>0</v>
      </c>
      <c r="I44"/>
    </row>
    <row r="45" spans="2:9" ht="14.4" customHeight="1" x14ac:dyDescent="0.3">
      <c r="B45" s="36" t="s">
        <v>116</v>
      </c>
      <c r="C45" s="3" t="s">
        <v>220</v>
      </c>
      <c r="D45" s="38">
        <f>(SUM(Input_!D$77:D$78)+SUMPRODUCT(Input_!D$79:D$83,Input_!D$145:D$149))*Input_!D301</f>
        <v>1066785.6897862097</v>
      </c>
      <c r="E45" s="38">
        <f>(SUM(Input_!E$77:E$78)+SUMPRODUCT(Input_!E$79:E$83,Input_!E$145:E$149))*Input_!E301</f>
        <v>1058657.068854087</v>
      </c>
      <c r="F45" s="38">
        <f>(SUM(Input_!F$77:F$78)+SUMPRODUCT(Input_!F$79:F$83,Input_!F$145:F$149))*Input_!F301</f>
        <v>1058657.068854087</v>
      </c>
      <c r="G45" s="38">
        <f>(SUM(Input_!G$77:G$78)+SUMPRODUCT(Input_!G$79:G$83,Input_!G$145:G$149))*Input_!G301</f>
        <v>1058657.068854087</v>
      </c>
      <c r="I45"/>
    </row>
    <row r="46" spans="2:9" ht="14.4" customHeight="1" x14ac:dyDescent="0.3">
      <c r="B46" s="36" t="s">
        <v>118</v>
      </c>
      <c r="C46" s="3" t="s">
        <v>220</v>
      </c>
      <c r="D46" s="38">
        <f>(SUM(Input_!D$77:D$78)+SUMPRODUCT(Input_!D$79:D$83,Input_!D$145:D$149))*Input_!D302</f>
        <v>0</v>
      </c>
      <c r="E46" s="38">
        <f>(SUM(Input_!E$77:E$78)+SUMPRODUCT(Input_!E$79:E$83,Input_!E$145:E$149))*Input_!E302</f>
        <v>0</v>
      </c>
      <c r="F46" s="38">
        <f>(SUM(Input_!F$77:F$78)+SUMPRODUCT(Input_!F$79:F$83,Input_!F$145:F$149))*Input_!F302</f>
        <v>0</v>
      </c>
      <c r="G46" s="38">
        <f>(SUM(Input_!G$77:G$78)+SUMPRODUCT(Input_!G$79:G$83,Input_!G$145:G$149))*Input_!G302</f>
        <v>0</v>
      </c>
      <c r="I46"/>
    </row>
    <row r="47" spans="2:9" ht="14.4" customHeight="1" x14ac:dyDescent="0.3">
      <c r="B47" s="36" t="s">
        <v>120</v>
      </c>
      <c r="C47" s="3" t="s">
        <v>220</v>
      </c>
      <c r="D47" s="38">
        <f>(SUM(Input_!D$77:D$78)+SUMPRODUCT(Input_!D$79:D$83,Input_!D$145:D$149))*Input_!D303</f>
        <v>479616.82635951531</v>
      </c>
      <c r="E47" s="38">
        <f>(SUM(Input_!E$77:E$78)+SUMPRODUCT(Input_!E$79:E$83,Input_!E$145:E$149))*Input_!E303</f>
        <v>475962.27473638149</v>
      </c>
      <c r="F47" s="38">
        <f>(SUM(Input_!F$77:F$78)+SUMPRODUCT(Input_!F$79:F$83,Input_!F$145:F$149))*Input_!F303</f>
        <v>475962.27473638149</v>
      </c>
      <c r="G47" s="38">
        <f>(SUM(Input_!G$77:G$78)+SUMPRODUCT(Input_!G$79:G$83,Input_!G$145:G$149))*Input_!G303</f>
        <v>475962.27473638149</v>
      </c>
      <c r="I47"/>
    </row>
    <row r="48" spans="2:9" ht="14.4" customHeight="1" x14ac:dyDescent="0.3">
      <c r="B48" s="36" t="s">
        <v>122</v>
      </c>
      <c r="C48" s="3" t="s">
        <v>220</v>
      </c>
      <c r="D48" s="38">
        <f>(SUM(Input_!D$77:D$78)+SUMPRODUCT(Input_!D$79:D$83,Input_!D$145:D$149))*Input_!D304</f>
        <v>1364039.7964302399</v>
      </c>
      <c r="E48" s="38">
        <f>(SUM(Input_!E$77:E$78)+SUMPRODUCT(Input_!E$79:E$83,Input_!E$145:E$149))*Input_!E304</f>
        <v>1353646.1789045555</v>
      </c>
      <c r="F48" s="38">
        <f>(SUM(Input_!F$77:F$78)+SUMPRODUCT(Input_!F$79:F$83,Input_!F$145:F$149))*Input_!F304</f>
        <v>1353646.1789045555</v>
      </c>
      <c r="G48" s="38">
        <f>(SUM(Input_!G$77:G$78)+SUMPRODUCT(Input_!G$79:G$83,Input_!G$145:G$149))*Input_!G304</f>
        <v>1353646.1789045555</v>
      </c>
      <c r="I48"/>
    </row>
    <row r="49" spans="2:9" ht="14.4" customHeight="1" x14ac:dyDescent="0.3">
      <c r="B49" s="36" t="s">
        <v>124</v>
      </c>
      <c r="C49" s="3" t="s">
        <v>220</v>
      </c>
      <c r="D49" s="38">
        <f>(SUM(Input_!D$77:D$78)+SUMPRODUCT(Input_!D$79:D$83,Input_!D$145:D$149))*Input_!D305</f>
        <v>2840252.0738942451</v>
      </c>
      <c r="E49" s="38">
        <f>(SUM(Input_!E$77:E$78)+SUMPRODUCT(Input_!E$79:E$83,Input_!E$145:E$149))*Input_!E305</f>
        <v>2818610.1146128187</v>
      </c>
      <c r="F49" s="38">
        <f>(SUM(Input_!F$77:F$78)+SUMPRODUCT(Input_!F$79:F$83,Input_!F$145:F$149))*Input_!F305</f>
        <v>2818610.1146128187</v>
      </c>
      <c r="G49" s="38">
        <f>(SUM(Input_!G$77:G$78)+SUMPRODUCT(Input_!G$79:G$83,Input_!G$145:G$149))*Input_!G305</f>
        <v>2818610.1146128187</v>
      </c>
      <c r="I49"/>
    </row>
    <row r="50" spans="2:9" ht="14.4" customHeight="1" x14ac:dyDescent="0.3">
      <c r="B50" s="36" t="s">
        <v>126</v>
      </c>
      <c r="C50" s="3" t="s">
        <v>220</v>
      </c>
      <c r="D50" s="38">
        <f>(SUM(Input_!D$77:D$78)+SUMPRODUCT(Input_!D$79:D$83,Input_!D$145:D$149))*Input_!D306</f>
        <v>730122.45122726576</v>
      </c>
      <c r="E50" s="38">
        <f>(SUM(Input_!E$77:E$78)+SUMPRODUCT(Input_!E$79:E$83,Input_!E$145:E$149))*Input_!E306</f>
        <v>724559.11390761356</v>
      </c>
      <c r="F50" s="38">
        <f>(SUM(Input_!F$77:F$78)+SUMPRODUCT(Input_!F$79:F$83,Input_!F$145:F$149))*Input_!F306</f>
        <v>724559.11390761356</v>
      </c>
      <c r="G50" s="38">
        <f>(SUM(Input_!G$77:G$78)+SUMPRODUCT(Input_!G$79:G$83,Input_!G$145:G$149))*Input_!G306</f>
        <v>724559.11390761356</v>
      </c>
      <c r="I50"/>
    </row>
    <row r="51" spans="2:9" ht="14.4" customHeight="1" x14ac:dyDescent="0.3">
      <c r="B51" s="36" t="s">
        <v>128</v>
      </c>
      <c r="C51" s="3" t="s">
        <v>220</v>
      </c>
      <c r="D51" s="38">
        <f>(SUM(Input_!D$77:D$78)+SUMPRODUCT(Input_!D$79:D$83,Input_!D$145:D$149))*Input_!D307</f>
        <v>2709487.8996133143</v>
      </c>
      <c r="E51" s="38">
        <f>(SUM(Input_!E$77:E$78)+SUMPRODUCT(Input_!E$79:E$83,Input_!E$145:E$149))*Input_!E307</f>
        <v>2688842.3282797285</v>
      </c>
      <c r="F51" s="38">
        <f>(SUM(Input_!F$77:F$78)+SUMPRODUCT(Input_!F$79:F$83,Input_!F$145:F$149))*Input_!F307</f>
        <v>2688842.3282797285</v>
      </c>
      <c r="G51" s="38">
        <f>(SUM(Input_!G$77:G$78)+SUMPRODUCT(Input_!G$79:G$83,Input_!G$145:G$149))*Input_!G307</f>
        <v>2688842.3282797285</v>
      </c>
      <c r="I51"/>
    </row>
    <row r="52" spans="2:9" ht="14.4" customHeight="1" x14ac:dyDescent="0.3">
      <c r="B52" s="36" t="s">
        <v>130</v>
      </c>
      <c r="C52" s="3" t="s">
        <v>220</v>
      </c>
      <c r="D52" s="38">
        <f>(SUM(Input_!D$77:D$78)+SUMPRODUCT(Input_!D$79:D$83,Input_!D$145:D$149))*Input_!D308</f>
        <v>2023703.2495639212</v>
      </c>
      <c r="E52" s="38">
        <f>(SUM(Input_!E$77:E$78)+SUMPRODUCT(Input_!E$79:E$83,Input_!E$145:E$149))*Input_!E308</f>
        <v>2008283.1733927585</v>
      </c>
      <c r="F52" s="38">
        <f>(SUM(Input_!F$77:F$78)+SUMPRODUCT(Input_!F$79:F$83,Input_!F$145:F$149))*Input_!F308</f>
        <v>2008283.1733927585</v>
      </c>
      <c r="G52" s="38">
        <f>(SUM(Input_!G$77:G$78)+SUMPRODUCT(Input_!G$79:G$83,Input_!G$145:G$149))*Input_!G308</f>
        <v>2008283.1733927585</v>
      </c>
      <c r="I52"/>
    </row>
    <row r="53" spans="2:9" ht="14.4" customHeight="1" x14ac:dyDescent="0.3">
      <c r="B53" s="36" t="s">
        <v>131</v>
      </c>
      <c r="C53" s="3" t="s">
        <v>220</v>
      </c>
      <c r="D53" s="38">
        <f>(SUM(Input_!D$77:D$78)+SUMPRODUCT(Input_!D$79:D$83,Input_!D$145:D$149))*Input_!D309</f>
        <v>64356.463389728931</v>
      </c>
      <c r="E53" s="38">
        <f>(SUM(Input_!E$77:E$78)+SUMPRODUCT(Input_!E$79:E$83,Input_!E$145:E$149))*Input_!E309</f>
        <v>63866.08439380148</v>
      </c>
      <c r="F53" s="38">
        <f>(SUM(Input_!F$77:F$78)+SUMPRODUCT(Input_!F$79:F$83,Input_!F$145:F$149))*Input_!F309</f>
        <v>63866.08439380148</v>
      </c>
      <c r="G53" s="38">
        <f>(SUM(Input_!G$77:G$78)+SUMPRODUCT(Input_!G$79:G$83,Input_!G$145:G$149))*Input_!G309</f>
        <v>63866.08439380148</v>
      </c>
      <c r="I53"/>
    </row>
    <row r="54" spans="2:9" ht="14.4" customHeight="1" x14ac:dyDescent="0.3">
      <c r="B54" s="36" t="s">
        <v>133</v>
      </c>
      <c r="C54" s="3" t="s">
        <v>220</v>
      </c>
      <c r="D54" s="38">
        <f>(SUM(Input_!D$77:D$78)+SUMPRODUCT(Input_!D$79:D$83,Input_!D$145:D$149))*Input_!D310</f>
        <v>2720442.128797119</v>
      </c>
      <c r="E54" s="38">
        <f>(SUM(Input_!E$77:E$78)+SUMPRODUCT(Input_!E$79:E$83,Input_!E$145:E$149))*Input_!E310</f>
        <v>2699713.0891741747</v>
      </c>
      <c r="F54" s="38">
        <f>(SUM(Input_!F$77:F$78)+SUMPRODUCT(Input_!F$79:F$83,Input_!F$145:F$149))*Input_!F310</f>
        <v>2699713.0891741747</v>
      </c>
      <c r="G54" s="38">
        <f>(SUM(Input_!G$77:G$78)+SUMPRODUCT(Input_!G$79:G$83,Input_!G$145:G$149))*Input_!G310</f>
        <v>2699713.0891741747</v>
      </c>
      <c r="I54"/>
    </row>
    <row r="55" spans="2:9" ht="14.4" customHeight="1" x14ac:dyDescent="0.3">
      <c r="B55" s="36" t="s">
        <v>135</v>
      </c>
      <c r="C55" s="3" t="s">
        <v>220</v>
      </c>
      <c r="D55" s="38">
        <f>(SUM(Input_!D$77:D$78)+SUMPRODUCT(Input_!D$79:D$83,Input_!D$145:D$149))*Input_!D311</f>
        <v>2114136.5515198307</v>
      </c>
      <c r="E55" s="38">
        <f>(SUM(Input_!E$77:E$78)+SUMPRODUCT(Input_!E$79:E$83,Input_!E$145:E$149))*Input_!E311</f>
        <v>2098027.3978345264</v>
      </c>
      <c r="F55" s="38">
        <f>(SUM(Input_!F$77:F$78)+SUMPRODUCT(Input_!F$79:F$83,Input_!F$145:F$149))*Input_!F311</f>
        <v>2098027.3978345264</v>
      </c>
      <c r="G55" s="38">
        <f>(SUM(Input_!G$77:G$78)+SUMPRODUCT(Input_!G$79:G$83,Input_!G$145:G$149))*Input_!G311</f>
        <v>2098027.3978345264</v>
      </c>
      <c r="I55"/>
    </row>
    <row r="56" spans="2:9" ht="14.4" customHeight="1" x14ac:dyDescent="0.3">
      <c r="B56" s="36" t="s">
        <v>136</v>
      </c>
      <c r="C56" s="3" t="s">
        <v>220</v>
      </c>
      <c r="D56" s="38">
        <f>(SUM(Input_!D$77:D$78)+SUMPRODUCT(Input_!D$79:D$83,Input_!D$145:D$149))*Input_!D312</f>
        <v>3494551.4283780269</v>
      </c>
      <c r="E56" s="38">
        <f>(SUM(Input_!E$77:E$78)+SUMPRODUCT(Input_!E$79:E$83,Input_!E$145:E$149))*Input_!E312</f>
        <v>3467923.883444625</v>
      </c>
      <c r="F56" s="38">
        <f>(SUM(Input_!F$77:F$78)+SUMPRODUCT(Input_!F$79:F$83,Input_!F$145:F$149))*Input_!F312</f>
        <v>3467923.883444625</v>
      </c>
      <c r="G56" s="38">
        <f>(SUM(Input_!G$77:G$78)+SUMPRODUCT(Input_!G$79:G$83,Input_!G$145:G$149))*Input_!G312</f>
        <v>3467923.883444625</v>
      </c>
      <c r="I56"/>
    </row>
    <row r="57" spans="2:9" ht="14.4" customHeight="1" x14ac:dyDescent="0.3">
      <c r="B57" s="36" t="s">
        <v>138</v>
      </c>
      <c r="C57" s="3" t="s">
        <v>220</v>
      </c>
      <c r="D57" s="38">
        <f>(SUM(Input_!D$77:D$78)+SUMPRODUCT(Input_!D$79:D$83,Input_!D$145:D$149))*Input_!D313</f>
        <v>789106.00953005673</v>
      </c>
      <c r="E57" s="38">
        <f>(SUM(Input_!E$77:E$78)+SUMPRODUCT(Input_!E$79:E$83,Input_!E$145:E$149))*Input_!E313</f>
        <v>783093.23331066896</v>
      </c>
      <c r="F57" s="38">
        <f>(SUM(Input_!F$77:F$78)+SUMPRODUCT(Input_!F$79:F$83,Input_!F$145:F$149))*Input_!F313</f>
        <v>783093.23331066896</v>
      </c>
      <c r="G57" s="38">
        <f>(SUM(Input_!G$77:G$78)+SUMPRODUCT(Input_!G$79:G$83,Input_!G$145:G$149))*Input_!G313</f>
        <v>783093.23331066896</v>
      </c>
      <c r="I57"/>
    </row>
    <row r="58" spans="2:9" ht="14.4" customHeight="1" x14ac:dyDescent="0.3">
      <c r="B58" s="36" t="s">
        <v>140</v>
      </c>
      <c r="C58" s="3" t="s">
        <v>220</v>
      </c>
      <c r="D58" s="38">
        <f>(SUM(Input_!D$77:D$78)+SUMPRODUCT(Input_!D$79:D$83,Input_!D$145:D$149))*Input_!D314</f>
        <v>1702348.5340581818</v>
      </c>
      <c r="E58" s="38">
        <f>(SUM(Input_!E$77:E$78)+SUMPRODUCT(Input_!E$79:E$83,Input_!E$145:E$149))*Input_!E314</f>
        <v>1689377.0946583087</v>
      </c>
      <c r="F58" s="38">
        <f>(SUM(Input_!F$77:F$78)+SUMPRODUCT(Input_!F$79:F$83,Input_!F$145:F$149))*Input_!F314</f>
        <v>1689377.0946583087</v>
      </c>
      <c r="G58" s="38">
        <f>(SUM(Input_!G$77:G$78)+SUMPRODUCT(Input_!G$79:G$83,Input_!G$145:G$149))*Input_!G314</f>
        <v>1689377.0946583087</v>
      </c>
      <c r="I58"/>
    </row>
    <row r="59" spans="2:9" ht="14.4" customHeight="1" x14ac:dyDescent="0.3">
      <c r="B59" s="36" t="s">
        <v>142</v>
      </c>
      <c r="C59" s="3" t="s">
        <v>220</v>
      </c>
      <c r="D59" s="38">
        <f>(SUM(Input_!D$77:D$78)+SUMPRODUCT(Input_!D$79:D$83,Input_!D$145:D$149))*Input_!D315</f>
        <v>1490909.8947181541</v>
      </c>
      <c r="E59" s="38">
        <f>(SUM(Input_!E$77:E$78)+SUMPRODUCT(Input_!E$79:E$83,Input_!E$145:E$149))*Input_!E315</f>
        <v>1479549.5610596258</v>
      </c>
      <c r="F59" s="38">
        <f>(SUM(Input_!F$77:F$78)+SUMPRODUCT(Input_!F$79:F$83,Input_!F$145:F$149))*Input_!F315</f>
        <v>1479549.5610596258</v>
      </c>
      <c r="G59" s="38">
        <f>(SUM(Input_!G$77:G$78)+SUMPRODUCT(Input_!G$79:G$83,Input_!G$145:G$149))*Input_!G315</f>
        <v>1479549.5610596258</v>
      </c>
      <c r="I59"/>
    </row>
    <row r="60" spans="2:9" ht="14.4" customHeight="1" x14ac:dyDescent="0.3">
      <c r="B60" s="36" t="s">
        <v>144</v>
      </c>
      <c r="C60" s="3" t="s">
        <v>220</v>
      </c>
      <c r="D60" s="38">
        <f>(SUM(Input_!D$77:D$78)+SUMPRODUCT(Input_!D$79:D$83,Input_!D$145:D$149))*Input_!D316</f>
        <v>39665984.045407832</v>
      </c>
      <c r="E60" s="38">
        <f>(SUM(Input_!E$77:E$78)+SUMPRODUCT(Input_!E$79:E$83,Input_!E$145:E$149))*Input_!E316</f>
        <v>39363739.88213136</v>
      </c>
      <c r="F60" s="38">
        <f>(SUM(Input_!F$77:F$78)+SUMPRODUCT(Input_!F$79:F$83,Input_!F$145:F$149))*Input_!F316</f>
        <v>39363739.88213136</v>
      </c>
      <c r="G60" s="38">
        <f>(SUM(Input_!G$77:G$78)+SUMPRODUCT(Input_!G$79:G$83,Input_!G$145:G$149))*Input_!G316</f>
        <v>39363739.88213136</v>
      </c>
      <c r="I60"/>
    </row>
    <row r="61" spans="2:9" ht="14.4" customHeight="1" x14ac:dyDescent="0.3">
      <c r="B61" s="36" t="s">
        <v>146</v>
      </c>
      <c r="C61" s="3" t="s">
        <v>220</v>
      </c>
      <c r="D61" s="38">
        <f>(SUM(Input_!D$77:D$78)+SUMPRODUCT(Input_!D$79:D$83,Input_!D$145:D$149))*Input_!D317</f>
        <v>4875067.0900156731</v>
      </c>
      <c r="E61" s="38">
        <f>(SUM(Input_!E$77:E$78)+SUMPRODUCT(Input_!E$79:E$83,Input_!E$145:E$149))*Input_!E317</f>
        <v>4837920.3858811762</v>
      </c>
      <c r="F61" s="38">
        <f>(SUM(Input_!F$77:F$78)+SUMPRODUCT(Input_!F$79:F$83,Input_!F$145:F$149))*Input_!F317</f>
        <v>4837920.3858811762</v>
      </c>
      <c r="G61" s="38">
        <f>(SUM(Input_!G$77:G$78)+SUMPRODUCT(Input_!G$79:G$83,Input_!G$145:G$149))*Input_!G317</f>
        <v>4837920.3858811762</v>
      </c>
      <c r="I61"/>
    </row>
    <row r="62" spans="2:9" ht="14.4" customHeight="1" x14ac:dyDescent="0.3">
      <c r="B62" s="36" t="s">
        <v>148</v>
      </c>
      <c r="C62" s="3" t="s">
        <v>220</v>
      </c>
      <c r="D62" s="38">
        <f>(SUM(Input_!D$77:D$78)+SUMPRODUCT(Input_!D$79:D$83,Input_!D$145:D$149))*Input_!D318</f>
        <v>4153345.9797238368</v>
      </c>
      <c r="E62" s="38">
        <f>(SUM(Input_!E$77:E$78)+SUMPRODUCT(Input_!E$79:E$83,Input_!E$145:E$149))*Input_!E318</f>
        <v>4121698.5969436122</v>
      </c>
      <c r="F62" s="38">
        <f>(SUM(Input_!F$77:F$78)+SUMPRODUCT(Input_!F$79:F$83,Input_!F$145:F$149))*Input_!F318</f>
        <v>4121698.5969436122</v>
      </c>
      <c r="G62" s="38">
        <f>(SUM(Input_!G$77:G$78)+SUMPRODUCT(Input_!G$79:G$83,Input_!G$145:G$149))*Input_!G318</f>
        <v>4121698.5969436122</v>
      </c>
      <c r="I62"/>
    </row>
    <row r="63" spans="2:9" ht="14.4" customHeight="1" x14ac:dyDescent="0.3">
      <c r="B63" s="36" t="s">
        <v>150</v>
      </c>
      <c r="C63" s="3" t="s">
        <v>220</v>
      </c>
      <c r="D63" s="38">
        <f>(SUM(Input_!D$77:D$78)+SUMPRODUCT(Input_!D$79:D$83,Input_!D$145:D$149))*Input_!D319</f>
        <v>11686452.785676606</v>
      </c>
      <c r="E63" s="38">
        <f>(SUM(Input_!E$77:E$78)+SUMPRODUCT(Input_!E$79:E$83,Input_!E$145:E$149))*Input_!E319</f>
        <v>11597405.148793746</v>
      </c>
      <c r="F63" s="38">
        <f>(SUM(Input_!F$77:F$78)+SUMPRODUCT(Input_!F$79:F$83,Input_!F$145:F$149))*Input_!F319</f>
        <v>11597405.148793746</v>
      </c>
      <c r="G63" s="38">
        <f>(SUM(Input_!G$77:G$78)+SUMPRODUCT(Input_!G$79:G$83,Input_!G$145:G$149))*Input_!G319</f>
        <v>11597405.148793746</v>
      </c>
      <c r="I63"/>
    </row>
    <row r="64" spans="2:9" ht="14.4" customHeight="1" x14ac:dyDescent="0.3">
      <c r="B64" s="36" t="s">
        <v>152</v>
      </c>
      <c r="C64" s="3" t="s">
        <v>220</v>
      </c>
      <c r="D64" s="38">
        <f>(SUM(Input_!D$77:D$78)+SUMPRODUCT(Input_!D$79:D$83,Input_!D$145:D$149))*Input_!D320</f>
        <v>8126886.6942812502</v>
      </c>
      <c r="E64" s="38">
        <f>(SUM(Input_!E$77:E$78)+SUMPRODUCT(Input_!E$79:E$83,Input_!E$145:E$149))*Input_!E320</f>
        <v>8064961.9966324084</v>
      </c>
      <c r="F64" s="38">
        <f>(SUM(Input_!F$77:F$78)+SUMPRODUCT(Input_!F$79:F$83,Input_!F$145:F$149))*Input_!F320</f>
        <v>8064961.9966324084</v>
      </c>
      <c r="G64" s="38">
        <f>(SUM(Input_!G$77:G$78)+SUMPRODUCT(Input_!G$79:G$83,Input_!G$145:G$149))*Input_!G320</f>
        <v>8064961.9966324084</v>
      </c>
      <c r="I64"/>
    </row>
    <row r="65" spans="2:9" ht="14.4" customHeight="1" x14ac:dyDescent="0.3">
      <c r="B65" s="36" t="s">
        <v>154</v>
      </c>
      <c r="C65" s="3" t="s">
        <v>220</v>
      </c>
      <c r="D65" s="38">
        <f>(SUM(Input_!D$77:D$78)+SUMPRODUCT(Input_!D$79:D$83,Input_!D$145:D$149))*Input_!D321</f>
        <v>7472549.5047346326</v>
      </c>
      <c r="E65" s="38">
        <f>(SUM(Input_!E$77:E$78)+SUMPRODUCT(Input_!E$79:E$83,Input_!E$145:E$149))*Input_!E321</f>
        <v>7415610.6810307996</v>
      </c>
      <c r="F65" s="38">
        <f>(SUM(Input_!F$77:F$78)+SUMPRODUCT(Input_!F$79:F$83,Input_!F$145:F$149))*Input_!F321</f>
        <v>7415610.6810307996</v>
      </c>
      <c r="G65" s="38">
        <f>(SUM(Input_!G$77:G$78)+SUMPRODUCT(Input_!G$79:G$83,Input_!G$145:G$149))*Input_!G321</f>
        <v>7415610.6810307996</v>
      </c>
      <c r="I65"/>
    </row>
    <row r="66" spans="2:9" ht="14.4" customHeight="1" x14ac:dyDescent="0.3">
      <c r="B66" s="36" t="s">
        <v>156</v>
      </c>
      <c r="C66" s="3" t="s">
        <v>220</v>
      </c>
      <c r="D66" s="38">
        <f>(SUM(Input_!D$77:D$78)+SUMPRODUCT(Input_!D$79:D$83,Input_!D$145:D$149))*Input_!D322</f>
        <v>937467.72816572292</v>
      </c>
      <c r="E66" s="38">
        <f>(SUM(Input_!E$77:E$78)+SUMPRODUCT(Input_!E$79:E$83,Input_!E$145:E$149))*Input_!E322</f>
        <v>930324.47542872338</v>
      </c>
      <c r="F66" s="38">
        <f>(SUM(Input_!F$77:F$78)+SUMPRODUCT(Input_!F$79:F$83,Input_!F$145:F$149))*Input_!F322</f>
        <v>930324.47542872338</v>
      </c>
      <c r="G66" s="38">
        <f>(SUM(Input_!G$77:G$78)+SUMPRODUCT(Input_!G$79:G$83,Input_!G$145:G$149))*Input_!G322</f>
        <v>930324.47542872338</v>
      </c>
      <c r="I66"/>
    </row>
    <row r="67" spans="2:9" ht="14.4" customHeight="1" x14ac:dyDescent="0.3">
      <c r="B67" s="36" t="s">
        <v>158</v>
      </c>
      <c r="C67" s="3" t="s">
        <v>220</v>
      </c>
      <c r="D67" s="38">
        <f>(SUM(Input_!D$77:D$78)+SUMPRODUCT(Input_!D$79:D$83,Input_!D$145:D$149))*Input_!D323</f>
        <v>4007674.4645214905</v>
      </c>
      <c r="E67" s="38">
        <f>(SUM(Input_!E$77:E$78)+SUMPRODUCT(Input_!E$79:E$83,Input_!E$145:E$149))*Input_!E323</f>
        <v>3977137.0596300066</v>
      </c>
      <c r="F67" s="38">
        <f>(SUM(Input_!F$77:F$78)+SUMPRODUCT(Input_!F$79:F$83,Input_!F$145:F$149))*Input_!F323</f>
        <v>3977137.0596300066</v>
      </c>
      <c r="G67" s="38">
        <f>(SUM(Input_!G$77:G$78)+SUMPRODUCT(Input_!G$79:G$83,Input_!G$145:G$149))*Input_!G323</f>
        <v>3977137.0596300066</v>
      </c>
      <c r="I67"/>
    </row>
    <row r="68" spans="2:9" ht="14.4" customHeight="1" x14ac:dyDescent="0.3">
      <c r="B68" s="36" t="s">
        <v>160</v>
      </c>
      <c r="C68" s="3" t="s">
        <v>220</v>
      </c>
      <c r="D68" s="38">
        <f>(SUM(Input_!D$77:D$78)+SUMPRODUCT(Input_!D$79:D$83,Input_!D$145:D$149))*Input_!D324</f>
        <v>5381390.5782718407</v>
      </c>
      <c r="E68" s="38">
        <f>(SUM(Input_!E$77:E$78)+SUMPRODUCT(Input_!E$79:E$83,Input_!E$145:E$149))*Input_!E324</f>
        <v>5340385.824911085</v>
      </c>
      <c r="F68" s="38">
        <f>(SUM(Input_!F$77:F$78)+SUMPRODUCT(Input_!F$79:F$83,Input_!F$145:F$149))*Input_!F324</f>
        <v>5340385.824911085</v>
      </c>
      <c r="G68" s="38">
        <f>(SUM(Input_!G$77:G$78)+SUMPRODUCT(Input_!G$79:G$83,Input_!G$145:G$149))*Input_!G324</f>
        <v>5340385.824911085</v>
      </c>
      <c r="I68"/>
    </row>
    <row r="69" spans="2:9" ht="14.4" customHeight="1" x14ac:dyDescent="0.3">
      <c r="B69" s="36" t="s">
        <v>162</v>
      </c>
      <c r="C69" s="3" t="s">
        <v>220</v>
      </c>
      <c r="D69" s="38">
        <f>(SUM(Input_!D$77:D$78)+SUMPRODUCT(Input_!D$79:D$83,Input_!D$145:D$149))*Input_!D325</f>
        <v>56850.117388952385</v>
      </c>
      <c r="E69" s="38">
        <f>(SUM(Input_!E$77:E$78)+SUMPRODUCT(Input_!E$79:E$83,Input_!E$145:E$149))*Input_!E325</f>
        <v>56416.934736967174</v>
      </c>
      <c r="F69" s="38">
        <f>(SUM(Input_!F$77:F$78)+SUMPRODUCT(Input_!F$79:F$83,Input_!F$145:F$149))*Input_!F325</f>
        <v>56416.934736967174</v>
      </c>
      <c r="G69" s="38">
        <f>(SUM(Input_!G$77:G$78)+SUMPRODUCT(Input_!G$79:G$83,Input_!G$145:G$149))*Input_!G325</f>
        <v>56416.934736967174</v>
      </c>
      <c r="I69"/>
    </row>
    <row r="70" spans="2:9" ht="14.4" customHeight="1" x14ac:dyDescent="0.3">
      <c r="B70" s="36" t="s">
        <v>164</v>
      </c>
      <c r="C70" s="3" t="s">
        <v>220</v>
      </c>
      <c r="D70" s="38">
        <f>(SUM(Input_!D$77:D$78)+SUMPRODUCT(Input_!D$79:D$83,Input_!D$145:D$149))*Input_!D326</f>
        <v>192690.38721216487</v>
      </c>
      <c r="E70" s="38">
        <f>(SUM(Input_!E$77:E$78)+SUMPRODUCT(Input_!E$79:E$83,Input_!E$145:E$149))*Input_!E326</f>
        <v>191222.13812529767</v>
      </c>
      <c r="F70" s="38">
        <f>(SUM(Input_!F$77:F$78)+SUMPRODUCT(Input_!F$79:F$83,Input_!F$145:F$149))*Input_!F326</f>
        <v>191222.13812529767</v>
      </c>
      <c r="G70" s="38">
        <f>(SUM(Input_!G$77:G$78)+SUMPRODUCT(Input_!G$79:G$83,Input_!G$145:G$149))*Input_!G326</f>
        <v>191222.13812529767</v>
      </c>
      <c r="I70"/>
    </row>
    <row r="71" spans="2:9" ht="14.4" customHeight="1" x14ac:dyDescent="0.3">
      <c r="B71" s="36" t="s">
        <v>166</v>
      </c>
      <c r="C71" s="3" t="s">
        <v>220</v>
      </c>
      <c r="D71" s="38">
        <f>(SUM(Input_!D$77:D$78)+SUMPRODUCT(Input_!D$79:D$83,Input_!D$145:D$149))*Input_!D327</f>
        <v>173274.80285532883</v>
      </c>
      <c r="E71" s="38">
        <f>(SUM(Input_!E$77:E$78)+SUMPRODUCT(Input_!E$79:E$83,Input_!E$145:E$149))*Input_!E327</f>
        <v>171954.4953156003</v>
      </c>
      <c r="F71" s="38">
        <f>(SUM(Input_!F$77:F$78)+SUMPRODUCT(Input_!F$79:F$83,Input_!F$145:F$149))*Input_!F327</f>
        <v>171954.4953156003</v>
      </c>
      <c r="G71" s="38">
        <f>(SUM(Input_!G$77:G$78)+SUMPRODUCT(Input_!G$79:G$83,Input_!G$145:G$149))*Input_!G327</f>
        <v>171954.4953156003</v>
      </c>
      <c r="I71"/>
    </row>
    <row r="72" spans="2:9" ht="14.4" customHeight="1" x14ac:dyDescent="0.3">
      <c r="B72" s="36" t="s">
        <v>168</v>
      </c>
      <c r="C72" s="3" t="s">
        <v>220</v>
      </c>
      <c r="D72" s="38">
        <f>(SUM(Input_!D$77:D$78)+SUMPRODUCT(Input_!D$79:D$83,Input_!D$145:D$149))*Input_!D328</f>
        <v>60588.286829940473</v>
      </c>
      <c r="E72" s="38">
        <f>(SUM(Input_!E$77:E$78)+SUMPRODUCT(Input_!E$79:E$83,Input_!E$145:E$149))*Input_!E328</f>
        <v>60126.620329084057</v>
      </c>
      <c r="F72" s="38">
        <f>(SUM(Input_!F$77:F$78)+SUMPRODUCT(Input_!F$79:F$83,Input_!F$145:F$149))*Input_!F328</f>
        <v>60126.620329084057</v>
      </c>
      <c r="G72" s="38">
        <f>(SUM(Input_!G$77:G$78)+SUMPRODUCT(Input_!G$79:G$83,Input_!G$145:G$149))*Input_!G328</f>
        <v>60126.620329084057</v>
      </c>
      <c r="I72"/>
    </row>
    <row r="73" spans="2:9" ht="14.4" customHeight="1" x14ac:dyDescent="0.3">
      <c r="B73" s="36" t="s">
        <v>170</v>
      </c>
      <c r="C73" s="3" t="s">
        <v>220</v>
      </c>
      <c r="D73" s="38">
        <f>(SUM(Input_!D$77:D$78)+SUMPRODUCT(Input_!D$79:D$83,Input_!D$145:D$149))*Input_!D329</f>
        <v>214127.53811600766</v>
      </c>
      <c r="E73" s="38">
        <f>(SUM(Input_!E$77:E$78)+SUMPRODUCT(Input_!E$79:E$83,Input_!E$145:E$149))*Input_!E329</f>
        <v>212495.94368693122</v>
      </c>
      <c r="F73" s="38">
        <f>(SUM(Input_!F$77:F$78)+SUMPRODUCT(Input_!F$79:F$83,Input_!F$145:F$149))*Input_!F329</f>
        <v>212495.94368693122</v>
      </c>
      <c r="G73" s="38">
        <f>(SUM(Input_!G$77:G$78)+SUMPRODUCT(Input_!G$79:G$83,Input_!G$145:G$149))*Input_!G329</f>
        <v>212495.94368693122</v>
      </c>
      <c r="I73"/>
    </row>
    <row r="74" spans="2:9" ht="14.4" customHeight="1" x14ac:dyDescent="0.3">
      <c r="B74" s="36" t="s">
        <v>172</v>
      </c>
      <c r="C74" s="3" t="s">
        <v>220</v>
      </c>
      <c r="D74" s="38">
        <f>(SUM(Input_!D$77:D$78)+SUMPRODUCT(Input_!D$79:D$83,Input_!D$145:D$149))*Input_!D330</f>
        <v>30985631.700742044</v>
      </c>
      <c r="E74" s="38">
        <f>(SUM(Input_!E$77:E$78)+SUMPRODUCT(Input_!E$79:E$83,Input_!E$145:E$149))*Input_!E330</f>
        <v>30749529.49497645</v>
      </c>
      <c r="F74" s="38">
        <f>(SUM(Input_!F$77:F$78)+SUMPRODUCT(Input_!F$79:F$83,Input_!F$145:F$149))*Input_!F330</f>
        <v>30749529.49497645</v>
      </c>
      <c r="G74" s="38">
        <f>(SUM(Input_!G$77:G$78)+SUMPRODUCT(Input_!G$79:G$83,Input_!G$145:G$149))*Input_!G330</f>
        <v>30749529.49497645</v>
      </c>
      <c r="I74"/>
    </row>
    <row r="75" spans="2:9" ht="14.4" customHeight="1" x14ac:dyDescent="0.3">
      <c r="B75" s="36" t="s">
        <v>174</v>
      </c>
      <c r="C75" s="3" t="s">
        <v>220</v>
      </c>
      <c r="D75" s="38">
        <f>(SUM(Input_!D$77:D$78)+SUMPRODUCT(Input_!D$79:D$83,Input_!D$145:D$149))*Input_!D331</f>
        <v>490511.69363438879</v>
      </c>
      <c r="E75" s="38">
        <f>(SUM(Input_!E$77:E$78)+SUMPRODUCT(Input_!E$79:E$83,Input_!E$145:E$149))*Input_!E331</f>
        <v>486774.1260437264</v>
      </c>
      <c r="F75" s="38">
        <f>(SUM(Input_!F$77:F$78)+SUMPRODUCT(Input_!F$79:F$83,Input_!F$145:F$149))*Input_!F331</f>
        <v>486774.1260437264</v>
      </c>
      <c r="G75" s="38">
        <f>(SUM(Input_!G$77:G$78)+SUMPRODUCT(Input_!G$79:G$83,Input_!G$145:G$149))*Input_!G331</f>
        <v>486774.1260437264</v>
      </c>
      <c r="I75"/>
    </row>
    <row r="76" spans="2:9" ht="14.4" customHeight="1" x14ac:dyDescent="0.3">
      <c r="B76" s="36" t="s">
        <v>176</v>
      </c>
      <c r="C76" s="3" t="s">
        <v>220</v>
      </c>
      <c r="D76" s="38">
        <f>(SUM(Input_!D$77:D$78)+SUMPRODUCT(Input_!D$79:D$83,Input_!D$145:D$149))*Input_!D332</f>
        <v>2650342.237636135</v>
      </c>
      <c r="E76" s="38">
        <f>(SUM(Input_!E$77:E$78)+SUMPRODUCT(Input_!E$79:E$83,Input_!E$145:E$149))*Input_!E332</f>
        <v>2630147.3403888205</v>
      </c>
      <c r="F76" s="38">
        <f>(SUM(Input_!F$77:F$78)+SUMPRODUCT(Input_!F$79:F$83,Input_!F$145:F$149))*Input_!F332</f>
        <v>2630147.3403888205</v>
      </c>
      <c r="G76" s="38">
        <f>(SUM(Input_!G$77:G$78)+SUMPRODUCT(Input_!G$79:G$83,Input_!G$145:G$149))*Input_!G332</f>
        <v>2630147.3403888205</v>
      </c>
      <c r="I76"/>
    </row>
    <row r="77" spans="2:9" ht="14.4" customHeight="1" x14ac:dyDescent="0.3">
      <c r="B77" s="36" t="s">
        <v>178</v>
      </c>
      <c r="C77" s="3" t="s">
        <v>220</v>
      </c>
      <c r="D77" s="38">
        <f>(SUM(Input_!D$77:D$78)+SUMPRODUCT(Input_!D$79:D$83,Input_!D$145:D$149))*Input_!D333</f>
        <v>527535.58576900885</v>
      </c>
      <c r="E77" s="38">
        <f>(SUM(Input_!E$77:E$78)+SUMPRODUCT(Input_!E$79:E$83,Input_!E$145:E$149))*Input_!E333</f>
        <v>523515.90604703873</v>
      </c>
      <c r="F77" s="38">
        <f>(SUM(Input_!F$77:F$78)+SUMPRODUCT(Input_!F$79:F$83,Input_!F$145:F$149))*Input_!F333</f>
        <v>523515.90604703873</v>
      </c>
      <c r="G77" s="38">
        <f>(SUM(Input_!G$77:G$78)+SUMPRODUCT(Input_!G$79:G$83,Input_!G$145:G$149))*Input_!G333</f>
        <v>523515.90604703873</v>
      </c>
      <c r="I77"/>
    </row>
    <row r="78" spans="2:9" ht="14.4" customHeight="1" x14ac:dyDescent="0.3">
      <c r="B78" s="36" t="s">
        <v>180</v>
      </c>
      <c r="C78" s="3" t="s">
        <v>220</v>
      </c>
      <c r="D78" s="38">
        <f>(SUM(Input_!D$77:D$78)+SUMPRODUCT(Input_!D$79:D$83,Input_!D$145:D$149))*Input_!D334</f>
        <v>1511297.7749569886</v>
      </c>
      <c r="E78" s="38">
        <f>(SUM(Input_!E$77:E$78)+SUMPRODUCT(Input_!E$79:E$83,Input_!E$145:E$149))*Input_!E334</f>
        <v>1499782.0911173904</v>
      </c>
      <c r="F78" s="38">
        <f>(SUM(Input_!F$77:F$78)+SUMPRODUCT(Input_!F$79:F$83,Input_!F$145:F$149))*Input_!F334</f>
        <v>1499782.0911173904</v>
      </c>
      <c r="G78" s="38">
        <f>(SUM(Input_!G$77:G$78)+SUMPRODUCT(Input_!G$79:G$83,Input_!G$145:G$149))*Input_!G334</f>
        <v>1499782.0911173904</v>
      </c>
      <c r="I78"/>
    </row>
    <row r="79" spans="2:9" ht="14.4" customHeight="1" x14ac:dyDescent="0.3">
      <c r="B79" s="36" t="s">
        <v>182</v>
      </c>
      <c r="C79" s="3" t="s">
        <v>220</v>
      </c>
      <c r="D79" s="38">
        <f>(SUM(Input_!D$77:D$78)+SUMPRODUCT(Input_!D$79:D$83,Input_!D$145:D$149))*Input_!D335</f>
        <v>460151.99118812644</v>
      </c>
      <c r="E79" s="38">
        <f>(SUM(Input_!E$77:E$78)+SUMPRODUCT(Input_!E$79:E$83,Input_!E$145:E$149))*Input_!E335</f>
        <v>456645.75639013312</v>
      </c>
      <c r="F79" s="38">
        <f>(SUM(Input_!F$77:F$78)+SUMPRODUCT(Input_!F$79:F$83,Input_!F$145:F$149))*Input_!F335</f>
        <v>456645.75639013312</v>
      </c>
      <c r="G79" s="38">
        <f>(SUM(Input_!G$77:G$78)+SUMPRODUCT(Input_!G$79:G$83,Input_!G$145:G$149))*Input_!G335</f>
        <v>456645.75639013312</v>
      </c>
      <c r="I79"/>
    </row>
    <row r="80" spans="2:9" ht="14.4" customHeight="1" x14ac:dyDescent="0.3">
      <c r="B80" s="36" t="s">
        <v>184</v>
      </c>
      <c r="C80" s="3" t="s">
        <v>220</v>
      </c>
      <c r="D80" s="38">
        <f>(SUM(Input_!D$77:D$78)+SUMPRODUCT(Input_!D$79:D$83,Input_!D$145:D$149))*Input_!D336</f>
        <v>1747372.2588321103</v>
      </c>
      <c r="E80" s="38">
        <f>(SUM(Input_!E$77:E$78)+SUMPRODUCT(Input_!E$79:E$83,Input_!E$145:E$149))*Input_!E336</f>
        <v>1734057.7507211145</v>
      </c>
      <c r="F80" s="38">
        <f>(SUM(Input_!F$77:F$78)+SUMPRODUCT(Input_!F$79:F$83,Input_!F$145:F$149))*Input_!F336</f>
        <v>1734057.7507211145</v>
      </c>
      <c r="G80" s="38">
        <f>(SUM(Input_!G$77:G$78)+SUMPRODUCT(Input_!G$79:G$83,Input_!G$145:G$149))*Input_!G336</f>
        <v>1734057.7507211145</v>
      </c>
      <c r="I80"/>
    </row>
    <row r="81" spans="2:9" ht="14.4" customHeight="1" x14ac:dyDescent="0.3">
      <c r="B81" s="36" t="s">
        <v>186</v>
      </c>
      <c r="C81" s="3" t="s">
        <v>220</v>
      </c>
      <c r="D81" s="38">
        <f>(SUM(Input_!D$77:D$78)+SUMPRODUCT(Input_!D$79:D$83,Input_!D$145:D$149))*Input_!D337</f>
        <v>270847.51593538024</v>
      </c>
      <c r="E81" s="38">
        <f>(SUM(Input_!E$77:E$78)+SUMPRODUCT(Input_!E$79:E$83,Input_!E$145:E$149))*Input_!E337</f>
        <v>268783.73048294609</v>
      </c>
      <c r="F81" s="38">
        <f>(SUM(Input_!F$77:F$78)+SUMPRODUCT(Input_!F$79:F$83,Input_!F$145:F$149))*Input_!F337</f>
        <v>268783.73048294609</v>
      </c>
      <c r="G81" s="38">
        <f>(SUM(Input_!G$77:G$78)+SUMPRODUCT(Input_!G$79:G$83,Input_!G$145:G$149))*Input_!G337</f>
        <v>268783.73048294609</v>
      </c>
      <c r="I81"/>
    </row>
    <row r="82" spans="2:9" ht="14.4" customHeight="1" x14ac:dyDescent="0.3">
      <c r="B82" s="36" t="s">
        <v>188</v>
      </c>
      <c r="C82" s="3" t="s">
        <v>220</v>
      </c>
      <c r="D82" s="38">
        <f>(SUM(Input_!D$77:D$78)+SUMPRODUCT(Input_!D$79:D$83,Input_!D$145:D$149))*Input_!D338</f>
        <v>75394.516807573702</v>
      </c>
      <c r="E82" s="38">
        <f>(SUM(Input_!E$77:E$78)+SUMPRODUCT(Input_!E$79:E$83,Input_!E$145:E$149))*Input_!E338</f>
        <v>74820.030804098977</v>
      </c>
      <c r="F82" s="38">
        <f>(SUM(Input_!F$77:F$78)+SUMPRODUCT(Input_!F$79:F$83,Input_!F$145:F$149))*Input_!F338</f>
        <v>74820.030804098977</v>
      </c>
      <c r="G82" s="38">
        <f>(SUM(Input_!G$77:G$78)+SUMPRODUCT(Input_!G$79:G$83,Input_!G$145:G$149))*Input_!G338</f>
        <v>74820.030804098977</v>
      </c>
      <c r="I82"/>
    </row>
    <row r="83" spans="2:9" ht="14.4" customHeight="1" x14ac:dyDescent="0.3">
      <c r="B83" s="36" t="s">
        <v>190</v>
      </c>
      <c r="C83" s="3" t="s">
        <v>220</v>
      </c>
      <c r="D83" s="38">
        <f>(SUM(Input_!D$77:D$78)+SUMPRODUCT(Input_!D$79:D$83,Input_!D$145:D$149))*Input_!D339</f>
        <v>418662.90931027912</v>
      </c>
      <c r="E83" s="38">
        <f>(SUM(Input_!E$77:E$78)+SUMPRODUCT(Input_!E$79:E$83,Input_!E$145:E$149))*Input_!E339</f>
        <v>415472.81019224081</v>
      </c>
      <c r="F83" s="38">
        <f>(SUM(Input_!F$77:F$78)+SUMPRODUCT(Input_!F$79:F$83,Input_!F$145:F$149))*Input_!F339</f>
        <v>415472.81019224081</v>
      </c>
      <c r="G83" s="38">
        <f>(SUM(Input_!G$77:G$78)+SUMPRODUCT(Input_!G$79:G$83,Input_!G$145:G$149))*Input_!G339</f>
        <v>415472.81019224081</v>
      </c>
      <c r="I83"/>
    </row>
    <row r="84" spans="2:9" ht="14.4" customHeight="1" x14ac:dyDescent="0.3">
      <c r="B84" s="36" t="s">
        <v>192</v>
      </c>
      <c r="C84" s="3" t="s">
        <v>220</v>
      </c>
      <c r="D84" s="38">
        <f>(SUM(Input_!D$77:D$78)+SUMPRODUCT(Input_!D$79:D$83,Input_!D$145:D$149))*Input_!D340</f>
        <v>426568.48045683431</v>
      </c>
      <c r="E84" s="38">
        <f>(SUM(Input_!E$77:E$78)+SUMPRODUCT(Input_!E$79:E$83,Input_!E$145:E$149))*Input_!E340</f>
        <v>423318.14300628228</v>
      </c>
      <c r="F84" s="38">
        <f>(SUM(Input_!F$77:F$78)+SUMPRODUCT(Input_!F$79:F$83,Input_!F$145:F$149))*Input_!F340</f>
        <v>423318.14300628228</v>
      </c>
      <c r="G84" s="38">
        <f>(SUM(Input_!G$77:G$78)+SUMPRODUCT(Input_!G$79:G$83,Input_!G$145:G$149))*Input_!G340</f>
        <v>423318.14300628228</v>
      </c>
      <c r="I84"/>
    </row>
    <row r="85" spans="2:9" ht="14.4" customHeight="1" x14ac:dyDescent="0.3">
      <c r="B85" s="36" t="s">
        <v>194</v>
      </c>
      <c r="C85" s="3" t="s">
        <v>220</v>
      </c>
      <c r="D85" s="38">
        <f>(SUM(Input_!D$77:D$78)+SUMPRODUCT(Input_!D$79:D$83,Input_!D$145:D$149))*Input_!D341</f>
        <v>294466.70623894472</v>
      </c>
      <c r="E85" s="38">
        <f>(SUM(Input_!E$77:E$78)+SUMPRODUCT(Input_!E$79:E$83,Input_!E$145:E$149))*Input_!E341</f>
        <v>292222.94888911868</v>
      </c>
      <c r="F85" s="38">
        <f>(SUM(Input_!F$77:F$78)+SUMPRODUCT(Input_!F$79:F$83,Input_!F$145:F$149))*Input_!F341</f>
        <v>292222.94888911868</v>
      </c>
      <c r="G85" s="38">
        <f>(SUM(Input_!G$77:G$78)+SUMPRODUCT(Input_!G$79:G$83,Input_!G$145:G$149))*Input_!G341</f>
        <v>292222.94888911868</v>
      </c>
      <c r="I85"/>
    </row>
    <row r="86" spans="2:9" ht="14.4" customHeight="1" x14ac:dyDescent="0.3">
      <c r="B86" s="36" t="s">
        <v>196</v>
      </c>
      <c r="C86" s="3" t="s">
        <v>220</v>
      </c>
      <c r="D86" s="38">
        <f>(SUM(Input_!D$77:D$78)+SUMPRODUCT(Input_!D$79:D$83,Input_!D$145:D$149))*Input_!D342</f>
        <v>174115.00218173882</v>
      </c>
      <c r="E86" s="38">
        <f>(SUM(Input_!E$77:E$78)+SUMPRODUCT(Input_!E$79:E$83,Input_!E$145:E$149))*Input_!E342</f>
        <v>172788.29254841528</v>
      </c>
      <c r="F86" s="38">
        <f>(SUM(Input_!F$77:F$78)+SUMPRODUCT(Input_!F$79:F$83,Input_!F$145:F$149))*Input_!F342</f>
        <v>172788.29254841528</v>
      </c>
      <c r="G86" s="38">
        <f>(SUM(Input_!G$77:G$78)+SUMPRODUCT(Input_!G$79:G$83,Input_!G$145:G$149))*Input_!G342</f>
        <v>172788.29254841528</v>
      </c>
      <c r="I86"/>
    </row>
    <row r="87" spans="2:9" ht="14.4" customHeight="1" x14ac:dyDescent="0.3">
      <c r="B87" s="36" t="s">
        <v>198</v>
      </c>
      <c r="C87" s="3" t="s">
        <v>220</v>
      </c>
      <c r="D87" s="38">
        <f>(SUM(Input_!D$77:D$78)+SUMPRODUCT(Input_!D$79:D$83,Input_!D$145:D$149))*Input_!D343</f>
        <v>211724.6854616355</v>
      </c>
      <c r="E87" s="38">
        <f>(SUM(Input_!E$77:E$78)+SUMPRODUCT(Input_!E$79:E$83,Input_!E$145:E$149))*Input_!E343</f>
        <v>210111.40012553823</v>
      </c>
      <c r="F87" s="38">
        <f>(SUM(Input_!F$77:F$78)+SUMPRODUCT(Input_!F$79:F$83,Input_!F$145:F$149))*Input_!F343</f>
        <v>210111.40012553823</v>
      </c>
      <c r="G87" s="38">
        <f>(SUM(Input_!G$77:G$78)+SUMPRODUCT(Input_!G$79:G$83,Input_!G$145:G$149))*Input_!G343</f>
        <v>210111.40012553823</v>
      </c>
      <c r="I87"/>
    </row>
    <row r="88" spans="2:9" ht="14.4" customHeight="1" x14ac:dyDescent="0.3">
      <c r="B88" s="36" t="s">
        <v>200</v>
      </c>
      <c r="C88" s="3" t="s">
        <v>220</v>
      </c>
      <c r="D88" s="38">
        <f>(SUM(Input_!D$77:D$78)+SUMPRODUCT(Input_!D$79:D$83,Input_!D$145:D$149))*Input_!D344</f>
        <v>698233.36421518959</v>
      </c>
      <c r="E88" s="38">
        <f>(SUM(Input_!E$77:E$78)+SUMPRODUCT(Input_!E$79:E$83,Input_!E$145:E$149))*Input_!E344</f>
        <v>692913.01318854303</v>
      </c>
      <c r="F88" s="38">
        <f>(SUM(Input_!F$77:F$78)+SUMPRODUCT(Input_!F$79:F$83,Input_!F$145:F$149))*Input_!F344</f>
        <v>692913.01318854303</v>
      </c>
      <c r="G88" s="38">
        <f>(SUM(Input_!G$77:G$78)+SUMPRODUCT(Input_!G$79:G$83,Input_!G$145:G$149))*Input_!G344</f>
        <v>692913.01318854303</v>
      </c>
      <c r="I88"/>
    </row>
    <row r="89" spans="2:9" ht="14.4" customHeight="1" x14ac:dyDescent="0.3">
      <c r="B89" s="36" t="s">
        <v>202</v>
      </c>
      <c r="C89" s="3" t="s">
        <v>220</v>
      </c>
      <c r="D89" s="38">
        <f>(SUM(Input_!D$77:D$78)+SUMPRODUCT(Input_!D$79:D$83,Input_!D$145:D$149))*Input_!D345</f>
        <v>874460.28046467097</v>
      </c>
      <c r="E89" s="38">
        <f>(SUM(Input_!E$77:E$78)+SUMPRODUCT(Input_!E$79:E$83,Input_!E$145:E$149))*Input_!E345</f>
        <v>867797.127585746</v>
      </c>
      <c r="F89" s="38">
        <f>(SUM(Input_!F$77:F$78)+SUMPRODUCT(Input_!F$79:F$83,Input_!F$145:F$149))*Input_!F345</f>
        <v>867797.127585746</v>
      </c>
      <c r="G89" s="38">
        <f>(SUM(Input_!G$77:G$78)+SUMPRODUCT(Input_!G$79:G$83,Input_!G$145:G$149))*Input_!G345</f>
        <v>867797.127585746</v>
      </c>
      <c r="I89"/>
    </row>
    <row r="90" spans="2:9" ht="14.4" customHeight="1" x14ac:dyDescent="0.3">
      <c r="B90" s="36" t="s">
        <v>204</v>
      </c>
      <c r="C90" s="3" t="s">
        <v>220</v>
      </c>
      <c r="D90" s="38">
        <f>(SUM(Input_!D$77:D$78)+SUMPRODUCT(Input_!D$79:D$83,Input_!D$145:D$149))*Input_!D346</f>
        <v>6302979.3219628185</v>
      </c>
      <c r="E90" s="38">
        <f>(SUM(Input_!E$77:E$78)+SUMPRODUCT(Input_!E$79:E$83,Input_!E$145:E$149))*Input_!E346</f>
        <v>6254952.3094693245</v>
      </c>
      <c r="F90" s="38">
        <f>(SUM(Input_!F$77:F$78)+SUMPRODUCT(Input_!F$79:F$83,Input_!F$145:F$149))*Input_!F346</f>
        <v>6254952.3094693245</v>
      </c>
      <c r="G90" s="38">
        <f>(SUM(Input_!G$77:G$78)+SUMPRODUCT(Input_!G$79:G$83,Input_!G$145:G$149))*Input_!G346</f>
        <v>6254952.3094693245</v>
      </c>
      <c r="I90"/>
    </row>
    <row r="91" spans="2:9" ht="14.4" customHeight="1" x14ac:dyDescent="0.3">
      <c r="B91" s="36" t="s">
        <v>206</v>
      </c>
      <c r="C91" s="3" t="s">
        <v>220</v>
      </c>
      <c r="D91" s="38">
        <f>(SUM(Input_!D$77:D$78)+SUMPRODUCT(Input_!D$79:D$83,Input_!D$145:D$149))*Input_!D347</f>
        <v>13577960.651858555</v>
      </c>
      <c r="E91" s="38">
        <f>(SUM(Input_!E$77:E$78)+SUMPRODUCT(Input_!E$79:E$83,Input_!E$145:E$149))*Input_!E347</f>
        <v>13474500.232181991</v>
      </c>
      <c r="F91" s="38">
        <f>(SUM(Input_!F$77:F$78)+SUMPRODUCT(Input_!F$79:F$83,Input_!F$145:F$149))*Input_!F347</f>
        <v>13474500.232181991</v>
      </c>
      <c r="G91" s="38">
        <f>(SUM(Input_!G$77:G$78)+SUMPRODUCT(Input_!G$79:G$83,Input_!G$145:G$149))*Input_!G347</f>
        <v>13474500.232181991</v>
      </c>
      <c r="I91"/>
    </row>
    <row r="92" spans="2:9" ht="14.4" customHeight="1" x14ac:dyDescent="0.3">
      <c r="B92" s="36" t="s">
        <v>208</v>
      </c>
      <c r="C92" s="3" t="s">
        <v>220</v>
      </c>
      <c r="D92" s="38">
        <f>(SUM(Input_!D$77:D$78)+SUMPRODUCT(Input_!D$79:D$83,Input_!D$145:D$149))*Input_!D348</f>
        <v>5725553.9657092011</v>
      </c>
      <c r="E92" s="38">
        <f>(SUM(Input_!E$77:E$78)+SUMPRODUCT(Input_!E$79:E$83,Input_!E$145:E$149))*Input_!E348</f>
        <v>5681926.7796124434</v>
      </c>
      <c r="F92" s="38">
        <f>(SUM(Input_!F$77:F$78)+SUMPRODUCT(Input_!F$79:F$83,Input_!F$145:F$149))*Input_!F348</f>
        <v>5681926.7796124434</v>
      </c>
      <c r="G92" s="38">
        <f>(SUM(Input_!G$77:G$78)+SUMPRODUCT(Input_!G$79:G$83,Input_!G$145:G$149))*Input_!G348</f>
        <v>5681926.7796124434</v>
      </c>
      <c r="I92"/>
    </row>
    <row r="93" spans="2:9" ht="14.4" customHeight="1" x14ac:dyDescent="0.3">
      <c r="B93" s="36" t="s">
        <v>209</v>
      </c>
      <c r="C93" s="3" t="s">
        <v>220</v>
      </c>
      <c r="D93" s="38">
        <f>(SUM(Input_!D$77:D$78)+SUMPRODUCT(Input_!D$79:D$83,Input_!D$145:D$149))*Input_!D349</f>
        <v>141385.71584325258</v>
      </c>
      <c r="E93" s="38">
        <f>(SUM(Input_!E$77:E$78)+SUMPRODUCT(Input_!E$79:E$83,Input_!E$145:E$149))*Input_!E349</f>
        <v>140308.39459652972</v>
      </c>
      <c r="F93" s="38">
        <f>(SUM(Input_!F$77:F$78)+SUMPRODUCT(Input_!F$79:F$83,Input_!F$145:F$149))*Input_!F349</f>
        <v>140308.39459652972</v>
      </c>
      <c r="G93" s="38">
        <f>(SUM(Input_!G$77:G$78)+SUMPRODUCT(Input_!G$79:G$83,Input_!G$145:G$149))*Input_!G349</f>
        <v>140308.39459652972</v>
      </c>
      <c r="I93"/>
    </row>
    <row r="94" spans="2:9" ht="14.4" customHeight="1" x14ac:dyDescent="0.3">
      <c r="B94" s="36" t="s">
        <v>211</v>
      </c>
      <c r="C94" s="3" t="s">
        <v>220</v>
      </c>
      <c r="D94" s="38">
        <f>(SUM(Input_!D$77:D$78)+SUMPRODUCT(Input_!D$79:D$83,Input_!D$145:D$149))*Input_!D350</f>
        <v>11117664.587172469</v>
      </c>
      <c r="E94" s="38">
        <f>(SUM(Input_!E$77:E$78)+SUMPRODUCT(Input_!E$79:E$83,Input_!E$145:E$149))*Input_!E350</f>
        <v>11032950.963860068</v>
      </c>
      <c r="F94" s="38">
        <f>(SUM(Input_!F$77:F$78)+SUMPRODUCT(Input_!F$79:F$83,Input_!F$145:F$149))*Input_!F350</f>
        <v>11032950.963860068</v>
      </c>
      <c r="G94" s="38">
        <f>(SUM(Input_!G$77:G$78)+SUMPRODUCT(Input_!G$79:G$83,Input_!G$145:G$149))*Input_!G350</f>
        <v>11032950.963860068</v>
      </c>
      <c r="I94"/>
    </row>
    <row r="95" spans="2:9" ht="14.4" customHeight="1" x14ac:dyDescent="0.3">
      <c r="B95" s="36" t="s">
        <v>212</v>
      </c>
      <c r="C95" s="3" t="s">
        <v>220</v>
      </c>
      <c r="D95" s="38">
        <f>(SUM(Input_!D$77:D$78)+SUMPRODUCT(Input_!D$79:D$83,Input_!D$145:D$149))*Input_!D351</f>
        <v>41463.967224068758</v>
      </c>
      <c r="E95" s="38">
        <f>(SUM(Input_!E$77:E$78)+SUMPRODUCT(Input_!E$79:E$83,Input_!E$145:E$149))*Input_!E351</f>
        <v>41148.02291104188</v>
      </c>
      <c r="F95" s="38">
        <f>(SUM(Input_!F$77:F$78)+SUMPRODUCT(Input_!F$79:F$83,Input_!F$145:F$149))*Input_!F351</f>
        <v>41148.02291104188</v>
      </c>
      <c r="G95" s="38">
        <f>(SUM(Input_!G$77:G$78)+SUMPRODUCT(Input_!G$79:G$83,Input_!G$145:G$149))*Input_!G351</f>
        <v>41148.02291104188</v>
      </c>
      <c r="I95"/>
    </row>
    <row r="98" spans="2:7" ht="28.8" customHeight="1" x14ac:dyDescent="0.3">
      <c r="B98" s="32" t="s">
        <v>249</v>
      </c>
      <c r="C98" s="5"/>
      <c r="D98" s="5"/>
      <c r="E98" s="5"/>
      <c r="F98" s="5"/>
      <c r="G98" s="5"/>
    </row>
    <row r="99" spans="2:7" ht="14.4" customHeight="1" x14ac:dyDescent="0.3">
      <c r="B99" s="37" t="s">
        <v>248</v>
      </c>
    </row>
    <row r="100" spans="2:7" ht="14.4" customHeight="1" x14ac:dyDescent="0.3">
      <c r="B100" s="9" t="s">
        <v>1</v>
      </c>
      <c r="C100" s="9" t="s">
        <v>214</v>
      </c>
      <c r="D100" s="6"/>
      <c r="E100" s="6"/>
      <c r="F100" s="6"/>
      <c r="G100" s="6"/>
    </row>
    <row r="101" spans="2:7" ht="14.4" customHeight="1" x14ac:dyDescent="0.3">
      <c r="B101" s="25"/>
      <c r="C101" s="25"/>
      <c r="D101" s="23" t="str">
        <f>Input_!D$5</f>
        <v>2023-24</v>
      </c>
      <c r="E101" s="23" t="str">
        <f>Input_!E$5</f>
        <v>2024-25</v>
      </c>
      <c r="F101" s="23" t="str">
        <f>Input_!F$5</f>
        <v>2025-26</v>
      </c>
      <c r="G101" s="23" t="str">
        <f>Input_!G$5</f>
        <v>2026-27</v>
      </c>
    </row>
    <row r="102" spans="2:7" ht="14.4" customHeight="1" x14ac:dyDescent="0.3">
      <c r="B102" s="24"/>
      <c r="C102" s="24"/>
      <c r="D102" s="8"/>
      <c r="E102" s="8"/>
      <c r="F102" s="8"/>
      <c r="G102" s="8"/>
    </row>
    <row r="103" spans="2:7" ht="14.4" customHeight="1" x14ac:dyDescent="0.3">
      <c r="B103" s="36" t="s">
        <v>0</v>
      </c>
      <c r="C103" s="3" t="s">
        <v>216</v>
      </c>
      <c r="D103" s="55">
        <f>SUMPRODUCT('A4a.CWD Entry Av. Distance'!$D7:$D11,'Distance Matrix_Entry'!C$23:C$27)/SUMIFS('A4a.CWD Entry Av. Distance'!$D7:$D11,'Distance Matrix_Entry'!C$23:C$27,"&gt;0")</f>
        <v>471.59134928456092</v>
      </c>
      <c r="E103" s="55">
        <f>SUMPRODUCT('A4a.CWD Entry Av. Distance'!$E7:$E11,'Distance Matrix_Entry'!C$23:C$27)/SUMIFS('A4a.CWD Entry Av. Distance'!$E7:$E11,'Distance Matrix_Entry'!C$23:C$27,"&gt;0")</f>
        <v>473.32487831637587</v>
      </c>
      <c r="F103" s="55">
        <f>SUMPRODUCT('A4a.CWD Entry Av. Distance'!$F7:$F11,'Distance Matrix_Entry'!C$23:C$27)/SUMIFS('A4a.CWD Entry Av. Distance'!$F7:$F11,'Distance Matrix_Entry'!C$23:C$27,"&gt;0")</f>
        <v>473.32487831637587</v>
      </c>
      <c r="G103" s="55">
        <f>SUMPRODUCT('A4a.CWD Entry Av. Distance'!$G7:$G11,'Distance Matrix_Entry'!C$23:C$27)/SUMIFS('A4a.CWD Entry Av. Distance'!$G7:$G11,'Distance Matrix_Entry'!C$23:C$27,"&gt;0")</f>
        <v>473.32487831637587</v>
      </c>
    </row>
    <row r="104" spans="2:7" ht="14.4" customHeight="1" x14ac:dyDescent="0.3">
      <c r="B104" s="36" t="s">
        <v>215</v>
      </c>
      <c r="C104" s="3" t="s">
        <v>216</v>
      </c>
      <c r="D104" s="55">
        <f>SUMPRODUCT('A4a.CWD Entry Av. Distance'!$D7:$D11,'Distance Matrix_Entry'!D$23:D$27)/SUMIFS('A4a.CWD Entry Av. Distance'!$D7:$D11,'Distance Matrix_Entry'!D$23:D$27,"&gt;0")</f>
        <v>535.30694561384405</v>
      </c>
      <c r="E104" s="55">
        <f>SUMPRODUCT('A4a.CWD Entry Av. Distance'!$E7:$E11,'Distance Matrix_Entry'!D$23:D$27)/SUMIFS('A4a.CWD Entry Av. Distance'!$E7:$E11,'Distance Matrix_Entry'!D$23:D$27,"&gt;0")</f>
        <v>536.66770369951473</v>
      </c>
      <c r="F104" s="55">
        <f>SUMPRODUCT('A4a.CWD Entry Av. Distance'!$F7:$F11,'Distance Matrix_Entry'!D$23:D$27)/SUMIFS('A4a.CWD Entry Av. Distance'!$F7:$F11,'Distance Matrix_Entry'!D$23:D$27,"&gt;0")</f>
        <v>536.66770369951473</v>
      </c>
      <c r="G104" s="55">
        <f>SUMPRODUCT('A4a.CWD Entry Av. Distance'!$G7:$G11,'Distance Matrix_Entry'!D$23:D$27)/SUMIFS('A4a.CWD Entry Av. Distance'!$G7:$G11,'Distance Matrix_Entry'!D$23:D$27,"&gt;0")</f>
        <v>536.66770369951473</v>
      </c>
    </row>
    <row r="105" spans="2:7" ht="14.4" customHeight="1" x14ac:dyDescent="0.3">
      <c r="B105" s="36" t="s">
        <v>217</v>
      </c>
      <c r="C105" s="3" t="s">
        <v>14</v>
      </c>
      <c r="D105" s="55">
        <f>SUMPRODUCT('A4a.CWD Entry Av. Distance'!$D7:$D11,'Distance Matrix_Entry'!E$23:E$27)/SUMIFS('A4a.CWD Entry Av. Distance'!$D7:$D11,'Distance Matrix_Entry'!E$23:E$27,"&gt;0")</f>
        <v>442.43459374606732</v>
      </c>
      <c r="E105" s="55">
        <f>SUMPRODUCT('A4a.CWD Entry Av. Distance'!$E7:$E11,'Distance Matrix_Entry'!E$23:E$27)/SUMIFS('A4a.CWD Entry Av. Distance'!$E7:$E11,'Distance Matrix_Entry'!E$23:E$27,"&gt;0")</f>
        <v>449.67191232546492</v>
      </c>
      <c r="F105" s="55">
        <f>SUMPRODUCT('A4a.CWD Entry Av. Distance'!$F7:$F11,'Distance Matrix_Entry'!E$23:E$27)/SUMIFS('A4a.CWD Entry Av. Distance'!$F7:$F11,'Distance Matrix_Entry'!E$23:E$27,"&gt;0")</f>
        <v>449.67191232546492</v>
      </c>
      <c r="G105" s="55">
        <f>SUMPRODUCT('A4a.CWD Entry Av. Distance'!$G7:$G11,'Distance Matrix_Entry'!E$23:E$27)/SUMIFS('A4a.CWD Entry Av. Distance'!$G7:$G11,'Distance Matrix_Entry'!E$23:E$27,"&gt;0")</f>
        <v>449.67191232546492</v>
      </c>
    </row>
    <row r="106" spans="2:7" ht="14.4" customHeight="1" x14ac:dyDescent="0.3">
      <c r="B106" s="36" t="s">
        <v>218</v>
      </c>
      <c r="C106" s="3" t="s">
        <v>15</v>
      </c>
      <c r="D106" s="55">
        <f>SUMPRODUCT('A4a.CWD Entry Av. Distance'!$D7:$D11,'Distance Matrix_Entry'!F$23:F$27)/SUMIFS('A4a.CWD Entry Av. Distance'!$D7:$D11,'Distance Matrix_Entry'!F$23:F$27,"&gt;0")</f>
        <v>275.06928062598172</v>
      </c>
      <c r="E106" s="55">
        <f>SUMPRODUCT('A4a.CWD Entry Av. Distance'!$E7:$E11,'Distance Matrix_Entry'!F$23:F$27)/SUMIFS('A4a.CWD Entry Av. Distance'!$E7:$E11,'Distance Matrix_Entry'!F$23:F$27,"&gt;0")</f>
        <v>274.91792850823407</v>
      </c>
      <c r="F106" s="55">
        <f>SUMPRODUCT('A4a.CWD Entry Av. Distance'!$F7:$F11,'Distance Matrix_Entry'!F$23:F$27)/SUMIFS('A4a.CWD Entry Av. Distance'!$F7:$F11,'Distance Matrix_Entry'!F$23:F$27,"&gt;0")</f>
        <v>274.91792850823407</v>
      </c>
      <c r="G106" s="55">
        <f>SUMPRODUCT('A4a.CWD Entry Av. Distance'!$G7:$G11,'Distance Matrix_Entry'!F$23:F$27)/SUMIFS('A4a.CWD Entry Av. Distance'!$G7:$G11,'Distance Matrix_Entry'!F$23:F$27,"&gt;0")</f>
        <v>274.91792850823407</v>
      </c>
    </row>
    <row r="107" spans="2:7" ht="14.4" customHeight="1" x14ac:dyDescent="0.3">
      <c r="B107" s="36" t="s">
        <v>54</v>
      </c>
      <c r="C107" s="3" t="s">
        <v>220</v>
      </c>
      <c r="D107" s="55">
        <f>SUMPRODUCT('A4a.CWD Entry Av. Distance'!$D7:$D11,'Distance Matrix_Entry'!G$23:G$27)/SUMIFS('A4a.CWD Entry Av. Distance'!$D7:$D11,'Distance Matrix_Entry'!G$23:G$27,"&gt;0")</f>
        <v>134.00086298869459</v>
      </c>
      <c r="E107" s="55">
        <f>SUMPRODUCT('A4a.CWD Entry Av. Distance'!$E7:$E11,'Distance Matrix_Entry'!G$23:G$27)/SUMIFS('A4a.CWD Entry Av. Distance'!$E7:$E11,'Distance Matrix_Entry'!G$23:G$27,"&gt;0")</f>
        <v>134.88362731412818</v>
      </c>
      <c r="F107" s="55">
        <f>SUMPRODUCT('A4a.CWD Entry Av. Distance'!$F7:$F11,'Distance Matrix_Entry'!G$23:G$27)/SUMIFS('A4a.CWD Entry Av. Distance'!$F7:$F11,'Distance Matrix_Entry'!G$23:G$27,"&gt;0")</f>
        <v>134.88362731412818</v>
      </c>
      <c r="G107" s="55">
        <f>SUMPRODUCT('A4a.CWD Entry Av. Distance'!$G7:$G11,'Distance Matrix_Entry'!G$23:G$27)/SUMIFS('A4a.CWD Entry Av. Distance'!$G7:$G11,'Distance Matrix_Entry'!G$23:G$27,"&gt;0")</f>
        <v>134.88362731412818</v>
      </c>
    </row>
    <row r="108" spans="2:7" ht="14.4" customHeight="1" x14ac:dyDescent="0.3">
      <c r="B108" s="36" t="s">
        <v>56</v>
      </c>
      <c r="C108" s="3" t="s">
        <v>220</v>
      </c>
      <c r="D108" s="55">
        <f>SUMPRODUCT('A4a.CWD Entry Av. Distance'!$D7:$D11,'Distance Matrix_Entry'!H$23:H$27)/SUMIFS('A4a.CWD Entry Av. Distance'!$D7:$D11,'Distance Matrix_Entry'!H$23:H$27,"&gt;0")</f>
        <v>157.88409055916318</v>
      </c>
      <c r="E108" s="55">
        <f>SUMPRODUCT('A4a.CWD Entry Av. Distance'!$E7:$E11,'Distance Matrix_Entry'!H$23:H$27)/SUMIFS('A4a.CWD Entry Av. Distance'!$E7:$E11,'Distance Matrix_Entry'!H$23:H$27,"&gt;0")</f>
        <v>158.78501477871941</v>
      </c>
      <c r="F108" s="55">
        <f>SUMPRODUCT('A4a.CWD Entry Av. Distance'!$F7:$F11,'Distance Matrix_Entry'!H$23:H$27)/SUMIFS('A4a.CWD Entry Av. Distance'!$F7:$F11,'Distance Matrix_Entry'!H$23:H$27,"&gt;0")</f>
        <v>158.78501477871941</v>
      </c>
      <c r="G108" s="55">
        <f>SUMPRODUCT('A4a.CWD Entry Av. Distance'!$G7:$G11,'Distance Matrix_Entry'!H$23:H$27)/SUMIFS('A4a.CWD Entry Av. Distance'!$G7:$G11,'Distance Matrix_Entry'!H$23:H$27,"&gt;0")</f>
        <v>158.78501477871941</v>
      </c>
    </row>
    <row r="109" spans="2:7" ht="14.4" customHeight="1" x14ac:dyDescent="0.3">
      <c r="B109" s="36" t="s">
        <v>58</v>
      </c>
      <c r="C109" s="3" t="s">
        <v>220</v>
      </c>
      <c r="D109" s="55">
        <f>SUMPRODUCT('A4a.CWD Entry Av. Distance'!$D7:$D11,'Distance Matrix_Entry'!I$23:I$27)/SUMIFS('A4a.CWD Entry Av. Distance'!$D7:$D11,'Distance Matrix_Entry'!I$23:I$27,"&gt;0")</f>
        <v>149.57309055916323</v>
      </c>
      <c r="E109" s="55">
        <f>SUMPRODUCT('A4a.CWD Entry Av. Distance'!$E7:$E11,'Distance Matrix_Entry'!I$23:I$27)/SUMIFS('A4a.CWD Entry Av. Distance'!$E7:$E11,'Distance Matrix_Entry'!I$23:I$27,"&gt;0")</f>
        <v>150.47401477871941</v>
      </c>
      <c r="F109" s="55">
        <f>SUMPRODUCT('A4a.CWD Entry Av. Distance'!$F7:$F11,'Distance Matrix_Entry'!I$23:I$27)/SUMIFS('A4a.CWD Entry Av. Distance'!$F7:$F11,'Distance Matrix_Entry'!I$23:I$27,"&gt;0")</f>
        <v>150.47401477871941</v>
      </c>
      <c r="G109" s="55">
        <f>SUMPRODUCT('A4a.CWD Entry Av. Distance'!$G7:$G11,'Distance Matrix_Entry'!I$23:I$27)/SUMIFS('A4a.CWD Entry Av. Distance'!$G7:$G11,'Distance Matrix_Entry'!I$23:I$27,"&gt;0")</f>
        <v>150.47401477871941</v>
      </c>
    </row>
    <row r="110" spans="2:7" ht="14.4" customHeight="1" x14ac:dyDescent="0.3">
      <c r="B110" s="36" t="s">
        <v>60</v>
      </c>
      <c r="C110" s="3" t="s">
        <v>220</v>
      </c>
      <c r="D110" s="55">
        <f>SUMPRODUCT('A4a.CWD Entry Av. Distance'!$D7:$D11,'Distance Matrix_Entry'!J$23:J$27)/SUMIFS('A4a.CWD Entry Av. Distance'!$D7:$D11,'Distance Matrix_Entry'!J$23:J$27,"&gt;0")</f>
        <v>157.88309055916321</v>
      </c>
      <c r="E110" s="55">
        <f>SUMPRODUCT('A4a.CWD Entry Av. Distance'!$E7:$E11,'Distance Matrix_Entry'!J$23:J$27)/SUMIFS('A4a.CWD Entry Av. Distance'!$E7:$E11,'Distance Matrix_Entry'!J$23:J$27,"&gt;0")</f>
        <v>158.78401477871944</v>
      </c>
      <c r="F110" s="55">
        <f>SUMPRODUCT('A4a.CWD Entry Av. Distance'!$F7:$F11,'Distance Matrix_Entry'!J$23:J$27)/SUMIFS('A4a.CWD Entry Av. Distance'!$F7:$F11,'Distance Matrix_Entry'!J$23:J$27,"&gt;0")</f>
        <v>158.78401477871944</v>
      </c>
      <c r="G110" s="55">
        <f>SUMPRODUCT('A4a.CWD Entry Av. Distance'!$G7:$G11,'Distance Matrix_Entry'!J$23:J$27)/SUMIFS('A4a.CWD Entry Av. Distance'!$G7:$G11,'Distance Matrix_Entry'!J$23:J$27,"&gt;0")</f>
        <v>158.78401477871944</v>
      </c>
    </row>
    <row r="111" spans="2:7" ht="14.4" customHeight="1" x14ac:dyDescent="0.3">
      <c r="B111" s="36" t="s">
        <v>61</v>
      </c>
      <c r="C111" s="3" t="s">
        <v>220</v>
      </c>
      <c r="D111" s="55">
        <f>SUMPRODUCT('A4a.CWD Entry Av. Distance'!$D7:$D11,'Distance Matrix_Entry'!K$23:K$27)/SUMIFS('A4a.CWD Entry Av. Distance'!$D7:$D11,'Distance Matrix_Entry'!K$23:K$27,"&gt;0")</f>
        <v>144.37646013551785</v>
      </c>
      <c r="E111" s="55">
        <f>SUMPRODUCT('A4a.CWD Entry Av. Distance'!$E7:$E11,'Distance Matrix_Entry'!K$23:K$27)/SUMIFS('A4a.CWD Entry Av. Distance'!$E7:$E11,'Distance Matrix_Entry'!K$23:K$27,"&gt;0")</f>
        <v>145.30312235372432</v>
      </c>
      <c r="F111" s="55">
        <f>SUMPRODUCT('A4a.CWD Entry Av. Distance'!$F7:$F11,'Distance Matrix_Entry'!K$23:K$27)/SUMIFS('A4a.CWD Entry Av. Distance'!$F7:$F11,'Distance Matrix_Entry'!K$23:K$27,"&gt;0")</f>
        <v>145.30312235372432</v>
      </c>
      <c r="G111" s="55">
        <f>SUMPRODUCT('A4a.CWD Entry Av. Distance'!$G7:$G11,'Distance Matrix_Entry'!K$23:K$27)/SUMIFS('A4a.CWD Entry Av. Distance'!$G7:$G11,'Distance Matrix_Entry'!K$23:K$27,"&gt;0")</f>
        <v>145.30312235372432</v>
      </c>
    </row>
    <row r="112" spans="2:7" ht="14.4" customHeight="1" x14ac:dyDescent="0.3">
      <c r="B112" s="36" t="s">
        <v>63</v>
      </c>
      <c r="C112" s="3" t="s">
        <v>220</v>
      </c>
      <c r="D112" s="55">
        <f>SUMPRODUCT('A4a.CWD Entry Av. Distance'!$D7:$D11,'Distance Matrix_Entry'!L$23:L$27)/SUMIFS('A4a.CWD Entry Av. Distance'!$D7:$D11,'Distance Matrix_Entry'!L$23:L$27,"&gt;0")</f>
        <v>152.44636902749153</v>
      </c>
      <c r="E112" s="55">
        <f>SUMPRODUCT('A4a.CWD Entry Av. Distance'!$E7:$E11,'Distance Matrix_Entry'!L$23:L$27)/SUMIFS('A4a.CWD Entry Av. Distance'!$E7:$E11,'Distance Matrix_Entry'!L$23:L$27,"&gt;0")</f>
        <v>153.40717405118795</v>
      </c>
      <c r="F112" s="55">
        <f>SUMPRODUCT('A4a.CWD Entry Av. Distance'!$F7:$F11,'Distance Matrix_Entry'!L$23:L$27)/SUMIFS('A4a.CWD Entry Av. Distance'!$F7:$F11,'Distance Matrix_Entry'!L$23:L$27,"&gt;0")</f>
        <v>153.40717405118795</v>
      </c>
      <c r="G112" s="55">
        <f>SUMPRODUCT('A4a.CWD Entry Av. Distance'!$G7:$G11,'Distance Matrix_Entry'!L$23:L$27)/SUMIFS('A4a.CWD Entry Av. Distance'!$G7:$G11,'Distance Matrix_Entry'!L$23:L$27,"&gt;0")</f>
        <v>153.40717405118795</v>
      </c>
    </row>
    <row r="113" spans="2:7" ht="14.4" customHeight="1" x14ac:dyDescent="0.3">
      <c r="B113" s="36" t="s">
        <v>65</v>
      </c>
      <c r="C113" s="3" t="s">
        <v>220</v>
      </c>
      <c r="D113" s="55">
        <f>SUMPRODUCT('A4a.CWD Entry Av. Distance'!$D7:$D11,'Distance Matrix_Entry'!M$23:M$27)/SUMIFS('A4a.CWD Entry Av. Distance'!$D7:$D11,'Distance Matrix_Entry'!M$23:M$27,"&gt;0")</f>
        <v>164.14309055916323</v>
      </c>
      <c r="E113" s="55">
        <f>SUMPRODUCT('A4a.CWD Entry Av. Distance'!$E7:$E11,'Distance Matrix_Entry'!M$23:M$27)/SUMIFS('A4a.CWD Entry Av. Distance'!$E7:$E11,'Distance Matrix_Entry'!M$23:M$27,"&gt;0")</f>
        <v>165.04401477871943</v>
      </c>
      <c r="F113" s="55">
        <f>SUMPRODUCT('A4a.CWD Entry Av. Distance'!$F7:$F11,'Distance Matrix_Entry'!M$23:M$27)/SUMIFS('A4a.CWD Entry Av. Distance'!$F7:$F11,'Distance Matrix_Entry'!M$23:M$27,"&gt;0")</f>
        <v>165.04401477871943</v>
      </c>
      <c r="G113" s="55">
        <f>SUMPRODUCT('A4a.CWD Entry Av. Distance'!$G7:$G11,'Distance Matrix_Entry'!M$23:M$27)/SUMIFS('A4a.CWD Entry Av. Distance'!$G7:$G11,'Distance Matrix_Entry'!M$23:M$27,"&gt;0")</f>
        <v>165.04401477871943</v>
      </c>
    </row>
    <row r="114" spans="2:7" ht="14.4" customHeight="1" x14ac:dyDescent="0.3">
      <c r="B114" s="36" t="s">
        <v>67</v>
      </c>
      <c r="C114" s="3" t="s">
        <v>220</v>
      </c>
      <c r="D114" s="55">
        <f>SUMPRODUCT('A4a.CWD Entry Av. Distance'!$D7:$D11,'Distance Matrix_Entry'!N$23:N$27)/SUMIFS('A4a.CWD Entry Av. Distance'!$D7:$D11,'Distance Matrix_Entry'!N$23:N$27,"&gt;0")</f>
        <v>163.32348593596291</v>
      </c>
      <c r="E114" s="55">
        <f>SUMPRODUCT('A4a.CWD Entry Av. Distance'!$E7:$E11,'Distance Matrix_Entry'!N$23:N$27)/SUMIFS('A4a.CWD Entry Av. Distance'!$E7:$E11,'Distance Matrix_Entry'!N$23:N$27,"&gt;0")</f>
        <v>164.33031072169993</v>
      </c>
      <c r="F114" s="55">
        <f>SUMPRODUCT('A4a.CWD Entry Av. Distance'!$F7:$F11,'Distance Matrix_Entry'!N$23:N$27)/SUMIFS('A4a.CWD Entry Av. Distance'!$F7:$F11,'Distance Matrix_Entry'!N$23:N$27,"&gt;0")</f>
        <v>164.33031072169993</v>
      </c>
      <c r="G114" s="55">
        <f>SUMPRODUCT('A4a.CWD Entry Av. Distance'!$G7:$G11,'Distance Matrix_Entry'!N$23:N$27)/SUMIFS('A4a.CWD Entry Av. Distance'!$G7:$G11,'Distance Matrix_Entry'!N$23:N$27,"&gt;0")</f>
        <v>164.33031072169993</v>
      </c>
    </row>
    <row r="115" spans="2:7" ht="14.4" customHeight="1" x14ac:dyDescent="0.3">
      <c r="B115" s="36" t="s">
        <v>69</v>
      </c>
      <c r="C115" s="3" t="s">
        <v>220</v>
      </c>
      <c r="D115" s="55">
        <f>SUMPRODUCT('A4a.CWD Entry Av. Distance'!$D7:$D11,'Distance Matrix_Entry'!O$23:O$27)/SUMIFS('A4a.CWD Entry Av. Distance'!$D7:$D11,'Distance Matrix_Entry'!O$23:O$27,"&gt;0")</f>
        <v>171.43898753354097</v>
      </c>
      <c r="E115" s="55">
        <f>SUMPRODUCT('A4a.CWD Entry Av. Distance'!$E7:$E11,'Distance Matrix_Entry'!O$23:O$27)/SUMIFS('A4a.CWD Entry Av. Distance'!$E7:$E11,'Distance Matrix_Entry'!O$23:O$27,"&gt;0")</f>
        <v>172.48014802197412</v>
      </c>
      <c r="F115" s="55">
        <f>SUMPRODUCT('A4a.CWD Entry Av. Distance'!$F7:$F11,'Distance Matrix_Entry'!O$23:O$27)/SUMIFS('A4a.CWD Entry Av. Distance'!$F7:$F11,'Distance Matrix_Entry'!O$23:O$27,"&gt;0")</f>
        <v>172.48014802197412</v>
      </c>
      <c r="G115" s="55">
        <f>SUMPRODUCT('A4a.CWD Entry Av. Distance'!$G7:$G11,'Distance Matrix_Entry'!O$23:O$27)/SUMIFS('A4a.CWD Entry Av. Distance'!$G7:$G11,'Distance Matrix_Entry'!O$23:O$27,"&gt;0")</f>
        <v>172.48014802197412</v>
      </c>
    </row>
    <row r="116" spans="2:7" ht="14.4" customHeight="1" x14ac:dyDescent="0.3">
      <c r="B116" s="36" t="s">
        <v>71</v>
      </c>
      <c r="C116" s="3" t="s">
        <v>220</v>
      </c>
      <c r="D116" s="55">
        <f>SUMPRODUCT('A4a.CWD Entry Av. Distance'!$D7:$D11,'Distance Matrix_Entry'!P$23:P$27)/SUMIFS('A4a.CWD Entry Av. Distance'!$D7:$D11,'Distance Matrix_Entry'!P$23:P$27,"&gt;0")</f>
        <v>206.92548039251923</v>
      </c>
      <c r="E116" s="55">
        <f>SUMPRODUCT('A4a.CWD Entry Av. Distance'!$E7:$E11,'Distance Matrix_Entry'!P$23:P$27)/SUMIFS('A4a.CWD Entry Av. Distance'!$E7:$E11,'Distance Matrix_Entry'!P$23:P$27,"&gt;0")</f>
        <v>207.97702977334117</v>
      </c>
      <c r="F116" s="55">
        <f>SUMPRODUCT('A4a.CWD Entry Av. Distance'!$F7:$F11,'Distance Matrix_Entry'!P$23:P$27)/SUMIFS('A4a.CWD Entry Av. Distance'!$F7:$F11,'Distance Matrix_Entry'!P$23:P$27,"&gt;0")</f>
        <v>207.97702977334117</v>
      </c>
      <c r="G116" s="55">
        <f>SUMPRODUCT('A4a.CWD Entry Av. Distance'!$G7:$G11,'Distance Matrix_Entry'!P$23:P$27)/SUMIFS('A4a.CWD Entry Av. Distance'!$G7:$G11,'Distance Matrix_Entry'!P$23:P$27,"&gt;0")</f>
        <v>207.97702977334117</v>
      </c>
    </row>
    <row r="117" spans="2:7" ht="14.4" customHeight="1" x14ac:dyDescent="0.3">
      <c r="B117" s="36" t="s">
        <v>73</v>
      </c>
      <c r="C117" s="3" t="s">
        <v>220</v>
      </c>
      <c r="D117" s="55">
        <f>SUMPRODUCT('A4a.CWD Entry Av. Distance'!$D7:$D11,'Distance Matrix_Entry'!Q$23:Q$27)/SUMIFS('A4a.CWD Entry Av. Distance'!$D7:$D11,'Distance Matrix_Entry'!Q$23:Q$27,"&gt;0")</f>
        <v>174.03448039251924</v>
      </c>
      <c r="E117" s="55">
        <f>SUMPRODUCT('A4a.CWD Entry Av. Distance'!$E7:$E11,'Distance Matrix_Entry'!Q$23:Q$27)/SUMIFS('A4a.CWD Entry Av. Distance'!$E7:$E11,'Distance Matrix_Entry'!Q$23:Q$27,"&gt;0")</f>
        <v>175.08602977334118</v>
      </c>
      <c r="F117" s="55">
        <f>SUMPRODUCT('A4a.CWD Entry Av. Distance'!$F7:$F11,'Distance Matrix_Entry'!Q$23:Q$27)/SUMIFS('A4a.CWD Entry Av. Distance'!$F7:$F11,'Distance Matrix_Entry'!Q$23:Q$27,"&gt;0")</f>
        <v>175.08602977334118</v>
      </c>
      <c r="G117" s="55">
        <f>SUMPRODUCT('A4a.CWD Entry Av. Distance'!$G7:$G11,'Distance Matrix_Entry'!Q$23:Q$27)/SUMIFS('A4a.CWD Entry Av. Distance'!$G7:$G11,'Distance Matrix_Entry'!Q$23:Q$27,"&gt;0")</f>
        <v>175.08602977334118</v>
      </c>
    </row>
    <row r="118" spans="2:7" ht="14.4" customHeight="1" x14ac:dyDescent="0.3">
      <c r="B118" s="36" t="s">
        <v>75</v>
      </c>
      <c r="C118" s="3" t="s">
        <v>220</v>
      </c>
      <c r="D118" s="55">
        <f>SUMPRODUCT('A4a.CWD Entry Av. Distance'!$D7:$D11,'Distance Matrix_Entry'!R$23:R$27)/SUMIFS('A4a.CWD Entry Av. Distance'!$D7:$D11,'Distance Matrix_Entry'!R$23:R$27,"&gt;0")</f>
        <v>194.81548039251925</v>
      </c>
      <c r="E118" s="55">
        <f>SUMPRODUCT('A4a.CWD Entry Av. Distance'!$E7:$E11,'Distance Matrix_Entry'!R$23:R$27)/SUMIFS('A4a.CWD Entry Av. Distance'!$E7:$E11,'Distance Matrix_Entry'!R$23:R$27,"&gt;0")</f>
        <v>195.86702977334119</v>
      </c>
      <c r="F118" s="55">
        <f>SUMPRODUCT('A4a.CWD Entry Av. Distance'!$F7:$F11,'Distance Matrix_Entry'!R$23:R$27)/SUMIFS('A4a.CWD Entry Av. Distance'!$F7:$F11,'Distance Matrix_Entry'!R$23:R$27,"&gt;0")</f>
        <v>195.86702977334119</v>
      </c>
      <c r="G118" s="55">
        <f>SUMPRODUCT('A4a.CWD Entry Av. Distance'!$G7:$G11,'Distance Matrix_Entry'!R$23:R$27)/SUMIFS('A4a.CWD Entry Av. Distance'!$G7:$G11,'Distance Matrix_Entry'!R$23:R$27,"&gt;0")</f>
        <v>195.86702977334119</v>
      </c>
    </row>
    <row r="119" spans="2:7" ht="14.4" customHeight="1" x14ac:dyDescent="0.3">
      <c r="B119" s="36" t="s">
        <v>77</v>
      </c>
      <c r="C119" s="3" t="s">
        <v>220</v>
      </c>
      <c r="D119" s="55">
        <f>SUMPRODUCT('A4a.CWD Entry Av. Distance'!$D7:$D11,'Distance Matrix_Entry'!S$23:S$27)/SUMIFS('A4a.CWD Entry Av. Distance'!$D7:$D11,'Distance Matrix_Entry'!S$23:S$27,"&gt;0")</f>
        <v>201.58648039251926</v>
      </c>
      <c r="E119" s="55">
        <f>SUMPRODUCT('A4a.CWD Entry Av. Distance'!$E7:$E11,'Distance Matrix_Entry'!S$23:S$27)/SUMIFS('A4a.CWD Entry Av. Distance'!$E7:$E11,'Distance Matrix_Entry'!S$23:S$27,"&gt;0")</f>
        <v>202.63802977334117</v>
      </c>
      <c r="F119" s="55">
        <f>SUMPRODUCT('A4a.CWD Entry Av. Distance'!$F7:$F11,'Distance Matrix_Entry'!S$23:S$27)/SUMIFS('A4a.CWD Entry Av. Distance'!$F7:$F11,'Distance Matrix_Entry'!S$23:S$27,"&gt;0")</f>
        <v>202.63802977334117</v>
      </c>
      <c r="G119" s="55">
        <f>SUMPRODUCT('A4a.CWD Entry Av. Distance'!$G7:$G11,'Distance Matrix_Entry'!S$23:S$27)/SUMIFS('A4a.CWD Entry Av. Distance'!$G7:$G11,'Distance Matrix_Entry'!S$23:S$27,"&gt;0")</f>
        <v>202.63802977334117</v>
      </c>
    </row>
    <row r="120" spans="2:7" ht="14.4" customHeight="1" x14ac:dyDescent="0.3">
      <c r="B120" s="36" t="s">
        <v>79</v>
      </c>
      <c r="C120" s="3" t="s">
        <v>220</v>
      </c>
      <c r="D120" s="55">
        <f>SUMPRODUCT('A4a.CWD Entry Av. Distance'!$D7:$D11,'Distance Matrix_Entry'!T$23:T$27)/SUMIFS('A4a.CWD Entry Av. Distance'!$D7:$D11,'Distance Matrix_Entry'!T$23:T$27,"&gt;0")</f>
        <v>175.47719860135672</v>
      </c>
      <c r="E120" s="55">
        <f>SUMPRODUCT('A4a.CWD Entry Av. Distance'!$E7:$E11,'Distance Matrix_Entry'!T$23:T$27)/SUMIFS('A4a.CWD Entry Av. Distance'!$E7:$E11,'Distance Matrix_Entry'!T$23:T$27,"&gt;0")</f>
        <v>176.53544427090671</v>
      </c>
      <c r="F120" s="55">
        <f>SUMPRODUCT('A4a.CWD Entry Av. Distance'!$F7:$F11,'Distance Matrix_Entry'!T$23:T$27)/SUMIFS('A4a.CWD Entry Av. Distance'!$F7:$F11,'Distance Matrix_Entry'!T$23:T$27,"&gt;0")</f>
        <v>176.53544427090671</v>
      </c>
      <c r="G120" s="55">
        <f>SUMPRODUCT('A4a.CWD Entry Av. Distance'!$G7:$G11,'Distance Matrix_Entry'!T$23:T$27)/SUMIFS('A4a.CWD Entry Av. Distance'!$G7:$G11,'Distance Matrix_Entry'!T$23:T$27,"&gt;0")</f>
        <v>176.53544427090671</v>
      </c>
    </row>
    <row r="121" spans="2:7" ht="14.4" customHeight="1" x14ac:dyDescent="0.3">
      <c r="B121" s="36" t="s">
        <v>81</v>
      </c>
      <c r="C121" s="3" t="s">
        <v>220</v>
      </c>
      <c r="D121" s="55">
        <f>SUMPRODUCT('A4a.CWD Entry Av. Distance'!$D7:$D11,'Distance Matrix_Entry'!U$23:U$27)/SUMIFS('A4a.CWD Entry Av. Distance'!$D7:$D11,'Distance Matrix_Entry'!U$23:U$27,"&gt;0")</f>
        <v>174.03548039251928</v>
      </c>
      <c r="E121" s="55">
        <f>SUMPRODUCT('A4a.CWD Entry Av. Distance'!$E7:$E11,'Distance Matrix_Entry'!U$23:U$27)/SUMIFS('A4a.CWD Entry Av. Distance'!$E7:$E11,'Distance Matrix_Entry'!U$23:U$27,"&gt;0")</f>
        <v>175.08702977334119</v>
      </c>
      <c r="F121" s="55">
        <f>SUMPRODUCT('A4a.CWD Entry Av. Distance'!$F7:$F11,'Distance Matrix_Entry'!U$23:U$27)/SUMIFS('A4a.CWD Entry Av. Distance'!$F7:$F11,'Distance Matrix_Entry'!U$23:U$27,"&gt;0")</f>
        <v>175.08702977334119</v>
      </c>
      <c r="G121" s="55">
        <f>SUMPRODUCT('A4a.CWD Entry Av. Distance'!$G7:$G11,'Distance Matrix_Entry'!U$23:U$27)/SUMIFS('A4a.CWD Entry Av. Distance'!$G7:$G11,'Distance Matrix_Entry'!U$23:U$27,"&gt;0")</f>
        <v>175.08702977334119</v>
      </c>
    </row>
    <row r="122" spans="2:7" ht="14.4" customHeight="1" x14ac:dyDescent="0.3">
      <c r="B122" s="36" t="s">
        <v>82</v>
      </c>
      <c r="C122" s="3" t="s">
        <v>220</v>
      </c>
      <c r="D122" s="55">
        <f>SUMPRODUCT('A4a.CWD Entry Av. Distance'!$D7:$D11,'Distance Matrix_Entry'!V$23:V$27)/SUMIFS('A4a.CWD Entry Av. Distance'!$D7:$D11,'Distance Matrix_Entry'!V$23:V$27,"&gt;0")</f>
        <v>201.58548039251926</v>
      </c>
      <c r="E122" s="55">
        <f>SUMPRODUCT('A4a.CWD Entry Av. Distance'!$E7:$E11,'Distance Matrix_Entry'!V$23:V$27)/SUMIFS('A4a.CWD Entry Av. Distance'!$E7:$E11,'Distance Matrix_Entry'!V$23:V$27,"&gt;0")</f>
        <v>202.6370297733412</v>
      </c>
      <c r="F122" s="55">
        <f>SUMPRODUCT('A4a.CWD Entry Av. Distance'!$F7:$F11,'Distance Matrix_Entry'!V$23:V$27)/SUMIFS('A4a.CWD Entry Av. Distance'!$F7:$F11,'Distance Matrix_Entry'!V$23:V$27,"&gt;0")</f>
        <v>202.6370297733412</v>
      </c>
      <c r="G122" s="55">
        <f>SUMPRODUCT('A4a.CWD Entry Av. Distance'!$G7:$G11,'Distance Matrix_Entry'!V$23:V$27)/SUMIFS('A4a.CWD Entry Av. Distance'!$G7:$G11,'Distance Matrix_Entry'!V$23:V$27,"&gt;0")</f>
        <v>202.6370297733412</v>
      </c>
    </row>
    <row r="123" spans="2:7" ht="14.4" customHeight="1" x14ac:dyDescent="0.3">
      <c r="B123" s="36" t="s">
        <v>83</v>
      </c>
      <c r="C123" s="3" t="s">
        <v>220</v>
      </c>
      <c r="D123" s="55">
        <f>SUMPRODUCT('A4a.CWD Entry Av. Distance'!$D7:$D11,'Distance Matrix_Entry'!W$23:W$27)/SUMIFS('A4a.CWD Entry Av. Distance'!$D7:$D11,'Distance Matrix_Entry'!W$23:W$27,"&gt;0")</f>
        <v>195.79126295055127</v>
      </c>
      <c r="E123" s="55">
        <f>SUMPRODUCT('A4a.CWD Entry Av. Distance'!$E7:$E11,'Distance Matrix_Entry'!W$23:W$27)/SUMIFS('A4a.CWD Entry Av. Distance'!$E7:$E11,'Distance Matrix_Entry'!W$23:W$27,"&gt;0")</f>
        <v>196.88709601855837</v>
      </c>
      <c r="F123" s="55">
        <f>SUMPRODUCT('A4a.CWD Entry Av. Distance'!$F7:$F11,'Distance Matrix_Entry'!W$23:W$27)/SUMIFS('A4a.CWD Entry Av. Distance'!$F7:$F11,'Distance Matrix_Entry'!W$23:W$27,"&gt;0")</f>
        <v>196.88709601855837</v>
      </c>
      <c r="G123" s="55">
        <f>SUMPRODUCT('A4a.CWD Entry Av. Distance'!$G7:$G11,'Distance Matrix_Entry'!W$23:W$27)/SUMIFS('A4a.CWD Entry Av. Distance'!$G7:$G11,'Distance Matrix_Entry'!W$23:W$27,"&gt;0")</f>
        <v>196.88709601855837</v>
      </c>
    </row>
    <row r="124" spans="2:7" ht="14.4" customHeight="1" x14ac:dyDescent="0.3">
      <c r="B124" s="36" t="s">
        <v>85</v>
      </c>
      <c r="C124" s="3" t="s">
        <v>220</v>
      </c>
      <c r="D124" s="55">
        <f>SUMPRODUCT('A4a.CWD Entry Av. Distance'!$D7:$D11,'Distance Matrix_Entry'!X$23:X$27)/SUMIFS('A4a.CWD Entry Av. Distance'!$D7:$D11,'Distance Matrix_Entry'!X$23:X$27,"&gt;0")</f>
        <v>184.36126295055129</v>
      </c>
      <c r="E124" s="55">
        <f>SUMPRODUCT('A4a.CWD Entry Av. Distance'!$E7:$E11,'Distance Matrix_Entry'!X$23:X$27)/SUMIFS('A4a.CWD Entry Av. Distance'!$E7:$E11,'Distance Matrix_Entry'!X$23:X$27,"&gt;0")</f>
        <v>185.45709601855836</v>
      </c>
      <c r="F124" s="55">
        <f>SUMPRODUCT('A4a.CWD Entry Av. Distance'!$F7:$F11,'Distance Matrix_Entry'!X$23:X$27)/SUMIFS('A4a.CWD Entry Av. Distance'!$F7:$F11,'Distance Matrix_Entry'!X$23:X$27,"&gt;0")</f>
        <v>185.45709601855836</v>
      </c>
      <c r="G124" s="55">
        <f>SUMPRODUCT('A4a.CWD Entry Av. Distance'!$G7:$G11,'Distance Matrix_Entry'!X$23:X$27)/SUMIFS('A4a.CWD Entry Av. Distance'!$G7:$G11,'Distance Matrix_Entry'!X$23:X$27,"&gt;0")</f>
        <v>185.45709601855836</v>
      </c>
    </row>
    <row r="125" spans="2:7" ht="14.4" customHeight="1" x14ac:dyDescent="0.3">
      <c r="B125" s="36" t="s">
        <v>87</v>
      </c>
      <c r="C125" s="3" t="s">
        <v>220</v>
      </c>
      <c r="D125" s="55">
        <f>SUMPRODUCT('A4a.CWD Entry Av. Distance'!$D7:$D11,'Distance Matrix_Entry'!Y$23:Y$27)/SUMIFS('A4a.CWD Entry Av. Distance'!$D7:$D11,'Distance Matrix_Entry'!Y$23:Y$27,"&gt;0")</f>
        <v>208.09226295055126</v>
      </c>
      <c r="E125" s="55">
        <f>SUMPRODUCT('A4a.CWD Entry Av. Distance'!$E7:$E11,'Distance Matrix_Entry'!Y$23:Y$27)/SUMIFS('A4a.CWD Entry Av. Distance'!$E7:$E11,'Distance Matrix_Entry'!Y$23:Y$27,"&gt;0")</f>
        <v>209.18809601855833</v>
      </c>
      <c r="F125" s="55">
        <f>SUMPRODUCT('A4a.CWD Entry Av. Distance'!$F7:$F11,'Distance Matrix_Entry'!Y$23:Y$27)/SUMIFS('A4a.CWD Entry Av. Distance'!$F7:$F11,'Distance Matrix_Entry'!Y$23:Y$27,"&gt;0")</f>
        <v>209.18809601855833</v>
      </c>
      <c r="G125" s="55">
        <f>SUMPRODUCT('A4a.CWD Entry Av. Distance'!$G7:$G11,'Distance Matrix_Entry'!Y$23:Y$27)/SUMIFS('A4a.CWD Entry Av. Distance'!$G7:$G11,'Distance Matrix_Entry'!Y$23:Y$27,"&gt;0")</f>
        <v>209.18809601855833</v>
      </c>
    </row>
    <row r="126" spans="2:7" ht="14.4" customHeight="1" x14ac:dyDescent="0.3">
      <c r="B126" s="36" t="s">
        <v>89</v>
      </c>
      <c r="C126" s="3" t="s">
        <v>220</v>
      </c>
      <c r="D126" s="55">
        <f>SUMPRODUCT('A4a.CWD Entry Av. Distance'!$D7:$D11,'Distance Matrix_Entry'!Z$23:Z$27)/SUMIFS('A4a.CWD Entry Av. Distance'!$D7:$D11,'Distance Matrix_Entry'!Z$23:Z$27,"&gt;0")</f>
        <v>208.09126295055128</v>
      </c>
      <c r="E126" s="55">
        <f>SUMPRODUCT('A4a.CWD Entry Av. Distance'!$E7:$E11,'Distance Matrix_Entry'!Z$23:Z$27)/SUMIFS('A4a.CWD Entry Av. Distance'!$E7:$E11,'Distance Matrix_Entry'!Z$23:Z$27,"&gt;0")</f>
        <v>209.18709601855835</v>
      </c>
      <c r="F126" s="55">
        <f>SUMPRODUCT('A4a.CWD Entry Av. Distance'!$F7:$F11,'Distance Matrix_Entry'!Z$23:Z$27)/SUMIFS('A4a.CWD Entry Av. Distance'!$F7:$F11,'Distance Matrix_Entry'!Z$23:Z$27,"&gt;0")</f>
        <v>209.18709601855835</v>
      </c>
      <c r="G126" s="55">
        <f>SUMPRODUCT('A4a.CWD Entry Av. Distance'!$G7:$G11,'Distance Matrix_Entry'!Z$23:Z$27)/SUMIFS('A4a.CWD Entry Av. Distance'!$G7:$G11,'Distance Matrix_Entry'!Z$23:Z$27,"&gt;0")</f>
        <v>209.18709601855835</v>
      </c>
    </row>
    <row r="127" spans="2:7" ht="14.4" customHeight="1" x14ac:dyDescent="0.3">
      <c r="B127" s="36" t="s">
        <v>90</v>
      </c>
      <c r="C127" s="3" t="s">
        <v>220</v>
      </c>
      <c r="D127" s="55">
        <f>SUMPRODUCT('A4a.CWD Entry Av. Distance'!$D7:$D11,'Distance Matrix_Entry'!AA$23:AA$27)/SUMIFS('A4a.CWD Entry Av. Distance'!$D7:$D11,'Distance Matrix_Entry'!AA$23:AA$27,"&gt;0")</f>
        <v>200.38384234865885</v>
      </c>
      <c r="E127" s="55">
        <f>SUMPRODUCT('A4a.CWD Entry Av. Distance'!$E7:$E11,'Distance Matrix_Entry'!AA$23:AA$27)/SUMIFS('A4a.CWD Entry Av. Distance'!$E7:$E11,'Distance Matrix_Entry'!AA$23:AA$27,"&gt;0")</f>
        <v>201.54746500625865</v>
      </c>
      <c r="F127" s="55">
        <f>SUMPRODUCT('A4a.CWD Entry Av. Distance'!$F7:$F11,'Distance Matrix_Entry'!AA$23:AA$27)/SUMIFS('A4a.CWD Entry Av. Distance'!$F7:$F11,'Distance Matrix_Entry'!AA$23:AA$27,"&gt;0")</f>
        <v>201.54746500625865</v>
      </c>
      <c r="G127" s="55">
        <f>SUMPRODUCT('A4a.CWD Entry Av. Distance'!$G7:$G11,'Distance Matrix_Entry'!AA$23:AA$27)/SUMIFS('A4a.CWD Entry Av. Distance'!$G7:$G11,'Distance Matrix_Entry'!AA$23:AA$27,"&gt;0")</f>
        <v>201.54746500625865</v>
      </c>
    </row>
    <row r="128" spans="2:7" ht="14.4" customHeight="1" x14ac:dyDescent="0.3">
      <c r="B128" s="36" t="s">
        <v>92</v>
      </c>
      <c r="C128" s="3" t="s">
        <v>220</v>
      </c>
      <c r="D128" s="55">
        <f>SUMPRODUCT('A4a.CWD Entry Av. Distance'!$D7:$D11,'Distance Matrix_Entry'!AB$23:AB$27)/SUMIFS('A4a.CWD Entry Av. Distance'!$D7:$D11,'Distance Matrix_Entry'!AB$23:AB$27,"&gt;0")</f>
        <v>222.48979132312101</v>
      </c>
      <c r="E128" s="55">
        <f>SUMPRODUCT('A4a.CWD Entry Av. Distance'!$E7:$E11,'Distance Matrix_Entry'!AB$23:AB$27)/SUMIFS('A4a.CWD Entry Av. Distance'!$E7:$E11,'Distance Matrix_Entry'!AB$23:AB$27,"&gt;0")</f>
        <v>223.74694156896373</v>
      </c>
      <c r="F128" s="55">
        <f>SUMPRODUCT('A4a.CWD Entry Av. Distance'!$F7:$F11,'Distance Matrix_Entry'!AB$23:AB$27)/SUMIFS('A4a.CWD Entry Av. Distance'!$F7:$F11,'Distance Matrix_Entry'!AB$23:AB$27,"&gt;0")</f>
        <v>223.74694156896373</v>
      </c>
      <c r="G128" s="55">
        <f>SUMPRODUCT('A4a.CWD Entry Av. Distance'!$G7:$G11,'Distance Matrix_Entry'!AB$23:AB$27)/SUMIFS('A4a.CWD Entry Av. Distance'!$G7:$G11,'Distance Matrix_Entry'!AB$23:AB$27,"&gt;0")</f>
        <v>223.74694156896373</v>
      </c>
    </row>
    <row r="129" spans="2:7" ht="14.4" customHeight="1" x14ac:dyDescent="0.3">
      <c r="B129" s="36" t="s">
        <v>94</v>
      </c>
      <c r="C129" s="3" t="s">
        <v>220</v>
      </c>
      <c r="D129" s="55">
        <f>SUMPRODUCT('A4a.CWD Entry Av. Distance'!$D7:$D11,'Distance Matrix_Entry'!AC$23:AC$27)/SUMIFS('A4a.CWD Entry Av. Distance'!$D7:$D11,'Distance Matrix_Entry'!AC$23:AC$27,"&gt;0")</f>
        <v>230.74858428116997</v>
      </c>
      <c r="E129" s="55">
        <f>SUMPRODUCT('A4a.CWD Entry Av. Distance'!$E7:$E11,'Distance Matrix_Entry'!AC$23:AC$27)/SUMIFS('A4a.CWD Entry Av. Distance'!$E7:$E11,'Distance Matrix_Entry'!AC$23:AC$27,"&gt;0")</f>
        <v>232.04067647807099</v>
      </c>
      <c r="F129" s="55">
        <f>SUMPRODUCT('A4a.CWD Entry Av. Distance'!$F7:$F11,'Distance Matrix_Entry'!AC$23:AC$27)/SUMIFS('A4a.CWD Entry Av. Distance'!$F7:$F11,'Distance Matrix_Entry'!AC$23:AC$27,"&gt;0")</f>
        <v>232.04067647807099</v>
      </c>
      <c r="G129" s="55">
        <f>SUMPRODUCT('A4a.CWD Entry Av. Distance'!$G7:$G11,'Distance Matrix_Entry'!AC$23:AC$27)/SUMIFS('A4a.CWD Entry Av. Distance'!$G7:$G11,'Distance Matrix_Entry'!AC$23:AC$27,"&gt;0")</f>
        <v>232.04067647807099</v>
      </c>
    </row>
    <row r="130" spans="2:7" ht="14.4" customHeight="1" x14ac:dyDescent="0.3">
      <c r="B130" s="36" t="s">
        <v>96</v>
      </c>
      <c r="C130" s="3" t="s">
        <v>220</v>
      </c>
      <c r="D130" s="55">
        <f>SUMPRODUCT('A4a.CWD Entry Av. Distance'!$D7:$D11,'Distance Matrix_Entry'!AD$23:AD$27)/SUMIFS('A4a.CWD Entry Av. Distance'!$D7:$D11,'Distance Matrix_Entry'!AD$23:AD$27,"&gt;0")</f>
        <v>235.02778536432305</v>
      </c>
      <c r="E130" s="55">
        <f>SUMPRODUCT('A4a.CWD Entry Av. Distance'!$E7:$E11,'Distance Matrix_Entry'!AD$23:AD$27)/SUMIFS('A4a.CWD Entry Av. Distance'!$E7:$E11,'Distance Matrix_Entry'!AD$23:AD$27,"&gt;0")</f>
        <v>236.33798234185923</v>
      </c>
      <c r="F130" s="55">
        <f>SUMPRODUCT('A4a.CWD Entry Av. Distance'!$F7:$F11,'Distance Matrix_Entry'!AD$23:AD$27)/SUMIFS('A4a.CWD Entry Av. Distance'!$F7:$F11,'Distance Matrix_Entry'!AD$23:AD$27,"&gt;0")</f>
        <v>236.33798234185923</v>
      </c>
      <c r="G130" s="55">
        <f>SUMPRODUCT('A4a.CWD Entry Av. Distance'!$G7:$G11,'Distance Matrix_Entry'!AD$23:AD$27)/SUMIFS('A4a.CWD Entry Av. Distance'!$G7:$G11,'Distance Matrix_Entry'!AD$23:AD$27,"&gt;0")</f>
        <v>236.33798234185923</v>
      </c>
    </row>
    <row r="131" spans="2:7" ht="14.4" customHeight="1" x14ac:dyDescent="0.3">
      <c r="B131" s="36" t="s">
        <v>98</v>
      </c>
      <c r="C131" s="3" t="s">
        <v>220</v>
      </c>
      <c r="D131" s="55">
        <f>SUMPRODUCT('A4a.CWD Entry Av. Distance'!$D7:$D11,'Distance Matrix_Entry'!AE$23:AE$27)/SUMIFS('A4a.CWD Entry Av. Distance'!$D7:$D11,'Distance Matrix_Entry'!AE$23:AE$27,"&gt;0")</f>
        <v>264.85925363069828</v>
      </c>
      <c r="E131" s="55">
        <f>SUMPRODUCT('A4a.CWD Entry Av. Distance'!$E7:$E11,'Distance Matrix_Entry'!AE$23:AE$27)/SUMIFS('A4a.CWD Entry Av. Distance'!$E7:$E11,'Distance Matrix_Entry'!AE$23:AE$27,"&gt;0")</f>
        <v>266.46368884250268</v>
      </c>
      <c r="F131" s="55">
        <f>SUMPRODUCT('A4a.CWD Entry Av. Distance'!$F7:$F11,'Distance Matrix_Entry'!AE$23:AE$27)/SUMIFS('A4a.CWD Entry Av. Distance'!$F7:$F11,'Distance Matrix_Entry'!AE$23:AE$27,"&gt;0")</f>
        <v>266.46368884250268</v>
      </c>
      <c r="G131" s="55">
        <f>SUMPRODUCT('A4a.CWD Entry Av. Distance'!$G7:$G11,'Distance Matrix_Entry'!AE$23:AE$27)/SUMIFS('A4a.CWD Entry Av. Distance'!$G7:$G11,'Distance Matrix_Entry'!AE$23:AE$27,"&gt;0")</f>
        <v>266.46368884250268</v>
      </c>
    </row>
    <row r="132" spans="2:7" ht="14.4" customHeight="1" x14ac:dyDescent="0.3">
      <c r="B132" s="36" t="s">
        <v>100</v>
      </c>
      <c r="C132" s="3" t="s">
        <v>220</v>
      </c>
      <c r="D132" s="55">
        <f>SUMPRODUCT('A4a.CWD Entry Av. Distance'!$D7:$D11,'Distance Matrix_Entry'!AF$23:AF$27)/SUMIFS('A4a.CWD Entry Av. Distance'!$D7:$D11,'Distance Matrix_Entry'!AF$23:AF$27,"&gt;0")</f>
        <v>274.7692536306983</v>
      </c>
      <c r="E132" s="55">
        <f>SUMPRODUCT('A4a.CWD Entry Av. Distance'!$E7:$E11,'Distance Matrix_Entry'!AF$23:AF$27)/SUMIFS('A4a.CWD Entry Av. Distance'!$E7:$E11,'Distance Matrix_Entry'!AF$23:AF$27,"&gt;0")</f>
        <v>276.37368884250265</v>
      </c>
      <c r="F132" s="55">
        <f>SUMPRODUCT('A4a.CWD Entry Av. Distance'!$F7:$F11,'Distance Matrix_Entry'!AF$23:AF$27)/SUMIFS('A4a.CWD Entry Av. Distance'!$F7:$F11,'Distance Matrix_Entry'!AF$23:AF$27,"&gt;0")</f>
        <v>276.37368884250265</v>
      </c>
      <c r="G132" s="55">
        <f>SUMPRODUCT('A4a.CWD Entry Av. Distance'!$G7:$G11,'Distance Matrix_Entry'!AF$23:AF$27)/SUMIFS('A4a.CWD Entry Av. Distance'!$G7:$G11,'Distance Matrix_Entry'!AF$23:AF$27,"&gt;0")</f>
        <v>276.37368884250265</v>
      </c>
    </row>
    <row r="133" spans="2:7" ht="14.4" customHeight="1" x14ac:dyDescent="0.3">
      <c r="B133" s="36" t="s">
        <v>102</v>
      </c>
      <c r="C133" s="3" t="s">
        <v>220</v>
      </c>
      <c r="D133" s="55">
        <f>SUMPRODUCT('A4a.CWD Entry Av. Distance'!$D7:$D11,'Distance Matrix_Entry'!AG$23:AG$27)/SUMIFS('A4a.CWD Entry Av. Distance'!$D7:$D11,'Distance Matrix_Entry'!AG$23:AG$27,"&gt;0")</f>
        <v>274.87925363069837</v>
      </c>
      <c r="E133" s="55">
        <f>SUMPRODUCT('A4a.CWD Entry Av. Distance'!$E7:$E11,'Distance Matrix_Entry'!AG$23:AG$27)/SUMIFS('A4a.CWD Entry Av. Distance'!$E7:$E11,'Distance Matrix_Entry'!AG$23:AG$27,"&gt;0")</f>
        <v>276.48368884250272</v>
      </c>
      <c r="F133" s="55">
        <f>SUMPRODUCT('A4a.CWD Entry Av. Distance'!$F7:$F11,'Distance Matrix_Entry'!AG$23:AG$27)/SUMIFS('A4a.CWD Entry Av. Distance'!$F7:$F11,'Distance Matrix_Entry'!AG$23:AG$27,"&gt;0")</f>
        <v>276.48368884250272</v>
      </c>
      <c r="G133" s="55">
        <f>SUMPRODUCT('A4a.CWD Entry Av. Distance'!$G7:$G11,'Distance Matrix_Entry'!AG$23:AG$27)/SUMIFS('A4a.CWD Entry Av. Distance'!$G7:$G11,'Distance Matrix_Entry'!AG$23:AG$27,"&gt;0")</f>
        <v>276.48368884250272</v>
      </c>
    </row>
    <row r="134" spans="2:7" ht="14.4" customHeight="1" x14ac:dyDescent="0.3">
      <c r="B134" s="36" t="s">
        <v>103</v>
      </c>
      <c r="C134" s="3" t="s">
        <v>220</v>
      </c>
      <c r="D134" s="55">
        <f>SUMPRODUCT('A4a.CWD Entry Av. Distance'!$D7:$D11,'Distance Matrix_Entry'!AH$23:AH$27)/SUMIFS('A4a.CWD Entry Av. Distance'!$D7:$D11,'Distance Matrix_Entry'!AH$23:AH$27,"&gt;0")</f>
        <v>287.94925363069831</v>
      </c>
      <c r="E134" s="55">
        <f>SUMPRODUCT('A4a.CWD Entry Av. Distance'!$E7:$E11,'Distance Matrix_Entry'!AH$23:AH$27)/SUMIFS('A4a.CWD Entry Av. Distance'!$E7:$E11,'Distance Matrix_Entry'!AH$23:AH$27,"&gt;0")</f>
        <v>289.55368884250265</v>
      </c>
      <c r="F134" s="55">
        <f>SUMPRODUCT('A4a.CWD Entry Av. Distance'!$F7:$F11,'Distance Matrix_Entry'!AH$23:AH$27)/SUMIFS('A4a.CWD Entry Av. Distance'!$F7:$F11,'Distance Matrix_Entry'!AH$23:AH$27,"&gt;0")</f>
        <v>289.55368884250265</v>
      </c>
      <c r="G134" s="55">
        <f>SUMPRODUCT('A4a.CWD Entry Av. Distance'!$G7:$G11,'Distance Matrix_Entry'!AH$23:AH$27)/SUMIFS('A4a.CWD Entry Av. Distance'!$G7:$G11,'Distance Matrix_Entry'!AH$23:AH$27,"&gt;0")</f>
        <v>289.55368884250265</v>
      </c>
    </row>
    <row r="135" spans="2:7" ht="14.4" customHeight="1" x14ac:dyDescent="0.3">
      <c r="B135" s="36" t="s">
        <v>105</v>
      </c>
      <c r="C135" s="3" t="s">
        <v>220</v>
      </c>
      <c r="D135" s="55">
        <f>SUMPRODUCT('A4a.CWD Entry Av. Distance'!$D7:$D11,'Distance Matrix_Entry'!AI$23:AI$27)/SUMIFS('A4a.CWD Entry Av. Distance'!$D7:$D11,'Distance Matrix_Entry'!AI$23:AI$27,"&gt;0")</f>
        <v>256.27796118890888</v>
      </c>
      <c r="E135" s="55">
        <f>SUMPRODUCT('A4a.CWD Entry Av. Distance'!$E7:$E11,'Distance Matrix_Entry'!AI$23:AI$27)/SUMIFS('A4a.CWD Entry Av. Distance'!$E7:$E11,'Distance Matrix_Entry'!AI$23:AI$27,"&gt;0")</f>
        <v>257.63331510093445</v>
      </c>
      <c r="F135" s="55">
        <f>SUMPRODUCT('A4a.CWD Entry Av. Distance'!$F7:$F11,'Distance Matrix_Entry'!AI$23:AI$27)/SUMIFS('A4a.CWD Entry Av. Distance'!$F7:$F11,'Distance Matrix_Entry'!AI$23:AI$27,"&gt;0")</f>
        <v>257.63331510093445</v>
      </c>
      <c r="G135" s="55">
        <f>SUMPRODUCT('A4a.CWD Entry Av. Distance'!$G7:$G11,'Distance Matrix_Entry'!AI$23:AI$27)/SUMIFS('A4a.CWD Entry Av. Distance'!$G7:$G11,'Distance Matrix_Entry'!AI$23:AI$27,"&gt;0")</f>
        <v>257.63331510093445</v>
      </c>
    </row>
    <row r="136" spans="2:7" ht="14.4" customHeight="1" x14ac:dyDescent="0.3">
      <c r="B136" s="36" t="s">
        <v>107</v>
      </c>
      <c r="C136" s="3" t="s">
        <v>220</v>
      </c>
      <c r="D136" s="55">
        <f>SUMPRODUCT('A4a.CWD Entry Av. Distance'!$D7:$D11,'Distance Matrix_Entry'!AJ$23:AJ$27)/SUMIFS('A4a.CWD Entry Av. Distance'!$D7:$D11,'Distance Matrix_Entry'!AJ$23:AJ$27,"&gt;0")</f>
        <v>287.95025363069828</v>
      </c>
      <c r="E136" s="55">
        <f>SUMPRODUCT('A4a.CWD Entry Av. Distance'!$E7:$E11,'Distance Matrix_Entry'!AJ$23:AJ$27)/SUMIFS('A4a.CWD Entry Av. Distance'!$E7:$E11,'Distance Matrix_Entry'!AJ$23:AJ$27,"&gt;0")</f>
        <v>289.55468884250269</v>
      </c>
      <c r="F136" s="55">
        <f>SUMPRODUCT('A4a.CWD Entry Av. Distance'!$F7:$F11,'Distance Matrix_Entry'!AJ$23:AJ$27)/SUMIFS('A4a.CWD Entry Av. Distance'!$F7:$F11,'Distance Matrix_Entry'!AJ$23:AJ$27,"&gt;0")</f>
        <v>289.55468884250269</v>
      </c>
      <c r="G136" s="55">
        <f>SUMPRODUCT('A4a.CWD Entry Av. Distance'!$G7:$G11,'Distance Matrix_Entry'!AJ$23:AJ$27)/SUMIFS('A4a.CWD Entry Av. Distance'!$G7:$G11,'Distance Matrix_Entry'!AJ$23:AJ$27,"&gt;0")</f>
        <v>289.55468884250269</v>
      </c>
    </row>
    <row r="137" spans="2:7" ht="14.4" customHeight="1" x14ac:dyDescent="0.3">
      <c r="B137" s="36" t="s">
        <v>108</v>
      </c>
      <c r="C137" s="3" t="s">
        <v>220</v>
      </c>
      <c r="D137" s="55">
        <f>SUMPRODUCT('A4a.CWD Entry Av. Distance'!$D7:$D11,'Distance Matrix_Entry'!AK$23:AK$27)/SUMIFS('A4a.CWD Entry Av. Distance'!$D7:$D11,'Distance Matrix_Entry'!AK$23:AK$27,"&gt;0")</f>
        <v>279.19156214073695</v>
      </c>
      <c r="E137" s="55">
        <f>SUMPRODUCT('A4a.CWD Entry Av. Distance'!$E7:$E11,'Distance Matrix_Entry'!AK$23:AK$27)/SUMIFS('A4a.CWD Entry Av. Distance'!$E7:$E11,'Distance Matrix_Entry'!AK$23:AK$27,"&gt;0")</f>
        <v>280.53396016446254</v>
      </c>
      <c r="F137" s="55">
        <f>SUMPRODUCT('A4a.CWD Entry Av. Distance'!$F7:$F11,'Distance Matrix_Entry'!AK$23:AK$27)/SUMIFS('A4a.CWD Entry Av. Distance'!$F7:$F11,'Distance Matrix_Entry'!AK$23:AK$27,"&gt;0")</f>
        <v>280.53396016446254</v>
      </c>
      <c r="G137" s="55">
        <f>SUMPRODUCT('A4a.CWD Entry Av. Distance'!$G7:$G11,'Distance Matrix_Entry'!AK$23:AK$27)/SUMIFS('A4a.CWD Entry Av. Distance'!$G7:$G11,'Distance Matrix_Entry'!AK$23:AK$27,"&gt;0")</f>
        <v>280.53396016446254</v>
      </c>
    </row>
    <row r="138" spans="2:7" ht="14.4" customHeight="1" x14ac:dyDescent="0.3">
      <c r="B138" s="36" t="s">
        <v>110</v>
      </c>
      <c r="C138" s="3" t="s">
        <v>220</v>
      </c>
      <c r="D138" s="55">
        <f>SUMPRODUCT('A4a.CWD Entry Av. Distance'!$D7:$D11,'Distance Matrix_Entry'!AL$23:AL$27)/SUMIFS('A4a.CWD Entry Av. Distance'!$D7:$D11,'Distance Matrix_Entry'!AL$23:AL$27,"&gt;0")</f>
        <v>289.11156214073691</v>
      </c>
      <c r="E138" s="55">
        <f>SUMPRODUCT('A4a.CWD Entry Av. Distance'!$E7:$E11,'Distance Matrix_Entry'!AL$23:AL$27)/SUMIFS('A4a.CWD Entry Av. Distance'!$E7:$E11,'Distance Matrix_Entry'!AL$23:AL$27,"&gt;0")</f>
        <v>290.4539601644625</v>
      </c>
      <c r="F138" s="55">
        <f>SUMPRODUCT('A4a.CWD Entry Av. Distance'!$F7:$F11,'Distance Matrix_Entry'!AL$23:AL$27)/SUMIFS('A4a.CWD Entry Av. Distance'!$F7:$F11,'Distance Matrix_Entry'!AL$23:AL$27,"&gt;0")</f>
        <v>290.4539601644625</v>
      </c>
      <c r="G138" s="55">
        <f>SUMPRODUCT('A4a.CWD Entry Av. Distance'!$G7:$G11,'Distance Matrix_Entry'!AL$23:AL$27)/SUMIFS('A4a.CWD Entry Av. Distance'!$G7:$G11,'Distance Matrix_Entry'!AL$23:AL$27,"&gt;0")</f>
        <v>290.4539601644625</v>
      </c>
    </row>
    <row r="139" spans="2:7" ht="14.4" customHeight="1" x14ac:dyDescent="0.3">
      <c r="B139" s="36" t="s">
        <v>112</v>
      </c>
      <c r="C139" s="3" t="s">
        <v>220</v>
      </c>
      <c r="D139" s="55">
        <f>SUMPRODUCT('A4a.CWD Entry Av. Distance'!$D7:$D11,'Distance Matrix_Entry'!AM$23:AM$27)/SUMIFS('A4a.CWD Entry Av. Distance'!$D7:$D11,'Distance Matrix_Entry'!AM$23:AM$27,"&gt;0")</f>
        <v>284.82335090538993</v>
      </c>
      <c r="E139" s="55">
        <f>SUMPRODUCT('A4a.CWD Entry Av. Distance'!$E7:$E11,'Distance Matrix_Entry'!AM$23:AM$27)/SUMIFS('A4a.CWD Entry Av. Distance'!$E7:$E11,'Distance Matrix_Entry'!AM$23:AM$27,"&gt;0")</f>
        <v>286.15854351530169</v>
      </c>
      <c r="F139" s="55">
        <f>SUMPRODUCT('A4a.CWD Entry Av. Distance'!$F7:$F11,'Distance Matrix_Entry'!AM$23:AM$27)/SUMIFS('A4a.CWD Entry Av. Distance'!$F7:$F11,'Distance Matrix_Entry'!AM$23:AM$27,"&gt;0")</f>
        <v>286.15854351530169</v>
      </c>
      <c r="G139" s="55">
        <f>SUMPRODUCT('A4a.CWD Entry Av. Distance'!$G7:$G11,'Distance Matrix_Entry'!AM$23:AM$27)/SUMIFS('A4a.CWD Entry Av. Distance'!$G7:$G11,'Distance Matrix_Entry'!AM$23:AM$27,"&gt;0")</f>
        <v>286.15854351530169</v>
      </c>
    </row>
    <row r="140" spans="2:7" ht="14.4" customHeight="1" x14ac:dyDescent="0.3">
      <c r="B140" s="36" t="s">
        <v>114</v>
      </c>
      <c r="C140" s="3" t="s">
        <v>220</v>
      </c>
      <c r="D140" s="55">
        <f>SUMPRODUCT('A4a.CWD Entry Av. Distance'!$D7:$D11,'Distance Matrix_Entry'!AN$23:AN$27)/SUMIFS('A4a.CWD Entry Av. Distance'!$D7:$D11,'Distance Matrix_Entry'!AN$23:AN$27,"&gt;0")</f>
        <v>290.36566884003309</v>
      </c>
      <c r="E140" s="55">
        <f>SUMPRODUCT('A4a.CWD Entry Av. Distance'!$E7:$E11,'Distance Matrix_Entry'!AN$23:AN$27)/SUMIFS('A4a.CWD Entry Av. Distance'!$E7:$E11,'Distance Matrix_Entry'!AN$23:AN$27,"&gt;0")</f>
        <v>291.6969469703248</v>
      </c>
      <c r="F140" s="55">
        <f>SUMPRODUCT('A4a.CWD Entry Av. Distance'!$F7:$F11,'Distance Matrix_Entry'!AN$23:AN$27)/SUMIFS('A4a.CWD Entry Av. Distance'!$F7:$F11,'Distance Matrix_Entry'!AN$23:AN$27,"&gt;0")</f>
        <v>291.6969469703248</v>
      </c>
      <c r="G140" s="55">
        <f>SUMPRODUCT('A4a.CWD Entry Av. Distance'!$G7:$G11,'Distance Matrix_Entry'!AN$23:AN$27)/SUMIFS('A4a.CWD Entry Av. Distance'!$G7:$G11,'Distance Matrix_Entry'!AN$23:AN$27,"&gt;0")</f>
        <v>291.6969469703248</v>
      </c>
    </row>
    <row r="141" spans="2:7" ht="14.4" customHeight="1" x14ac:dyDescent="0.3">
      <c r="B141" s="36" t="s">
        <v>116</v>
      </c>
      <c r="C141" s="3" t="s">
        <v>220</v>
      </c>
      <c r="D141" s="55">
        <f>SUMPRODUCT('A4a.CWD Entry Av. Distance'!$D7:$D11,'Distance Matrix_Entry'!AO$23:AO$27)/SUMIFS('A4a.CWD Entry Av. Distance'!$D7:$D11,'Distance Matrix_Entry'!AO$23:AO$27,"&gt;0")</f>
        <v>303.76532600591389</v>
      </c>
      <c r="E141" s="55">
        <f>SUMPRODUCT('A4a.CWD Entry Av. Distance'!$E7:$E11,'Distance Matrix_Entry'!AO$23:AO$27)/SUMIFS('A4a.CWD Entry Av. Distance'!$E7:$E11,'Distance Matrix_Entry'!AO$23:AO$27,"&gt;0")</f>
        <v>305.08714010229238</v>
      </c>
      <c r="F141" s="55">
        <f>SUMPRODUCT('A4a.CWD Entry Av. Distance'!$F7:$F11,'Distance Matrix_Entry'!AO$23:AO$27)/SUMIFS('A4a.CWD Entry Av. Distance'!$F7:$F11,'Distance Matrix_Entry'!AO$23:AO$27,"&gt;0")</f>
        <v>305.08714010229238</v>
      </c>
      <c r="G141" s="55">
        <f>SUMPRODUCT('A4a.CWD Entry Av. Distance'!$G7:$G11,'Distance Matrix_Entry'!AO$23:AO$27)/SUMIFS('A4a.CWD Entry Av. Distance'!$G7:$G11,'Distance Matrix_Entry'!AO$23:AO$27,"&gt;0")</f>
        <v>305.08714010229238</v>
      </c>
    </row>
    <row r="142" spans="2:7" ht="14.4" customHeight="1" x14ac:dyDescent="0.3">
      <c r="B142" s="36" t="s">
        <v>118</v>
      </c>
      <c r="C142" s="3" t="s">
        <v>220</v>
      </c>
      <c r="D142" s="55">
        <f>SUMPRODUCT('A4a.CWD Entry Av. Distance'!$D7:$D11,'Distance Matrix_Entry'!AP$23:AP$27)/SUMIFS('A4a.CWD Entry Av. Distance'!$D7:$D11,'Distance Matrix_Entry'!AP$23:AP$27,"&gt;0")</f>
        <v>310.73000872024431</v>
      </c>
      <c r="E142" s="55">
        <f>SUMPRODUCT('A4a.CWD Entry Av. Distance'!$E7:$E11,'Distance Matrix_Entry'!AP$23:AP$27)/SUMIFS('A4a.CWD Entry Av. Distance'!$E7:$E11,'Distance Matrix_Entry'!AP$23:AP$27,"&gt;0")</f>
        <v>312.04690373603836</v>
      </c>
      <c r="F142" s="55">
        <f>SUMPRODUCT('A4a.CWD Entry Av. Distance'!$F7:$F11,'Distance Matrix_Entry'!AP$23:AP$27)/SUMIFS('A4a.CWD Entry Av. Distance'!$F7:$F11,'Distance Matrix_Entry'!AP$23:AP$27,"&gt;0")</f>
        <v>312.04690373603836</v>
      </c>
      <c r="G142" s="55">
        <f>SUMPRODUCT('A4a.CWD Entry Av. Distance'!$G7:$G11,'Distance Matrix_Entry'!AP$23:AP$27)/SUMIFS('A4a.CWD Entry Av. Distance'!$G7:$G11,'Distance Matrix_Entry'!AP$23:AP$27,"&gt;0")</f>
        <v>312.04690373603836</v>
      </c>
    </row>
    <row r="143" spans="2:7" ht="14.4" customHeight="1" x14ac:dyDescent="0.3">
      <c r="B143" s="36" t="s">
        <v>120</v>
      </c>
      <c r="C143" s="3" t="s">
        <v>220</v>
      </c>
      <c r="D143" s="55">
        <f>SUMPRODUCT('A4a.CWD Entry Av. Distance'!$D7:$D11,'Distance Matrix_Entry'!AQ$23:AQ$27)/SUMIFS('A4a.CWD Entry Av. Distance'!$D7:$D11,'Distance Matrix_Entry'!AQ$23:AQ$27,"&gt;0")</f>
        <v>315.47776426071749</v>
      </c>
      <c r="E143" s="55">
        <f>SUMPRODUCT('A4a.CWD Entry Av. Distance'!$E7:$E11,'Distance Matrix_Entry'!AQ$23:AQ$27)/SUMIFS('A4a.CWD Entry Av. Distance'!$E7:$E11,'Distance Matrix_Entry'!AQ$23:AQ$27,"&gt;0")</f>
        <v>316.79130598777499</v>
      </c>
      <c r="F143" s="55">
        <f>SUMPRODUCT('A4a.CWD Entry Av. Distance'!$F7:$F11,'Distance Matrix_Entry'!AQ$23:AQ$27)/SUMIFS('A4a.CWD Entry Av. Distance'!$F7:$F11,'Distance Matrix_Entry'!AQ$23:AQ$27,"&gt;0")</f>
        <v>316.79130598777499</v>
      </c>
      <c r="G143" s="55">
        <f>SUMPRODUCT('A4a.CWD Entry Av. Distance'!$G7:$G11,'Distance Matrix_Entry'!AQ$23:AQ$27)/SUMIFS('A4a.CWD Entry Av. Distance'!$G7:$G11,'Distance Matrix_Entry'!AQ$23:AQ$27,"&gt;0")</f>
        <v>316.79130598777499</v>
      </c>
    </row>
    <row r="144" spans="2:7" ht="14.4" customHeight="1" x14ac:dyDescent="0.3">
      <c r="B144" s="36" t="s">
        <v>122</v>
      </c>
      <c r="C144" s="3" t="s">
        <v>220</v>
      </c>
      <c r="D144" s="55">
        <f>SUMPRODUCT('A4a.CWD Entry Av. Distance'!$D7:$D11,'Distance Matrix_Entry'!AR$23:AR$27)/SUMIFS('A4a.CWD Entry Av. Distance'!$D7:$D11,'Distance Matrix_Entry'!AR$23:AR$27,"&gt;0")</f>
        <v>320.37266098529619</v>
      </c>
      <c r="E144" s="55">
        <f>SUMPRODUCT('A4a.CWD Entry Av. Distance'!$E7:$E11,'Distance Matrix_Entry'!AR$23:AR$27)/SUMIFS('A4a.CWD Entry Av. Distance'!$E7:$E11,'Distance Matrix_Entry'!AR$23:AR$27,"&gt;0")</f>
        <v>321.68274549937962</v>
      </c>
      <c r="F144" s="55">
        <f>SUMPRODUCT('A4a.CWD Entry Av. Distance'!$F7:$F11,'Distance Matrix_Entry'!AR$23:AR$27)/SUMIFS('A4a.CWD Entry Av. Distance'!$F7:$F11,'Distance Matrix_Entry'!AR$23:AR$27,"&gt;0")</f>
        <v>321.68274549937962</v>
      </c>
      <c r="G144" s="55">
        <f>SUMPRODUCT('A4a.CWD Entry Av. Distance'!$G7:$G11,'Distance Matrix_Entry'!AR$23:AR$27)/SUMIFS('A4a.CWD Entry Av. Distance'!$G7:$G11,'Distance Matrix_Entry'!AR$23:AR$27,"&gt;0")</f>
        <v>321.68274549937962</v>
      </c>
    </row>
    <row r="145" spans="2:7" ht="14.4" customHeight="1" x14ac:dyDescent="0.3">
      <c r="B145" s="36" t="s">
        <v>124</v>
      </c>
      <c r="C145" s="3" t="s">
        <v>220</v>
      </c>
      <c r="D145" s="55">
        <f>SUMPRODUCT('A4a.CWD Entry Av. Distance'!$D7:$D11,'Distance Matrix_Entry'!AS$23:AS$27)/SUMIFS('A4a.CWD Entry Av. Distance'!$D7:$D11,'Distance Matrix_Entry'!AS$23:AS$27,"&gt;0")</f>
        <v>336.39143122825612</v>
      </c>
      <c r="E145" s="55">
        <f>SUMPRODUCT('A4a.CWD Entry Av. Distance'!$E7:$E11,'Distance Matrix_Entry'!AS$23:AS$27)/SUMIFS('A4a.CWD Entry Av. Distance'!$E7:$E11,'Distance Matrix_Entry'!AS$23:AS$27,"&gt;0")</f>
        <v>337.69020185699532</v>
      </c>
      <c r="F145" s="55">
        <f>SUMPRODUCT('A4a.CWD Entry Av. Distance'!$F7:$F11,'Distance Matrix_Entry'!AS$23:AS$27)/SUMIFS('A4a.CWD Entry Av. Distance'!$F7:$F11,'Distance Matrix_Entry'!AS$23:AS$27,"&gt;0")</f>
        <v>337.69020185699532</v>
      </c>
      <c r="G145" s="55">
        <f>SUMPRODUCT('A4a.CWD Entry Av. Distance'!$G7:$G11,'Distance Matrix_Entry'!AS$23:AS$27)/SUMIFS('A4a.CWD Entry Av. Distance'!$G7:$G11,'Distance Matrix_Entry'!AS$23:AS$27,"&gt;0")</f>
        <v>337.69020185699532</v>
      </c>
    </row>
    <row r="146" spans="2:7" ht="14.4" customHeight="1" x14ac:dyDescent="0.3">
      <c r="B146" s="36" t="s">
        <v>126</v>
      </c>
      <c r="C146" s="3" t="s">
        <v>220</v>
      </c>
      <c r="D146" s="55">
        <f>SUMPRODUCT('A4a.CWD Entry Av. Distance'!$D7:$D11,'Distance Matrix_Entry'!AT$23:AT$27)/SUMIFS('A4a.CWD Entry Av. Distance'!$D7:$D11,'Distance Matrix_Entry'!AT$23:AT$27,"&gt;0")</f>
        <v>343.33649511803907</v>
      </c>
      <c r="E146" s="55">
        <f>SUMPRODUCT('A4a.CWD Entry Av. Distance'!$E7:$E11,'Distance Matrix_Entry'!AT$23:AT$27)/SUMIFS('A4a.CWD Entry Av. Distance'!$E7:$E11,'Distance Matrix_Entry'!AT$23:AT$27,"&gt;0")</f>
        <v>344.63036052275885</v>
      </c>
      <c r="F146" s="55">
        <f>SUMPRODUCT('A4a.CWD Entry Av. Distance'!$F7:$F11,'Distance Matrix_Entry'!AT$23:AT$27)/SUMIFS('A4a.CWD Entry Av. Distance'!$F7:$F11,'Distance Matrix_Entry'!AT$23:AT$27,"&gt;0")</f>
        <v>344.63036052275885</v>
      </c>
      <c r="G146" s="55">
        <f>SUMPRODUCT('A4a.CWD Entry Av. Distance'!$G7:$G11,'Distance Matrix_Entry'!AT$23:AT$27)/SUMIFS('A4a.CWD Entry Av. Distance'!$G7:$G11,'Distance Matrix_Entry'!AT$23:AT$27,"&gt;0")</f>
        <v>344.63036052275885</v>
      </c>
    </row>
    <row r="147" spans="2:7" ht="14.4" customHeight="1" x14ac:dyDescent="0.3">
      <c r="B147" s="36" t="s">
        <v>128</v>
      </c>
      <c r="C147" s="3" t="s">
        <v>220</v>
      </c>
      <c r="D147" s="55">
        <f>SUMPRODUCT('A4a.CWD Entry Av. Distance'!$D7:$D11,'Distance Matrix_Entry'!AU$23:AU$27)/SUMIFS('A4a.CWD Entry Av. Distance'!$D7:$D11,'Distance Matrix_Entry'!AU$23:AU$27,"&gt;0")</f>
        <v>356.04924128950347</v>
      </c>
      <c r="E147" s="55">
        <f>SUMPRODUCT('A4a.CWD Entry Av. Distance'!$E7:$E11,'Distance Matrix_Entry'!AU$23:AU$27)/SUMIFS('A4a.CWD Entry Av. Distance'!$E7:$E11,'Distance Matrix_Entry'!AU$23:AU$27,"&gt;0")</f>
        <v>357.33917142975565</v>
      </c>
      <c r="F147" s="55">
        <f>SUMPRODUCT('A4a.CWD Entry Av. Distance'!$F7:$F11,'Distance Matrix_Entry'!AU$23:AU$27)/SUMIFS('A4a.CWD Entry Av. Distance'!$F7:$F11,'Distance Matrix_Entry'!AU$23:AU$27,"&gt;0")</f>
        <v>357.33917142975565</v>
      </c>
      <c r="G147" s="55">
        <f>SUMPRODUCT('A4a.CWD Entry Av. Distance'!$G7:$G11,'Distance Matrix_Entry'!AU$23:AU$27)/SUMIFS('A4a.CWD Entry Av. Distance'!$G7:$G11,'Distance Matrix_Entry'!AU$23:AU$27,"&gt;0")</f>
        <v>357.33917142975565</v>
      </c>
    </row>
    <row r="148" spans="2:7" ht="14.4" customHeight="1" x14ac:dyDescent="0.3">
      <c r="B148" s="36" t="s">
        <v>130</v>
      </c>
      <c r="C148" s="3" t="s">
        <v>220</v>
      </c>
      <c r="D148" s="55">
        <f>SUMPRODUCT('A4a.CWD Entry Av. Distance'!$D7:$D11,'Distance Matrix_Entry'!AV$23:AV$27)/SUMIFS('A4a.CWD Entry Av. Distance'!$D7:$D11,'Distance Matrix_Entry'!AV$23:AV$27,"&gt;0")</f>
        <v>356.04824128950344</v>
      </c>
      <c r="E148" s="55">
        <f>SUMPRODUCT('A4a.CWD Entry Av. Distance'!$E7:$E11,'Distance Matrix_Entry'!AV$23:AV$27)/SUMIFS('A4a.CWD Entry Av. Distance'!$E7:$E11,'Distance Matrix_Entry'!AV$23:AV$27,"&gt;0")</f>
        <v>357.33817142975562</v>
      </c>
      <c r="F148" s="55">
        <f>SUMPRODUCT('A4a.CWD Entry Av. Distance'!$F7:$F11,'Distance Matrix_Entry'!AV$23:AV$27)/SUMIFS('A4a.CWD Entry Av. Distance'!$F7:$F11,'Distance Matrix_Entry'!AV$23:AV$27,"&gt;0")</f>
        <v>357.33817142975562</v>
      </c>
      <c r="G148" s="55">
        <f>SUMPRODUCT('A4a.CWD Entry Av. Distance'!$G7:$G11,'Distance Matrix_Entry'!AV$23:AV$27)/SUMIFS('A4a.CWD Entry Av. Distance'!$G7:$G11,'Distance Matrix_Entry'!AV$23:AV$27,"&gt;0")</f>
        <v>357.33817142975562</v>
      </c>
    </row>
    <row r="149" spans="2:7" ht="14.4" customHeight="1" x14ac:dyDescent="0.3">
      <c r="B149" s="36" t="s">
        <v>131</v>
      </c>
      <c r="C149" s="3" t="s">
        <v>220</v>
      </c>
      <c r="D149" s="55">
        <f>SUMPRODUCT('A4a.CWD Entry Av. Distance'!$D7:$D11,'Distance Matrix_Entry'!AW$23:AW$27)/SUMIFS('A4a.CWD Entry Av. Distance'!$D7:$D11,'Distance Matrix_Entry'!AW$23:AW$27,"&gt;0")</f>
        <v>360.34601600064332</v>
      </c>
      <c r="E149" s="55">
        <f>SUMPRODUCT('A4a.CWD Entry Av. Distance'!$E7:$E11,'Distance Matrix_Entry'!AW$23:AW$27)/SUMIFS('A4a.CWD Entry Av. Distance'!$E7:$E11,'Distance Matrix_Entry'!AW$23:AW$27,"&gt;0")</f>
        <v>361.62786776348491</v>
      </c>
      <c r="F149" s="55">
        <f>SUMPRODUCT('A4a.CWD Entry Av. Distance'!$F7:$F11,'Distance Matrix_Entry'!AW$23:AW$27)/SUMIFS('A4a.CWD Entry Av. Distance'!$F7:$F11,'Distance Matrix_Entry'!AW$23:AW$27,"&gt;0")</f>
        <v>361.62786776348491</v>
      </c>
      <c r="G149" s="55">
        <f>SUMPRODUCT('A4a.CWD Entry Av. Distance'!$G7:$G11,'Distance Matrix_Entry'!AW$23:AW$27)/SUMIFS('A4a.CWD Entry Av. Distance'!$G7:$G11,'Distance Matrix_Entry'!AW$23:AW$27,"&gt;0")</f>
        <v>361.62786776348491</v>
      </c>
    </row>
    <row r="150" spans="2:7" ht="14.4" customHeight="1" x14ac:dyDescent="0.3">
      <c r="B150" s="36" t="s">
        <v>133</v>
      </c>
      <c r="C150" s="3" t="s">
        <v>220</v>
      </c>
      <c r="D150" s="55">
        <f>SUMPRODUCT('A4a.CWD Entry Av. Distance'!$D7:$D11,'Distance Matrix_Entry'!AX$23:AX$27)/SUMIFS('A4a.CWD Entry Av. Distance'!$D7:$D11,'Distance Matrix_Entry'!AX$23:AX$27,"&gt;0")</f>
        <v>368.94006115240876</v>
      </c>
      <c r="E150" s="55">
        <f>SUMPRODUCT('A4a.CWD Entry Av. Distance'!$E7:$E11,'Distance Matrix_Entry'!AX$23:AX$27)/SUMIFS('A4a.CWD Entry Av. Distance'!$E7:$E11,'Distance Matrix_Entry'!AX$23:AX$27,"&gt;0")</f>
        <v>370.21584373976862</v>
      </c>
      <c r="F150" s="55">
        <f>SUMPRODUCT('A4a.CWD Entry Av. Distance'!$F7:$F11,'Distance Matrix_Entry'!AX$23:AX$27)/SUMIFS('A4a.CWD Entry Av. Distance'!$F7:$F11,'Distance Matrix_Entry'!AX$23:AX$27,"&gt;0")</f>
        <v>370.21584373976862</v>
      </c>
      <c r="G150" s="55">
        <f>SUMPRODUCT('A4a.CWD Entry Av. Distance'!$G7:$G11,'Distance Matrix_Entry'!AX$23:AX$27)/SUMIFS('A4a.CWD Entry Av. Distance'!$G7:$G11,'Distance Matrix_Entry'!AX$23:AX$27,"&gt;0")</f>
        <v>370.21584373976862</v>
      </c>
    </row>
    <row r="151" spans="2:7" ht="14.4" customHeight="1" x14ac:dyDescent="0.3">
      <c r="B151" s="36" t="s">
        <v>135</v>
      </c>
      <c r="C151" s="3" t="s">
        <v>220</v>
      </c>
      <c r="D151" s="55">
        <f>SUMPRODUCT('A4a.CWD Entry Av. Distance'!$D7:$D11,'Distance Matrix_Entry'!AY$23:AY$27)/SUMIFS('A4a.CWD Entry Av. Distance'!$D7:$D11,'Distance Matrix_Entry'!AY$23:AY$27,"&gt;0")</f>
        <v>368.93906115240873</v>
      </c>
      <c r="E151" s="55">
        <f>SUMPRODUCT('A4a.CWD Entry Av. Distance'!$E7:$E11,'Distance Matrix_Entry'!AY$23:AY$27)/SUMIFS('A4a.CWD Entry Av. Distance'!$E7:$E11,'Distance Matrix_Entry'!AY$23:AY$27,"&gt;0")</f>
        <v>370.21484373976858</v>
      </c>
      <c r="F151" s="55">
        <f>SUMPRODUCT('A4a.CWD Entry Av. Distance'!$F7:$F11,'Distance Matrix_Entry'!AY$23:AY$27)/SUMIFS('A4a.CWD Entry Av. Distance'!$F7:$F11,'Distance Matrix_Entry'!AY$23:AY$27,"&gt;0")</f>
        <v>370.21484373976858</v>
      </c>
      <c r="G151" s="55">
        <f>SUMPRODUCT('A4a.CWD Entry Av. Distance'!$G7:$G11,'Distance Matrix_Entry'!AY$23:AY$27)/SUMIFS('A4a.CWD Entry Av. Distance'!$G7:$G11,'Distance Matrix_Entry'!AY$23:AY$27,"&gt;0")</f>
        <v>370.21484373976858</v>
      </c>
    </row>
    <row r="152" spans="2:7" ht="14.4" customHeight="1" x14ac:dyDescent="0.3">
      <c r="B152" s="36" t="s">
        <v>136</v>
      </c>
      <c r="C152" s="3" t="s">
        <v>220</v>
      </c>
      <c r="D152" s="55">
        <f>SUMPRODUCT('A4a.CWD Entry Av. Distance'!$D7:$D11,'Distance Matrix_Entry'!AZ$23:AZ$27)/SUMIFS('A4a.CWD Entry Av. Distance'!$D7:$D11,'Distance Matrix_Entry'!AZ$23:AZ$27,"&gt;0")</f>
        <v>381.8482477046042</v>
      </c>
      <c r="E152" s="55">
        <f>SUMPRODUCT('A4a.CWD Entry Av. Distance'!$E7:$E11,'Distance Matrix_Entry'!AZ$23:AZ$27)/SUMIFS('A4a.CWD Entry Av. Distance'!$E7:$E11,'Distance Matrix_Entry'!AZ$23:AZ$27,"&gt;0")</f>
        <v>383.11491267217656</v>
      </c>
      <c r="F152" s="55">
        <f>SUMPRODUCT('A4a.CWD Entry Av. Distance'!$F7:$F11,'Distance Matrix_Entry'!AZ$23:AZ$27)/SUMIFS('A4a.CWD Entry Av. Distance'!$F7:$F11,'Distance Matrix_Entry'!AZ$23:AZ$27,"&gt;0")</f>
        <v>383.11491267217656</v>
      </c>
      <c r="G152" s="55">
        <f>SUMPRODUCT('A4a.CWD Entry Av. Distance'!$G7:$G11,'Distance Matrix_Entry'!AZ$23:AZ$27)/SUMIFS('A4a.CWD Entry Av. Distance'!$G7:$G11,'Distance Matrix_Entry'!AZ$23:AZ$27,"&gt;0")</f>
        <v>383.11491267217656</v>
      </c>
    </row>
    <row r="153" spans="2:7" ht="14.4" customHeight="1" x14ac:dyDescent="0.3">
      <c r="B153" s="36" t="s">
        <v>138</v>
      </c>
      <c r="C153" s="3" t="s">
        <v>220</v>
      </c>
      <c r="D153" s="55">
        <f>SUMPRODUCT('A4a.CWD Entry Av. Distance'!$D7:$D11,'Distance Matrix_Entry'!BA$23:BA$27)/SUMIFS('A4a.CWD Entry Av. Distance'!$D7:$D11,'Distance Matrix_Entry'!BA$23:BA$27,"&gt;0")</f>
        <v>399.07357565722987</v>
      </c>
      <c r="E153" s="55">
        <f>SUMPRODUCT('A4a.CWD Entry Av. Distance'!$E7:$E11,'Distance Matrix_Entry'!BA$23:BA$27)/SUMIFS('A4a.CWD Entry Av. Distance'!$E7:$E11,'Distance Matrix_Entry'!BA$23:BA$27,"&gt;0")</f>
        <v>400.32807456070884</v>
      </c>
      <c r="F153" s="55">
        <f>SUMPRODUCT('A4a.CWD Entry Av. Distance'!$F7:$F11,'Distance Matrix_Entry'!BA$23:BA$27)/SUMIFS('A4a.CWD Entry Av. Distance'!$F7:$F11,'Distance Matrix_Entry'!BA$23:BA$27,"&gt;0")</f>
        <v>400.32807456070884</v>
      </c>
      <c r="G153" s="55">
        <f>SUMPRODUCT('A4a.CWD Entry Av. Distance'!$G7:$G11,'Distance Matrix_Entry'!BA$23:BA$27)/SUMIFS('A4a.CWD Entry Av. Distance'!$G7:$G11,'Distance Matrix_Entry'!BA$23:BA$27,"&gt;0")</f>
        <v>400.32807456070884</v>
      </c>
    </row>
    <row r="154" spans="2:7" ht="14.4" customHeight="1" x14ac:dyDescent="0.3">
      <c r="B154" s="36" t="s">
        <v>140</v>
      </c>
      <c r="C154" s="3" t="s">
        <v>220</v>
      </c>
      <c r="D154" s="55">
        <f>SUMPRODUCT('A4a.CWD Entry Av. Distance'!$D7:$D11,'Distance Matrix_Entry'!BB$23:BB$27)/SUMIFS('A4a.CWD Entry Av. Distance'!$D7:$D11,'Distance Matrix_Entry'!BB$23:BB$27,"&gt;0")</f>
        <v>413.35017596008419</v>
      </c>
      <c r="E154" s="55">
        <f>SUMPRODUCT('A4a.CWD Entry Av. Distance'!$E7:$E11,'Distance Matrix_Entry'!BB$23:BB$27)/SUMIFS('A4a.CWD Entry Av. Distance'!$E7:$E11,'Distance Matrix_Entry'!BB$23:BB$27,"&gt;0")</f>
        <v>414.60055253546778</v>
      </c>
      <c r="F154" s="55">
        <f>SUMPRODUCT('A4a.CWD Entry Av. Distance'!$F7:$F11,'Distance Matrix_Entry'!BB$23:BB$27)/SUMIFS('A4a.CWD Entry Av. Distance'!$F7:$F11,'Distance Matrix_Entry'!BB$23:BB$27,"&gt;0")</f>
        <v>414.60055253546778</v>
      </c>
      <c r="G154" s="55">
        <f>SUMPRODUCT('A4a.CWD Entry Av. Distance'!$G7:$G11,'Distance Matrix_Entry'!BB$23:BB$27)/SUMIFS('A4a.CWD Entry Av. Distance'!$G7:$G11,'Distance Matrix_Entry'!BB$23:BB$27,"&gt;0")</f>
        <v>414.60055253546778</v>
      </c>
    </row>
    <row r="155" spans="2:7" ht="14.4" customHeight="1" x14ac:dyDescent="0.3">
      <c r="B155" s="36" t="s">
        <v>142</v>
      </c>
      <c r="C155" s="3" t="s">
        <v>220</v>
      </c>
      <c r="D155" s="55">
        <f>SUMPRODUCT('A4a.CWD Entry Av. Distance'!$D7:$D11,'Distance Matrix_Entry'!BC$23:BC$27)/SUMIFS('A4a.CWD Entry Av. Distance'!$D7:$D11,'Distance Matrix_Entry'!BC$23:BC$27,"&gt;0")</f>
        <v>410.61017596008418</v>
      </c>
      <c r="E155" s="55">
        <f>SUMPRODUCT('A4a.CWD Entry Av. Distance'!$E7:$E11,'Distance Matrix_Entry'!BC$23:BC$27)/SUMIFS('A4a.CWD Entry Av. Distance'!$E7:$E11,'Distance Matrix_Entry'!BC$23:BC$27,"&gt;0")</f>
        <v>411.86055253546766</v>
      </c>
      <c r="F155" s="55">
        <f>SUMPRODUCT('A4a.CWD Entry Av. Distance'!$F7:$F11,'Distance Matrix_Entry'!BC$23:BC$27)/SUMIFS('A4a.CWD Entry Av. Distance'!$F7:$F11,'Distance Matrix_Entry'!BC$23:BC$27,"&gt;0")</f>
        <v>411.86055253546766</v>
      </c>
      <c r="G155" s="55">
        <f>SUMPRODUCT('A4a.CWD Entry Av. Distance'!$G7:$G11,'Distance Matrix_Entry'!BC$23:BC$27)/SUMIFS('A4a.CWD Entry Av. Distance'!$G7:$G11,'Distance Matrix_Entry'!BC$23:BC$27,"&gt;0")</f>
        <v>411.86055253546766</v>
      </c>
    </row>
    <row r="156" spans="2:7" ht="14.4" customHeight="1" x14ac:dyDescent="0.3">
      <c r="B156" s="36" t="s">
        <v>144</v>
      </c>
      <c r="C156" s="3" t="s">
        <v>220</v>
      </c>
      <c r="D156" s="55">
        <f>SUMPRODUCT('A4a.CWD Entry Av. Distance'!$D7:$D11,'Distance Matrix_Entry'!BD$23:BD$27)/SUMIFS('A4a.CWD Entry Av. Distance'!$D7:$D11,'Distance Matrix_Entry'!BD$23:BD$27,"&gt;0")</f>
        <v>415.23575730859653</v>
      </c>
      <c r="E156" s="55">
        <f>SUMPRODUCT('A4a.CWD Entry Av. Distance'!$E7:$E11,'Distance Matrix_Entry'!BD$23:BD$27)/SUMIFS('A4a.CWD Entry Av. Distance'!$E7:$E11,'Distance Matrix_Entry'!BD$23:BD$27,"&gt;0")</f>
        <v>416.48379212449055</v>
      </c>
      <c r="F156" s="55">
        <f>SUMPRODUCT('A4a.CWD Entry Av. Distance'!$F7:$F11,'Distance Matrix_Entry'!BD$23:BD$27)/SUMIFS('A4a.CWD Entry Av. Distance'!$F7:$F11,'Distance Matrix_Entry'!BD$23:BD$27,"&gt;0")</f>
        <v>416.48379212449055</v>
      </c>
      <c r="G156" s="55">
        <f>SUMPRODUCT('A4a.CWD Entry Av. Distance'!$G7:$G11,'Distance Matrix_Entry'!BD$23:BD$27)/SUMIFS('A4a.CWD Entry Av. Distance'!$G7:$G11,'Distance Matrix_Entry'!BD$23:BD$27,"&gt;0")</f>
        <v>416.48379212449055</v>
      </c>
    </row>
    <row r="157" spans="2:7" ht="14.4" customHeight="1" x14ac:dyDescent="0.3">
      <c r="B157" s="36" t="s">
        <v>146</v>
      </c>
      <c r="C157" s="3" t="s">
        <v>220</v>
      </c>
      <c r="D157" s="55">
        <f>SUMPRODUCT('A4a.CWD Entry Av. Distance'!$D7:$D11,'Distance Matrix_Entry'!BE$23:BE$27)/SUMIFS('A4a.CWD Entry Av. Distance'!$D7:$D11,'Distance Matrix_Entry'!BE$23:BE$27,"&gt;0")</f>
        <v>421.34094151853986</v>
      </c>
      <c r="E157" s="55">
        <f>SUMPRODUCT('A4a.CWD Entry Av. Distance'!$E7:$E11,'Distance Matrix_Entry'!BE$23:BE$27)/SUMIFS('A4a.CWD Entry Av. Distance'!$E7:$E11,'Distance Matrix_Entry'!BE$23:BE$27,"&gt;0")</f>
        <v>422.57971322071353</v>
      </c>
      <c r="F157" s="55">
        <f>SUMPRODUCT('A4a.CWD Entry Av. Distance'!$F7:$F11,'Distance Matrix_Entry'!BE$23:BE$27)/SUMIFS('A4a.CWD Entry Av. Distance'!$F7:$F11,'Distance Matrix_Entry'!BE$23:BE$27,"&gt;0")</f>
        <v>422.57971322071353</v>
      </c>
      <c r="G157" s="55">
        <f>SUMPRODUCT('A4a.CWD Entry Av. Distance'!$G7:$G11,'Distance Matrix_Entry'!BE$23:BE$27)/SUMIFS('A4a.CWD Entry Av. Distance'!$G7:$G11,'Distance Matrix_Entry'!BE$23:BE$27,"&gt;0")</f>
        <v>422.57971322071353</v>
      </c>
    </row>
    <row r="158" spans="2:7" ht="14.4" customHeight="1" x14ac:dyDescent="0.3">
      <c r="B158" s="36" t="s">
        <v>148</v>
      </c>
      <c r="C158" s="3" t="s">
        <v>220</v>
      </c>
      <c r="D158" s="55">
        <f>SUMPRODUCT('A4a.CWD Entry Av. Distance'!$D7:$D11,'Distance Matrix_Entry'!BF$23:BF$27)/SUMIFS('A4a.CWD Entry Av. Distance'!$D7:$D11,'Distance Matrix_Entry'!BF$23:BF$27,"&gt;0")</f>
        <v>430.65007376628563</v>
      </c>
      <c r="E158" s="55">
        <f>SUMPRODUCT('A4a.CWD Entry Av. Distance'!$E7:$E11,'Distance Matrix_Entry'!BF$23:BF$27)/SUMIFS('A4a.CWD Entry Av. Distance'!$E7:$E11,'Distance Matrix_Entry'!BF$23:BF$27,"&gt;0")</f>
        <v>431.88227052835418</v>
      </c>
      <c r="F158" s="55">
        <f>SUMPRODUCT('A4a.CWD Entry Av. Distance'!$F7:$F11,'Distance Matrix_Entry'!BF$23:BF$27)/SUMIFS('A4a.CWD Entry Av. Distance'!$F7:$F11,'Distance Matrix_Entry'!BF$23:BF$27,"&gt;0")</f>
        <v>431.88227052835418</v>
      </c>
      <c r="G158" s="55">
        <f>SUMPRODUCT('A4a.CWD Entry Av. Distance'!$G7:$G11,'Distance Matrix_Entry'!BF$23:BF$27)/SUMIFS('A4a.CWD Entry Av. Distance'!$G7:$G11,'Distance Matrix_Entry'!BF$23:BF$27,"&gt;0")</f>
        <v>431.88227052835418</v>
      </c>
    </row>
    <row r="159" spans="2:7" ht="14.4" customHeight="1" x14ac:dyDescent="0.3">
      <c r="B159" s="36" t="s">
        <v>150</v>
      </c>
      <c r="C159" s="3" t="s">
        <v>220</v>
      </c>
      <c r="D159" s="55">
        <f>SUMPRODUCT('A4a.CWD Entry Av. Distance'!$D7:$D11,'Distance Matrix_Entry'!BG$23:BG$27)/SUMIFS('A4a.CWD Entry Av. Distance'!$D7:$D11,'Distance Matrix_Entry'!BG$23:BG$27,"&gt;0")</f>
        <v>461.81579885748016</v>
      </c>
      <c r="E159" s="55">
        <f>SUMPRODUCT('A4a.CWD Entry Av. Distance'!$E7:$E11,'Distance Matrix_Entry'!BG$23:BG$27)/SUMIFS('A4a.CWD Entry Av. Distance'!$E7:$E11,'Distance Matrix_Entry'!BG$23:BG$27,"&gt;0")</f>
        <v>463.04275090968611</v>
      </c>
      <c r="F159" s="55">
        <f>SUMPRODUCT('A4a.CWD Entry Av. Distance'!$F7:$F11,'Distance Matrix_Entry'!BG$23:BG$27)/SUMIFS('A4a.CWD Entry Av. Distance'!$F7:$F11,'Distance Matrix_Entry'!BG$23:BG$27,"&gt;0")</f>
        <v>463.04275090968611</v>
      </c>
      <c r="G159" s="55">
        <f>SUMPRODUCT('A4a.CWD Entry Av. Distance'!$G7:$G11,'Distance Matrix_Entry'!BG$23:BG$27)/SUMIFS('A4a.CWD Entry Av. Distance'!$G7:$G11,'Distance Matrix_Entry'!BG$23:BG$27,"&gt;0")</f>
        <v>463.04275090968611</v>
      </c>
    </row>
    <row r="160" spans="2:7" ht="14.4" customHeight="1" x14ac:dyDescent="0.3">
      <c r="B160" s="36" t="s">
        <v>152</v>
      </c>
      <c r="C160" s="3" t="s">
        <v>220</v>
      </c>
      <c r="D160" s="55">
        <f>SUMPRODUCT('A4a.CWD Entry Av. Distance'!$D7:$D11,'Distance Matrix_Entry'!BH$23:BH$27)/SUMIFS('A4a.CWD Entry Av. Distance'!$D7:$D11,'Distance Matrix_Entry'!BH$23:BH$27,"&gt;0")</f>
        <v>440.75376840820167</v>
      </c>
      <c r="E160" s="55">
        <f>SUMPRODUCT('A4a.CWD Entry Av. Distance'!$E7:$E11,'Distance Matrix_Entry'!BH$23:BH$27)/SUMIFS('A4a.CWD Entry Av. Distance'!$E7:$E11,'Distance Matrix_Entry'!BH$23:BH$27,"&gt;0")</f>
        <v>441.97882903928138</v>
      </c>
      <c r="F160" s="55">
        <f>SUMPRODUCT('A4a.CWD Entry Av. Distance'!$F7:$F11,'Distance Matrix_Entry'!BH$23:BH$27)/SUMIFS('A4a.CWD Entry Av. Distance'!$F7:$F11,'Distance Matrix_Entry'!BH$23:BH$27,"&gt;0")</f>
        <v>441.97882903928138</v>
      </c>
      <c r="G160" s="55">
        <f>SUMPRODUCT('A4a.CWD Entry Av. Distance'!$G7:$G11,'Distance Matrix_Entry'!BH$23:BH$27)/SUMIFS('A4a.CWD Entry Av. Distance'!$G7:$G11,'Distance Matrix_Entry'!BH$23:BH$27,"&gt;0")</f>
        <v>441.97882903928138</v>
      </c>
    </row>
    <row r="161" spans="2:7" ht="14.4" customHeight="1" x14ac:dyDescent="0.3">
      <c r="B161" s="36" t="s">
        <v>154</v>
      </c>
      <c r="C161" s="3" t="s">
        <v>220</v>
      </c>
      <c r="D161" s="55">
        <f>SUMPRODUCT('A4a.CWD Entry Av. Distance'!$D7:$D11,'Distance Matrix_Entry'!BI$23:BI$27)/SUMIFS('A4a.CWD Entry Av. Distance'!$D7:$D11,'Distance Matrix_Entry'!BI$23:BI$27,"&gt;0")</f>
        <v>449.67052416499928</v>
      </c>
      <c r="E161" s="55">
        <f>SUMPRODUCT('A4a.CWD Entry Av. Distance'!$E7:$E11,'Distance Matrix_Entry'!BI$23:BI$27)/SUMIFS('A4a.CWD Entry Av. Distance'!$E7:$E11,'Distance Matrix_Entry'!BI$23:BI$27,"&gt;0")</f>
        <v>450.88928698727443</v>
      </c>
      <c r="F161" s="55">
        <f>SUMPRODUCT('A4a.CWD Entry Av. Distance'!$F7:$F11,'Distance Matrix_Entry'!BI$23:BI$27)/SUMIFS('A4a.CWD Entry Av. Distance'!$F7:$F11,'Distance Matrix_Entry'!BI$23:BI$27,"&gt;0")</f>
        <v>450.88928698727443</v>
      </c>
      <c r="G161" s="55">
        <f>SUMPRODUCT('A4a.CWD Entry Av. Distance'!$G7:$G11,'Distance Matrix_Entry'!BI$23:BI$27)/SUMIFS('A4a.CWD Entry Av. Distance'!$G7:$G11,'Distance Matrix_Entry'!BI$23:BI$27,"&gt;0")</f>
        <v>450.88928698727443</v>
      </c>
    </row>
    <row r="162" spans="2:7" ht="14.4" customHeight="1" x14ac:dyDescent="0.3">
      <c r="B162" s="36" t="s">
        <v>156</v>
      </c>
      <c r="C162" s="3" t="s">
        <v>220</v>
      </c>
      <c r="D162" s="55">
        <f>SUMPRODUCT('A4a.CWD Entry Av. Distance'!$D7:$D11,'Distance Matrix_Entry'!BJ$23:BJ$27)/SUMIFS('A4a.CWD Entry Av. Distance'!$D7:$D11,'Distance Matrix_Entry'!BJ$23:BJ$27,"&gt;0")</f>
        <v>463.65510572983601</v>
      </c>
      <c r="E162" s="55">
        <f>SUMPRODUCT('A4a.CWD Entry Av. Distance'!$E7:$E11,'Distance Matrix_Entry'!BJ$23:BJ$27)/SUMIFS('A4a.CWD Entry Av. Distance'!$E7:$E11,'Distance Matrix_Entry'!BJ$23:BJ$27,"&gt;0")</f>
        <v>464.86858227255351</v>
      </c>
      <c r="F162" s="55">
        <f>SUMPRODUCT('A4a.CWD Entry Av. Distance'!$F7:$F11,'Distance Matrix_Entry'!BJ$23:BJ$27)/SUMIFS('A4a.CWD Entry Av. Distance'!$F7:$F11,'Distance Matrix_Entry'!BJ$23:BJ$27,"&gt;0")</f>
        <v>464.86858227255351</v>
      </c>
      <c r="G162" s="55">
        <f>SUMPRODUCT('A4a.CWD Entry Av. Distance'!$G7:$G11,'Distance Matrix_Entry'!BJ$23:BJ$27)/SUMIFS('A4a.CWD Entry Av. Distance'!$G7:$G11,'Distance Matrix_Entry'!BJ$23:BJ$27,"&gt;0")</f>
        <v>464.86858227255351</v>
      </c>
    </row>
    <row r="163" spans="2:7" ht="14.4" customHeight="1" x14ac:dyDescent="0.3">
      <c r="B163" s="36" t="s">
        <v>158</v>
      </c>
      <c r="C163" s="3" t="s">
        <v>220</v>
      </c>
      <c r="D163" s="55">
        <f>SUMPRODUCT('A4a.CWD Entry Av. Distance'!$D7:$D11,'Distance Matrix_Entry'!BK$23:BK$27)/SUMIFS('A4a.CWD Entry Av. Distance'!$D7:$D11,'Distance Matrix_Entry'!BK$23:BK$27,"&gt;0")</f>
        <v>471.26104057942365</v>
      </c>
      <c r="E163" s="55">
        <f>SUMPRODUCT('A4a.CWD Entry Av. Distance'!$E7:$E11,'Distance Matrix_Entry'!BK$23:BK$27)/SUMIFS('A4a.CWD Entry Av. Distance'!$E7:$E11,'Distance Matrix_Entry'!BK$23:BK$27,"&gt;0")</f>
        <v>472.46455425188691</v>
      </c>
      <c r="F163" s="55">
        <f>SUMPRODUCT('A4a.CWD Entry Av. Distance'!$F7:$F11,'Distance Matrix_Entry'!BK$23:BK$27)/SUMIFS('A4a.CWD Entry Av. Distance'!$F7:$F11,'Distance Matrix_Entry'!BK$23:BK$27,"&gt;0")</f>
        <v>472.46455425188691</v>
      </c>
      <c r="G163" s="55">
        <f>SUMPRODUCT('A4a.CWD Entry Av. Distance'!$G7:$G11,'Distance Matrix_Entry'!BK$23:BK$27)/SUMIFS('A4a.CWD Entry Av. Distance'!$G7:$G11,'Distance Matrix_Entry'!BK$23:BK$27,"&gt;0")</f>
        <v>472.46455425188691</v>
      </c>
    </row>
    <row r="164" spans="2:7" ht="14.4" customHeight="1" x14ac:dyDescent="0.3">
      <c r="B164" s="36" t="s">
        <v>160</v>
      </c>
      <c r="C164" s="3" t="s">
        <v>220</v>
      </c>
      <c r="D164" s="55">
        <f>SUMPRODUCT('A4a.CWD Entry Av. Distance'!$D7:$D11,'Distance Matrix_Entry'!BL$23:BL$27)/SUMIFS('A4a.CWD Entry Av. Distance'!$D7:$D11,'Distance Matrix_Entry'!BL$23:BL$27,"&gt;0")</f>
        <v>498.67876098611373</v>
      </c>
      <c r="E164" s="55">
        <f>SUMPRODUCT('A4a.CWD Entry Av. Distance'!$E7:$E11,'Distance Matrix_Entry'!BL$23:BL$27)/SUMIFS('A4a.CWD Entry Av. Distance'!$E7:$E11,'Distance Matrix_Entry'!BL$23:BL$27,"&gt;0")</f>
        <v>499.87673896084891</v>
      </c>
      <c r="F164" s="55">
        <f>SUMPRODUCT('A4a.CWD Entry Av. Distance'!$F7:$F11,'Distance Matrix_Entry'!BL$23:BL$27)/SUMIFS('A4a.CWD Entry Av. Distance'!$F7:$F11,'Distance Matrix_Entry'!BL$23:BL$27,"&gt;0")</f>
        <v>499.87673896084891</v>
      </c>
      <c r="G164" s="55">
        <f>SUMPRODUCT('A4a.CWD Entry Av. Distance'!$G7:$G11,'Distance Matrix_Entry'!BL$23:BL$27)/SUMIFS('A4a.CWD Entry Av. Distance'!$G7:$G11,'Distance Matrix_Entry'!BL$23:BL$27,"&gt;0")</f>
        <v>499.87673896084891</v>
      </c>
    </row>
    <row r="165" spans="2:7" ht="14.4" customHeight="1" x14ac:dyDescent="0.3">
      <c r="B165" s="36" t="s">
        <v>162</v>
      </c>
      <c r="C165" s="3" t="s">
        <v>220</v>
      </c>
      <c r="D165" s="55">
        <f>SUMPRODUCT('A4a.CWD Entry Av. Distance'!$D7:$D11,'Distance Matrix_Entry'!BM$23:BM$27)/SUMIFS('A4a.CWD Entry Av. Distance'!$D7:$D11,'Distance Matrix_Entry'!BM$23:BM$27,"&gt;0")</f>
        <v>496.24561364054978</v>
      </c>
      <c r="E165" s="55">
        <f>SUMPRODUCT('A4a.CWD Entry Av. Distance'!$E7:$E11,'Distance Matrix_Entry'!BM$23:BM$27)/SUMIFS('A4a.CWD Entry Av. Distance'!$E7:$E11,'Distance Matrix_Entry'!BM$23:BM$27,"&gt;0")</f>
        <v>497.4314809774516</v>
      </c>
      <c r="F165" s="55">
        <f>SUMPRODUCT('A4a.CWD Entry Av. Distance'!$F7:$F11,'Distance Matrix_Entry'!BM$23:BM$27)/SUMIFS('A4a.CWD Entry Av. Distance'!$F7:$F11,'Distance Matrix_Entry'!BM$23:BM$27,"&gt;0")</f>
        <v>497.4314809774516</v>
      </c>
      <c r="G165" s="55">
        <f>SUMPRODUCT('A4a.CWD Entry Av. Distance'!$G7:$G11,'Distance Matrix_Entry'!BM$23:BM$27)/SUMIFS('A4a.CWD Entry Av. Distance'!$G7:$G11,'Distance Matrix_Entry'!BM$23:BM$27,"&gt;0")</f>
        <v>497.4314809774516</v>
      </c>
    </row>
    <row r="166" spans="2:7" ht="14.4" customHeight="1" x14ac:dyDescent="0.3">
      <c r="B166" s="36" t="s">
        <v>164</v>
      </c>
      <c r="C166" s="3" t="s">
        <v>220</v>
      </c>
      <c r="D166" s="55">
        <f>SUMPRODUCT('A4a.CWD Entry Av. Distance'!$D7:$D11,'Distance Matrix_Entry'!BN$23:BN$27)/SUMIFS('A4a.CWD Entry Av. Distance'!$D7:$D11,'Distance Matrix_Entry'!BN$23:BN$27,"&gt;0")</f>
        <v>525.51689986528493</v>
      </c>
      <c r="E166" s="55">
        <f>SUMPRODUCT('A4a.CWD Entry Av. Distance'!$E7:$E11,'Distance Matrix_Entry'!BN$23:BN$27)/SUMIFS('A4a.CWD Entry Av. Distance'!$E7:$E11,'Distance Matrix_Entry'!BN$23:BN$27,"&gt;0")</f>
        <v>526.68209320716699</v>
      </c>
      <c r="F166" s="55">
        <f>SUMPRODUCT('A4a.CWD Entry Av. Distance'!$F7:$F11,'Distance Matrix_Entry'!BN$23:BN$27)/SUMIFS('A4a.CWD Entry Av. Distance'!$F7:$F11,'Distance Matrix_Entry'!BN$23:BN$27,"&gt;0")</f>
        <v>526.68209320716699</v>
      </c>
      <c r="G166" s="55">
        <f>SUMPRODUCT('A4a.CWD Entry Av. Distance'!$G7:$G11,'Distance Matrix_Entry'!BN$23:BN$27)/SUMIFS('A4a.CWD Entry Av. Distance'!$G7:$G11,'Distance Matrix_Entry'!BN$23:BN$27,"&gt;0")</f>
        <v>526.68209320716699</v>
      </c>
    </row>
    <row r="167" spans="2:7" ht="14.4" customHeight="1" x14ac:dyDescent="0.3">
      <c r="B167" s="36" t="s">
        <v>166</v>
      </c>
      <c r="C167" s="3" t="s">
        <v>220</v>
      </c>
      <c r="D167" s="55">
        <f>SUMPRODUCT('A4a.CWD Entry Av. Distance'!$D7:$D11,'Distance Matrix_Entry'!BO$23:BO$27)/SUMIFS('A4a.CWD Entry Av. Distance'!$D7:$D11,'Distance Matrix_Entry'!BO$23:BO$27,"&gt;0")</f>
        <v>411.19261727447275</v>
      </c>
      <c r="E167" s="55">
        <f>SUMPRODUCT('A4a.CWD Entry Av. Distance'!$E7:$E11,'Distance Matrix_Entry'!BO$23:BO$27)/SUMIFS('A4a.CWD Entry Av. Distance'!$E7:$E11,'Distance Matrix_Entry'!BO$23:BO$27,"&gt;0")</f>
        <v>410.50987277692457</v>
      </c>
      <c r="F167" s="55">
        <f>SUMPRODUCT('A4a.CWD Entry Av. Distance'!$F7:$F11,'Distance Matrix_Entry'!BO$23:BO$27)/SUMIFS('A4a.CWD Entry Av. Distance'!$F7:$F11,'Distance Matrix_Entry'!BO$23:BO$27,"&gt;0")</f>
        <v>410.50987277692457</v>
      </c>
      <c r="G167" s="55">
        <f>SUMPRODUCT('A4a.CWD Entry Av. Distance'!$G7:$G11,'Distance Matrix_Entry'!BO$23:BO$27)/SUMIFS('A4a.CWD Entry Av. Distance'!$G7:$G11,'Distance Matrix_Entry'!BO$23:BO$27,"&gt;0")</f>
        <v>410.50987277692457</v>
      </c>
    </row>
    <row r="168" spans="2:7" ht="14.4" customHeight="1" x14ac:dyDescent="0.3">
      <c r="B168" s="36" t="s">
        <v>168</v>
      </c>
      <c r="C168" s="3" t="s">
        <v>220</v>
      </c>
      <c r="D168" s="55">
        <f>SUMPRODUCT('A4a.CWD Entry Av. Distance'!$D7:$D11,'Distance Matrix_Entry'!BP$23:BP$27)/SUMIFS('A4a.CWD Entry Av. Distance'!$D7:$D11,'Distance Matrix_Entry'!BP$23:BP$27,"&gt;0")</f>
        <v>334.21458252796396</v>
      </c>
      <c r="E168" s="55">
        <f>SUMPRODUCT('A4a.CWD Entry Av. Distance'!$E7:$E11,'Distance Matrix_Entry'!BP$23:BP$27)/SUMIFS('A4a.CWD Entry Av. Distance'!$E7:$E11,'Distance Matrix_Entry'!BP$23:BP$27,"&gt;0")</f>
        <v>334.491607464362</v>
      </c>
      <c r="F168" s="55">
        <f>SUMPRODUCT('A4a.CWD Entry Av. Distance'!$F7:$F11,'Distance Matrix_Entry'!BP$23:BP$27)/SUMIFS('A4a.CWD Entry Av. Distance'!$F7:$F11,'Distance Matrix_Entry'!BP$23:BP$27,"&gt;0")</f>
        <v>334.491607464362</v>
      </c>
      <c r="G168" s="55">
        <f>SUMPRODUCT('A4a.CWD Entry Av. Distance'!$G7:$G11,'Distance Matrix_Entry'!BP$23:BP$27)/SUMIFS('A4a.CWD Entry Av. Distance'!$G7:$G11,'Distance Matrix_Entry'!BP$23:BP$27,"&gt;0")</f>
        <v>334.491607464362</v>
      </c>
    </row>
    <row r="169" spans="2:7" ht="14.4" customHeight="1" x14ac:dyDescent="0.3">
      <c r="B169" s="36" t="s">
        <v>170</v>
      </c>
      <c r="C169" s="3" t="s">
        <v>220</v>
      </c>
      <c r="D169" s="55">
        <f>SUMPRODUCT('A4a.CWD Entry Av. Distance'!$D7:$D11,'Distance Matrix_Entry'!BQ$23:BQ$27)/SUMIFS('A4a.CWD Entry Av. Distance'!$D7:$D11,'Distance Matrix_Entry'!BQ$23:BQ$27,"&gt;0")</f>
        <v>317.39378735555499</v>
      </c>
      <c r="E169" s="55">
        <f>SUMPRODUCT('A4a.CWD Entry Av. Distance'!$E7:$E11,'Distance Matrix_Entry'!BQ$23:BQ$27)/SUMIFS('A4a.CWD Entry Av. Distance'!$E7:$E11,'Distance Matrix_Entry'!BQ$23:BQ$27,"&gt;0")</f>
        <v>317.88053556060129</v>
      </c>
      <c r="F169" s="55">
        <f>SUMPRODUCT('A4a.CWD Entry Av. Distance'!$F7:$F11,'Distance Matrix_Entry'!BQ$23:BQ$27)/SUMIFS('A4a.CWD Entry Av. Distance'!$F7:$F11,'Distance Matrix_Entry'!BQ$23:BQ$27,"&gt;0")</f>
        <v>317.88053556060129</v>
      </c>
      <c r="G169" s="55">
        <f>SUMPRODUCT('A4a.CWD Entry Av. Distance'!$G7:$G11,'Distance Matrix_Entry'!BQ$23:BQ$27)/SUMIFS('A4a.CWD Entry Av. Distance'!$G7:$G11,'Distance Matrix_Entry'!BQ$23:BQ$27,"&gt;0")</f>
        <v>317.88053556060129</v>
      </c>
    </row>
    <row r="170" spans="2:7" ht="14.4" customHeight="1" x14ac:dyDescent="0.3">
      <c r="B170" s="36" t="s">
        <v>172</v>
      </c>
      <c r="C170" s="3" t="s">
        <v>220</v>
      </c>
      <c r="D170" s="55">
        <f>SUMPRODUCT('A4a.CWD Entry Av. Distance'!$D7:$D11,'Distance Matrix_Entry'!BR$23:BR$27)/SUMIFS('A4a.CWD Entry Av. Distance'!$D7:$D11,'Distance Matrix_Entry'!BR$23:BR$27,"&gt;0")</f>
        <v>322.45378735555505</v>
      </c>
      <c r="E170" s="55">
        <f>SUMPRODUCT('A4a.CWD Entry Av. Distance'!$E7:$E11,'Distance Matrix_Entry'!BR$23:BR$27)/SUMIFS('A4a.CWD Entry Av. Distance'!$E7:$E11,'Distance Matrix_Entry'!BR$23:BR$27,"&gt;0")</f>
        <v>322.94053556060129</v>
      </c>
      <c r="F170" s="55">
        <f>SUMPRODUCT('A4a.CWD Entry Av. Distance'!$F7:$F11,'Distance Matrix_Entry'!BR$23:BR$27)/SUMIFS('A4a.CWD Entry Av. Distance'!$F7:$F11,'Distance Matrix_Entry'!BR$23:BR$27,"&gt;0")</f>
        <v>322.94053556060129</v>
      </c>
      <c r="G170" s="55">
        <f>SUMPRODUCT('A4a.CWD Entry Av. Distance'!$G7:$G11,'Distance Matrix_Entry'!BR$23:BR$27)/SUMIFS('A4a.CWD Entry Av. Distance'!$G7:$G11,'Distance Matrix_Entry'!BR$23:BR$27,"&gt;0")</f>
        <v>322.94053556060129</v>
      </c>
    </row>
    <row r="171" spans="2:7" ht="14.4" customHeight="1" x14ac:dyDescent="0.3">
      <c r="B171" s="36" t="s">
        <v>174</v>
      </c>
      <c r="C171" s="3" t="s">
        <v>220</v>
      </c>
      <c r="D171" s="55">
        <f>SUMPRODUCT('A4a.CWD Entry Av. Distance'!$D7:$D11,'Distance Matrix_Entry'!BS$23:BS$27)/SUMIFS('A4a.CWD Entry Av. Distance'!$D7:$D11,'Distance Matrix_Entry'!BS$23:BS$27,"&gt;0")</f>
        <v>302.58344578941018</v>
      </c>
      <c r="E171" s="55">
        <f>SUMPRODUCT('A4a.CWD Entry Av. Distance'!$E7:$E11,'Distance Matrix_Entry'!BS$23:BS$27)/SUMIFS('A4a.CWD Entry Av. Distance'!$E7:$E11,'Distance Matrix_Entry'!BS$23:BS$27,"&gt;0")</f>
        <v>303.25485073697126</v>
      </c>
      <c r="F171" s="55">
        <f>SUMPRODUCT('A4a.CWD Entry Av. Distance'!$F7:$F11,'Distance Matrix_Entry'!BS$23:BS$27)/SUMIFS('A4a.CWD Entry Av. Distance'!$F7:$F11,'Distance Matrix_Entry'!BS$23:BS$27,"&gt;0")</f>
        <v>303.25485073697126</v>
      </c>
      <c r="G171" s="55">
        <f>SUMPRODUCT('A4a.CWD Entry Av. Distance'!$G7:$G11,'Distance Matrix_Entry'!BS$23:BS$27)/SUMIFS('A4a.CWD Entry Av. Distance'!$G7:$G11,'Distance Matrix_Entry'!BS$23:BS$27,"&gt;0")</f>
        <v>303.25485073697126</v>
      </c>
    </row>
    <row r="172" spans="2:7" ht="14.4" customHeight="1" x14ac:dyDescent="0.3">
      <c r="B172" s="36" t="s">
        <v>176</v>
      </c>
      <c r="C172" s="3" t="s">
        <v>220</v>
      </c>
      <c r="D172" s="55">
        <f>SUMPRODUCT('A4a.CWD Entry Av. Distance'!$D7:$D11,'Distance Matrix_Entry'!BT$23:BT$27)/SUMIFS('A4a.CWD Entry Av. Distance'!$D7:$D11,'Distance Matrix_Entry'!BT$23:BT$27,"&gt;0")</f>
        <v>289.04639150723239</v>
      </c>
      <c r="E172" s="55">
        <f>SUMPRODUCT('A4a.CWD Entry Av. Distance'!$E7:$E11,'Distance Matrix_Entry'!BT$23:BT$27)/SUMIFS('A4a.CWD Entry Av. Distance'!$E7:$E11,'Distance Matrix_Entry'!BT$23:BT$27,"&gt;0")</f>
        <v>289.88657773075744</v>
      </c>
      <c r="F172" s="55">
        <f>SUMPRODUCT('A4a.CWD Entry Av. Distance'!$F7:$F11,'Distance Matrix_Entry'!BT$23:BT$27)/SUMIFS('A4a.CWD Entry Av. Distance'!$F7:$F11,'Distance Matrix_Entry'!BT$23:BT$27,"&gt;0")</f>
        <v>289.88657773075744</v>
      </c>
      <c r="G172" s="55">
        <f>SUMPRODUCT('A4a.CWD Entry Av. Distance'!$G7:$G11,'Distance Matrix_Entry'!BT$23:BT$27)/SUMIFS('A4a.CWD Entry Av. Distance'!$G7:$G11,'Distance Matrix_Entry'!BT$23:BT$27,"&gt;0")</f>
        <v>289.88657773075744</v>
      </c>
    </row>
    <row r="173" spans="2:7" ht="14.4" customHeight="1" x14ac:dyDescent="0.3">
      <c r="B173" s="36" t="s">
        <v>178</v>
      </c>
      <c r="C173" s="3" t="s">
        <v>220</v>
      </c>
      <c r="D173" s="55">
        <f>SUMPRODUCT('A4a.CWD Entry Av. Distance'!$D7:$D11,'Distance Matrix_Entry'!BU$23:BU$27)/SUMIFS('A4a.CWD Entry Av. Distance'!$D7:$D11,'Distance Matrix_Entry'!BU$23:BU$27,"&gt;0")</f>
        <v>274.86897052083731</v>
      </c>
      <c r="E173" s="55">
        <f>SUMPRODUCT('A4a.CWD Entry Av. Distance'!$E7:$E11,'Distance Matrix_Entry'!BU$23:BU$27)/SUMIFS('A4a.CWD Entry Av. Distance'!$E7:$E11,'Distance Matrix_Entry'!BU$23:BU$27,"&gt;0")</f>
        <v>275.88592217309457</v>
      </c>
      <c r="F173" s="55">
        <f>SUMPRODUCT('A4a.CWD Entry Av. Distance'!$F7:$F11,'Distance Matrix_Entry'!BU$23:BU$27)/SUMIFS('A4a.CWD Entry Av. Distance'!$F7:$F11,'Distance Matrix_Entry'!BU$23:BU$27,"&gt;0")</f>
        <v>275.88592217309457</v>
      </c>
      <c r="G173" s="55">
        <f>SUMPRODUCT('A4a.CWD Entry Av. Distance'!$G7:$G11,'Distance Matrix_Entry'!BU$23:BU$27)/SUMIFS('A4a.CWD Entry Av. Distance'!$G7:$G11,'Distance Matrix_Entry'!BU$23:BU$27,"&gt;0")</f>
        <v>275.88592217309457</v>
      </c>
    </row>
    <row r="174" spans="2:7" ht="14.4" customHeight="1" x14ac:dyDescent="0.3">
      <c r="B174" s="36" t="s">
        <v>180</v>
      </c>
      <c r="C174" s="3" t="s">
        <v>220</v>
      </c>
      <c r="D174" s="55">
        <f>SUMPRODUCT('A4a.CWD Entry Av. Distance'!$D7:$D11,'Distance Matrix_Entry'!BV$23:BV$27)/SUMIFS('A4a.CWD Entry Av. Distance'!$D7:$D11,'Distance Matrix_Entry'!BV$23:BV$27,"&gt;0")</f>
        <v>250.12549891485466</v>
      </c>
      <c r="E174" s="55">
        <f>SUMPRODUCT('A4a.CWD Entry Av. Distance'!$E7:$E11,'Distance Matrix_Entry'!BV$23:BV$27)/SUMIFS('A4a.CWD Entry Av. Distance'!$E7:$E11,'Distance Matrix_Entry'!BV$23:BV$27,"&gt;0")</f>
        <v>251.45095451652213</v>
      </c>
      <c r="F174" s="55">
        <f>SUMPRODUCT('A4a.CWD Entry Av. Distance'!$F7:$F11,'Distance Matrix_Entry'!BV$23:BV$27)/SUMIFS('A4a.CWD Entry Av. Distance'!$F7:$F11,'Distance Matrix_Entry'!BV$23:BV$27,"&gt;0")</f>
        <v>251.45095451652213</v>
      </c>
      <c r="G174" s="55">
        <f>SUMPRODUCT('A4a.CWD Entry Av. Distance'!$G7:$G11,'Distance Matrix_Entry'!BV$23:BV$27)/SUMIFS('A4a.CWD Entry Av. Distance'!$G7:$G11,'Distance Matrix_Entry'!BV$23:BV$27,"&gt;0")</f>
        <v>251.45095451652213</v>
      </c>
    </row>
    <row r="175" spans="2:7" ht="14.4" customHeight="1" x14ac:dyDescent="0.3">
      <c r="B175" s="36" t="s">
        <v>182</v>
      </c>
      <c r="C175" s="3" t="s">
        <v>220</v>
      </c>
      <c r="D175" s="55">
        <f>SUMPRODUCT('A4a.CWD Entry Av. Distance'!$D7:$D11,'Distance Matrix_Entry'!BW$23:BW$27)/SUMIFS('A4a.CWD Entry Av. Distance'!$D7:$D11,'Distance Matrix_Entry'!BW$23:BW$27,"&gt;0")</f>
        <v>396.37854690217955</v>
      </c>
      <c r="E175" s="55">
        <f>SUMPRODUCT('A4a.CWD Entry Av. Distance'!$E7:$E11,'Distance Matrix_Entry'!BW$23:BW$27)/SUMIFS('A4a.CWD Entry Av. Distance'!$E7:$E11,'Distance Matrix_Entry'!BW$23:BW$27,"&gt;0")</f>
        <v>396.15405563794138</v>
      </c>
      <c r="F175" s="55">
        <f>SUMPRODUCT('A4a.CWD Entry Av. Distance'!$F7:$F11,'Distance Matrix_Entry'!BW$23:BW$27)/SUMIFS('A4a.CWD Entry Av. Distance'!$F7:$F11,'Distance Matrix_Entry'!BW$23:BW$27,"&gt;0")</f>
        <v>396.15405563794138</v>
      </c>
      <c r="G175" s="55">
        <f>SUMPRODUCT('A4a.CWD Entry Av. Distance'!$G7:$G11,'Distance Matrix_Entry'!BW$23:BW$27)/SUMIFS('A4a.CWD Entry Av. Distance'!$G7:$G11,'Distance Matrix_Entry'!BW$23:BW$27,"&gt;0")</f>
        <v>396.15405563794138</v>
      </c>
    </row>
    <row r="176" spans="2:7" ht="14.4" customHeight="1" x14ac:dyDescent="0.3">
      <c r="B176" s="36" t="s">
        <v>184</v>
      </c>
      <c r="C176" s="3" t="s">
        <v>220</v>
      </c>
      <c r="D176" s="55">
        <f>SUMPRODUCT('A4a.CWD Entry Av. Distance'!$D7:$D11,'Distance Matrix_Entry'!BX$23:BX$27)/SUMIFS('A4a.CWD Entry Av. Distance'!$D7:$D11,'Distance Matrix_Entry'!BX$23:BX$27,"&gt;0")</f>
        <v>435.85089146689512</v>
      </c>
      <c r="E176" s="55">
        <f>SUMPRODUCT('A4a.CWD Entry Av. Distance'!$E7:$E11,'Distance Matrix_Entry'!BX$23:BX$27)/SUMIFS('A4a.CWD Entry Av. Distance'!$E7:$E11,'Distance Matrix_Entry'!BX$23:BX$27,"&gt;0")</f>
        <v>435.61230807602482</v>
      </c>
      <c r="F176" s="55">
        <f>SUMPRODUCT('A4a.CWD Entry Av. Distance'!$F7:$F11,'Distance Matrix_Entry'!BX$23:BX$27)/SUMIFS('A4a.CWD Entry Av. Distance'!$F7:$F11,'Distance Matrix_Entry'!BX$23:BX$27,"&gt;0")</f>
        <v>435.61230807602482</v>
      </c>
      <c r="G176" s="55">
        <f>SUMPRODUCT('A4a.CWD Entry Av. Distance'!$G7:$G11,'Distance Matrix_Entry'!BX$23:BX$27)/SUMIFS('A4a.CWD Entry Av. Distance'!$G7:$G11,'Distance Matrix_Entry'!BX$23:BX$27,"&gt;0")</f>
        <v>435.61230807602482</v>
      </c>
    </row>
    <row r="177" spans="2:7" ht="14.4" customHeight="1" x14ac:dyDescent="0.3">
      <c r="B177" s="36" t="s">
        <v>186</v>
      </c>
      <c r="C177" s="3" t="s">
        <v>220</v>
      </c>
      <c r="D177" s="55">
        <f>SUMPRODUCT('A4a.CWD Entry Av. Distance'!$D7:$D11,'Distance Matrix_Entry'!BY$23:BY$27)/SUMIFS('A4a.CWD Entry Av. Distance'!$D7:$D11,'Distance Matrix_Entry'!BY$23:BY$27,"&gt;0")</f>
        <v>460.24689979159888</v>
      </c>
      <c r="E177" s="55">
        <f>SUMPRODUCT('A4a.CWD Entry Av. Distance'!$E7:$E11,'Distance Matrix_Entry'!BY$23:BY$27)/SUMIFS('A4a.CWD Entry Av. Distance'!$E7:$E11,'Distance Matrix_Entry'!BY$23:BY$27,"&gt;0")</f>
        <v>459.9910857621179</v>
      </c>
      <c r="F177" s="55">
        <f>SUMPRODUCT('A4a.CWD Entry Av. Distance'!$F7:$F11,'Distance Matrix_Entry'!BY$23:BY$27)/SUMIFS('A4a.CWD Entry Av. Distance'!$F7:$F11,'Distance Matrix_Entry'!BY$23:BY$27,"&gt;0")</f>
        <v>459.9910857621179</v>
      </c>
      <c r="G177" s="55">
        <f>SUMPRODUCT('A4a.CWD Entry Av. Distance'!$G7:$G11,'Distance Matrix_Entry'!BY$23:BY$27)/SUMIFS('A4a.CWD Entry Av. Distance'!$G7:$G11,'Distance Matrix_Entry'!BY$23:BY$27,"&gt;0")</f>
        <v>459.9910857621179</v>
      </c>
    </row>
    <row r="178" spans="2:7" ht="14.4" customHeight="1" x14ac:dyDescent="0.3">
      <c r="B178" s="36" t="s">
        <v>188</v>
      </c>
      <c r="C178" s="3" t="s">
        <v>220</v>
      </c>
      <c r="D178" s="55">
        <f>SUMPRODUCT('A4a.CWD Entry Av. Distance'!$D7:$D11,'Distance Matrix_Entry'!BZ$23:BZ$27)/SUMIFS('A4a.CWD Entry Av. Distance'!$D7:$D11,'Distance Matrix_Entry'!BZ$23:BZ$27,"&gt;0")</f>
        <v>475.85516495833639</v>
      </c>
      <c r="E178" s="55">
        <f>SUMPRODUCT('A4a.CWD Entry Av. Distance'!$E7:$E11,'Distance Matrix_Entry'!BZ$23:BZ$27)/SUMIFS('A4a.CWD Entry Av. Distance'!$E7:$E11,'Distance Matrix_Entry'!BZ$23:BZ$27,"&gt;0")</f>
        <v>475.7436060847221</v>
      </c>
      <c r="F178" s="55">
        <f>SUMPRODUCT('A4a.CWD Entry Av. Distance'!$F7:$F11,'Distance Matrix_Entry'!BZ$23:BZ$27)/SUMIFS('A4a.CWD Entry Av. Distance'!$F7:$F11,'Distance Matrix_Entry'!BZ$23:BZ$27,"&gt;0")</f>
        <v>475.7436060847221</v>
      </c>
      <c r="G178" s="55">
        <f>SUMPRODUCT('A4a.CWD Entry Av. Distance'!$G7:$G11,'Distance Matrix_Entry'!BZ$23:BZ$27)/SUMIFS('A4a.CWD Entry Av. Distance'!$G7:$G11,'Distance Matrix_Entry'!BZ$23:BZ$27,"&gt;0")</f>
        <v>475.7436060847221</v>
      </c>
    </row>
    <row r="179" spans="2:7" ht="14.4" customHeight="1" x14ac:dyDescent="0.3">
      <c r="B179" s="36" t="s">
        <v>190</v>
      </c>
      <c r="C179" s="3" t="s">
        <v>220</v>
      </c>
      <c r="D179" s="55">
        <f>SUMPRODUCT('A4a.CWD Entry Av. Distance'!$D7:$D11,'Distance Matrix_Entry'!CA$23:CA$27)/SUMIFS('A4a.CWD Entry Av. Distance'!$D7:$D11,'Distance Matrix_Entry'!CA$23:CA$27,"&gt;0")</f>
        <v>467.82824278221551</v>
      </c>
      <c r="E179" s="55">
        <f>SUMPRODUCT('A4a.CWD Entry Av. Distance'!$E7:$E11,'Distance Matrix_Entry'!CA$23:CA$27)/SUMIFS('A4a.CWD Entry Av. Distance'!$E7:$E11,'Distance Matrix_Entry'!CA$23:CA$27,"&gt;0")</f>
        <v>467.81676433516276</v>
      </c>
      <c r="F179" s="55">
        <f>SUMPRODUCT('A4a.CWD Entry Av. Distance'!$F7:$F11,'Distance Matrix_Entry'!CA$23:CA$27)/SUMIFS('A4a.CWD Entry Av. Distance'!$F7:$F11,'Distance Matrix_Entry'!CA$23:CA$27,"&gt;0")</f>
        <v>467.81676433516276</v>
      </c>
      <c r="G179" s="55">
        <f>SUMPRODUCT('A4a.CWD Entry Av. Distance'!$G7:$G11,'Distance Matrix_Entry'!CA$23:CA$27)/SUMIFS('A4a.CWD Entry Av. Distance'!$G7:$G11,'Distance Matrix_Entry'!CA$23:CA$27,"&gt;0")</f>
        <v>467.81676433516276</v>
      </c>
    </row>
    <row r="180" spans="2:7" ht="14.4" customHeight="1" x14ac:dyDescent="0.3">
      <c r="B180" s="36" t="s">
        <v>192</v>
      </c>
      <c r="C180" s="3" t="s">
        <v>220</v>
      </c>
      <c r="D180" s="55">
        <f>SUMPRODUCT('A4a.CWD Entry Av. Distance'!$D7:$D11,'Distance Matrix_Entry'!CB$23:CB$27)/SUMIFS('A4a.CWD Entry Av. Distance'!$D7:$D11,'Distance Matrix_Entry'!CB$23:CB$27,"&gt;0")</f>
        <v>438.39371276161683</v>
      </c>
      <c r="E180" s="55">
        <f>SUMPRODUCT('A4a.CWD Entry Av. Distance'!$E7:$E11,'Distance Matrix_Entry'!CB$23:CB$27)/SUMIFS('A4a.CWD Entry Av. Distance'!$E7:$E11,'Distance Matrix_Entry'!CB$23:CB$27,"&gt;0")</f>
        <v>438.74922682495202</v>
      </c>
      <c r="F180" s="55">
        <f>SUMPRODUCT('A4a.CWD Entry Av. Distance'!$F7:$F11,'Distance Matrix_Entry'!CB$23:CB$27)/SUMIFS('A4a.CWD Entry Av. Distance'!$F7:$F11,'Distance Matrix_Entry'!CB$23:CB$27,"&gt;0")</f>
        <v>438.74922682495202</v>
      </c>
      <c r="G180" s="55">
        <f>SUMPRODUCT('A4a.CWD Entry Av. Distance'!$G7:$G11,'Distance Matrix_Entry'!CB$23:CB$27)/SUMIFS('A4a.CWD Entry Av. Distance'!$G7:$G11,'Distance Matrix_Entry'!CB$23:CB$27,"&gt;0")</f>
        <v>438.74922682495202</v>
      </c>
    </row>
    <row r="181" spans="2:7" ht="14.4" customHeight="1" x14ac:dyDescent="0.3">
      <c r="B181" s="36" t="s">
        <v>194</v>
      </c>
      <c r="C181" s="3" t="s">
        <v>220</v>
      </c>
      <c r="D181" s="55">
        <f>SUMPRODUCT('A4a.CWD Entry Av. Distance'!$D7:$D11,'Distance Matrix_Entry'!CC$23:CC$27)/SUMIFS('A4a.CWD Entry Av. Distance'!$D7:$D11,'Distance Matrix_Entry'!CC$23:CC$27,"&gt;0")</f>
        <v>343.12266098529619</v>
      </c>
      <c r="E181" s="55">
        <f>SUMPRODUCT('A4a.CWD Entry Av. Distance'!$E7:$E11,'Distance Matrix_Entry'!CC$23:CC$27)/SUMIFS('A4a.CWD Entry Av. Distance'!$E7:$E11,'Distance Matrix_Entry'!CC$23:CC$27,"&gt;0")</f>
        <v>344.43274549937962</v>
      </c>
      <c r="F181" s="55">
        <f>SUMPRODUCT('A4a.CWD Entry Av. Distance'!$F7:$F11,'Distance Matrix_Entry'!CC$23:CC$27)/SUMIFS('A4a.CWD Entry Av. Distance'!$F7:$F11,'Distance Matrix_Entry'!CC$23:CC$27,"&gt;0")</f>
        <v>344.43274549937962</v>
      </c>
      <c r="G181" s="55">
        <f>SUMPRODUCT('A4a.CWD Entry Av. Distance'!$G7:$G11,'Distance Matrix_Entry'!CC$23:CC$27)/SUMIFS('A4a.CWD Entry Av. Distance'!$G7:$G11,'Distance Matrix_Entry'!CC$23:CC$27,"&gt;0")</f>
        <v>344.43274549937962</v>
      </c>
    </row>
    <row r="182" spans="2:7" ht="14.4" customHeight="1" x14ac:dyDescent="0.3">
      <c r="B182" s="36" t="s">
        <v>196</v>
      </c>
      <c r="C182" s="3" t="s">
        <v>220</v>
      </c>
      <c r="D182" s="55">
        <f>SUMPRODUCT('A4a.CWD Entry Av. Distance'!$D7:$D11,'Distance Matrix_Entry'!CD$23:CD$27)/SUMIFS('A4a.CWD Entry Av. Distance'!$D7:$D11,'Distance Matrix_Entry'!CD$23:CD$27,"&gt;0")</f>
        <v>352.66266098529616</v>
      </c>
      <c r="E182" s="55">
        <f>SUMPRODUCT('A4a.CWD Entry Av. Distance'!$E7:$E11,'Distance Matrix_Entry'!CD$23:CD$27)/SUMIFS('A4a.CWD Entry Av. Distance'!$E7:$E11,'Distance Matrix_Entry'!CD$23:CD$27,"&gt;0")</f>
        <v>353.97274549937958</v>
      </c>
      <c r="F182" s="55">
        <f>SUMPRODUCT('A4a.CWD Entry Av. Distance'!$F7:$F11,'Distance Matrix_Entry'!CD$23:CD$27)/SUMIFS('A4a.CWD Entry Av. Distance'!$F7:$F11,'Distance Matrix_Entry'!CD$23:CD$27,"&gt;0")</f>
        <v>353.97274549937958</v>
      </c>
      <c r="G182" s="55">
        <f>SUMPRODUCT('A4a.CWD Entry Av. Distance'!$G7:$G11,'Distance Matrix_Entry'!CD$23:CD$27)/SUMIFS('A4a.CWD Entry Av. Distance'!$G7:$G11,'Distance Matrix_Entry'!CD$23:CD$27,"&gt;0")</f>
        <v>353.97274549937958</v>
      </c>
    </row>
    <row r="183" spans="2:7" ht="14.4" customHeight="1" x14ac:dyDescent="0.3">
      <c r="B183" s="36" t="s">
        <v>198</v>
      </c>
      <c r="C183" s="3" t="s">
        <v>220</v>
      </c>
      <c r="D183" s="55">
        <f>SUMPRODUCT('A4a.CWD Entry Av. Distance'!$D7:$D11,'Distance Matrix_Entry'!CE$23:CE$27)/SUMIFS('A4a.CWD Entry Av. Distance'!$D7:$D11,'Distance Matrix_Entry'!CE$23:CE$27,"&gt;0")</f>
        <v>363.41868549690452</v>
      </c>
      <c r="E183" s="55">
        <f>SUMPRODUCT('A4a.CWD Entry Av. Distance'!$E7:$E11,'Distance Matrix_Entry'!CE$23:CE$27)/SUMIFS('A4a.CWD Entry Av. Distance'!$E7:$E11,'Distance Matrix_Entry'!CE$23:CE$27,"&gt;0")</f>
        <v>364.70899530703832</v>
      </c>
      <c r="F183" s="55">
        <f>SUMPRODUCT('A4a.CWD Entry Av. Distance'!$F7:$F11,'Distance Matrix_Entry'!CE$23:CE$27)/SUMIFS('A4a.CWD Entry Av. Distance'!$F7:$F11,'Distance Matrix_Entry'!CE$23:CE$27,"&gt;0")</f>
        <v>364.70899530703832</v>
      </c>
      <c r="G183" s="55">
        <f>SUMPRODUCT('A4a.CWD Entry Av. Distance'!$G7:$G11,'Distance Matrix_Entry'!CE$23:CE$27)/SUMIFS('A4a.CWD Entry Av. Distance'!$G7:$G11,'Distance Matrix_Entry'!CE$23:CE$27,"&gt;0")</f>
        <v>364.70899530703832</v>
      </c>
    </row>
    <row r="184" spans="2:7" ht="14.4" customHeight="1" x14ac:dyDescent="0.3">
      <c r="B184" s="36" t="s">
        <v>200</v>
      </c>
      <c r="C184" s="3" t="s">
        <v>220</v>
      </c>
      <c r="D184" s="55">
        <f>SUMPRODUCT('A4a.CWD Entry Av. Distance'!$D7:$D11,'Distance Matrix_Entry'!CF$23:CF$27)/SUMIFS('A4a.CWD Entry Av. Distance'!$D7:$D11,'Distance Matrix_Entry'!CF$23:CF$27,"&gt;0")</f>
        <v>382.05049037394497</v>
      </c>
      <c r="E184" s="55">
        <f>SUMPRODUCT('A4a.CWD Entry Av. Distance'!$E7:$E11,'Distance Matrix_Entry'!CF$23:CF$27)/SUMIFS('A4a.CWD Entry Av. Distance'!$E7:$E11,'Distance Matrix_Entry'!CF$23:CF$27,"&gt;0")</f>
        <v>383.21036140920029</v>
      </c>
      <c r="F184" s="55">
        <f>SUMPRODUCT('A4a.CWD Entry Av. Distance'!$F7:$F11,'Distance Matrix_Entry'!CF$23:CF$27)/SUMIFS('A4a.CWD Entry Av. Distance'!$F7:$F11,'Distance Matrix_Entry'!CF$23:CF$27,"&gt;0")</f>
        <v>383.21036140920029</v>
      </c>
      <c r="G184" s="55">
        <f>SUMPRODUCT('A4a.CWD Entry Av. Distance'!$G7:$G11,'Distance Matrix_Entry'!CF$23:CF$27)/SUMIFS('A4a.CWD Entry Av. Distance'!$G7:$G11,'Distance Matrix_Entry'!CF$23:CF$27,"&gt;0")</f>
        <v>383.21036140920029</v>
      </c>
    </row>
    <row r="185" spans="2:7" ht="14.4" customHeight="1" x14ac:dyDescent="0.3">
      <c r="B185" s="36" t="s">
        <v>202</v>
      </c>
      <c r="C185" s="3" t="s">
        <v>220</v>
      </c>
      <c r="D185" s="55">
        <f>SUMPRODUCT('A4a.CWD Entry Av. Distance'!$D7:$D11,'Distance Matrix_Entry'!CG$23:CG$27)/SUMIFS('A4a.CWD Entry Av. Distance'!$D7:$D11,'Distance Matrix_Entry'!CG$23:CG$27,"&gt;0")</f>
        <v>381.55744470008642</v>
      </c>
      <c r="E185" s="55">
        <f>SUMPRODUCT('A4a.CWD Entry Av. Distance'!$E7:$E11,'Distance Matrix_Entry'!CG$23:CG$27)/SUMIFS('A4a.CWD Entry Av. Distance'!$E7:$E11,'Distance Matrix_Entry'!CG$23:CG$27,"&gt;0")</f>
        <v>382.62159874110694</v>
      </c>
      <c r="F185" s="55">
        <f>SUMPRODUCT('A4a.CWD Entry Av. Distance'!$F7:$F11,'Distance Matrix_Entry'!CG$23:CG$27)/SUMIFS('A4a.CWD Entry Av. Distance'!$F7:$F11,'Distance Matrix_Entry'!CG$23:CG$27,"&gt;0")</f>
        <v>382.62159874110694</v>
      </c>
      <c r="G185" s="55">
        <f>SUMPRODUCT('A4a.CWD Entry Av. Distance'!$G7:$G11,'Distance Matrix_Entry'!CG$23:CG$27)/SUMIFS('A4a.CWD Entry Av. Distance'!$G7:$G11,'Distance Matrix_Entry'!CG$23:CG$27,"&gt;0")</f>
        <v>382.62159874110694</v>
      </c>
    </row>
    <row r="186" spans="2:7" ht="14.4" customHeight="1" x14ac:dyDescent="0.3">
      <c r="B186" s="36" t="s">
        <v>204</v>
      </c>
      <c r="C186" s="3" t="s">
        <v>220</v>
      </c>
      <c r="D186" s="55">
        <f>SUMPRODUCT('A4a.CWD Entry Av. Distance'!$D7:$D11,'Distance Matrix_Entry'!CH$23:CH$27)/SUMIFS('A4a.CWD Entry Av. Distance'!$D7:$D11,'Distance Matrix_Entry'!CH$23:CH$27,"&gt;0")</f>
        <v>130.52279087544684</v>
      </c>
      <c r="E186" s="55">
        <f>SUMPRODUCT('A4a.CWD Entry Av. Distance'!$E7:$E11,'Distance Matrix_Entry'!CH$23:CH$27)/SUMIFS('A4a.CWD Entry Av. Distance'!$E7:$E11,'Distance Matrix_Entry'!CH$23:CH$27,"&gt;0")</f>
        <v>131.39083989972497</v>
      </c>
      <c r="F186" s="55">
        <f>SUMPRODUCT('A4a.CWD Entry Av. Distance'!$F7:$F11,'Distance Matrix_Entry'!CH$23:CH$27)/SUMIFS('A4a.CWD Entry Av. Distance'!$F7:$F11,'Distance Matrix_Entry'!CH$23:CH$27,"&gt;0")</f>
        <v>131.39083989972497</v>
      </c>
      <c r="G186" s="55">
        <f>SUMPRODUCT('A4a.CWD Entry Av. Distance'!$G7:$G11,'Distance Matrix_Entry'!CH$23:CH$27)/SUMIFS('A4a.CWD Entry Av. Distance'!$G7:$G11,'Distance Matrix_Entry'!CH$23:CH$27,"&gt;0")</f>
        <v>131.39083989972497</v>
      </c>
    </row>
    <row r="187" spans="2:7" ht="14.4" customHeight="1" x14ac:dyDescent="0.3">
      <c r="B187" s="36" t="s">
        <v>206</v>
      </c>
      <c r="C187" s="3" t="s">
        <v>220</v>
      </c>
      <c r="D187" s="55">
        <f>SUMPRODUCT('A4a.CWD Entry Av. Distance'!$D7:$D11,'Distance Matrix_Entry'!CI$23:CI$27)/SUMIFS('A4a.CWD Entry Av. Distance'!$D7:$D11,'Distance Matrix_Entry'!CI$23:CI$27,"&gt;0")</f>
        <v>81.751622366085329</v>
      </c>
      <c r="E187" s="55">
        <f>SUMPRODUCT('A4a.CWD Entry Av. Distance'!$E7:$E11,'Distance Matrix_Entry'!CI$23:CI$27)/SUMIFS('A4a.CWD Entry Av. Distance'!$E7:$E11,'Distance Matrix_Entry'!CI$23:CI$27,"&gt;0")</f>
        <v>82.413326493261792</v>
      </c>
      <c r="F187" s="55">
        <f>SUMPRODUCT('A4a.CWD Entry Av. Distance'!$F7:$F11,'Distance Matrix_Entry'!CI$23:CI$27)/SUMIFS('A4a.CWD Entry Av. Distance'!$F7:$F11,'Distance Matrix_Entry'!CI$23:CI$27,"&gt;0")</f>
        <v>82.413326493261792</v>
      </c>
      <c r="G187" s="55">
        <f>SUMPRODUCT('A4a.CWD Entry Av. Distance'!$G7:$G11,'Distance Matrix_Entry'!CI$23:CI$27)/SUMIFS('A4a.CWD Entry Av. Distance'!$G7:$G11,'Distance Matrix_Entry'!CI$23:CI$27,"&gt;0")</f>
        <v>82.413326493261792</v>
      </c>
    </row>
    <row r="188" spans="2:7" ht="14.4" customHeight="1" x14ac:dyDescent="0.3">
      <c r="B188" s="36" t="s">
        <v>208</v>
      </c>
      <c r="C188" s="3" t="s">
        <v>220</v>
      </c>
      <c r="D188" s="55">
        <f>SUMPRODUCT('A4a.CWD Entry Av. Distance'!$D7:$D11,'Distance Matrix_Entry'!CJ$23:CJ$27)/SUMIFS('A4a.CWD Entry Av. Distance'!$D7:$D11,'Distance Matrix_Entry'!CJ$23:CJ$27,"&gt;0")</f>
        <v>81.752622366085347</v>
      </c>
      <c r="E188" s="55">
        <f>SUMPRODUCT('A4a.CWD Entry Av. Distance'!$E7:$E11,'Distance Matrix_Entry'!CJ$23:CJ$27)/SUMIFS('A4a.CWD Entry Av. Distance'!$E7:$E11,'Distance Matrix_Entry'!CJ$23:CJ$27,"&gt;0")</f>
        <v>82.414326493261797</v>
      </c>
      <c r="F188" s="55">
        <f>SUMPRODUCT('A4a.CWD Entry Av. Distance'!$F7:$F11,'Distance Matrix_Entry'!CJ$23:CJ$27)/SUMIFS('A4a.CWD Entry Av. Distance'!$F7:$F11,'Distance Matrix_Entry'!CJ$23:CJ$27,"&gt;0")</f>
        <v>82.414326493261797</v>
      </c>
      <c r="G188" s="55">
        <f>SUMPRODUCT('A4a.CWD Entry Av. Distance'!$G7:$G11,'Distance Matrix_Entry'!CJ$23:CJ$27)/SUMIFS('A4a.CWD Entry Av. Distance'!$G7:$G11,'Distance Matrix_Entry'!CJ$23:CJ$27,"&gt;0")</f>
        <v>82.414326493261797</v>
      </c>
    </row>
    <row r="189" spans="2:7" ht="14.4" customHeight="1" x14ac:dyDescent="0.3">
      <c r="B189" s="36" t="s">
        <v>209</v>
      </c>
      <c r="C189" s="3" t="s">
        <v>220</v>
      </c>
      <c r="D189" s="55">
        <f>SUMPRODUCT('A4a.CWD Entry Av. Distance'!$D7:$D11,'Distance Matrix_Entry'!CK$23:CK$27)/SUMIFS('A4a.CWD Entry Av. Distance'!$D7:$D11,'Distance Matrix_Entry'!CK$23:CK$27,"&gt;0")</f>
        <v>83.072622366085341</v>
      </c>
      <c r="E189" s="55">
        <f>SUMPRODUCT('A4a.CWD Entry Av. Distance'!$E7:$E11,'Distance Matrix_Entry'!CK$23:CK$27)/SUMIFS('A4a.CWD Entry Av. Distance'!$E7:$E11,'Distance Matrix_Entry'!CK$23:CK$27,"&gt;0")</f>
        <v>83.73432649326179</v>
      </c>
      <c r="F189" s="55">
        <f>SUMPRODUCT('A4a.CWD Entry Av. Distance'!$F7:$F11,'Distance Matrix_Entry'!CK$23:CK$27)/SUMIFS('A4a.CWD Entry Av. Distance'!$F7:$F11,'Distance Matrix_Entry'!CK$23:CK$27,"&gt;0")</f>
        <v>83.73432649326179</v>
      </c>
      <c r="G189" s="55">
        <f>SUMPRODUCT('A4a.CWD Entry Av. Distance'!$G7:$G11,'Distance Matrix_Entry'!CK$23:CK$27)/SUMIFS('A4a.CWD Entry Av. Distance'!$G7:$G11,'Distance Matrix_Entry'!CK$23:CK$27,"&gt;0")</f>
        <v>83.73432649326179</v>
      </c>
    </row>
    <row r="190" spans="2:7" ht="14.4" customHeight="1" x14ac:dyDescent="0.3">
      <c r="B190" s="36" t="s">
        <v>211</v>
      </c>
      <c r="C190" s="3" t="s">
        <v>220</v>
      </c>
      <c r="D190" s="55">
        <f>SUMPRODUCT('A4a.CWD Entry Av. Distance'!$D7:$D11,'Distance Matrix_Entry'!CL$23:CL$27)/SUMIFS('A4a.CWD Entry Av. Distance'!$D7:$D11,'Distance Matrix_Entry'!CL$23:CL$27,"&gt;0")</f>
        <v>81.752622366085347</v>
      </c>
      <c r="E190" s="55">
        <f>SUMPRODUCT('A4a.CWD Entry Av. Distance'!$E7:$E11,'Distance Matrix_Entry'!CL$23:CL$27)/SUMIFS('A4a.CWD Entry Av. Distance'!$E7:$E11,'Distance Matrix_Entry'!CL$23:CL$27,"&gt;0")</f>
        <v>82.414326493261797</v>
      </c>
      <c r="F190" s="55">
        <f>SUMPRODUCT('A4a.CWD Entry Av. Distance'!$F7:$F11,'Distance Matrix_Entry'!CL$23:CL$27)/SUMIFS('A4a.CWD Entry Av. Distance'!$F7:$F11,'Distance Matrix_Entry'!CL$23:CL$27,"&gt;0")</f>
        <v>82.414326493261797</v>
      </c>
      <c r="G190" s="55">
        <f>SUMPRODUCT('A4a.CWD Entry Av. Distance'!$G7:$G11,'Distance Matrix_Entry'!CL$23:CL$27)/SUMIFS('A4a.CWD Entry Av. Distance'!$G7:$G11,'Distance Matrix_Entry'!CL$23:CL$27,"&gt;0")</f>
        <v>82.414326493261797</v>
      </c>
    </row>
    <row r="191" spans="2:7" ht="14.4" customHeight="1" x14ac:dyDescent="0.3">
      <c r="B191" s="36" t="s">
        <v>212</v>
      </c>
      <c r="C191" s="3" t="s">
        <v>220</v>
      </c>
      <c r="D191" s="55">
        <f>SUMPRODUCT('A4a.CWD Entry Av. Distance'!$D7:$D11,'Distance Matrix_Entry'!CM$23:CM$27)/SUMIFS('A4a.CWD Entry Av. Distance'!$D7:$D11,'Distance Matrix_Entry'!CM$23:CM$27,"&gt;0")</f>
        <v>77.133732612728338</v>
      </c>
      <c r="E191" s="55">
        <f>SUMPRODUCT('A4a.CWD Entry Av. Distance'!$E7:$E11,'Distance Matrix_Entry'!CM$23:CM$27)/SUMIFS('A4a.CWD Entry Av. Distance'!$E7:$E11,'Distance Matrix_Entry'!CM$23:CM$27,"&gt;0")</f>
        <v>77.775899008595346</v>
      </c>
      <c r="F191" s="55">
        <f>SUMPRODUCT('A4a.CWD Entry Av. Distance'!$F7:$F11,'Distance Matrix_Entry'!CM$23:CM$27)/SUMIFS('A4a.CWD Entry Av. Distance'!$F7:$F11,'Distance Matrix_Entry'!CM$23:CM$27,"&gt;0")</f>
        <v>77.775899008595346</v>
      </c>
      <c r="G191" s="55">
        <f>SUMPRODUCT('A4a.CWD Entry Av. Distance'!$G7:$G11,'Distance Matrix_Entry'!CM$23:CM$27)/SUMIFS('A4a.CWD Entry Av. Distance'!$G7:$G11,'Distance Matrix_Entry'!CM$23:CM$27,"&gt;0")</f>
        <v>77.775899008595346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5"/>
  <sheetViews>
    <sheetView showGridLines="0" zoomScale="130" zoomScaleNormal="130" workbookViewId="0">
      <selection activeCell="D8" sqref="D8"/>
    </sheetView>
  </sheetViews>
  <sheetFormatPr defaultRowHeight="12" x14ac:dyDescent="0.25"/>
  <cols>
    <col min="1" max="1" width="26.5546875" style="105" customWidth="1"/>
    <col min="2" max="2" width="20.77734375" style="105" bestFit="1" customWidth="1"/>
    <col min="3" max="3" width="85.109375" style="105" customWidth="1"/>
    <col min="4" max="16384" width="8.88671875" style="105"/>
  </cols>
  <sheetData>
    <row r="1" spans="1:3" x14ac:dyDescent="0.25">
      <c r="A1" s="105" t="s">
        <v>568</v>
      </c>
      <c r="B1" s="105" t="s">
        <v>564</v>
      </c>
      <c r="C1" s="105" t="s">
        <v>565</v>
      </c>
    </row>
    <row r="2" spans="1:3" ht="36" x14ac:dyDescent="0.25">
      <c r="A2" s="106" t="s">
        <v>36</v>
      </c>
      <c r="B2" s="107">
        <v>0.56000000000000005</v>
      </c>
      <c r="C2" s="108" t="s">
        <v>569</v>
      </c>
    </row>
    <row r="3" spans="1:3" x14ac:dyDescent="0.25">
      <c r="A3" s="106" t="s">
        <v>563</v>
      </c>
      <c r="B3" s="106" t="s">
        <v>566</v>
      </c>
      <c r="C3" s="106" t="s">
        <v>570</v>
      </c>
    </row>
    <row r="4" spans="1:3" x14ac:dyDescent="0.25">
      <c r="A4" s="106" t="s">
        <v>44</v>
      </c>
      <c r="B4" s="107">
        <v>1</v>
      </c>
      <c r="C4" s="106" t="s">
        <v>571</v>
      </c>
    </row>
    <row r="5" spans="1:3" x14ac:dyDescent="0.25">
      <c r="A5" s="106" t="s">
        <v>567</v>
      </c>
      <c r="B5" s="107">
        <v>0.5</v>
      </c>
      <c r="C5" s="106" t="s">
        <v>572</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11"/>
  <sheetViews>
    <sheetView showGridLines="0" workbookViewId="0">
      <selection activeCell="N35" sqref="N35"/>
    </sheetView>
  </sheetViews>
  <sheetFormatPr defaultRowHeight="14.4" x14ac:dyDescent="0.3"/>
  <cols>
    <col min="1" max="1" width="8.88671875" style="1"/>
    <col min="2" max="2" width="23.5546875" style="1" customWidth="1"/>
    <col min="3" max="3" width="48.44140625" style="1" customWidth="1"/>
    <col min="4" max="4" width="2.33203125" style="1" customWidth="1"/>
    <col min="5" max="5" width="12.109375" style="1" bestFit="1" customWidth="1"/>
    <col min="6" max="6" width="10" style="1" customWidth="1"/>
    <col min="7" max="16384" width="8.88671875" style="1"/>
  </cols>
  <sheetData>
    <row r="2" spans="2:6" ht="15" thickBot="1" x14ac:dyDescent="0.35"/>
    <row r="3" spans="2:6" ht="15" thickBot="1" x14ac:dyDescent="0.35">
      <c r="B3" s="234" t="s">
        <v>797</v>
      </c>
      <c r="C3" s="235" t="s">
        <v>798</v>
      </c>
      <c r="D3" s="236"/>
      <c r="E3" s="237" t="s">
        <v>822</v>
      </c>
      <c r="F3" s="238"/>
    </row>
    <row r="4" spans="2:6" ht="15" thickBot="1" x14ac:dyDescent="0.35">
      <c r="B4" s="239" t="s">
        <v>799</v>
      </c>
      <c r="C4" s="240" t="s">
        <v>800</v>
      </c>
      <c r="D4" s="241"/>
      <c r="E4" s="242"/>
      <c r="F4" s="243">
        <f>Input_!E7/1000</f>
        <v>74971.438059899097</v>
      </c>
    </row>
    <row r="5" spans="2:6" ht="29.4" thickBot="1" x14ac:dyDescent="0.35">
      <c r="B5" s="239" t="s">
        <v>801</v>
      </c>
      <c r="C5" s="240" t="s">
        <v>802</v>
      </c>
      <c r="D5" s="241"/>
      <c r="E5" s="242"/>
      <c r="F5" s="243">
        <f>+F4</f>
        <v>74971.438059899097</v>
      </c>
    </row>
    <row r="6" spans="2:6" x14ac:dyDescent="0.3">
      <c r="B6" s="244" t="s">
        <v>803</v>
      </c>
      <c r="C6" s="245" t="s">
        <v>804</v>
      </c>
      <c r="D6" s="246"/>
      <c r="E6" s="247" t="s">
        <v>805</v>
      </c>
      <c r="F6" s="248">
        <v>1</v>
      </c>
    </row>
    <row r="7" spans="2:6" ht="15" thickBot="1" x14ac:dyDescent="0.35">
      <c r="B7" s="249"/>
      <c r="C7" s="250"/>
      <c r="D7" s="251"/>
      <c r="E7" s="252" t="s">
        <v>806</v>
      </c>
      <c r="F7" s="253">
        <v>0</v>
      </c>
    </row>
    <row r="8" spans="2:6" x14ac:dyDescent="0.3">
      <c r="B8" s="244" t="s">
        <v>807</v>
      </c>
      <c r="C8" s="351" t="s">
        <v>808</v>
      </c>
      <c r="D8" s="254"/>
      <c r="E8" s="247" t="s">
        <v>709</v>
      </c>
      <c r="F8" s="255">
        <f>Input_!E190</f>
        <v>0.28000000000000003</v>
      </c>
    </row>
    <row r="9" spans="2:6" ht="15" thickBot="1" x14ac:dyDescent="0.35">
      <c r="B9" s="249"/>
      <c r="C9" s="352"/>
      <c r="D9" s="256"/>
      <c r="E9" s="252" t="s">
        <v>710</v>
      </c>
      <c r="F9" s="257">
        <f>1-F8</f>
        <v>0.72</v>
      </c>
    </row>
    <row r="10" spans="2:6" ht="28.8" x14ac:dyDescent="0.3">
      <c r="B10" s="244" t="s">
        <v>809</v>
      </c>
      <c r="C10" s="351" t="s">
        <v>810</v>
      </c>
      <c r="D10" s="254"/>
      <c r="E10" s="247" t="s">
        <v>811</v>
      </c>
      <c r="F10" s="348">
        <f>CAA!E12/SUM(CAA!E11:E12)</f>
        <v>0.90539566397410032</v>
      </c>
    </row>
    <row r="11" spans="2:6" ht="29.4" thickBot="1" x14ac:dyDescent="0.35">
      <c r="B11" s="184"/>
      <c r="C11" s="352"/>
      <c r="D11" s="256"/>
      <c r="E11" s="258" t="s">
        <v>812</v>
      </c>
      <c r="F11" s="349">
        <f>1-F10</f>
        <v>9.4604336025899682E-2</v>
      </c>
    </row>
  </sheetData>
  <mergeCells count="2">
    <mergeCell ref="C8:C9"/>
    <mergeCell ref="C10:C11"/>
  </mergeCells>
  <pageMargins left="0.7" right="0.7" top="0.75" bottom="0.75" header="0.3" footer="0.3"/>
  <pageSetup paperSize="9" orientation="portrait" r:id="rId1"/>
  <ignoredErrors>
    <ignoredError sqref="F1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79"/>
  <sheetViews>
    <sheetView showGridLines="0" zoomScaleNormal="100" workbookViewId="0">
      <selection activeCell="N35" sqref="N35"/>
    </sheetView>
  </sheetViews>
  <sheetFormatPr defaultColWidth="0" defaultRowHeight="14.4" zeroHeight="1" x14ac:dyDescent="0.3"/>
  <cols>
    <col min="1" max="1" width="9.109375" style="1" customWidth="1"/>
    <col min="2" max="2" width="43.109375" style="1" bestFit="1" customWidth="1"/>
    <col min="3" max="3" width="10.88671875" style="1" bestFit="1" customWidth="1"/>
    <col min="4" max="4" width="9.88671875" style="1" bestFit="1" customWidth="1"/>
    <col min="5" max="5" width="9.109375" style="1" customWidth="1"/>
    <col min="6" max="6" width="8.33203125" style="1" customWidth="1"/>
    <col min="7" max="7" width="32.6640625" style="1" customWidth="1"/>
    <col min="8" max="8" width="57.6640625" style="1" bestFit="1" customWidth="1"/>
    <col min="9" max="9" width="10.88671875" style="1" bestFit="1" customWidth="1"/>
    <col min="10" max="10" width="2.6640625" style="1" customWidth="1"/>
    <col min="11" max="11" width="9.33203125" style="1" customWidth="1"/>
    <col min="12" max="12" width="11.33203125" style="1" customWidth="1"/>
    <col min="13" max="13" width="65.88671875" style="1" bestFit="1" customWidth="1"/>
    <col min="14" max="14" width="22.6640625" style="1" bestFit="1" customWidth="1"/>
    <col min="15" max="16" width="12.44140625" style="1" customWidth="1"/>
    <col min="17" max="17" width="9.109375" style="1" customWidth="1"/>
    <col min="18" max="18" width="7.5546875" style="1" customWidth="1"/>
    <col min="19" max="19" width="4.109375" style="1" customWidth="1"/>
    <col min="20" max="20" width="51.88671875" style="1" customWidth="1"/>
    <col min="21" max="21" width="1.6640625" style="1" customWidth="1"/>
    <col min="22" max="22" width="19" style="1" customWidth="1"/>
    <col min="23" max="23" width="13.33203125" style="1" customWidth="1"/>
    <col min="24" max="24" width="1.6640625" style="1" customWidth="1"/>
    <col min="25" max="25" width="21.6640625" style="1" customWidth="1"/>
    <col min="26" max="26" width="9.109375" style="1" customWidth="1"/>
    <col min="27" max="35" width="0" style="1" hidden="1" customWidth="1"/>
    <col min="36" max="16384" width="9.109375" style="1" hidden="1"/>
  </cols>
  <sheetData>
    <row r="1" spans="2:12" x14ac:dyDescent="0.3"/>
    <row r="2" spans="2:12" x14ac:dyDescent="0.3">
      <c r="B2" s="221" t="s">
        <v>813</v>
      </c>
    </row>
    <row r="3" spans="2:12" x14ac:dyDescent="0.3">
      <c r="B3" s="330"/>
      <c r="C3" s="331" t="str">
        <f>+Input!C10</f>
        <v>Entrada</v>
      </c>
      <c r="D3" s="332" t="str">
        <f>+Input!C23</f>
        <v>Saída</v>
      </c>
    </row>
    <row r="4" spans="2:12" x14ac:dyDescent="0.3">
      <c r="B4" s="329" t="str">
        <f>+Labels!B54</f>
        <v>Ponto de interligação (Campo Maior)</v>
      </c>
      <c r="C4" s="263">
        <f>Input_!E258</f>
        <v>134</v>
      </c>
      <c r="D4" s="263">
        <f>Input_!E260</f>
        <v>55</v>
      </c>
    </row>
    <row r="5" spans="2:12" x14ac:dyDescent="0.3">
      <c r="B5" s="116" t="str">
        <f>+Labels!B55</f>
        <v>Ponto de interligação (Valença do Minho)</v>
      </c>
      <c r="C5" s="265">
        <f>Input_!E259</f>
        <v>10</v>
      </c>
      <c r="D5" s="265">
        <f>Input_!E261</f>
        <v>25</v>
      </c>
    </row>
    <row r="6" spans="2:12" x14ac:dyDescent="0.3">
      <c r="B6" s="116" t="str">
        <f>+Labels!B56</f>
        <v>Terminal de GNL (Sines)</v>
      </c>
      <c r="C6" s="265">
        <f>Input_!E241</f>
        <v>200</v>
      </c>
      <c r="D6" s="265">
        <f>Input_!E250</f>
        <v>5</v>
      </c>
    </row>
    <row r="7" spans="2:12" x14ac:dyDescent="0.3">
      <c r="B7" s="116" t="str">
        <f>+Labels!B57</f>
        <v>Armazenamento Subterrâneo (Carriço)</v>
      </c>
      <c r="C7" s="265">
        <f>Input_!E242</f>
        <v>85.68</v>
      </c>
      <c r="D7" s="265">
        <f>Input_!E251</f>
        <v>24</v>
      </c>
    </row>
    <row r="8" spans="2:12" x14ac:dyDescent="0.3">
      <c r="B8" s="116" t="str">
        <f>+Labels!B30</f>
        <v>Produtores de gás</v>
      </c>
      <c r="C8" s="328" t="s">
        <v>814</v>
      </c>
      <c r="D8" s="328" t="s">
        <v>814</v>
      </c>
    </row>
    <row r="9" spans="2:12" ht="15" thickBot="1" x14ac:dyDescent="0.35">
      <c r="F9" s="221" t="s">
        <v>706</v>
      </c>
    </row>
    <row r="10" spans="2:12" ht="15" thickBot="1" x14ac:dyDescent="0.35">
      <c r="F10" s="267"/>
      <c r="G10" s="268" t="str">
        <f>+Labels!B23</f>
        <v>Ponto</v>
      </c>
      <c r="H10" s="269" t="str">
        <f>+Labels!B24</f>
        <v>Produtos</v>
      </c>
      <c r="I10" s="270" t="str">
        <f>Input_!E5</f>
        <v>2024-25</v>
      </c>
      <c r="K10" s="271" t="str">
        <f>+Input!K9</f>
        <v>Unidade</v>
      </c>
      <c r="L10" s="271" t="str">
        <f>+Labels!B58</f>
        <v>Tipo</v>
      </c>
    </row>
    <row r="11" spans="2:12" x14ac:dyDescent="0.3">
      <c r="F11" s="272" t="str">
        <f>+Labels!B25</f>
        <v>Entrada</v>
      </c>
      <c r="G11" s="170" t="str">
        <f>+Labels!B27</f>
        <v>VIP Ibérico</v>
      </c>
      <c r="H11" s="171" t="str">
        <f>+Labels!B33</f>
        <v>Anual</v>
      </c>
      <c r="I11" s="333">
        <f>Input_!E20</f>
        <v>4884702</v>
      </c>
      <c r="K11" s="175" t="str">
        <f>Labels!$B$47</f>
        <v>kWh/dia</v>
      </c>
      <c r="L11" s="175" t="str">
        <f>+Labels!B59</f>
        <v>Contratada</v>
      </c>
    </row>
    <row r="12" spans="2:12" x14ac:dyDescent="0.3">
      <c r="F12" s="273"/>
      <c r="G12" s="177"/>
      <c r="H12" s="178" t="str">
        <f>+Labels!B34</f>
        <v>Trimestral</v>
      </c>
      <c r="I12" s="334">
        <f>Input_!E21</f>
        <v>3513912</v>
      </c>
      <c r="K12" s="181" t="str">
        <f>Labels!$B$47</f>
        <v>kWh/dia</v>
      </c>
      <c r="L12" s="181" t="str">
        <f>+$L$11</f>
        <v>Contratada</v>
      </c>
    </row>
    <row r="13" spans="2:12" x14ac:dyDescent="0.3">
      <c r="F13" s="273"/>
      <c r="G13" s="177"/>
      <c r="H13" s="178" t="str">
        <f>+Labels!B35</f>
        <v>Mensal</v>
      </c>
      <c r="I13" s="334">
        <f>Input_!E22</f>
        <v>9185306</v>
      </c>
      <c r="K13" s="181" t="str">
        <f>Labels!$B$47</f>
        <v>kWh/dia</v>
      </c>
      <c r="L13" s="181" t="str">
        <f t="shared" ref="L13:L35" si="0">+$L$11</f>
        <v>Contratada</v>
      </c>
    </row>
    <row r="14" spans="2:12" x14ac:dyDescent="0.3">
      <c r="F14" s="273"/>
      <c r="G14" s="177"/>
      <c r="H14" s="178" t="str">
        <f>+Labels!B36</f>
        <v>Diário</v>
      </c>
      <c r="I14" s="334">
        <f>Input_!E23</f>
        <v>5947824.7013698621</v>
      </c>
      <c r="K14" s="181" t="str">
        <f>Labels!$B$47</f>
        <v>kWh/dia</v>
      </c>
      <c r="L14" s="181" t="str">
        <f t="shared" si="0"/>
        <v>Contratada</v>
      </c>
    </row>
    <row r="15" spans="2:12" ht="15" thickBot="1" x14ac:dyDescent="0.35">
      <c r="F15" s="273"/>
      <c r="G15" s="184"/>
      <c r="H15" s="185" t="str">
        <f>+Labels!B37</f>
        <v>Intradiário</v>
      </c>
      <c r="I15" s="335">
        <f>Input_!E24</f>
        <v>666864.43013698631</v>
      </c>
      <c r="K15" s="188" t="str">
        <f>Labels!$B$47</f>
        <v>kWh/dia</v>
      </c>
      <c r="L15" s="188" t="str">
        <f t="shared" si="0"/>
        <v>Contratada</v>
      </c>
    </row>
    <row r="16" spans="2:12" x14ac:dyDescent="0.3">
      <c r="F16" s="273"/>
      <c r="G16" s="170" t="str">
        <f>+Labels!B28</f>
        <v>Terminal de GNL</v>
      </c>
      <c r="H16" s="171" t="str">
        <f>+H11</f>
        <v>Anual</v>
      </c>
      <c r="I16" s="333">
        <f>Input_!E25</f>
        <v>200000000</v>
      </c>
      <c r="K16" s="175" t="str">
        <f>Labels!$B$47</f>
        <v>kWh/dia</v>
      </c>
      <c r="L16" s="190" t="str">
        <f t="shared" si="0"/>
        <v>Contratada</v>
      </c>
    </row>
    <row r="17" spans="6:12" x14ac:dyDescent="0.3">
      <c r="F17" s="273"/>
      <c r="G17" s="177"/>
      <c r="H17" s="178" t="str">
        <f t="shared" ref="H17:H20" si="1">+H12</f>
        <v>Trimestral</v>
      </c>
      <c r="I17" s="334">
        <f>Input_!E26</f>
        <v>0</v>
      </c>
      <c r="K17" s="181" t="str">
        <f>Labels!$B$47</f>
        <v>kWh/dia</v>
      </c>
      <c r="L17" s="181" t="str">
        <f t="shared" si="0"/>
        <v>Contratada</v>
      </c>
    </row>
    <row r="18" spans="6:12" x14ac:dyDescent="0.3">
      <c r="F18" s="273"/>
      <c r="G18" s="177"/>
      <c r="H18" s="178" t="str">
        <f t="shared" si="1"/>
        <v>Mensal</v>
      </c>
      <c r="I18" s="334">
        <f>Input_!E27</f>
        <v>0</v>
      </c>
      <c r="K18" s="181" t="str">
        <f>Labels!$B$47</f>
        <v>kWh/dia</v>
      </c>
      <c r="L18" s="181" t="str">
        <f t="shared" si="0"/>
        <v>Contratada</v>
      </c>
    </row>
    <row r="19" spans="6:12" x14ac:dyDescent="0.3">
      <c r="F19" s="273"/>
      <c r="G19" s="177"/>
      <c r="H19" s="178" t="str">
        <f t="shared" si="1"/>
        <v>Diário</v>
      </c>
      <c r="I19" s="334">
        <f>Input_!E28</f>
        <v>0</v>
      </c>
      <c r="K19" s="181" t="str">
        <f>Labels!$B$47</f>
        <v>kWh/dia</v>
      </c>
      <c r="L19" s="181" t="str">
        <f t="shared" si="0"/>
        <v>Contratada</v>
      </c>
    </row>
    <row r="20" spans="6:12" ht="15" thickBot="1" x14ac:dyDescent="0.35">
      <c r="F20" s="273"/>
      <c r="G20" s="184"/>
      <c r="H20" s="185" t="str">
        <f t="shared" si="1"/>
        <v>Intradiário</v>
      </c>
      <c r="I20" s="335">
        <f>Input_!E29</f>
        <v>0</v>
      </c>
      <c r="K20" s="188" t="str">
        <f>Labels!$B$47</f>
        <v>kWh/dia</v>
      </c>
      <c r="L20" s="188" t="str">
        <f t="shared" si="0"/>
        <v>Contratada</v>
      </c>
    </row>
    <row r="21" spans="6:12" x14ac:dyDescent="0.3">
      <c r="F21" s="273"/>
      <c r="G21" s="170" t="str">
        <f>+Labels!B29</f>
        <v>Armazenamento Subterrâneo</v>
      </c>
      <c r="H21" s="171" t="str">
        <f>+H14</f>
        <v>Diário</v>
      </c>
      <c r="I21" s="333">
        <f>Input_!E30</f>
        <v>4369884.2958904114</v>
      </c>
      <c r="K21" s="190" t="str">
        <f>Labels!$B$47</f>
        <v>kWh/dia</v>
      </c>
      <c r="L21" s="190" t="str">
        <f t="shared" si="0"/>
        <v>Contratada</v>
      </c>
    </row>
    <row r="22" spans="6:12" ht="15" thickBot="1" x14ac:dyDescent="0.35">
      <c r="F22" s="274"/>
      <c r="G22" s="184"/>
      <c r="H22" s="185" t="str">
        <f>+H15</f>
        <v>Intradiário</v>
      </c>
      <c r="I22" s="335">
        <f>Input_!E31</f>
        <v>2787181.2931506848</v>
      </c>
      <c r="K22" s="188" t="str">
        <f>Labels!$B$47</f>
        <v>kWh/dia</v>
      </c>
      <c r="L22" s="188" t="str">
        <f t="shared" si="0"/>
        <v>Contratada</v>
      </c>
    </row>
    <row r="23" spans="6:12" ht="15" thickBot="1" x14ac:dyDescent="0.35">
      <c r="F23" s="275"/>
      <c r="G23" s="177" t="str">
        <f>+Labels!B30</f>
        <v>Produtores de gás</v>
      </c>
      <c r="H23" s="193" t="str">
        <f>+Labels!B38</f>
        <v>Capacidade utilizada na injeção</v>
      </c>
      <c r="I23" s="336">
        <f>Input_!E32</f>
        <v>1E-3</v>
      </c>
      <c r="K23" s="196" t="str">
        <f>Labels!$B$47</f>
        <v>kWh/dia</v>
      </c>
      <c r="L23" s="196" t="str">
        <f>+Labels!B60</f>
        <v>Utilizada</v>
      </c>
    </row>
    <row r="24" spans="6:12" x14ac:dyDescent="0.3">
      <c r="F24" s="272" t="str">
        <f>+Labels!B26</f>
        <v>Saída</v>
      </c>
      <c r="G24" s="170" t="str">
        <f>+G11</f>
        <v>VIP Ibérico</v>
      </c>
      <c r="H24" s="171" t="str">
        <f>+H11</f>
        <v>Anual</v>
      </c>
      <c r="I24" s="333">
        <f>Input_!E65</f>
        <v>0</v>
      </c>
      <c r="K24" s="190" t="str">
        <f>Labels!$B$47</f>
        <v>kWh/dia</v>
      </c>
      <c r="L24" s="190" t="str">
        <f t="shared" si="0"/>
        <v>Contratada</v>
      </c>
    </row>
    <row r="25" spans="6:12" x14ac:dyDescent="0.3">
      <c r="F25" s="274"/>
      <c r="G25" s="177"/>
      <c r="H25" s="178" t="str">
        <f t="shared" ref="H25:H35" si="2">+H12</f>
        <v>Trimestral</v>
      </c>
      <c r="I25" s="334">
        <f>Input_!E66</f>
        <v>0</v>
      </c>
      <c r="K25" s="181" t="str">
        <f>Labels!$B$47</f>
        <v>kWh/dia</v>
      </c>
      <c r="L25" s="181" t="str">
        <f t="shared" si="0"/>
        <v>Contratada</v>
      </c>
    </row>
    <row r="26" spans="6:12" x14ac:dyDescent="0.3">
      <c r="F26" s="274"/>
      <c r="G26" s="177"/>
      <c r="H26" s="178" t="str">
        <f t="shared" si="2"/>
        <v>Mensal</v>
      </c>
      <c r="I26" s="334">
        <f>Input_!E67</f>
        <v>2561584.0000000005</v>
      </c>
      <c r="K26" s="181" t="str">
        <f>Labels!$B$47</f>
        <v>kWh/dia</v>
      </c>
      <c r="L26" s="181" t="str">
        <f t="shared" si="0"/>
        <v>Contratada</v>
      </c>
    </row>
    <row r="27" spans="6:12" x14ac:dyDescent="0.3">
      <c r="F27" s="274"/>
      <c r="G27" s="177"/>
      <c r="H27" s="178" t="str">
        <f t="shared" si="2"/>
        <v>Diário</v>
      </c>
      <c r="I27" s="334">
        <f>Input_!E68</f>
        <v>25198760.186301369</v>
      </c>
      <c r="K27" s="181" t="str">
        <f>Labels!$B$47</f>
        <v>kWh/dia</v>
      </c>
      <c r="L27" s="181" t="str">
        <f t="shared" si="0"/>
        <v>Contratada</v>
      </c>
    </row>
    <row r="28" spans="6:12" ht="15" thickBot="1" x14ac:dyDescent="0.35">
      <c r="F28" s="274"/>
      <c r="G28" s="184"/>
      <c r="H28" s="185" t="str">
        <f t="shared" si="2"/>
        <v>Intradiário</v>
      </c>
      <c r="I28" s="335">
        <f>Input_!E69</f>
        <v>395278.85205479449</v>
      </c>
      <c r="K28" s="188" t="str">
        <f>Labels!$B$47</f>
        <v>kWh/dia</v>
      </c>
      <c r="L28" s="188" t="str">
        <f t="shared" si="0"/>
        <v>Contratada</v>
      </c>
    </row>
    <row r="29" spans="6:12" x14ac:dyDescent="0.3">
      <c r="F29" s="274"/>
      <c r="G29" s="170" t="str">
        <f>+G16</f>
        <v>Terminal de GNL</v>
      </c>
      <c r="H29" s="171" t="str">
        <f t="shared" si="2"/>
        <v>Anual</v>
      </c>
      <c r="I29" s="333">
        <f>Input_!E70</f>
        <v>0</v>
      </c>
      <c r="K29" s="190" t="str">
        <f>Labels!$B$47</f>
        <v>kWh/dia</v>
      </c>
      <c r="L29" s="190" t="str">
        <f t="shared" si="0"/>
        <v>Contratada</v>
      </c>
    </row>
    <row r="30" spans="6:12" x14ac:dyDescent="0.3">
      <c r="F30" s="274"/>
      <c r="G30" s="177"/>
      <c r="H30" s="178" t="str">
        <f t="shared" si="2"/>
        <v>Trimestral</v>
      </c>
      <c r="I30" s="334">
        <f>Input_!E71</f>
        <v>0</v>
      </c>
      <c r="K30" s="181" t="str">
        <f>Labels!$B$47</f>
        <v>kWh/dia</v>
      </c>
      <c r="L30" s="181" t="str">
        <f t="shared" si="0"/>
        <v>Contratada</v>
      </c>
    </row>
    <row r="31" spans="6:12" x14ac:dyDescent="0.3">
      <c r="F31" s="274"/>
      <c r="G31" s="177"/>
      <c r="H31" s="178" t="str">
        <f t="shared" si="2"/>
        <v>Mensal</v>
      </c>
      <c r="I31" s="334">
        <f>Input_!E72</f>
        <v>0</v>
      </c>
      <c r="K31" s="181" t="str">
        <f>Labels!$B$47</f>
        <v>kWh/dia</v>
      </c>
      <c r="L31" s="181" t="str">
        <f t="shared" si="0"/>
        <v>Contratada</v>
      </c>
    </row>
    <row r="32" spans="6:12" x14ac:dyDescent="0.3">
      <c r="F32" s="274"/>
      <c r="G32" s="177"/>
      <c r="H32" s="178" t="str">
        <f t="shared" si="2"/>
        <v>Diário</v>
      </c>
      <c r="I32" s="334">
        <f>Input_!E73</f>
        <v>0</v>
      </c>
      <c r="K32" s="181" t="str">
        <f>Labels!$B$47</f>
        <v>kWh/dia</v>
      </c>
      <c r="L32" s="181" t="str">
        <f t="shared" si="0"/>
        <v>Contratada</v>
      </c>
    </row>
    <row r="33" spans="6:18" ht="15" thickBot="1" x14ac:dyDescent="0.35">
      <c r="F33" s="274"/>
      <c r="G33" s="184"/>
      <c r="H33" s="185" t="str">
        <f t="shared" si="2"/>
        <v>Intradiário</v>
      </c>
      <c r="I33" s="335">
        <f>Input_!E74</f>
        <v>0</v>
      </c>
      <c r="K33" s="188" t="str">
        <f>Labels!$B$47</f>
        <v>kWh/dia</v>
      </c>
      <c r="L33" s="188" t="str">
        <f t="shared" si="0"/>
        <v>Contratada</v>
      </c>
    </row>
    <row r="34" spans="6:18" x14ac:dyDescent="0.3">
      <c r="F34" s="274"/>
      <c r="G34" s="170" t="str">
        <f>+G21</f>
        <v>Armazenamento Subterrâneo</v>
      </c>
      <c r="H34" s="171" t="str">
        <f t="shared" si="2"/>
        <v>Diário</v>
      </c>
      <c r="I34" s="333">
        <f>Input_!E75</f>
        <v>6555128.6712328773</v>
      </c>
      <c r="K34" s="190" t="str">
        <f>Labels!$B$47</f>
        <v>kWh/dia</v>
      </c>
      <c r="L34" s="190" t="str">
        <f t="shared" si="0"/>
        <v>Contratada</v>
      </c>
    </row>
    <row r="35" spans="6:18" ht="15" thickBot="1" x14ac:dyDescent="0.35">
      <c r="F35" s="274"/>
      <c r="G35" s="184"/>
      <c r="H35" s="185" t="str">
        <f t="shared" si="2"/>
        <v>Intradiário</v>
      </c>
      <c r="I35" s="335">
        <f>Input_!E76</f>
        <v>515312</v>
      </c>
      <c r="K35" s="188" t="str">
        <f>Labels!$B$47</f>
        <v>kWh/dia</v>
      </c>
      <c r="L35" s="188" t="str">
        <f t="shared" si="0"/>
        <v>Contratada</v>
      </c>
    </row>
    <row r="36" spans="6:18" ht="15" thickBot="1" x14ac:dyDescent="0.35">
      <c r="F36" s="274"/>
      <c r="G36" s="197" t="str">
        <f>+Labels!B31</f>
        <v>Redes de distribuição e clientes em AP</v>
      </c>
      <c r="H36" s="198" t="str">
        <f>+Labels!B39</f>
        <v>Longas utilizações</v>
      </c>
      <c r="I36" s="337">
        <f>Input_!E77</f>
        <v>165852149.48415494</v>
      </c>
      <c r="K36" s="201" t="str">
        <f>Labels!$B$47</f>
        <v>kWh/dia</v>
      </c>
      <c r="L36" s="201" t="str">
        <f>+Labels!B60</f>
        <v>Utilizada</v>
      </c>
    </row>
    <row r="37" spans="6:18" x14ac:dyDescent="0.3">
      <c r="F37" s="274"/>
      <c r="G37" s="170" t="str">
        <f>+Labels!B32</f>
        <v>Clientes em AP</v>
      </c>
      <c r="H37" s="171" t="str">
        <f>+Labels!B40</f>
        <v>Tarifa flexível anual - capacidade base anual</v>
      </c>
      <c r="I37" s="333">
        <f>Input_!E78</f>
        <v>146529209.96653783</v>
      </c>
      <c r="K37" s="202" t="str">
        <f>Labels!$B$47</f>
        <v>kWh/dia</v>
      </c>
      <c r="L37" s="202" t="str">
        <f>+$L$36</f>
        <v>Utilizada</v>
      </c>
    </row>
    <row r="38" spans="6:18" x14ac:dyDescent="0.3">
      <c r="F38" s="274"/>
      <c r="G38" s="177"/>
      <c r="H38" s="178" t="str">
        <f>+Labels!B41</f>
        <v>Tarifa flexível anual - capacidade mensal adicional (abril a setembro)</v>
      </c>
      <c r="I38" s="334">
        <f>Input_!E79</f>
        <v>0</v>
      </c>
      <c r="K38" s="181" t="str">
        <f>Labels!$B$47</f>
        <v>kWh/dia</v>
      </c>
      <c r="L38" s="181" t="str">
        <f t="shared" ref="L38:L42" si="3">+$L$36</f>
        <v>Utilizada</v>
      </c>
    </row>
    <row r="39" spans="6:18" x14ac:dyDescent="0.3">
      <c r="F39" s="274"/>
      <c r="G39" s="177"/>
      <c r="H39" s="178" t="str">
        <f>+Labels!B42</f>
        <v>Tarifa flexível mensal - capacidade mensal (outubro a março)</v>
      </c>
      <c r="I39" s="334">
        <f>Input_!E80</f>
        <v>342023</v>
      </c>
      <c r="K39" s="181" t="str">
        <f>Labels!$B$47</f>
        <v>kWh/dia</v>
      </c>
      <c r="L39" s="181" t="str">
        <f t="shared" si="3"/>
        <v>Utilizada</v>
      </c>
    </row>
    <row r="40" spans="6:18" x14ac:dyDescent="0.3">
      <c r="F40" s="274"/>
      <c r="G40" s="177"/>
      <c r="H40" s="178" t="str">
        <f>+Labels!B43</f>
        <v>Tarifa flexível mensal - capacidade mensal (abril a setembro)</v>
      </c>
      <c r="I40" s="334">
        <f>Input_!E81</f>
        <v>342023</v>
      </c>
      <c r="K40" s="181" t="str">
        <f>Labels!$B$47</f>
        <v>kWh/dia</v>
      </c>
      <c r="L40" s="181" t="str">
        <f t="shared" si="3"/>
        <v>Utilizada</v>
      </c>
    </row>
    <row r="41" spans="6:18" x14ac:dyDescent="0.3">
      <c r="F41" s="274"/>
      <c r="G41" s="177"/>
      <c r="H41" s="178" t="str">
        <f>+Labels!B44</f>
        <v>Tarifa flexível diária - capacidade diária (outubro a março)</v>
      </c>
      <c r="I41" s="334">
        <f>Input_!E82</f>
        <v>0</v>
      </c>
      <c r="K41" s="181" t="str">
        <f>Labels!$B$47</f>
        <v>kWh/dia</v>
      </c>
      <c r="L41" s="181" t="str">
        <f t="shared" si="3"/>
        <v>Utilizada</v>
      </c>
    </row>
    <row r="42" spans="6:18" ht="15" thickBot="1" x14ac:dyDescent="0.35">
      <c r="F42" s="275"/>
      <c r="G42" s="184"/>
      <c r="H42" s="185" t="str">
        <f>+Labels!B45</f>
        <v>Tarifa flexível diária - capacidade diária (abril a setembro)</v>
      </c>
      <c r="I42" s="335">
        <f>Input_!E83</f>
        <v>0</v>
      </c>
      <c r="K42" s="188" t="str">
        <f>Labels!$B$47</f>
        <v>kWh/dia</v>
      </c>
      <c r="L42" s="188" t="str">
        <f t="shared" si="3"/>
        <v>Utilizada</v>
      </c>
    </row>
    <row r="43" spans="6:18" x14ac:dyDescent="0.3">
      <c r="R43" s="221"/>
    </row>
    <row r="44" spans="6:18" ht="15" thickBot="1" x14ac:dyDescent="0.35">
      <c r="M44" s="221" t="s">
        <v>815</v>
      </c>
      <c r="N44" s="221"/>
      <c r="R44" s="221"/>
    </row>
    <row r="45" spans="6:18" ht="15" thickBot="1" x14ac:dyDescent="0.35">
      <c r="M45" s="268" t="str">
        <f>+G10</f>
        <v>Ponto</v>
      </c>
      <c r="N45" s="276" t="str">
        <f>+Labels!B61</f>
        <v>Tipo de ponto</v>
      </c>
      <c r="O45" s="259" t="str">
        <f>+C3</f>
        <v>Entrada</v>
      </c>
      <c r="P45" s="260" t="str">
        <f>+D3</f>
        <v>Saída</v>
      </c>
      <c r="R45" s="221"/>
    </row>
    <row r="46" spans="6:18" x14ac:dyDescent="0.3">
      <c r="M46" s="261"/>
      <c r="N46" s="277"/>
      <c r="O46" s="278"/>
      <c r="P46" s="279"/>
      <c r="R46" s="221"/>
    </row>
    <row r="47" spans="6:18" x14ac:dyDescent="0.3">
      <c r="M47" s="262"/>
      <c r="N47" s="280"/>
      <c r="O47" s="281"/>
      <c r="P47" s="282"/>
      <c r="R47" s="221"/>
    </row>
    <row r="48" spans="6:18" x14ac:dyDescent="0.3">
      <c r="M48" s="264"/>
      <c r="N48" s="280"/>
      <c r="O48" s="283"/>
      <c r="P48" s="284"/>
      <c r="R48" s="221"/>
    </row>
    <row r="49" spans="13:26" x14ac:dyDescent="0.3">
      <c r="M49" s="285"/>
      <c r="N49" s="280"/>
      <c r="O49" s="286"/>
      <c r="P49" s="287"/>
      <c r="R49" s="221"/>
    </row>
    <row r="50" spans="13:26" x14ac:dyDescent="0.3">
      <c r="M50" s="285"/>
      <c r="N50" s="280"/>
      <c r="O50" s="288"/>
      <c r="P50" s="287"/>
      <c r="R50" s="221"/>
    </row>
    <row r="51" spans="13:26" x14ac:dyDescent="0.3">
      <c r="M51" s="285"/>
      <c r="N51" s="289"/>
      <c r="O51" s="288"/>
      <c r="P51" s="287"/>
      <c r="R51" s="221"/>
    </row>
    <row r="52" spans="13:26" x14ac:dyDescent="0.3">
      <c r="M52" s="285"/>
      <c r="N52" s="289"/>
      <c r="O52" s="288"/>
      <c r="P52" s="287"/>
      <c r="R52" s="221"/>
    </row>
    <row r="53" spans="13:26" x14ac:dyDescent="0.3">
      <c r="M53" s="285"/>
      <c r="N53" s="289"/>
      <c r="O53" s="288"/>
      <c r="P53" s="287"/>
      <c r="R53" s="221"/>
    </row>
    <row r="54" spans="13:26" x14ac:dyDescent="0.3">
      <c r="M54" s="285"/>
      <c r="N54" s="289"/>
      <c r="O54" s="288"/>
      <c r="P54" s="287"/>
      <c r="R54" s="221"/>
    </row>
    <row r="55" spans="13:26" x14ac:dyDescent="0.3">
      <c r="M55" s="285"/>
      <c r="N55" s="289"/>
      <c r="O55" s="288"/>
      <c r="P55" s="287"/>
      <c r="R55" s="221"/>
    </row>
    <row r="56" spans="13:26" ht="15" thickBot="1" x14ac:dyDescent="0.35">
      <c r="M56" s="266"/>
      <c r="N56" s="290"/>
      <c r="O56" s="291"/>
      <c r="P56" s="292"/>
      <c r="R56" s="221"/>
    </row>
    <row r="57" spans="13:26" x14ac:dyDescent="0.3">
      <c r="R57"/>
      <c r="S57"/>
      <c r="T57"/>
      <c r="U57"/>
      <c r="V57"/>
      <c r="W57"/>
      <c r="X57"/>
      <c r="Y57"/>
      <c r="Z57"/>
    </row>
    <row r="58" spans="13:26" x14ac:dyDescent="0.3">
      <c r="R58"/>
      <c r="S58"/>
      <c r="T58"/>
      <c r="U58"/>
      <c r="V58"/>
      <c r="W58"/>
      <c r="X58"/>
      <c r="Y58"/>
      <c r="Z58"/>
    </row>
    <row r="59" spans="13:26" x14ac:dyDescent="0.3">
      <c r="R59"/>
      <c r="S59"/>
      <c r="T59"/>
      <c r="U59"/>
      <c r="V59"/>
      <c r="W59"/>
      <c r="X59"/>
      <c r="Y59"/>
      <c r="Z59"/>
    </row>
    <row r="60" spans="13:26" x14ac:dyDescent="0.3">
      <c r="R60"/>
      <c r="S60"/>
      <c r="T60"/>
      <c r="U60"/>
      <c r="V60"/>
      <c r="W60"/>
      <c r="X60"/>
      <c r="Y60"/>
      <c r="Z60"/>
    </row>
    <row r="61" spans="13:26" x14ac:dyDescent="0.3">
      <c r="R61"/>
      <c r="S61"/>
      <c r="T61"/>
      <c r="U61"/>
      <c r="V61"/>
      <c r="W61"/>
      <c r="X61"/>
      <c r="Y61"/>
      <c r="Z61"/>
    </row>
    <row r="62" spans="13:26" x14ac:dyDescent="0.3">
      <c r="R62"/>
      <c r="S62"/>
      <c r="T62"/>
      <c r="U62"/>
      <c r="V62"/>
      <c r="W62"/>
      <c r="X62"/>
      <c r="Y62"/>
      <c r="Z62"/>
    </row>
    <row r="63" spans="13:26" x14ac:dyDescent="0.3">
      <c r="R63"/>
      <c r="S63"/>
      <c r="T63"/>
      <c r="U63"/>
      <c r="V63"/>
      <c r="W63"/>
      <c r="X63"/>
      <c r="Y63"/>
      <c r="Z63"/>
    </row>
    <row r="64" spans="13:26" x14ac:dyDescent="0.3">
      <c r="R64"/>
      <c r="S64"/>
      <c r="T64"/>
      <c r="U64"/>
      <c r="V64"/>
      <c r="W64"/>
      <c r="X64"/>
      <c r="Y64"/>
      <c r="Z64"/>
    </row>
    <row r="65" spans="18:26" x14ac:dyDescent="0.3">
      <c r="R65"/>
      <c r="S65"/>
      <c r="T65"/>
      <c r="U65"/>
      <c r="V65"/>
      <c r="W65"/>
      <c r="X65"/>
      <c r="Y65"/>
      <c r="Z65"/>
    </row>
    <row r="66" spans="18:26" x14ac:dyDescent="0.3">
      <c r="R66"/>
      <c r="S66"/>
      <c r="T66"/>
      <c r="U66"/>
      <c r="V66"/>
      <c r="W66"/>
      <c r="X66"/>
      <c r="Y66"/>
      <c r="Z66"/>
    </row>
    <row r="67" spans="18:26" x14ac:dyDescent="0.3">
      <c r="R67"/>
      <c r="S67"/>
      <c r="T67"/>
      <c r="U67"/>
      <c r="V67"/>
      <c r="W67"/>
      <c r="X67"/>
      <c r="Y67"/>
      <c r="Z67"/>
    </row>
    <row r="68" spans="18:26" x14ac:dyDescent="0.3">
      <c r="R68"/>
      <c r="S68"/>
      <c r="T68"/>
      <c r="U68"/>
      <c r="V68"/>
      <c r="W68"/>
      <c r="X68"/>
      <c r="Y68"/>
      <c r="Z68"/>
    </row>
    <row r="69" spans="18:26" x14ac:dyDescent="0.3">
      <c r="R69"/>
      <c r="S69"/>
      <c r="T69"/>
      <c r="U69"/>
      <c r="V69"/>
      <c r="W69"/>
      <c r="X69"/>
      <c r="Y69"/>
      <c r="Z69"/>
    </row>
    <row r="70" spans="18:26" x14ac:dyDescent="0.3">
      <c r="R70"/>
      <c r="S70"/>
      <c r="T70"/>
      <c r="U70"/>
      <c r="V70"/>
      <c r="W70"/>
      <c r="X70"/>
      <c r="Y70"/>
      <c r="Z70"/>
    </row>
    <row r="71" spans="18:26" x14ac:dyDescent="0.3">
      <c r="R71"/>
      <c r="S71"/>
      <c r="T71"/>
      <c r="U71"/>
      <c r="V71"/>
      <c r="W71"/>
      <c r="X71"/>
      <c r="Y71"/>
      <c r="Z71"/>
    </row>
    <row r="72" spans="18:26" x14ac:dyDescent="0.3">
      <c r="R72"/>
      <c r="S72"/>
      <c r="T72"/>
      <c r="U72"/>
      <c r="V72"/>
      <c r="W72"/>
      <c r="X72"/>
      <c r="Y72"/>
      <c r="Z72"/>
    </row>
    <row r="73" spans="18:26" x14ac:dyDescent="0.3">
      <c r="R73"/>
      <c r="S73"/>
      <c r="T73"/>
      <c r="U73"/>
      <c r="V73"/>
      <c r="W73"/>
      <c r="X73"/>
      <c r="Y73"/>
      <c r="Z73"/>
    </row>
    <row r="74" spans="18:26" x14ac:dyDescent="0.3">
      <c r="R74"/>
      <c r="S74"/>
      <c r="T74"/>
      <c r="U74"/>
      <c r="V74"/>
      <c r="W74"/>
      <c r="X74"/>
      <c r="Y74"/>
      <c r="Z74"/>
    </row>
    <row r="75" spans="18:26" x14ac:dyDescent="0.3">
      <c r="R75"/>
      <c r="S75"/>
      <c r="T75"/>
      <c r="U75"/>
      <c r="V75"/>
      <c r="W75"/>
      <c r="X75"/>
      <c r="Y75"/>
      <c r="Z75"/>
    </row>
    <row r="76" spans="18:26" x14ac:dyDescent="0.3">
      <c r="R76"/>
      <c r="S76"/>
      <c r="T76"/>
      <c r="U76"/>
      <c r="V76"/>
      <c r="W76"/>
      <c r="X76"/>
      <c r="Y76"/>
      <c r="Z76"/>
    </row>
    <row r="77" spans="18:26" x14ac:dyDescent="0.3">
      <c r="R77"/>
      <c r="S77"/>
      <c r="T77"/>
      <c r="U77"/>
      <c r="V77"/>
      <c r="W77"/>
      <c r="X77"/>
      <c r="Y77"/>
      <c r="Z77"/>
    </row>
    <row r="78" spans="18:26" x14ac:dyDescent="0.3">
      <c r="R78"/>
      <c r="S78"/>
      <c r="T78"/>
      <c r="U78"/>
      <c r="V78"/>
      <c r="W78"/>
      <c r="X78"/>
      <c r="Y78"/>
      <c r="Z78"/>
    </row>
    <row r="79" spans="18:26" x14ac:dyDescent="0.3"/>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11"/>
  <sheetViews>
    <sheetView showGridLines="0" zoomScale="140" zoomScaleNormal="140" workbookViewId="0">
      <selection activeCell="N35" sqref="N35"/>
    </sheetView>
  </sheetViews>
  <sheetFormatPr defaultColWidth="0" defaultRowHeight="14.4" customHeight="1" zeroHeight="1" x14ac:dyDescent="0.3"/>
  <cols>
    <col min="1" max="1" width="3.6640625" style="1" customWidth="1"/>
    <col min="2" max="2" width="49.6640625" style="1" customWidth="1"/>
    <col min="3" max="4" width="39.5546875" style="1" customWidth="1"/>
    <col min="5" max="5" width="9.109375" style="1" customWidth="1"/>
    <col min="6" max="16384" width="9.109375" style="1" hidden="1"/>
  </cols>
  <sheetData>
    <row r="1" spans="2:4" x14ac:dyDescent="0.3"/>
    <row r="2" spans="2:4" x14ac:dyDescent="0.3">
      <c r="B2" s="293" t="s">
        <v>803</v>
      </c>
      <c r="C2" s="294" t="s">
        <v>805</v>
      </c>
      <c r="D2" s="295" t="s">
        <v>806</v>
      </c>
    </row>
    <row r="3" spans="2:4" x14ac:dyDescent="0.3">
      <c r="B3" s="296"/>
      <c r="C3" s="297">
        <v>1</v>
      </c>
      <c r="D3" s="298">
        <v>0</v>
      </c>
    </row>
    <row r="4" spans="2:4" ht="55.2" x14ac:dyDescent="0.3">
      <c r="B4" s="299" t="s">
        <v>816</v>
      </c>
      <c r="C4" s="300"/>
      <c r="D4" s="301"/>
    </row>
    <row r="5" spans="2:4" x14ac:dyDescent="0.3">
      <c r="B5" s="293" t="s">
        <v>807</v>
      </c>
      <c r="C5" s="294" t="s">
        <v>709</v>
      </c>
      <c r="D5" s="295" t="s">
        <v>710</v>
      </c>
    </row>
    <row r="6" spans="2:4" x14ac:dyDescent="0.3">
      <c r="B6" s="296"/>
      <c r="C6" s="297">
        <f>'Article 30'!F8</f>
        <v>0.28000000000000003</v>
      </c>
      <c r="D6" s="298">
        <f>'Article 30'!F9</f>
        <v>0.72</v>
      </c>
    </row>
    <row r="7" spans="2:4" ht="69" x14ac:dyDescent="0.3">
      <c r="B7" s="299" t="s">
        <v>817</v>
      </c>
      <c r="C7" s="300"/>
      <c r="D7" s="301"/>
    </row>
    <row r="8" spans="2:4" x14ac:dyDescent="0.3">
      <c r="B8" s="293" t="s">
        <v>809</v>
      </c>
      <c r="C8" s="294" t="s">
        <v>818</v>
      </c>
      <c r="D8" s="295" t="s">
        <v>819</v>
      </c>
    </row>
    <row r="9" spans="2:4" x14ac:dyDescent="0.3">
      <c r="B9" s="296"/>
      <c r="C9" s="302">
        <f>'Article 30'!F11</f>
        <v>9.4604336025899682E-2</v>
      </c>
      <c r="D9" s="303">
        <f>1-C9</f>
        <v>0.90539566397410032</v>
      </c>
    </row>
    <row r="10" spans="2:4" ht="82.8" x14ac:dyDescent="0.3">
      <c r="B10" s="299" t="s">
        <v>820</v>
      </c>
      <c r="C10" s="300"/>
      <c r="D10" s="301"/>
    </row>
    <row r="11" spans="2: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U84"/>
  <sheetViews>
    <sheetView showGridLines="0" topLeftCell="J24" zoomScaleNormal="100" workbookViewId="0">
      <selection activeCell="N35" sqref="N35"/>
    </sheetView>
  </sheetViews>
  <sheetFormatPr defaultColWidth="9.109375" defaultRowHeight="0" customHeight="1" zeroHeight="1" x14ac:dyDescent="0.3"/>
  <cols>
    <col min="1" max="2" width="3.6640625" style="267" customWidth="1"/>
    <col min="3" max="3" width="8.6640625" style="136" customWidth="1"/>
    <col min="4" max="4" width="33.6640625" style="136" customWidth="1"/>
    <col min="5" max="5" width="60.33203125" style="136" customWidth="1"/>
    <col min="6" max="6" width="1.6640625" style="136" customWidth="1"/>
    <col min="7" max="10" width="11.33203125" style="136" customWidth="1"/>
    <col min="11" max="11" width="1.6640625" style="136" customWidth="1"/>
    <col min="12" max="12" width="15.6640625" style="136" bestFit="1" customWidth="1"/>
    <col min="13" max="13" width="3.6640625" style="327" customWidth="1"/>
    <col min="14" max="14" width="3.6640625" style="267" customWidth="1"/>
    <col min="15" max="15" width="8.6640625" style="86" customWidth="1"/>
    <col min="16" max="16" width="33.6640625" style="86" customWidth="1"/>
    <col min="17" max="17" width="61.6640625" style="86" customWidth="1"/>
    <col min="18" max="18" width="1.6640625" style="86" customWidth="1"/>
    <col min="19" max="21" width="12.33203125" style="86" customWidth="1"/>
    <col min="22" max="16384" width="9.109375" style="86"/>
  </cols>
  <sheetData>
    <row r="1" spans="3:15" s="267" customFormat="1" ht="24.9" customHeight="1" x14ac:dyDescent="0.3"/>
    <row r="2" spans="3:15" s="267" customFormat="1" ht="18" x14ac:dyDescent="0.35">
      <c r="C2" s="304" t="s">
        <v>821</v>
      </c>
    </row>
    <row r="3" spans="3:15" ht="15" thickBot="1" x14ac:dyDescent="0.35">
      <c r="C3" s="267"/>
      <c r="D3" s="267"/>
      <c r="E3" s="267"/>
      <c r="F3" s="267"/>
      <c r="G3" s="267"/>
      <c r="H3" s="267"/>
      <c r="I3" s="267"/>
      <c r="J3" s="267"/>
      <c r="K3" s="267"/>
      <c r="L3" s="267"/>
      <c r="M3" s="267"/>
    </row>
    <row r="4" spans="3:15" ht="15" thickBot="1" x14ac:dyDescent="0.35">
      <c r="C4" s="267"/>
      <c r="D4" s="268" t="str">
        <f>+Output!D4</f>
        <v>Ponto</v>
      </c>
      <c r="E4" s="269" t="str">
        <f>+Output!E4</f>
        <v>Produtos</v>
      </c>
      <c r="F4" s="267"/>
      <c r="G4" s="270" t="s">
        <v>668</v>
      </c>
      <c r="H4" s="270" t="str">
        <f>Input_!E49</f>
        <v>2024-25</v>
      </c>
      <c r="I4" s="270" t="str">
        <f>Input_!F49</f>
        <v>2025-26</v>
      </c>
      <c r="J4" s="270" t="str">
        <f>Input_!G49</f>
        <v>2026-27</v>
      </c>
      <c r="K4" s="305"/>
      <c r="L4" s="270" t="str">
        <f>+Output!K4</f>
        <v>Unidade</v>
      </c>
      <c r="M4" s="267"/>
    </row>
    <row r="5" spans="3:15" ht="14.4" x14ac:dyDescent="0.3">
      <c r="C5" s="272" t="str">
        <f>+Output!C5</f>
        <v>Entrada</v>
      </c>
      <c r="D5" s="170" t="str">
        <f>+Output!D5</f>
        <v>VIP Ibérico</v>
      </c>
      <c r="E5" s="171" t="str">
        <f>+Output!E5</f>
        <v>Anual</v>
      </c>
      <c r="F5" s="306"/>
      <c r="G5" s="344">
        <v>9.1262474247038414E-2</v>
      </c>
      <c r="H5" s="307">
        <f>'Entry Tariff_2'!E170</f>
        <v>3.5228583569365819E-2</v>
      </c>
      <c r="I5" s="307">
        <f>'Entry Tariff_2'!F170</f>
        <v>3.5228583569365819E-2</v>
      </c>
      <c r="J5" s="307">
        <f>'Entry Tariff_2'!G170</f>
        <v>3.5228583569365819E-2</v>
      </c>
      <c r="K5" s="308"/>
      <c r="L5" s="190" t="str">
        <f>+Output!K5</f>
        <v>€/(kWh/dia)/ano</v>
      </c>
      <c r="M5" s="267"/>
      <c r="O5"/>
    </row>
    <row r="6" spans="3:15" ht="14.4" x14ac:dyDescent="0.3">
      <c r="C6" s="273"/>
      <c r="D6" s="177"/>
      <c r="E6" s="178" t="str">
        <f>+Output!E6</f>
        <v>Trimestral</v>
      </c>
      <c r="F6" s="267"/>
      <c r="G6" s="345">
        <v>0.11864121652114995</v>
      </c>
      <c r="H6" s="309">
        <f>'Entry Tariff_2'!E171</f>
        <v>4.156972861185166E-2</v>
      </c>
      <c r="I6" s="309">
        <f>'Entry Tariff_2'!F171</f>
        <v>4.156972861185166E-2</v>
      </c>
      <c r="J6" s="309">
        <f>'Entry Tariff_2'!G171</f>
        <v>4.156972861185166E-2</v>
      </c>
      <c r="K6" s="267"/>
      <c r="L6" s="181" t="str">
        <f>+Output!K6</f>
        <v>€/(kWh/dia)/ano</v>
      </c>
      <c r="M6" s="267"/>
      <c r="O6"/>
    </row>
    <row r="7" spans="3:15" ht="14.4" x14ac:dyDescent="0.3">
      <c r="C7" s="273"/>
      <c r="D7" s="177"/>
      <c r="E7" s="178" t="str">
        <f>+Output!E7</f>
        <v>Mensal</v>
      </c>
      <c r="F7" s="310"/>
      <c r="G7" s="345">
        <v>0.13689371137055761</v>
      </c>
      <c r="H7" s="309">
        <f>'Entry Tariff_2'!E172</f>
        <v>4.755858781864386E-2</v>
      </c>
      <c r="I7" s="309">
        <f>'Entry Tariff_2'!F172</f>
        <v>4.755858781864386E-2</v>
      </c>
      <c r="J7" s="309">
        <f>'Entry Tariff_2'!G172</f>
        <v>4.755858781864386E-2</v>
      </c>
      <c r="K7" s="311"/>
      <c r="L7" s="181" t="str">
        <f>+Output!K7</f>
        <v>€/(kWh/dia)/ano</v>
      </c>
      <c r="M7" s="267"/>
      <c r="O7"/>
    </row>
    <row r="8" spans="3:15" ht="14.4" x14ac:dyDescent="0.3">
      <c r="C8" s="273"/>
      <c r="D8" s="177"/>
      <c r="E8" s="178" t="str">
        <f>+Output!E8</f>
        <v>Diário</v>
      </c>
      <c r="F8" s="310"/>
      <c r="G8" s="345">
        <v>0.18252494849407683</v>
      </c>
      <c r="H8" s="309">
        <f>'Entry Tariff_2'!E173</f>
        <v>6.8343452124569687E-2</v>
      </c>
      <c r="I8" s="309">
        <f>'Entry Tariff_2'!F173</f>
        <v>6.8343452124569687E-2</v>
      </c>
      <c r="J8" s="309">
        <f>'Entry Tariff_2'!G173</f>
        <v>6.8343452124569687E-2</v>
      </c>
      <c r="K8" s="310"/>
      <c r="L8" s="181" t="str">
        <f>+Output!K8</f>
        <v>€/(kWh/dia)/ano</v>
      </c>
      <c r="M8" s="267"/>
      <c r="O8"/>
    </row>
    <row r="9" spans="3:15" ht="15" thickBot="1" x14ac:dyDescent="0.35">
      <c r="C9" s="273"/>
      <c r="D9" s="184"/>
      <c r="E9" s="185" t="str">
        <f>+Output!E9</f>
        <v>Intradiário</v>
      </c>
      <c r="F9" s="306"/>
      <c r="G9" s="346">
        <v>0.20077744334348457</v>
      </c>
      <c r="H9" s="312">
        <f>'Entry Tariff_2'!E174</f>
        <v>7.5036883002749188E-2</v>
      </c>
      <c r="I9" s="312">
        <f>'Entry Tariff_2'!F174</f>
        <v>7.5036883002749188E-2</v>
      </c>
      <c r="J9" s="312">
        <f>'Entry Tariff_2'!G174</f>
        <v>7.5036883002749188E-2</v>
      </c>
      <c r="K9" s="308"/>
      <c r="L9" s="188" t="str">
        <f>+Output!K9</f>
        <v>€/(kWh/dia)/ano</v>
      </c>
      <c r="M9" s="267"/>
      <c r="O9"/>
    </row>
    <row r="10" spans="3:15" ht="14.4" x14ac:dyDescent="0.3">
      <c r="C10" s="273"/>
      <c r="D10" s="170" t="str">
        <f>+Output!D10</f>
        <v>Terminal de GNL</v>
      </c>
      <c r="E10" s="171" t="str">
        <f>+Output!E10</f>
        <v>Anual</v>
      </c>
      <c r="F10" s="267"/>
      <c r="G10" s="344">
        <v>8.4056495934714204E-2</v>
      </c>
      <c r="H10" s="307">
        <f>'Entry Tariff_2'!E175</f>
        <v>9.8902373364759225E-2</v>
      </c>
      <c r="I10" s="307">
        <f>'Entry Tariff_2'!F175</f>
        <v>9.8902373364759225E-2</v>
      </c>
      <c r="J10" s="307">
        <f>'Entry Tariff_2'!G175</f>
        <v>9.8902373364759225E-2</v>
      </c>
      <c r="K10" s="267"/>
      <c r="L10" s="190" t="str">
        <f>+Output!K10</f>
        <v>€/(kWh/dia)/ano</v>
      </c>
      <c r="M10" s="267"/>
      <c r="O10"/>
    </row>
    <row r="11" spans="3:15" ht="14.4" x14ac:dyDescent="0.3">
      <c r="C11" s="273"/>
      <c r="D11" s="177"/>
      <c r="E11" s="178" t="str">
        <f>+Output!E11</f>
        <v>Trimestral</v>
      </c>
      <c r="F11" s="310"/>
      <c r="G11" s="345">
        <v>0.10927344471512847</v>
      </c>
      <c r="H11" s="309">
        <f>'Entry Tariff_2'!E176</f>
        <v>0.11670480057041588</v>
      </c>
      <c r="I11" s="309">
        <f>'Entry Tariff_2'!F176</f>
        <v>0.11670480057041588</v>
      </c>
      <c r="J11" s="309">
        <f>'Entry Tariff_2'!G176</f>
        <v>0.11670480057041588</v>
      </c>
      <c r="K11" s="311"/>
      <c r="L11" s="181" t="str">
        <f>+Output!K11</f>
        <v>€/(kWh/dia)/ano</v>
      </c>
      <c r="M11" s="267"/>
      <c r="O11"/>
    </row>
    <row r="12" spans="3:15" ht="14.4" x14ac:dyDescent="0.3">
      <c r="C12" s="273"/>
      <c r="D12" s="177"/>
      <c r="E12" s="178" t="str">
        <f>+Output!E12</f>
        <v>Mensal</v>
      </c>
      <c r="F12" s="310"/>
      <c r="G12" s="345">
        <v>0.12608474390207131</v>
      </c>
      <c r="H12" s="309">
        <f>'Entry Tariff_2'!E177</f>
        <v>0.13351820404242495</v>
      </c>
      <c r="I12" s="309">
        <f>'Entry Tariff_2'!F177</f>
        <v>0.13351820404242495</v>
      </c>
      <c r="J12" s="309">
        <f>'Entry Tariff_2'!G177</f>
        <v>0.13351820404242495</v>
      </c>
      <c r="K12" s="310"/>
      <c r="L12" s="181" t="str">
        <f>+Output!K12</f>
        <v>€/(kWh/dia)/ano</v>
      </c>
      <c r="M12" s="267"/>
      <c r="O12"/>
    </row>
    <row r="13" spans="3:15" ht="14.4" x14ac:dyDescent="0.3">
      <c r="C13" s="273"/>
      <c r="D13" s="177"/>
      <c r="E13" s="178" t="str">
        <f>+Output!E13</f>
        <v>Diário</v>
      </c>
      <c r="F13" s="306"/>
      <c r="G13" s="345">
        <v>0.16811299186942841</v>
      </c>
      <c r="H13" s="309">
        <f>'Entry Tariff_2'!E178</f>
        <v>0.19187060432763287</v>
      </c>
      <c r="I13" s="309">
        <f>'Entry Tariff_2'!F178</f>
        <v>0.19187060432763287</v>
      </c>
      <c r="J13" s="309">
        <f>'Entry Tariff_2'!G178</f>
        <v>0.19187060432763287</v>
      </c>
      <c r="K13" s="308"/>
      <c r="L13" s="181" t="str">
        <f>+Output!K13</f>
        <v>€/(kWh/dia)/ano</v>
      </c>
      <c r="M13" s="267"/>
      <c r="O13"/>
    </row>
    <row r="14" spans="3:15" ht="15" thickBot="1" x14ac:dyDescent="0.35">
      <c r="C14" s="273"/>
      <c r="D14" s="184"/>
      <c r="E14" s="185" t="str">
        <f>+Output!E14</f>
        <v>Intradiário</v>
      </c>
      <c r="F14" s="267"/>
      <c r="G14" s="346">
        <v>0.18492429105637123</v>
      </c>
      <c r="H14" s="312">
        <f>'Entry Tariff_2'!E179</f>
        <v>0.2106620552669371</v>
      </c>
      <c r="I14" s="312">
        <f>'Entry Tariff_2'!F179</f>
        <v>0.2106620552669371</v>
      </c>
      <c r="J14" s="312">
        <f>'Entry Tariff_2'!G179</f>
        <v>0.2106620552669371</v>
      </c>
      <c r="K14" s="267"/>
      <c r="L14" s="188" t="str">
        <f>+Output!K14</f>
        <v>€/(kWh/dia)/ano</v>
      </c>
      <c r="M14" s="267"/>
      <c r="O14"/>
    </row>
    <row r="15" spans="3:15" ht="14.4" x14ac:dyDescent="0.3">
      <c r="C15" s="273"/>
      <c r="D15" s="170" t="str">
        <f>+Output!D15</f>
        <v>Armazenamento Subterrâneo</v>
      </c>
      <c r="E15" s="171" t="str">
        <f>+Output!E15</f>
        <v>Diário</v>
      </c>
      <c r="F15" s="310"/>
      <c r="G15" s="344">
        <v>0</v>
      </c>
      <c r="H15" s="307">
        <f>'Entry Tariff_2'!E180</f>
        <v>0</v>
      </c>
      <c r="I15" s="307">
        <f>'Entry Tariff_2'!F180</f>
        <v>0</v>
      </c>
      <c r="J15" s="307">
        <f>'Entry Tariff_2'!G180</f>
        <v>0</v>
      </c>
      <c r="K15" s="311"/>
      <c r="L15" s="190" t="str">
        <f>+Output!K15</f>
        <v>€/(kWh/dia)/ano</v>
      </c>
      <c r="M15" s="267"/>
      <c r="O15"/>
    </row>
    <row r="16" spans="3:15" ht="15" thickBot="1" x14ac:dyDescent="0.35">
      <c r="C16" s="274"/>
      <c r="D16" s="184"/>
      <c r="E16" s="185" t="str">
        <f>+Output!E16</f>
        <v>Intradiário</v>
      </c>
      <c r="F16" s="310"/>
      <c r="G16" s="346">
        <v>0</v>
      </c>
      <c r="H16" s="312">
        <f>'Entry Tariff_2'!E181</f>
        <v>0</v>
      </c>
      <c r="I16" s="312">
        <f>'Entry Tariff_2'!F181</f>
        <v>0</v>
      </c>
      <c r="J16" s="312">
        <f>'Entry Tariff_2'!G181</f>
        <v>0</v>
      </c>
      <c r="K16" s="310"/>
      <c r="L16" s="188" t="str">
        <f>+Output!K16</f>
        <v>€/(kWh/dia)/ano</v>
      </c>
      <c r="M16" s="267"/>
      <c r="O16"/>
    </row>
    <row r="17" spans="3:15" ht="15" thickBot="1" x14ac:dyDescent="0.35">
      <c r="C17" s="275"/>
      <c r="D17" s="177" t="str">
        <f>+Output!D17</f>
        <v>Produtores de gás</v>
      </c>
      <c r="E17" s="193" t="str">
        <f>+Output!E17</f>
        <v>Capacidade utilizada na injeção</v>
      </c>
      <c r="F17" s="310"/>
      <c r="G17" s="344">
        <v>2.471752241755576E-2</v>
      </c>
      <c r="H17" s="313">
        <f>'Entry Tariff_2'!E182</f>
        <v>7.1206007464080477E-3</v>
      </c>
      <c r="I17" s="313">
        <f>'Entry Tariff_2'!F182</f>
        <v>7.1206007464080477E-3</v>
      </c>
      <c r="J17" s="313">
        <f>'Entry Tariff_2'!G182</f>
        <v>7.1206007464080477E-3</v>
      </c>
      <c r="K17" s="310"/>
      <c r="L17" s="196" t="str">
        <f>+Output!K17</f>
        <v>€/(kWh/dia)/ano</v>
      </c>
      <c r="M17" s="267"/>
      <c r="O17"/>
    </row>
    <row r="18" spans="3:15" ht="14.4" x14ac:dyDescent="0.3">
      <c r="C18" s="272" t="str">
        <f>+Output!C18</f>
        <v>Saída</v>
      </c>
      <c r="D18" s="170" t="str">
        <f>+Output!D18</f>
        <v>VIP Ibérico</v>
      </c>
      <c r="E18" s="171" t="str">
        <f>+Output!E18</f>
        <v>Anual</v>
      </c>
      <c r="F18" s="306"/>
      <c r="G18" s="344">
        <v>1.987450888261335E-2</v>
      </c>
      <c r="H18" s="307">
        <f>'Exit Tariff_2'!E212</f>
        <v>3.4453513090425783E-2</v>
      </c>
      <c r="I18" s="307">
        <f>'Exit Tariff_2'!F212</f>
        <v>3.4453513090425783E-2</v>
      </c>
      <c r="J18" s="307">
        <f>'Exit Tariff_2'!G212</f>
        <v>3.4453513090425783E-2</v>
      </c>
      <c r="K18" s="308"/>
      <c r="L18" s="190" t="str">
        <f>+Output!K18</f>
        <v>€/(kWh/dia)/ano</v>
      </c>
      <c r="M18" s="267"/>
      <c r="O18"/>
    </row>
    <row r="19" spans="3:15" ht="14.4" x14ac:dyDescent="0.3">
      <c r="C19" s="274"/>
      <c r="D19" s="177"/>
      <c r="E19" s="178" t="str">
        <f>+Output!E19</f>
        <v>Trimestral</v>
      </c>
      <c r="F19" s="267"/>
      <c r="G19" s="345">
        <v>2.5836861547397356E-2</v>
      </c>
      <c r="H19" s="309">
        <f>'Exit Tariff_2'!E213</f>
        <v>4.0655145446702429E-2</v>
      </c>
      <c r="I19" s="309">
        <f>'Exit Tariff_2'!F213</f>
        <v>4.0655145446702429E-2</v>
      </c>
      <c r="J19" s="309">
        <f>'Exit Tariff_2'!G213</f>
        <v>4.0655145446702429E-2</v>
      </c>
      <c r="K19" s="267"/>
      <c r="L19" s="181" t="str">
        <f>+Output!K19</f>
        <v>€/(kWh/dia)/ano</v>
      </c>
      <c r="M19" s="267"/>
      <c r="O19"/>
    </row>
    <row r="20" spans="3:15" ht="14.4" x14ac:dyDescent="0.3">
      <c r="C20" s="274"/>
      <c r="D20" s="177"/>
      <c r="E20" s="178" t="str">
        <f>+Output!E20</f>
        <v>Mensal</v>
      </c>
      <c r="F20" s="310"/>
      <c r="G20" s="345">
        <v>2.9811763323920021E-2</v>
      </c>
      <c r="H20" s="309">
        <f>'Exit Tariff_2'!E214</f>
        <v>4.6512242672074815E-2</v>
      </c>
      <c r="I20" s="309">
        <f>'Exit Tariff_2'!F214</f>
        <v>4.6512242672074815E-2</v>
      </c>
      <c r="J20" s="309">
        <f>'Exit Tariff_2'!G214</f>
        <v>4.6512242672074815E-2</v>
      </c>
      <c r="K20" s="311"/>
      <c r="L20" s="181" t="str">
        <f>+Output!K20</f>
        <v>€/(kWh/dia)/ano</v>
      </c>
      <c r="M20" s="267"/>
      <c r="O20"/>
    </row>
    <row r="21" spans="3:15" ht="14.4" x14ac:dyDescent="0.3">
      <c r="C21" s="274"/>
      <c r="D21" s="177"/>
      <c r="E21" s="178" t="str">
        <f>+Output!E21</f>
        <v>Diário</v>
      </c>
      <c r="F21" s="310"/>
      <c r="G21" s="345">
        <v>3.9749017765226699E-2</v>
      </c>
      <c r="H21" s="309">
        <f>'Exit Tariff_2'!E215</f>
        <v>6.6839815395426022E-2</v>
      </c>
      <c r="I21" s="309">
        <f>'Exit Tariff_2'!F215</f>
        <v>6.6839815395426022E-2</v>
      </c>
      <c r="J21" s="309">
        <f>'Exit Tariff_2'!G215</f>
        <v>6.6839815395426022E-2</v>
      </c>
      <c r="K21" s="310"/>
      <c r="L21" s="181" t="str">
        <f>+Output!K21</f>
        <v>€/(kWh/dia)/ano</v>
      </c>
      <c r="M21" s="267"/>
      <c r="O21"/>
    </row>
    <row r="22" spans="3:15" ht="15" thickBot="1" x14ac:dyDescent="0.35">
      <c r="C22" s="274"/>
      <c r="D22" s="184"/>
      <c r="E22" s="185" t="str">
        <f>+Output!E22</f>
        <v>Intradiário</v>
      </c>
      <c r="F22" s="306"/>
      <c r="G22" s="346">
        <v>4.3723919541749166E-2</v>
      </c>
      <c r="H22" s="312">
        <f>'Exit Tariff_2'!E216</f>
        <v>7.338598288260692E-2</v>
      </c>
      <c r="I22" s="312">
        <f>'Exit Tariff_2'!F216</f>
        <v>7.338598288260692E-2</v>
      </c>
      <c r="J22" s="312">
        <f>'Exit Tariff_2'!G216</f>
        <v>7.338598288260692E-2</v>
      </c>
      <c r="K22" s="308"/>
      <c r="L22" s="188" t="str">
        <f>+Output!K22</f>
        <v>€/(kWh/dia)/ano</v>
      </c>
      <c r="M22" s="267"/>
      <c r="O22"/>
    </row>
    <row r="23" spans="3:15" ht="14.4" x14ac:dyDescent="0.3">
      <c r="C23" s="274"/>
      <c r="D23" s="170" t="str">
        <f>+Output!D23</f>
        <v>Terminal de GNL</v>
      </c>
      <c r="E23" s="171" t="str">
        <f>+Output!E23</f>
        <v>Anual</v>
      </c>
      <c r="F23" s="267"/>
      <c r="G23" s="344">
        <v>0</v>
      </c>
      <c r="H23" s="307">
        <f>'Exit Tariff_2'!E217</f>
        <v>0</v>
      </c>
      <c r="I23" s="307">
        <f>'Exit Tariff_2'!F217</f>
        <v>0</v>
      </c>
      <c r="J23" s="307">
        <f>'Exit Tariff_2'!G217</f>
        <v>0</v>
      </c>
      <c r="K23" s="267"/>
      <c r="L23" s="190" t="str">
        <f>+Output!K23</f>
        <v>€/(kWh/dia)/ano</v>
      </c>
      <c r="M23" s="267"/>
      <c r="O23"/>
    </row>
    <row r="24" spans="3:15" ht="14.4" x14ac:dyDescent="0.3">
      <c r="C24" s="274"/>
      <c r="D24" s="177"/>
      <c r="E24" s="178" t="str">
        <f>+Output!E24</f>
        <v>Trimestral</v>
      </c>
      <c r="F24" s="310"/>
      <c r="G24" s="345">
        <v>0</v>
      </c>
      <c r="H24" s="309">
        <f>'Exit Tariff_2'!E218</f>
        <v>0</v>
      </c>
      <c r="I24" s="309">
        <f>'Exit Tariff_2'!F218</f>
        <v>0</v>
      </c>
      <c r="J24" s="309">
        <f>'Exit Tariff_2'!G218</f>
        <v>0</v>
      </c>
      <c r="K24" s="311"/>
      <c r="L24" s="181" t="str">
        <f>+Output!K24</f>
        <v>€/(kWh/dia)/ano</v>
      </c>
      <c r="M24" s="267"/>
      <c r="O24"/>
    </row>
    <row r="25" spans="3:15" ht="14.4" x14ac:dyDescent="0.3">
      <c r="C25" s="274"/>
      <c r="D25" s="177"/>
      <c r="E25" s="178" t="str">
        <f>+Output!E25</f>
        <v>Mensal</v>
      </c>
      <c r="F25" s="310"/>
      <c r="G25" s="345">
        <v>0</v>
      </c>
      <c r="H25" s="309">
        <f>'Exit Tariff_2'!E219</f>
        <v>0</v>
      </c>
      <c r="I25" s="309">
        <f>'Exit Tariff_2'!F219</f>
        <v>0</v>
      </c>
      <c r="J25" s="309">
        <f>'Exit Tariff_2'!G219</f>
        <v>0</v>
      </c>
      <c r="K25" s="310"/>
      <c r="L25" s="181" t="str">
        <f>+Output!K25</f>
        <v>€/(kWh/dia)/ano</v>
      </c>
      <c r="M25" s="267"/>
      <c r="O25"/>
    </row>
    <row r="26" spans="3:15" ht="14.4" x14ac:dyDescent="0.3">
      <c r="C26" s="274"/>
      <c r="D26" s="177"/>
      <c r="E26" s="178" t="str">
        <f>+Output!E26</f>
        <v>Diário</v>
      </c>
      <c r="F26" s="306"/>
      <c r="G26" s="345">
        <v>0</v>
      </c>
      <c r="H26" s="309">
        <f>'Exit Tariff_2'!E220</f>
        <v>0</v>
      </c>
      <c r="I26" s="309">
        <f>'Exit Tariff_2'!F220</f>
        <v>0</v>
      </c>
      <c r="J26" s="309">
        <f>'Exit Tariff_2'!G220</f>
        <v>0</v>
      </c>
      <c r="K26" s="308"/>
      <c r="L26" s="181" t="str">
        <f>+Output!K26</f>
        <v>€/(kWh/dia)/ano</v>
      </c>
      <c r="M26" s="267"/>
      <c r="O26"/>
    </row>
    <row r="27" spans="3:15" ht="15" thickBot="1" x14ac:dyDescent="0.35">
      <c r="C27" s="274"/>
      <c r="D27" s="184"/>
      <c r="E27" s="185" t="str">
        <f>+Output!E27</f>
        <v>Intradiário</v>
      </c>
      <c r="F27" s="267"/>
      <c r="G27" s="346">
        <v>0</v>
      </c>
      <c r="H27" s="312">
        <f>'Exit Tariff_2'!E221</f>
        <v>0</v>
      </c>
      <c r="I27" s="312">
        <f>'Exit Tariff_2'!F221</f>
        <v>0</v>
      </c>
      <c r="J27" s="312">
        <f>'Exit Tariff_2'!G221</f>
        <v>0</v>
      </c>
      <c r="K27" s="267"/>
      <c r="L27" s="188" t="str">
        <f>+Output!K27</f>
        <v>€/(kWh/dia)/ano</v>
      </c>
      <c r="M27" s="267"/>
      <c r="O27"/>
    </row>
    <row r="28" spans="3:15" ht="14.4" x14ac:dyDescent="0.3">
      <c r="C28" s="274"/>
      <c r="D28" s="170" t="str">
        <f>+Output!D28</f>
        <v>Armazenamento Subterrâneo</v>
      </c>
      <c r="E28" s="171" t="str">
        <f>+Output!E28</f>
        <v>Diário</v>
      </c>
      <c r="F28" s="310"/>
      <c r="G28" s="344">
        <v>0</v>
      </c>
      <c r="H28" s="307">
        <f>'Exit Tariff_2'!E222</f>
        <v>0</v>
      </c>
      <c r="I28" s="307">
        <f>'Exit Tariff_2'!F222</f>
        <v>0</v>
      </c>
      <c r="J28" s="307">
        <f>'Exit Tariff_2'!G222</f>
        <v>0</v>
      </c>
      <c r="K28" s="311"/>
      <c r="L28" s="190" t="str">
        <f>+Output!K28</f>
        <v>€/(kWh/dia)/ano</v>
      </c>
      <c r="M28" s="267"/>
      <c r="O28"/>
    </row>
    <row r="29" spans="3:15" ht="15" thickBot="1" x14ac:dyDescent="0.35">
      <c r="C29" s="274"/>
      <c r="D29" s="184"/>
      <c r="E29" s="185" t="str">
        <f>+Output!E29</f>
        <v>Intradiário</v>
      </c>
      <c r="F29" s="310"/>
      <c r="G29" s="346">
        <v>0</v>
      </c>
      <c r="H29" s="312">
        <f>'Exit Tariff_2'!E223</f>
        <v>0</v>
      </c>
      <c r="I29" s="312">
        <f>'Exit Tariff_2'!F223</f>
        <v>0</v>
      </c>
      <c r="J29" s="312">
        <f>'Exit Tariff_2'!G223</f>
        <v>0</v>
      </c>
      <c r="K29" s="310"/>
      <c r="L29" s="188" t="str">
        <f>+Output!K29</f>
        <v>€/(kWh/dia)/ano</v>
      </c>
      <c r="M29" s="267"/>
      <c r="O29"/>
    </row>
    <row r="30" spans="3:15" ht="15" thickBot="1" x14ac:dyDescent="0.35">
      <c r="C30" s="274"/>
      <c r="D30" s="197" t="str">
        <f>+Output!D30</f>
        <v>Redes de distribuição e clientes em AP</v>
      </c>
      <c r="E30" s="198" t="str">
        <f>+Output!E30</f>
        <v>Longas utilizações</v>
      </c>
      <c r="F30" s="306"/>
      <c r="G30" s="344">
        <v>0.15982574123554769</v>
      </c>
      <c r="H30" s="314">
        <f>'Exit Tariff_2'!E224</f>
        <v>0.166115332177528</v>
      </c>
      <c r="I30" s="314">
        <f>'Exit Tariff_2'!F224</f>
        <v>0.166115332177528</v>
      </c>
      <c r="J30" s="314">
        <f>'Exit Tariff_2'!G224</f>
        <v>0.166115332177528</v>
      </c>
      <c r="K30" s="308"/>
      <c r="L30" s="201" t="str">
        <f>+Output!K30</f>
        <v>€/(kWh/dia)/ano</v>
      </c>
      <c r="M30" s="267"/>
      <c r="O30"/>
    </row>
    <row r="31" spans="3:15" ht="14.4" x14ac:dyDescent="0.3">
      <c r="C31" s="274"/>
      <c r="D31" s="170" t="str">
        <f>+Output!D31</f>
        <v>Clientes em AP</v>
      </c>
      <c r="E31" s="171" t="str">
        <f>+Output!E31</f>
        <v>Tarifa flexível anual - capacidade base anual</v>
      </c>
      <c r="F31" s="267"/>
      <c r="G31" s="344">
        <v>0.15982574123554769</v>
      </c>
      <c r="H31" s="307">
        <f>'Exit Tariff_2'!E225</f>
        <v>0.166115332177528</v>
      </c>
      <c r="I31" s="307">
        <f>'Exit Tariff_2'!F225</f>
        <v>0.166115332177528</v>
      </c>
      <c r="J31" s="307">
        <f>'Exit Tariff_2'!G225</f>
        <v>0.166115332177528</v>
      </c>
      <c r="K31" s="267"/>
      <c r="L31" s="202" t="str">
        <f>+Output!K31</f>
        <v>€/(kWh/dia)/ano</v>
      </c>
      <c r="M31" s="267"/>
      <c r="O31"/>
    </row>
    <row r="32" spans="3:15" ht="14.4" x14ac:dyDescent="0.3">
      <c r="C32" s="274"/>
      <c r="D32" s="177"/>
      <c r="E32" s="178" t="str">
        <f>+Output!E32</f>
        <v>Tarifa flexível anual - capacidade mensal adicional (abril a setembro)</v>
      </c>
      <c r="F32" s="310"/>
      <c r="G32" s="345">
        <v>0.23973861185332151</v>
      </c>
      <c r="H32" s="309">
        <f>'Exit Tariff_2'!E226</f>
        <v>0.24917299826629197</v>
      </c>
      <c r="I32" s="309">
        <f>'Exit Tariff_2'!F226</f>
        <v>0.24917299826629197</v>
      </c>
      <c r="J32" s="309">
        <f>'Exit Tariff_2'!G226</f>
        <v>0.24917299826629197</v>
      </c>
      <c r="K32" s="311"/>
      <c r="L32" s="181" t="str">
        <f>+Output!K32</f>
        <v>€/(kWh/dia)/ano</v>
      </c>
      <c r="M32" s="267"/>
      <c r="O32"/>
    </row>
    <row r="33" spans="3:21" ht="14.4" x14ac:dyDescent="0.3">
      <c r="C33" s="274"/>
      <c r="D33" s="177"/>
      <c r="E33" s="178" t="str">
        <f>+Output!E33</f>
        <v>Tarifa flexível mensal - capacidade mensal (outubro a março)</v>
      </c>
      <c r="F33" s="310"/>
      <c r="G33" s="345">
        <v>0.47947722370664303</v>
      </c>
      <c r="H33" s="309">
        <f>'Exit Tariff_2'!E227</f>
        <v>0.49834599653258393</v>
      </c>
      <c r="I33" s="309">
        <f>'Exit Tariff_2'!F227</f>
        <v>0.49834599653258393</v>
      </c>
      <c r="J33" s="309">
        <f>'Exit Tariff_2'!G227</f>
        <v>0.49834599653258393</v>
      </c>
      <c r="K33" s="310"/>
      <c r="L33" s="181" t="str">
        <f>+Output!K33</f>
        <v>€/(kWh/dia)/ano</v>
      </c>
      <c r="M33" s="267"/>
      <c r="O33"/>
    </row>
    <row r="34" spans="3:21" ht="14.4" x14ac:dyDescent="0.3">
      <c r="C34" s="274"/>
      <c r="D34" s="177"/>
      <c r="E34" s="178" t="str">
        <f>+Output!E34</f>
        <v>Tarifa flexível mensal - capacidade mensal (abril a setembro)</v>
      </c>
      <c r="F34" s="306"/>
      <c r="G34" s="345">
        <v>0.23973861185332151</v>
      </c>
      <c r="H34" s="309">
        <f>'Exit Tariff_2'!E228</f>
        <v>0.24917299826629197</v>
      </c>
      <c r="I34" s="309">
        <f>'Exit Tariff_2'!F228</f>
        <v>0.24917299826629197</v>
      </c>
      <c r="J34" s="309">
        <f>'Exit Tariff_2'!G228</f>
        <v>0.24917299826629197</v>
      </c>
      <c r="K34" s="308"/>
      <c r="L34" s="181" t="str">
        <f>+Output!K34</f>
        <v>€/(kWh/dia)/ano</v>
      </c>
      <c r="M34" s="267"/>
      <c r="O34"/>
    </row>
    <row r="35" spans="3:21" ht="14.4" x14ac:dyDescent="0.3">
      <c r="C35" s="274"/>
      <c r="D35" s="177"/>
      <c r="E35" s="178" t="str">
        <f>+Output!E35</f>
        <v>Tarifa flexível diária - capacidade diária (outubro a março)</v>
      </c>
      <c r="F35" s="267"/>
      <c r="G35" s="345">
        <v>1.5982574123554771</v>
      </c>
      <c r="H35" s="309">
        <f>'Exit Tariff_2'!E229</f>
        <v>1.6611533217752801</v>
      </c>
      <c r="I35" s="309">
        <f>'Exit Tariff_2'!F229</f>
        <v>1.6611533217752801</v>
      </c>
      <c r="J35" s="309">
        <f>'Exit Tariff_2'!G229</f>
        <v>1.6611533217752801</v>
      </c>
      <c r="K35" s="267"/>
      <c r="L35" s="181" t="str">
        <f>+Output!K35</f>
        <v>€/(kWh/dia)/ano</v>
      </c>
      <c r="M35" s="267"/>
      <c r="O35"/>
    </row>
    <row r="36" spans="3:21" ht="15" thickBot="1" x14ac:dyDescent="0.35">
      <c r="C36" s="275"/>
      <c r="D36" s="184"/>
      <c r="E36" s="185" t="str">
        <f>+Output!E36</f>
        <v>Tarifa flexível diária - capacidade diária (abril a setembro)</v>
      </c>
      <c r="F36" s="310"/>
      <c r="G36" s="346">
        <v>0.95895444741328606</v>
      </c>
      <c r="H36" s="312">
        <f>'Exit Tariff_2'!E230</f>
        <v>0.99669199306516787</v>
      </c>
      <c r="I36" s="312">
        <f>'Exit Tariff_2'!F230</f>
        <v>0.99669199306516787</v>
      </c>
      <c r="J36" s="312">
        <f>'Exit Tariff_2'!G230</f>
        <v>0.99669199306516787</v>
      </c>
      <c r="K36" s="311"/>
      <c r="L36" s="188" t="str">
        <f>+Output!K36</f>
        <v>€/(kWh/dia)/ano</v>
      </c>
      <c r="M36" s="267"/>
      <c r="O36"/>
    </row>
    <row r="37" spans="3:21" ht="15" thickBot="1" x14ac:dyDescent="0.35">
      <c r="C37" s="267"/>
      <c r="D37" s="267"/>
      <c r="E37" s="267"/>
      <c r="F37" s="267"/>
      <c r="G37" s="267"/>
      <c r="H37" s="267"/>
      <c r="I37" s="267"/>
      <c r="J37" s="267"/>
      <c r="K37" s="267"/>
      <c r="L37" s="267"/>
      <c r="M37" s="267"/>
    </row>
    <row r="38" spans="3:21" ht="15" thickBot="1" x14ac:dyDescent="0.35">
      <c r="C38" s="267"/>
      <c r="D38" s="267"/>
      <c r="E38" s="267"/>
      <c r="F38" s="267"/>
      <c r="G38" s="347" t="s">
        <v>824</v>
      </c>
      <c r="H38" s="267"/>
      <c r="I38" s="267"/>
      <c r="J38" s="267"/>
      <c r="K38" s="267"/>
      <c r="L38" s="267"/>
      <c r="M38" s="267"/>
      <c r="O38" s="267"/>
      <c r="P38" s="268" t="str">
        <f>+D4</f>
        <v>Ponto</v>
      </c>
      <c r="Q38" s="269" t="str">
        <f>+E4</f>
        <v>Produtos</v>
      </c>
      <c r="R38" s="267"/>
      <c r="S38" s="270" t="str">
        <f t="shared" ref="S38:T38" si="0">+H4</f>
        <v>2024-25</v>
      </c>
      <c r="T38" s="270" t="str">
        <f t="shared" si="0"/>
        <v>2025-26</v>
      </c>
      <c r="U38" s="270" t="str">
        <f>+J4</f>
        <v>2026-27</v>
      </c>
    </row>
    <row r="39" spans="3:21" ht="14.4" x14ac:dyDescent="0.3">
      <c r="C39" s="267"/>
      <c r="D39" s="267"/>
      <c r="E39" s="267"/>
      <c r="F39" s="267"/>
      <c r="G39" s="267"/>
      <c r="H39" s="267"/>
      <c r="I39" s="267"/>
      <c r="J39" s="267"/>
      <c r="K39" s="267"/>
      <c r="L39" s="267"/>
      <c r="M39" s="267"/>
      <c r="O39" s="272" t="str">
        <f>+C5</f>
        <v>Entrada</v>
      </c>
      <c r="P39" s="170" t="str">
        <f>+D5</f>
        <v>VIP Ibérico</v>
      </c>
      <c r="Q39" s="171" t="str">
        <f>+E5</f>
        <v>Anual</v>
      </c>
      <c r="R39" s="306"/>
      <c r="S39" s="315">
        <f t="shared" ref="S39:S70" si="1">IF(G5=0,"-",H5/G5-1)</f>
        <v>-0.61398610042057866</v>
      </c>
      <c r="T39" s="316">
        <f t="shared" ref="T39:T50" si="2">IF(H5=0,"-",I5/H5-1)</f>
        <v>0</v>
      </c>
      <c r="U39" s="317">
        <f t="shared" ref="U39:U50" si="3">IF(I5=0,"-",J5/I5-1)</f>
        <v>0</v>
      </c>
    </row>
    <row r="40" spans="3:21" ht="14.4" x14ac:dyDescent="0.3">
      <c r="C40" s="267"/>
      <c r="D40" s="267"/>
      <c r="E40" s="267"/>
      <c r="F40" s="267"/>
      <c r="G40" s="267"/>
      <c r="H40" s="267"/>
      <c r="I40" s="267"/>
      <c r="J40" s="267"/>
      <c r="K40" s="267"/>
      <c r="L40" s="267"/>
      <c r="M40" s="267"/>
      <c r="O40" s="273"/>
      <c r="P40" s="177"/>
      <c r="Q40" s="178" t="str">
        <f t="shared" ref="Q40:Q66" si="4">+E6</f>
        <v>Trimestral</v>
      </c>
      <c r="R40" s="267"/>
      <c r="S40" s="318">
        <f t="shared" si="1"/>
        <v>-0.64961815268944834</v>
      </c>
      <c r="T40" s="319">
        <f t="shared" si="2"/>
        <v>0</v>
      </c>
      <c r="U40" s="320">
        <f t="shared" si="3"/>
        <v>0</v>
      </c>
    </row>
    <row r="41" spans="3:21" ht="14.4" x14ac:dyDescent="0.3">
      <c r="C41" s="267"/>
      <c r="D41" s="267"/>
      <c r="E41" s="267"/>
      <c r="F41" s="267"/>
      <c r="G41" s="267"/>
      <c r="H41" s="267"/>
      <c r="I41" s="267"/>
      <c r="J41" s="267"/>
      <c r="K41" s="267"/>
      <c r="L41" s="267"/>
      <c r="M41" s="267"/>
      <c r="O41" s="273"/>
      <c r="P41" s="177"/>
      <c r="Q41" s="178" t="str">
        <f t="shared" si="4"/>
        <v>Mensal</v>
      </c>
      <c r="R41" s="310"/>
      <c r="S41" s="318">
        <f t="shared" si="1"/>
        <v>-0.65258749037852071</v>
      </c>
      <c r="T41" s="319">
        <f t="shared" si="2"/>
        <v>0</v>
      </c>
      <c r="U41" s="320">
        <f t="shared" si="3"/>
        <v>0</v>
      </c>
    </row>
    <row r="42" spans="3:21" ht="14.4" x14ac:dyDescent="0.3">
      <c r="C42" s="267"/>
      <c r="D42" s="267"/>
      <c r="E42" s="267"/>
      <c r="F42" s="267"/>
      <c r="G42" s="267"/>
      <c r="H42" s="267"/>
      <c r="I42" s="267"/>
      <c r="J42" s="267"/>
      <c r="K42" s="267"/>
      <c r="L42" s="267"/>
      <c r="M42" s="267"/>
      <c r="O42" s="273"/>
      <c r="P42" s="177"/>
      <c r="Q42" s="178" t="str">
        <f t="shared" si="4"/>
        <v>Diário</v>
      </c>
      <c r="R42" s="310"/>
      <c r="S42" s="318">
        <f t="shared" si="1"/>
        <v>-0.62556651740796121</v>
      </c>
      <c r="T42" s="319">
        <f t="shared" si="2"/>
        <v>0</v>
      </c>
      <c r="U42" s="320">
        <f t="shared" si="3"/>
        <v>0</v>
      </c>
    </row>
    <row r="43" spans="3:21" ht="15" thickBot="1" x14ac:dyDescent="0.35">
      <c r="C43" s="267"/>
      <c r="D43" s="267"/>
      <c r="E43" s="267"/>
      <c r="F43" s="267"/>
      <c r="G43" s="267"/>
      <c r="H43" s="267"/>
      <c r="I43" s="267"/>
      <c r="J43" s="267"/>
      <c r="K43" s="267"/>
      <c r="L43" s="267"/>
      <c r="M43" s="267"/>
      <c r="O43" s="273"/>
      <c r="P43" s="184"/>
      <c r="Q43" s="185" t="str">
        <f t="shared" si="4"/>
        <v>Intradiário</v>
      </c>
      <c r="R43" s="306"/>
      <c r="S43" s="321">
        <f t="shared" si="1"/>
        <v>-0.62626836086174209</v>
      </c>
      <c r="T43" s="322">
        <f t="shared" si="2"/>
        <v>0</v>
      </c>
      <c r="U43" s="323">
        <f t="shared" si="3"/>
        <v>0</v>
      </c>
    </row>
    <row r="44" spans="3:21" ht="14.4" x14ac:dyDescent="0.3">
      <c r="C44" s="267"/>
      <c r="D44" s="267"/>
      <c r="E44" s="267"/>
      <c r="F44" s="267"/>
      <c r="G44" s="267"/>
      <c r="H44" s="267"/>
      <c r="I44" s="267"/>
      <c r="J44" s="267"/>
      <c r="K44" s="267"/>
      <c r="L44" s="267"/>
      <c r="M44" s="267"/>
      <c r="O44" s="273"/>
      <c r="P44" s="170" t="str">
        <f>+D10</f>
        <v>Terminal de GNL</v>
      </c>
      <c r="Q44" s="171" t="str">
        <f t="shared" si="4"/>
        <v>Anual</v>
      </c>
      <c r="R44" s="267"/>
      <c r="S44" s="315">
        <f t="shared" si="1"/>
        <v>0.17661784809083225</v>
      </c>
      <c r="T44" s="316">
        <f t="shared" si="2"/>
        <v>0</v>
      </c>
      <c r="U44" s="317">
        <f t="shared" si="3"/>
        <v>0</v>
      </c>
    </row>
    <row r="45" spans="3:21" ht="14.4" x14ac:dyDescent="0.3">
      <c r="C45" s="267"/>
      <c r="D45" s="267"/>
      <c r="E45" s="267"/>
      <c r="F45" s="267"/>
      <c r="G45" s="267"/>
      <c r="H45" s="267"/>
      <c r="I45" s="267"/>
      <c r="J45" s="267"/>
      <c r="K45" s="267"/>
      <c r="L45" s="267"/>
      <c r="M45" s="267"/>
      <c r="O45" s="273"/>
      <c r="P45" s="177"/>
      <c r="Q45" s="178" t="str">
        <f t="shared" si="4"/>
        <v>Trimestral</v>
      </c>
      <c r="R45" s="310"/>
      <c r="S45" s="318">
        <f t="shared" si="1"/>
        <v>6.8006969805524564E-2</v>
      </c>
      <c r="T45" s="319">
        <f t="shared" si="2"/>
        <v>0</v>
      </c>
      <c r="U45" s="320">
        <f t="shared" si="3"/>
        <v>0</v>
      </c>
    </row>
    <row r="46" spans="3:21" ht="14.4" x14ac:dyDescent="0.3">
      <c r="C46" s="267"/>
      <c r="D46" s="267"/>
      <c r="E46" s="267"/>
      <c r="F46" s="267"/>
      <c r="G46" s="267"/>
      <c r="H46" s="267"/>
      <c r="I46" s="267"/>
      <c r="J46" s="267"/>
      <c r="K46" s="267"/>
      <c r="L46" s="267"/>
      <c r="M46" s="267"/>
      <c r="O46" s="273"/>
      <c r="P46" s="177"/>
      <c r="Q46" s="178" t="str">
        <f t="shared" si="4"/>
        <v>Mensal</v>
      </c>
      <c r="R46" s="310"/>
      <c r="S46" s="318">
        <f t="shared" si="1"/>
        <v>5.8956063281749183E-2</v>
      </c>
      <c r="T46" s="319">
        <f t="shared" si="2"/>
        <v>0</v>
      </c>
      <c r="U46" s="320">
        <f t="shared" si="3"/>
        <v>0</v>
      </c>
    </row>
    <row r="47" spans="3:21" ht="14.4" x14ac:dyDescent="0.3">
      <c r="C47" s="267"/>
      <c r="D47" s="267"/>
      <c r="E47" s="267"/>
      <c r="F47" s="267"/>
      <c r="G47" s="267"/>
      <c r="H47" s="267"/>
      <c r="I47" s="267"/>
      <c r="J47" s="267"/>
      <c r="K47" s="267"/>
      <c r="L47" s="267"/>
      <c r="M47" s="267"/>
      <c r="O47" s="273"/>
      <c r="P47" s="177"/>
      <c r="Q47" s="178" t="str">
        <f t="shared" si="4"/>
        <v>Diário</v>
      </c>
      <c r="R47" s="306"/>
      <c r="S47" s="318">
        <f t="shared" si="1"/>
        <v>0.14131931264810715</v>
      </c>
      <c r="T47" s="319">
        <f t="shared" si="2"/>
        <v>0</v>
      </c>
      <c r="U47" s="320">
        <f t="shared" si="3"/>
        <v>0</v>
      </c>
    </row>
    <row r="48" spans="3:21" ht="15" thickBot="1" x14ac:dyDescent="0.35">
      <c r="C48" s="267"/>
      <c r="D48" s="267"/>
      <c r="E48" s="267"/>
      <c r="F48" s="267"/>
      <c r="G48" s="267"/>
      <c r="H48" s="267"/>
      <c r="I48" s="267"/>
      <c r="J48" s="267"/>
      <c r="K48" s="267"/>
      <c r="L48" s="267"/>
      <c r="M48" s="267"/>
      <c r="O48" s="273"/>
      <c r="P48" s="184"/>
      <c r="Q48" s="185" t="str">
        <f t="shared" si="4"/>
        <v>Intradiário</v>
      </c>
      <c r="R48" s="267"/>
      <c r="S48" s="321">
        <f t="shared" si="1"/>
        <v>0.13918000746976023</v>
      </c>
      <c r="T48" s="322">
        <f t="shared" si="2"/>
        <v>0</v>
      </c>
      <c r="U48" s="323">
        <f t="shared" si="3"/>
        <v>0</v>
      </c>
    </row>
    <row r="49" spans="3:21" ht="14.4" x14ac:dyDescent="0.3">
      <c r="C49" s="267"/>
      <c r="D49" s="267"/>
      <c r="E49" s="267"/>
      <c r="F49" s="267"/>
      <c r="G49" s="267"/>
      <c r="H49" s="267"/>
      <c r="I49" s="267"/>
      <c r="J49" s="267"/>
      <c r="K49" s="267"/>
      <c r="L49" s="267"/>
      <c r="M49" s="267"/>
      <c r="O49" s="273"/>
      <c r="P49" s="170" t="str">
        <f>+D15</f>
        <v>Armazenamento Subterrâneo</v>
      </c>
      <c r="Q49" s="171" t="str">
        <f t="shared" si="4"/>
        <v>Diário</v>
      </c>
      <c r="R49" s="310"/>
      <c r="S49" s="315" t="str">
        <f t="shared" si="1"/>
        <v>-</v>
      </c>
      <c r="T49" s="316" t="str">
        <f t="shared" si="2"/>
        <v>-</v>
      </c>
      <c r="U49" s="317" t="str">
        <f t="shared" si="3"/>
        <v>-</v>
      </c>
    </row>
    <row r="50" spans="3:21" ht="15" thickBot="1" x14ac:dyDescent="0.35">
      <c r="C50" s="267"/>
      <c r="D50" s="267"/>
      <c r="E50" s="267"/>
      <c r="F50" s="267"/>
      <c r="G50" s="267"/>
      <c r="H50" s="267"/>
      <c r="I50" s="267"/>
      <c r="J50" s="267"/>
      <c r="K50" s="267"/>
      <c r="L50" s="267"/>
      <c r="M50" s="267"/>
      <c r="O50" s="274"/>
      <c r="P50" s="184"/>
      <c r="Q50" s="185" t="str">
        <f t="shared" si="4"/>
        <v>Intradiário</v>
      </c>
      <c r="R50" s="310"/>
      <c r="S50" s="321" t="str">
        <f t="shared" si="1"/>
        <v>-</v>
      </c>
      <c r="T50" s="322" t="str">
        <f t="shared" si="2"/>
        <v>-</v>
      </c>
      <c r="U50" s="323" t="str">
        <f t="shared" si="3"/>
        <v>-</v>
      </c>
    </row>
    <row r="51" spans="3:21" ht="15" thickBot="1" x14ac:dyDescent="0.35">
      <c r="C51" s="267"/>
      <c r="D51" s="267"/>
      <c r="E51" s="267"/>
      <c r="F51" s="267"/>
      <c r="G51" s="267"/>
      <c r="H51" s="267"/>
      <c r="I51" s="267"/>
      <c r="J51" s="267"/>
      <c r="K51" s="267"/>
      <c r="L51" s="267"/>
      <c r="M51" s="267"/>
      <c r="O51" s="275"/>
      <c r="P51" s="177" t="str">
        <f>+D17</f>
        <v>Produtores de gás</v>
      </c>
      <c r="Q51" s="193" t="str">
        <f t="shared" si="4"/>
        <v>Capacidade utilizada na injeção</v>
      </c>
      <c r="R51" s="310"/>
      <c r="S51" s="324">
        <f t="shared" ref="S51" si="5">IF(G17=0,"-",H17/G17-1)</f>
        <v>-0.71192093503066467</v>
      </c>
      <c r="T51" s="325">
        <f t="shared" ref="T51" si="6">IF(H17=0,"-",I17/H17-1)</f>
        <v>0</v>
      </c>
      <c r="U51" s="326">
        <f t="shared" ref="U51" si="7">IF(I17=0,"-",J17/I17-1)</f>
        <v>0</v>
      </c>
    </row>
    <row r="52" spans="3:21" ht="14.4" x14ac:dyDescent="0.3">
      <c r="C52" s="267"/>
      <c r="D52" s="267"/>
      <c r="E52" s="267"/>
      <c r="F52" s="267"/>
      <c r="G52" s="267"/>
      <c r="H52" s="267"/>
      <c r="I52" s="267"/>
      <c r="J52" s="267"/>
      <c r="K52" s="267"/>
      <c r="L52" s="267"/>
      <c r="M52" s="267"/>
      <c r="O52" s="272" t="str">
        <f>+C18</f>
        <v>Saída</v>
      </c>
      <c r="P52" s="170" t="str">
        <f>+D18</f>
        <v>VIP Ibérico</v>
      </c>
      <c r="Q52" s="171" t="str">
        <f t="shared" si="4"/>
        <v>Anual</v>
      </c>
      <c r="R52" s="306"/>
      <c r="S52" s="315">
        <f t="shared" si="1"/>
        <v>0.73355292922817639</v>
      </c>
      <c r="T52" s="316">
        <f t="shared" ref="T52:U70" si="8">IF(H18=0,"-",I18/H18-1)</f>
        <v>0</v>
      </c>
      <c r="U52" s="317">
        <f>IF(I18=0,"-",J18/I18-1)</f>
        <v>0</v>
      </c>
    </row>
    <row r="53" spans="3:21" ht="14.4" x14ac:dyDescent="0.3">
      <c r="C53" s="267"/>
      <c r="D53" s="267"/>
      <c r="E53" s="267"/>
      <c r="F53" s="267"/>
      <c r="G53" s="267"/>
      <c r="H53" s="267"/>
      <c r="I53" s="267"/>
      <c r="J53" s="267"/>
      <c r="K53" s="267"/>
      <c r="L53" s="267"/>
      <c r="M53" s="267"/>
      <c r="O53" s="274"/>
      <c r="P53" s="177"/>
      <c r="Q53" s="178" t="str">
        <f t="shared" si="4"/>
        <v>Trimestral</v>
      </c>
      <c r="R53" s="267"/>
      <c r="S53" s="318">
        <f t="shared" si="1"/>
        <v>0.57353265883788329</v>
      </c>
      <c r="T53" s="319">
        <f t="shared" si="8"/>
        <v>0</v>
      </c>
      <c r="U53" s="320">
        <f>IF(I19=0,"-",J19/I19-1)</f>
        <v>0</v>
      </c>
    </row>
    <row r="54" spans="3:21" ht="14.4" x14ac:dyDescent="0.3">
      <c r="C54" s="267"/>
      <c r="D54" s="267"/>
      <c r="E54" s="267"/>
      <c r="F54" s="267"/>
      <c r="G54" s="267"/>
      <c r="H54" s="267"/>
      <c r="I54" s="267"/>
      <c r="J54" s="267"/>
      <c r="K54" s="267"/>
      <c r="L54" s="267"/>
      <c r="M54" s="267"/>
      <c r="O54" s="274"/>
      <c r="P54" s="177"/>
      <c r="Q54" s="178" t="str">
        <f t="shared" si="4"/>
        <v>Mensal</v>
      </c>
      <c r="R54" s="310"/>
      <c r="S54" s="318">
        <f t="shared" si="1"/>
        <v>0.56019763630535913</v>
      </c>
      <c r="T54" s="319">
        <f t="shared" si="8"/>
        <v>0</v>
      </c>
      <c r="U54" s="320">
        <f>IF(I20=0,"-",J20/I20-1)</f>
        <v>0</v>
      </c>
    </row>
    <row r="55" spans="3:21" ht="14.4" x14ac:dyDescent="0.3">
      <c r="C55" s="267"/>
      <c r="D55" s="267"/>
      <c r="E55" s="267"/>
      <c r="F55" s="267"/>
      <c r="G55" s="267"/>
      <c r="H55" s="267"/>
      <c r="I55" s="267"/>
      <c r="J55" s="267"/>
      <c r="K55" s="267"/>
      <c r="L55" s="267"/>
      <c r="M55" s="267"/>
      <c r="O55" s="274"/>
      <c r="P55" s="177"/>
      <c r="Q55" s="178" t="str">
        <f t="shared" si="4"/>
        <v>Diário</v>
      </c>
      <c r="R55" s="310"/>
      <c r="S55" s="318">
        <f t="shared" si="1"/>
        <v>0.68154634135133119</v>
      </c>
      <c r="T55" s="319">
        <f t="shared" si="8"/>
        <v>0</v>
      </c>
      <c r="U55" s="320">
        <f t="shared" si="8"/>
        <v>0</v>
      </c>
    </row>
    <row r="56" spans="3:21" ht="15" thickBot="1" x14ac:dyDescent="0.35">
      <c r="C56" s="267"/>
      <c r="D56" s="267"/>
      <c r="E56" s="267"/>
      <c r="F56" s="267"/>
      <c r="G56" s="267"/>
      <c r="H56" s="267"/>
      <c r="I56" s="267"/>
      <c r="J56" s="267"/>
      <c r="K56" s="267"/>
      <c r="L56" s="267"/>
      <c r="M56" s="267"/>
      <c r="O56" s="274"/>
      <c r="P56" s="184"/>
      <c r="Q56" s="185" t="str">
        <f t="shared" si="4"/>
        <v>Intradiário</v>
      </c>
      <c r="R56" s="306"/>
      <c r="S56" s="321">
        <f t="shared" si="1"/>
        <v>0.67839442693456053</v>
      </c>
      <c r="T56" s="322">
        <f t="shared" si="8"/>
        <v>0</v>
      </c>
      <c r="U56" s="323">
        <f t="shared" si="8"/>
        <v>0</v>
      </c>
    </row>
    <row r="57" spans="3:21" ht="14.4" x14ac:dyDescent="0.3">
      <c r="C57" s="267"/>
      <c r="D57" s="267"/>
      <c r="E57" s="267"/>
      <c r="F57" s="267"/>
      <c r="G57" s="267"/>
      <c r="H57" s="267"/>
      <c r="I57" s="267"/>
      <c r="J57" s="267"/>
      <c r="K57" s="267"/>
      <c r="L57" s="267"/>
      <c r="M57" s="267"/>
      <c r="O57" s="274"/>
      <c r="P57" s="170" t="str">
        <f>+D23</f>
        <v>Terminal de GNL</v>
      </c>
      <c r="Q57" s="171" t="str">
        <f t="shared" si="4"/>
        <v>Anual</v>
      </c>
      <c r="R57" s="267"/>
      <c r="S57" s="315" t="str">
        <f t="shared" si="1"/>
        <v>-</v>
      </c>
      <c r="T57" s="316" t="str">
        <f t="shared" si="8"/>
        <v>-</v>
      </c>
      <c r="U57" s="317" t="str">
        <f t="shared" si="8"/>
        <v>-</v>
      </c>
    </row>
    <row r="58" spans="3:21" ht="14.4" x14ac:dyDescent="0.3">
      <c r="C58" s="267"/>
      <c r="D58" s="267"/>
      <c r="E58" s="267"/>
      <c r="F58" s="267"/>
      <c r="G58" s="267"/>
      <c r="H58" s="267"/>
      <c r="I58" s="267"/>
      <c r="J58" s="267"/>
      <c r="K58" s="267"/>
      <c r="L58" s="267"/>
      <c r="M58" s="267"/>
      <c r="O58" s="274"/>
      <c r="P58" s="177"/>
      <c r="Q58" s="178" t="str">
        <f t="shared" si="4"/>
        <v>Trimestral</v>
      </c>
      <c r="R58" s="310"/>
      <c r="S58" s="318" t="str">
        <f t="shared" si="1"/>
        <v>-</v>
      </c>
      <c r="T58" s="319" t="str">
        <f t="shared" si="8"/>
        <v>-</v>
      </c>
      <c r="U58" s="320" t="str">
        <f t="shared" si="8"/>
        <v>-</v>
      </c>
    </row>
    <row r="59" spans="3:21" ht="14.4" x14ac:dyDescent="0.3">
      <c r="C59" s="267"/>
      <c r="D59" s="267"/>
      <c r="E59" s="267"/>
      <c r="F59" s="267"/>
      <c r="G59" s="267"/>
      <c r="H59" s="267"/>
      <c r="I59" s="267"/>
      <c r="J59" s="267"/>
      <c r="K59" s="267"/>
      <c r="L59" s="267"/>
      <c r="M59" s="267"/>
      <c r="O59" s="274"/>
      <c r="P59" s="177"/>
      <c r="Q59" s="178" t="str">
        <f t="shared" si="4"/>
        <v>Mensal</v>
      </c>
      <c r="R59" s="310"/>
      <c r="S59" s="318" t="str">
        <f t="shared" si="1"/>
        <v>-</v>
      </c>
      <c r="T59" s="319" t="str">
        <f t="shared" si="8"/>
        <v>-</v>
      </c>
      <c r="U59" s="320" t="str">
        <f t="shared" si="8"/>
        <v>-</v>
      </c>
    </row>
    <row r="60" spans="3:21" ht="14.4" x14ac:dyDescent="0.3">
      <c r="C60" s="267"/>
      <c r="D60" s="267"/>
      <c r="E60" s="267"/>
      <c r="F60" s="267"/>
      <c r="G60" s="267"/>
      <c r="H60" s="267"/>
      <c r="I60" s="267"/>
      <c r="J60" s="267"/>
      <c r="K60" s="267"/>
      <c r="L60" s="267"/>
      <c r="M60" s="267"/>
      <c r="O60" s="274"/>
      <c r="P60" s="177"/>
      <c r="Q60" s="178" t="str">
        <f t="shared" si="4"/>
        <v>Diário</v>
      </c>
      <c r="R60" s="306"/>
      <c r="S60" s="318" t="str">
        <f t="shared" si="1"/>
        <v>-</v>
      </c>
      <c r="T60" s="319" t="str">
        <f t="shared" si="8"/>
        <v>-</v>
      </c>
      <c r="U60" s="320" t="str">
        <f t="shared" si="8"/>
        <v>-</v>
      </c>
    </row>
    <row r="61" spans="3:21" ht="15" thickBot="1" x14ac:dyDescent="0.35">
      <c r="C61" s="267"/>
      <c r="D61" s="267"/>
      <c r="E61" s="267"/>
      <c r="F61" s="267"/>
      <c r="G61" s="267"/>
      <c r="H61" s="267"/>
      <c r="I61" s="267"/>
      <c r="J61" s="267"/>
      <c r="K61" s="267"/>
      <c r="L61" s="267"/>
      <c r="M61" s="267"/>
      <c r="O61" s="274"/>
      <c r="P61" s="184"/>
      <c r="Q61" s="185" t="str">
        <f t="shared" si="4"/>
        <v>Intradiário</v>
      </c>
      <c r="R61" s="267"/>
      <c r="S61" s="321" t="str">
        <f t="shared" si="1"/>
        <v>-</v>
      </c>
      <c r="T61" s="322" t="str">
        <f t="shared" si="8"/>
        <v>-</v>
      </c>
      <c r="U61" s="323" t="str">
        <f t="shared" si="8"/>
        <v>-</v>
      </c>
    </row>
    <row r="62" spans="3:21" ht="14.4" x14ac:dyDescent="0.3">
      <c r="C62" s="267"/>
      <c r="D62" s="267"/>
      <c r="E62" s="267"/>
      <c r="F62" s="267"/>
      <c r="G62" s="267"/>
      <c r="H62" s="267"/>
      <c r="I62" s="267"/>
      <c r="J62" s="267"/>
      <c r="K62" s="267"/>
      <c r="L62" s="267"/>
      <c r="M62" s="267"/>
      <c r="O62" s="274"/>
      <c r="P62" s="170" t="str">
        <f>+D28</f>
        <v>Armazenamento Subterrâneo</v>
      </c>
      <c r="Q62" s="171" t="str">
        <f t="shared" si="4"/>
        <v>Diário</v>
      </c>
      <c r="R62" s="310"/>
      <c r="S62" s="315" t="str">
        <f t="shared" si="1"/>
        <v>-</v>
      </c>
      <c r="T62" s="316" t="str">
        <f t="shared" si="8"/>
        <v>-</v>
      </c>
      <c r="U62" s="317" t="str">
        <f t="shared" si="8"/>
        <v>-</v>
      </c>
    </row>
    <row r="63" spans="3:21" ht="15" thickBot="1" x14ac:dyDescent="0.35">
      <c r="C63" s="267"/>
      <c r="D63" s="267"/>
      <c r="E63" s="267"/>
      <c r="F63" s="267"/>
      <c r="G63" s="267"/>
      <c r="H63" s="267"/>
      <c r="I63" s="267"/>
      <c r="J63" s="267"/>
      <c r="K63" s="267"/>
      <c r="L63" s="267"/>
      <c r="M63" s="267"/>
      <c r="O63" s="274"/>
      <c r="P63" s="184"/>
      <c r="Q63" s="185" t="str">
        <f t="shared" si="4"/>
        <v>Intradiário</v>
      </c>
      <c r="R63" s="310"/>
      <c r="S63" s="321" t="str">
        <f t="shared" si="1"/>
        <v>-</v>
      </c>
      <c r="T63" s="322" t="str">
        <f t="shared" si="8"/>
        <v>-</v>
      </c>
      <c r="U63" s="323" t="str">
        <f t="shared" si="8"/>
        <v>-</v>
      </c>
    </row>
    <row r="64" spans="3:21" ht="15" thickBot="1" x14ac:dyDescent="0.35">
      <c r="C64" s="267"/>
      <c r="D64" s="267"/>
      <c r="E64" s="267"/>
      <c r="F64" s="267"/>
      <c r="G64" s="267"/>
      <c r="H64" s="267"/>
      <c r="I64" s="267"/>
      <c r="J64" s="267"/>
      <c r="K64" s="267"/>
      <c r="L64" s="267"/>
      <c r="M64" s="267"/>
      <c r="O64" s="274"/>
      <c r="P64" s="197" t="str">
        <f>+D30</f>
        <v>Redes de distribuição e clientes em AP</v>
      </c>
      <c r="Q64" s="198" t="str">
        <f t="shared" si="4"/>
        <v>Longas utilizações</v>
      </c>
      <c r="R64" s="306"/>
      <c r="S64" s="324">
        <f t="shared" si="1"/>
        <v>3.9352803205278786E-2</v>
      </c>
      <c r="T64" s="325">
        <f t="shared" si="8"/>
        <v>0</v>
      </c>
      <c r="U64" s="326">
        <f t="shared" si="8"/>
        <v>0</v>
      </c>
    </row>
    <row r="65" spans="3:21" ht="14.4" x14ac:dyDescent="0.3">
      <c r="C65" s="267"/>
      <c r="D65" s="267"/>
      <c r="E65" s="267"/>
      <c r="F65" s="267"/>
      <c r="G65" s="267"/>
      <c r="H65" s="267"/>
      <c r="I65" s="267"/>
      <c r="J65" s="267"/>
      <c r="K65" s="267"/>
      <c r="L65" s="267"/>
      <c r="M65" s="267"/>
      <c r="O65" s="274"/>
      <c r="P65" s="170" t="str">
        <f>+D31</f>
        <v>Clientes em AP</v>
      </c>
      <c r="Q65" s="171" t="str">
        <f t="shared" si="4"/>
        <v>Tarifa flexível anual - capacidade base anual</v>
      </c>
      <c r="R65" s="267"/>
      <c r="S65" s="315">
        <f t="shared" si="1"/>
        <v>3.9352803205278786E-2</v>
      </c>
      <c r="T65" s="316">
        <f t="shared" si="8"/>
        <v>0</v>
      </c>
      <c r="U65" s="317">
        <f t="shared" si="8"/>
        <v>0</v>
      </c>
    </row>
    <row r="66" spans="3:21" ht="14.4" x14ac:dyDescent="0.3">
      <c r="C66" s="267"/>
      <c r="D66" s="267"/>
      <c r="E66" s="267"/>
      <c r="F66" s="267"/>
      <c r="G66" s="267"/>
      <c r="H66" s="267"/>
      <c r="I66" s="267"/>
      <c r="J66" s="267"/>
      <c r="K66" s="267"/>
      <c r="L66" s="267"/>
      <c r="M66" s="267"/>
      <c r="O66" s="274"/>
      <c r="P66" s="177"/>
      <c r="Q66" s="178" t="str">
        <f t="shared" si="4"/>
        <v>Tarifa flexível anual - capacidade mensal adicional (abril a setembro)</v>
      </c>
      <c r="R66" s="310"/>
      <c r="S66" s="318">
        <f t="shared" si="1"/>
        <v>3.9352803205278786E-2</v>
      </c>
      <c r="T66" s="319">
        <f t="shared" si="8"/>
        <v>0</v>
      </c>
      <c r="U66" s="320">
        <f t="shared" si="8"/>
        <v>0</v>
      </c>
    </row>
    <row r="67" spans="3:21" ht="14.4" x14ac:dyDescent="0.3">
      <c r="C67" s="267"/>
      <c r="D67" s="267"/>
      <c r="E67" s="267"/>
      <c r="F67" s="267"/>
      <c r="G67" s="267"/>
      <c r="H67" s="267"/>
      <c r="I67" s="267"/>
      <c r="J67" s="267"/>
      <c r="K67" s="267"/>
      <c r="L67" s="267"/>
      <c r="M67" s="267"/>
      <c r="O67" s="274"/>
      <c r="P67" s="177"/>
      <c r="Q67" s="178" t="str">
        <f t="shared" ref="Q67:Q70" si="9">+E33</f>
        <v>Tarifa flexível mensal - capacidade mensal (outubro a março)</v>
      </c>
      <c r="R67" s="310"/>
      <c r="S67" s="318">
        <f t="shared" si="1"/>
        <v>3.9352803205278786E-2</v>
      </c>
      <c r="T67" s="319">
        <f t="shared" si="8"/>
        <v>0</v>
      </c>
      <c r="U67" s="320">
        <f t="shared" si="8"/>
        <v>0</v>
      </c>
    </row>
    <row r="68" spans="3:21" ht="14.4" x14ac:dyDescent="0.3">
      <c r="C68" s="267"/>
      <c r="D68" s="267"/>
      <c r="E68" s="267"/>
      <c r="F68" s="267"/>
      <c r="G68" s="267"/>
      <c r="H68" s="267"/>
      <c r="I68" s="267"/>
      <c r="J68" s="267"/>
      <c r="K68" s="267"/>
      <c r="L68" s="267"/>
      <c r="M68" s="267"/>
      <c r="O68" s="274"/>
      <c r="P68" s="177"/>
      <c r="Q68" s="178" t="str">
        <f t="shared" si="9"/>
        <v>Tarifa flexível mensal - capacidade mensal (abril a setembro)</v>
      </c>
      <c r="R68" s="306"/>
      <c r="S68" s="318">
        <f t="shared" si="1"/>
        <v>3.9352803205278786E-2</v>
      </c>
      <c r="T68" s="319">
        <f t="shared" si="8"/>
        <v>0</v>
      </c>
      <c r="U68" s="320">
        <f t="shared" si="8"/>
        <v>0</v>
      </c>
    </row>
    <row r="69" spans="3:21" ht="14.4" x14ac:dyDescent="0.3">
      <c r="C69" s="267"/>
      <c r="D69" s="267"/>
      <c r="E69" s="267"/>
      <c r="F69" s="267"/>
      <c r="G69" s="267"/>
      <c r="H69" s="267"/>
      <c r="I69" s="267"/>
      <c r="J69" s="267"/>
      <c r="K69" s="267"/>
      <c r="L69" s="267"/>
      <c r="M69" s="267"/>
      <c r="O69" s="274"/>
      <c r="P69" s="177"/>
      <c r="Q69" s="178" t="str">
        <f t="shared" si="9"/>
        <v>Tarifa flexível diária - capacidade diária (outubro a março)</v>
      </c>
      <c r="R69" s="267"/>
      <c r="S69" s="318">
        <f t="shared" si="1"/>
        <v>3.9352803205278564E-2</v>
      </c>
      <c r="T69" s="319">
        <f t="shared" si="8"/>
        <v>0</v>
      </c>
      <c r="U69" s="320">
        <f t="shared" si="8"/>
        <v>0</v>
      </c>
    </row>
    <row r="70" spans="3:21" ht="15" thickBot="1" x14ac:dyDescent="0.35">
      <c r="C70" s="267"/>
      <c r="D70" s="267"/>
      <c r="E70" s="267"/>
      <c r="F70" s="267"/>
      <c r="G70" s="267"/>
      <c r="H70" s="267"/>
      <c r="I70" s="267"/>
      <c r="J70" s="267"/>
      <c r="K70" s="267"/>
      <c r="L70" s="267"/>
      <c r="M70" s="267"/>
      <c r="O70" s="275"/>
      <c r="P70" s="184"/>
      <c r="Q70" s="185" t="str">
        <f t="shared" si="9"/>
        <v>Tarifa flexível diária - capacidade diária (abril a setembro)</v>
      </c>
      <c r="R70" s="310"/>
      <c r="S70" s="321">
        <f t="shared" si="1"/>
        <v>3.9352803205278786E-2</v>
      </c>
      <c r="T70" s="322">
        <f t="shared" si="8"/>
        <v>0</v>
      </c>
      <c r="U70" s="323">
        <f t="shared" si="8"/>
        <v>0</v>
      </c>
    </row>
    <row r="71" spans="3:21" ht="14.4" x14ac:dyDescent="0.3">
      <c r="C71" s="267"/>
      <c r="D71" s="267"/>
      <c r="E71" s="267"/>
      <c r="F71" s="267"/>
      <c r="G71" s="267"/>
      <c r="H71" s="267"/>
      <c r="I71" s="267"/>
      <c r="J71" s="267"/>
      <c r="K71" s="267"/>
      <c r="L71" s="267"/>
      <c r="M71" s="267"/>
    </row>
    <row r="72" spans="3:21" ht="14.4" x14ac:dyDescent="0.3">
      <c r="C72" s="267"/>
      <c r="D72" s="267"/>
      <c r="E72" s="267"/>
      <c r="F72" s="267"/>
      <c r="G72" s="267"/>
      <c r="H72" s="267"/>
      <c r="I72" s="267"/>
      <c r="J72" s="267"/>
      <c r="K72" s="267"/>
      <c r="L72" s="267"/>
      <c r="M72" s="267"/>
    </row>
    <row r="73" spans="3:21" ht="14.4" x14ac:dyDescent="0.3">
      <c r="C73" s="267"/>
      <c r="D73" s="267"/>
      <c r="E73" s="267"/>
      <c r="F73" s="267"/>
      <c r="G73" s="267"/>
      <c r="H73" s="267"/>
      <c r="I73" s="267"/>
      <c r="J73" s="267"/>
      <c r="K73" s="267"/>
      <c r="L73" s="267"/>
      <c r="M73" s="267"/>
    </row>
    <row r="74" spans="3:21" ht="14.4" x14ac:dyDescent="0.3">
      <c r="C74" s="267"/>
      <c r="D74" s="267"/>
      <c r="E74" s="267"/>
      <c r="F74" s="267"/>
      <c r="G74" s="267"/>
      <c r="H74" s="267"/>
      <c r="I74" s="267"/>
      <c r="J74" s="267"/>
      <c r="K74" s="267"/>
      <c r="L74" s="267"/>
      <c r="M74" s="267"/>
    </row>
    <row r="75" spans="3:21" ht="14.4" x14ac:dyDescent="0.3">
      <c r="C75" s="267"/>
      <c r="D75" s="267"/>
      <c r="E75" s="267"/>
      <c r="F75" s="267"/>
      <c r="G75" s="267"/>
      <c r="H75" s="267"/>
      <c r="I75" s="267"/>
      <c r="J75" s="267"/>
      <c r="K75" s="267"/>
      <c r="L75" s="267"/>
      <c r="M75" s="267"/>
    </row>
    <row r="76" spans="3:21" ht="14.4" x14ac:dyDescent="0.3">
      <c r="C76" s="267"/>
      <c r="D76" s="267"/>
      <c r="E76" s="267"/>
      <c r="F76" s="267"/>
      <c r="G76" s="267"/>
      <c r="H76" s="267"/>
      <c r="I76" s="267"/>
      <c r="J76" s="267"/>
      <c r="K76" s="267"/>
      <c r="L76" s="267"/>
      <c r="M76" s="267"/>
    </row>
    <row r="77" spans="3:21" ht="14.4" x14ac:dyDescent="0.3">
      <c r="C77" s="267"/>
      <c r="D77" s="267"/>
      <c r="E77" s="267"/>
      <c r="F77" s="267"/>
      <c r="G77" s="267"/>
      <c r="H77" s="267"/>
      <c r="I77" s="267"/>
      <c r="J77" s="267"/>
      <c r="K77" s="267"/>
      <c r="L77" s="267"/>
      <c r="M77" s="267"/>
    </row>
    <row r="78" spans="3:21" ht="14.4" x14ac:dyDescent="0.3">
      <c r="C78" s="267"/>
      <c r="D78" s="267"/>
      <c r="E78" s="267"/>
      <c r="F78" s="267"/>
      <c r="G78" s="267"/>
      <c r="H78" s="267"/>
      <c r="I78" s="267"/>
      <c r="J78" s="267"/>
      <c r="K78" s="267"/>
      <c r="L78" s="267"/>
      <c r="M78" s="267"/>
    </row>
    <row r="79" spans="3:21" ht="14.4" x14ac:dyDescent="0.3">
      <c r="C79" s="267"/>
      <c r="D79" s="267"/>
      <c r="E79" s="267"/>
      <c r="F79" s="267"/>
      <c r="G79" s="267"/>
      <c r="H79" s="267"/>
      <c r="I79" s="267"/>
      <c r="J79" s="267"/>
      <c r="K79" s="267"/>
      <c r="L79" s="267"/>
      <c r="M79" s="267"/>
    </row>
    <row r="80" spans="3:21" ht="14.4" x14ac:dyDescent="0.3">
      <c r="C80" s="267"/>
      <c r="D80" s="267"/>
      <c r="E80" s="267"/>
      <c r="F80" s="267"/>
      <c r="G80" s="267"/>
      <c r="H80" s="267"/>
      <c r="I80" s="267"/>
      <c r="J80" s="267"/>
      <c r="K80" s="267"/>
      <c r="L80" s="267"/>
      <c r="M80" s="267"/>
    </row>
    <row r="81" spans="3:13" ht="14.4" x14ac:dyDescent="0.3">
      <c r="C81" s="267"/>
      <c r="D81" s="267"/>
      <c r="E81" s="267"/>
      <c r="F81" s="267"/>
      <c r="G81" s="267"/>
      <c r="H81" s="267"/>
      <c r="I81" s="267"/>
      <c r="J81" s="267"/>
      <c r="K81" s="267"/>
      <c r="L81" s="267"/>
      <c r="M81" s="267"/>
    </row>
    <row r="82" spans="3:13" ht="14.4" x14ac:dyDescent="0.3">
      <c r="C82" s="267"/>
      <c r="D82" s="267"/>
      <c r="E82" s="267"/>
      <c r="F82" s="267"/>
      <c r="G82" s="267"/>
      <c r="H82" s="267"/>
      <c r="I82" s="267"/>
      <c r="J82" s="267"/>
      <c r="K82" s="267"/>
      <c r="L82" s="267"/>
      <c r="M82" s="267"/>
    </row>
    <row r="83" spans="3:13" ht="14.4" x14ac:dyDescent="0.3">
      <c r="C83" s="267"/>
      <c r="D83" s="267"/>
      <c r="E83" s="267"/>
      <c r="F83" s="267"/>
      <c r="G83" s="267"/>
      <c r="H83" s="267"/>
      <c r="I83" s="267"/>
      <c r="J83" s="267"/>
      <c r="K83" s="267"/>
      <c r="L83" s="267"/>
      <c r="M83" s="267"/>
    </row>
    <row r="84" spans="3:13" ht="0" hidden="1" customHeight="1" x14ac:dyDescent="0.3">
      <c r="E84" s="267"/>
    </row>
  </sheetData>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03"/>
  <sheetViews>
    <sheetView showGridLines="0" topLeftCell="A28" workbookViewId="0">
      <selection activeCell="E17" sqref="E17"/>
    </sheetView>
  </sheetViews>
  <sheetFormatPr defaultColWidth="0" defaultRowHeight="14.4" x14ac:dyDescent="0.3"/>
  <cols>
    <col min="1" max="1" width="16.109375" style="1" customWidth="1"/>
    <col min="2" max="2" width="50.5546875" style="1" customWidth="1"/>
    <col min="3" max="3" width="9.109375" style="1" customWidth="1"/>
    <col min="4" max="5" width="50.5546875" style="1" customWidth="1"/>
    <col min="6" max="6" width="9.109375" style="1" customWidth="1"/>
    <col min="7" max="16384" width="9.109375" style="1" hidden="1"/>
  </cols>
  <sheetData>
    <row r="1" spans="1:6" x14ac:dyDescent="0.3">
      <c r="B1" s="221" t="s">
        <v>672</v>
      </c>
      <c r="D1" s="221"/>
      <c r="E1" s="221"/>
    </row>
    <row r="2" spans="1:6" ht="15" thickBot="1" x14ac:dyDescent="0.35">
      <c r="A2" s="89"/>
      <c r="B2" s="222" t="str">
        <f>+Information!R3</f>
        <v>Português</v>
      </c>
      <c r="C2" s="89"/>
      <c r="D2" s="223" t="s">
        <v>673</v>
      </c>
      <c r="E2" s="223" t="s">
        <v>667</v>
      </c>
      <c r="F2" s="89"/>
    </row>
    <row r="3" spans="1:6" x14ac:dyDescent="0.3">
      <c r="A3" s="224" t="s">
        <v>674</v>
      </c>
      <c r="B3" s="225" t="str">
        <f>IF($B$2=$D$2,D3,E3)</f>
        <v>Tarifas de transporte para o gás natural</v>
      </c>
      <c r="C3" s="226"/>
      <c r="D3" s="227" t="s">
        <v>675</v>
      </c>
      <c r="E3" s="227" t="s">
        <v>676</v>
      </c>
    </row>
    <row r="4" spans="1:6" x14ac:dyDescent="0.3">
      <c r="B4" s="228" t="str">
        <f t="shared" ref="B4:B67" si="0">IF($B$2=$D$2,D4,E4)</f>
        <v>Modelo tarifário simplificado</v>
      </c>
      <c r="D4" s="229" t="s">
        <v>677</v>
      </c>
      <c r="E4" s="229" t="s">
        <v>678</v>
      </c>
    </row>
    <row r="5" spans="1:6" ht="43.2" x14ac:dyDescent="0.3">
      <c r="B5" s="230" t="str">
        <f t="shared" si="0"/>
        <v>Este modelo tarifário simplificado apresenta as tarifas de transporte de gás natural desde o ano gás de 2024-2025 até ao ano gás 2026-2027.</v>
      </c>
      <c r="D5" s="229" t="s">
        <v>825</v>
      </c>
      <c r="E5" s="229" t="s">
        <v>826</v>
      </c>
    </row>
    <row r="6" spans="1:6" ht="28.8" x14ac:dyDescent="0.3">
      <c r="B6" s="230" t="str">
        <f t="shared" si="0"/>
        <v>Todos os dados calculados são apenas para fins informativos.</v>
      </c>
      <c r="D6" s="229" t="s">
        <v>679</v>
      </c>
      <c r="E6" s="229" t="s">
        <v>680</v>
      </c>
    </row>
    <row r="7" spans="1:6" ht="28.8" x14ac:dyDescent="0.3">
      <c r="B7" s="230" t="str">
        <f t="shared" si="0"/>
        <v>Os preços calculados não incluem o imposto sobre o valor acrescentado (IVA).</v>
      </c>
      <c r="D7" s="229" t="s">
        <v>681</v>
      </c>
      <c r="E7" s="229" t="s">
        <v>682</v>
      </c>
    </row>
    <row r="8" spans="1:6" x14ac:dyDescent="0.3">
      <c r="B8" s="230" t="str">
        <f t="shared" si="0"/>
        <v>Descrição do modelo tarifário simplificado</v>
      </c>
      <c r="D8" s="229" t="s">
        <v>683</v>
      </c>
      <c r="E8" s="229" t="s">
        <v>684</v>
      </c>
    </row>
    <row r="9" spans="1:6" ht="28.8" x14ac:dyDescent="0.3">
      <c r="B9" s="230" t="str">
        <f t="shared" si="0"/>
        <v>Este modelo inclui duas folhas de cálculo adicionais, com as seguintes finalidades:</v>
      </c>
      <c r="D9" s="229" t="s">
        <v>685</v>
      </c>
      <c r="E9" s="229" t="s">
        <v>686</v>
      </c>
    </row>
    <row r="10" spans="1:6" x14ac:dyDescent="0.3">
      <c r="B10" s="230" t="str">
        <f t="shared" si="0"/>
        <v xml:space="preserve">Input - </v>
      </c>
      <c r="D10" s="229" t="s">
        <v>687</v>
      </c>
      <c r="E10" s="229" t="s">
        <v>687</v>
      </c>
    </row>
    <row r="11" spans="1:6" x14ac:dyDescent="0.3">
      <c r="B11" s="230" t="str">
        <f t="shared" si="0"/>
        <v xml:space="preserve">Output - </v>
      </c>
      <c r="D11" s="229" t="s">
        <v>688</v>
      </c>
      <c r="E11" s="229" t="s">
        <v>688</v>
      </c>
    </row>
    <row r="12" spans="1:6" ht="43.2" x14ac:dyDescent="0.3">
      <c r="B12" s="230" t="str">
        <f t="shared" si="0"/>
        <v>Esta folha inclui os proveitos permitidos do operador da rede de transporte e os valores para a capacidade prevista.</v>
      </c>
      <c r="D12" s="229" t="s">
        <v>689</v>
      </c>
      <c r="E12" s="229" t="s">
        <v>690</v>
      </c>
    </row>
    <row r="13" spans="1:6" ht="43.2" x14ac:dyDescent="0.3">
      <c r="B13" s="230" t="str">
        <f t="shared" si="0"/>
        <v>Esta folha calcula as tarifas de transporte aplicáveis para o uso da rede de transporte com base nos valores da folha 'Input'.</v>
      </c>
      <c r="D13" s="229" t="s">
        <v>691</v>
      </c>
      <c r="E13" s="229" t="s">
        <v>692</v>
      </c>
    </row>
    <row r="14" spans="1:6" ht="28.8" x14ac:dyDescent="0.3">
      <c r="B14" s="230" t="str">
        <f t="shared" si="0"/>
        <v>Os valores que podem ser alterados pelo utilizador são as células amarelas incluídas na folha 'Input'.</v>
      </c>
      <c r="D14" s="229" t="s">
        <v>693</v>
      </c>
      <c r="E14" s="229" t="s">
        <v>694</v>
      </c>
    </row>
    <row r="15" spans="1:6" x14ac:dyDescent="0.3">
      <c r="B15" s="230" t="str">
        <f t="shared" si="0"/>
        <v>Legenda de cores</v>
      </c>
      <c r="D15" s="231" t="s">
        <v>695</v>
      </c>
      <c r="E15" s="231" t="s">
        <v>696</v>
      </c>
    </row>
    <row r="16" spans="1:6" ht="43.2" x14ac:dyDescent="0.3">
      <c r="B16" s="230" t="str">
        <f t="shared" si="0"/>
        <v>Células amarelas na folha 'Input' é informação utilizada na aprovação das tarifas para o ano gás 2024-2025.</v>
      </c>
      <c r="D16" s="231" t="s">
        <v>827</v>
      </c>
      <c r="E16" s="231" t="s">
        <v>828</v>
      </c>
    </row>
    <row r="17" spans="1:6" ht="43.2" x14ac:dyDescent="0.3">
      <c r="B17" s="230" t="str">
        <f t="shared" si="0"/>
        <v>Esta informação pode ser alterada pelo utilizador para simular qual teria sido o efeito nas tarifas de transporte se a procura ou os proveitos tivessem sido diferentes.</v>
      </c>
      <c r="D17" s="231" t="s">
        <v>697</v>
      </c>
      <c r="E17" s="231" t="s">
        <v>698</v>
      </c>
    </row>
    <row r="18" spans="1:6" ht="43.2" x14ac:dyDescent="0.3">
      <c r="B18" s="230" t="str">
        <f t="shared" si="0"/>
        <v>Células verdes na folha 'Output' são valores estimados com base nos valores introduzidos nas células amarelas na folha 'Input'.</v>
      </c>
      <c r="D18" s="231" t="s">
        <v>699</v>
      </c>
      <c r="E18" s="231" t="s">
        <v>700</v>
      </c>
    </row>
    <row r="19" spans="1:6" ht="15" thickBot="1" x14ac:dyDescent="0.35">
      <c r="A19" s="89"/>
      <c r="B19" s="232" t="str">
        <f t="shared" si="0"/>
        <v>Última atualização:</v>
      </c>
      <c r="C19" s="89"/>
      <c r="D19" s="233" t="s">
        <v>701</v>
      </c>
      <c r="E19" s="233" t="s">
        <v>702</v>
      </c>
      <c r="F19" s="89"/>
    </row>
    <row r="20" spans="1:6" x14ac:dyDescent="0.3">
      <c r="A20" s="77" t="s">
        <v>518</v>
      </c>
      <c r="B20" s="228" t="str">
        <f t="shared" si="0"/>
        <v>Proveitos permitidos</v>
      </c>
      <c r="D20" s="227" t="s">
        <v>36</v>
      </c>
      <c r="E20" s="227" t="s">
        <v>703</v>
      </c>
    </row>
    <row r="21" spans="1:6" x14ac:dyDescent="0.3">
      <c r="B21" s="230" t="str">
        <f t="shared" si="0"/>
        <v>Proveitos permitidos do operador da rede de transporte</v>
      </c>
      <c r="D21" s="229" t="s">
        <v>31</v>
      </c>
      <c r="E21" s="229" t="s">
        <v>704</v>
      </c>
    </row>
    <row r="22" spans="1:6" x14ac:dyDescent="0.3">
      <c r="B22" s="230" t="str">
        <f t="shared" si="0"/>
        <v>Capacidade prevista</v>
      </c>
      <c r="D22" s="229" t="s">
        <v>705</v>
      </c>
      <c r="E22" s="229" t="s">
        <v>706</v>
      </c>
    </row>
    <row r="23" spans="1:6" x14ac:dyDescent="0.3">
      <c r="B23" s="230" t="str">
        <f t="shared" si="0"/>
        <v>Ponto</v>
      </c>
      <c r="D23" s="229" t="s">
        <v>266</v>
      </c>
      <c r="E23" s="229" t="s">
        <v>707</v>
      </c>
    </row>
    <row r="24" spans="1:6" x14ac:dyDescent="0.3">
      <c r="B24" s="230" t="str">
        <f t="shared" si="0"/>
        <v>Produtos</v>
      </c>
      <c r="D24" s="229" t="s">
        <v>6</v>
      </c>
      <c r="E24" s="229" t="s">
        <v>708</v>
      </c>
    </row>
    <row r="25" spans="1:6" x14ac:dyDescent="0.3">
      <c r="B25" s="230" t="str">
        <f t="shared" si="0"/>
        <v>Entrada</v>
      </c>
      <c r="D25" s="229" t="s">
        <v>7</v>
      </c>
      <c r="E25" s="229" t="s">
        <v>709</v>
      </c>
    </row>
    <row r="26" spans="1:6" x14ac:dyDescent="0.3">
      <c r="B26" s="230" t="str">
        <f t="shared" si="0"/>
        <v>Saída</v>
      </c>
      <c r="D26" s="229" t="s">
        <v>16</v>
      </c>
      <c r="E26" s="229" t="s">
        <v>710</v>
      </c>
    </row>
    <row r="27" spans="1:6" x14ac:dyDescent="0.3">
      <c r="B27" s="230" t="str">
        <f t="shared" si="0"/>
        <v>VIP Ibérico</v>
      </c>
      <c r="D27" s="229" t="s">
        <v>225</v>
      </c>
      <c r="E27" s="229" t="s">
        <v>711</v>
      </c>
    </row>
    <row r="28" spans="1:6" x14ac:dyDescent="0.3">
      <c r="B28" s="230" t="str">
        <f t="shared" si="0"/>
        <v>Terminal de GNL</v>
      </c>
      <c r="D28" s="229" t="s">
        <v>14</v>
      </c>
      <c r="E28" s="229" t="s">
        <v>277</v>
      </c>
    </row>
    <row r="29" spans="1:6" x14ac:dyDescent="0.3">
      <c r="B29" s="230" t="str">
        <f t="shared" si="0"/>
        <v>Armazenamento Subterrâneo</v>
      </c>
      <c r="D29" s="229" t="s">
        <v>712</v>
      </c>
      <c r="E29" s="229" t="s">
        <v>278</v>
      </c>
    </row>
    <row r="30" spans="1:6" x14ac:dyDescent="0.3">
      <c r="B30" s="230" t="str">
        <f t="shared" si="0"/>
        <v>Produtores de gás</v>
      </c>
      <c r="D30" s="229" t="s">
        <v>26</v>
      </c>
      <c r="E30" s="229" t="s">
        <v>713</v>
      </c>
    </row>
    <row r="31" spans="1:6" x14ac:dyDescent="0.3">
      <c r="B31" s="230" t="str">
        <f t="shared" si="0"/>
        <v>Redes de distribuição e clientes em AP</v>
      </c>
      <c r="D31" s="229" t="s">
        <v>714</v>
      </c>
      <c r="E31" s="229" t="s">
        <v>715</v>
      </c>
    </row>
    <row r="32" spans="1:6" x14ac:dyDescent="0.3">
      <c r="B32" s="230" t="str">
        <f t="shared" si="0"/>
        <v>Clientes em AP</v>
      </c>
      <c r="D32" s="229" t="s">
        <v>716</v>
      </c>
      <c r="E32" s="229" t="s">
        <v>717</v>
      </c>
    </row>
    <row r="33" spans="2:5" x14ac:dyDescent="0.3">
      <c r="B33" s="230" t="str">
        <f t="shared" si="0"/>
        <v>Anual</v>
      </c>
      <c r="D33" s="229" t="s">
        <v>718</v>
      </c>
      <c r="E33" s="229" t="s">
        <v>719</v>
      </c>
    </row>
    <row r="34" spans="2:5" x14ac:dyDescent="0.3">
      <c r="B34" s="230" t="str">
        <f t="shared" si="0"/>
        <v>Trimestral</v>
      </c>
      <c r="D34" s="229" t="s">
        <v>10</v>
      </c>
      <c r="E34" s="229" t="s">
        <v>720</v>
      </c>
    </row>
    <row r="35" spans="2:5" x14ac:dyDescent="0.3">
      <c r="B35" s="230" t="str">
        <f t="shared" si="0"/>
        <v>Mensal</v>
      </c>
      <c r="D35" s="229" t="s">
        <v>11</v>
      </c>
      <c r="E35" s="229" t="s">
        <v>721</v>
      </c>
    </row>
    <row r="36" spans="2:5" x14ac:dyDescent="0.3">
      <c r="B36" s="230" t="str">
        <f t="shared" si="0"/>
        <v>Diário</v>
      </c>
      <c r="D36" s="229" t="s">
        <v>12</v>
      </c>
      <c r="E36" s="229" t="s">
        <v>722</v>
      </c>
    </row>
    <row r="37" spans="2:5" x14ac:dyDescent="0.3">
      <c r="B37" s="230" t="str">
        <f t="shared" si="0"/>
        <v>Intradiário</v>
      </c>
      <c r="D37" s="229" t="s">
        <v>723</v>
      </c>
      <c r="E37" s="229" t="s">
        <v>724</v>
      </c>
    </row>
    <row r="38" spans="2:5" x14ac:dyDescent="0.3">
      <c r="B38" s="230" t="str">
        <f t="shared" si="0"/>
        <v>Capacidade utilizada na injeção</v>
      </c>
      <c r="D38" s="229" t="s">
        <v>27</v>
      </c>
      <c r="E38" s="229" t="s">
        <v>725</v>
      </c>
    </row>
    <row r="39" spans="2:5" x14ac:dyDescent="0.3">
      <c r="B39" s="230" t="str">
        <f t="shared" si="0"/>
        <v>Longas utilizações</v>
      </c>
      <c r="D39" s="229" t="s">
        <v>726</v>
      </c>
      <c r="E39" s="229" t="s">
        <v>727</v>
      </c>
    </row>
    <row r="40" spans="2:5" x14ac:dyDescent="0.3">
      <c r="B40" s="230" t="str">
        <f t="shared" si="0"/>
        <v>Tarifa flexível anual - capacidade base anual</v>
      </c>
      <c r="D40" s="229" t="s">
        <v>728</v>
      </c>
      <c r="E40" s="229" t="s">
        <v>729</v>
      </c>
    </row>
    <row r="41" spans="2:5" ht="28.8" x14ac:dyDescent="0.3">
      <c r="B41" s="230" t="str">
        <f t="shared" si="0"/>
        <v>Tarifa flexível anual - capacidade mensal adicional (abril a setembro)</v>
      </c>
      <c r="D41" s="229" t="s">
        <v>730</v>
      </c>
      <c r="E41" s="229" t="s">
        <v>731</v>
      </c>
    </row>
    <row r="42" spans="2:5" ht="28.8" x14ac:dyDescent="0.3">
      <c r="B42" s="230" t="str">
        <f t="shared" si="0"/>
        <v>Tarifa flexível mensal - capacidade mensal (outubro a março)</v>
      </c>
      <c r="D42" s="229" t="s">
        <v>732</v>
      </c>
      <c r="E42" s="229" t="s">
        <v>733</v>
      </c>
    </row>
    <row r="43" spans="2:5" ht="28.8" x14ac:dyDescent="0.3">
      <c r="B43" s="230" t="str">
        <f t="shared" si="0"/>
        <v>Tarifa flexível mensal - capacidade mensal (abril a setembro)</v>
      </c>
      <c r="D43" s="229" t="s">
        <v>734</v>
      </c>
      <c r="E43" s="229" t="s">
        <v>735</v>
      </c>
    </row>
    <row r="44" spans="2:5" x14ac:dyDescent="0.3">
      <c r="B44" s="230" t="str">
        <f t="shared" si="0"/>
        <v>Tarifa flexível diária - capacidade diária (outubro a março)</v>
      </c>
      <c r="D44" s="229" t="s">
        <v>736</v>
      </c>
      <c r="E44" s="229" t="s">
        <v>737</v>
      </c>
    </row>
    <row r="45" spans="2:5" x14ac:dyDescent="0.3">
      <c r="B45" s="230" t="str">
        <f t="shared" si="0"/>
        <v>Tarifa flexível diária - capacidade diária (abril a setembro)</v>
      </c>
      <c r="D45" s="229" t="s">
        <v>738</v>
      </c>
      <c r="E45" s="229" t="s">
        <v>739</v>
      </c>
    </row>
    <row r="46" spans="2:5" x14ac:dyDescent="0.3">
      <c r="B46" s="230" t="str">
        <f t="shared" si="0"/>
        <v>Unidade</v>
      </c>
      <c r="D46" s="229" t="s">
        <v>740</v>
      </c>
      <c r="E46" s="229" t="s">
        <v>741</v>
      </c>
    </row>
    <row r="47" spans="2:5" x14ac:dyDescent="0.3">
      <c r="B47" s="230" t="str">
        <f t="shared" si="0"/>
        <v>kWh/dia</v>
      </c>
      <c r="D47" s="229" t="s">
        <v>742</v>
      </c>
      <c r="E47" s="229" t="s">
        <v>743</v>
      </c>
    </row>
    <row r="48" spans="2:5" x14ac:dyDescent="0.3">
      <c r="B48" s="230" t="str">
        <f t="shared" si="0"/>
        <v>kWh/h</v>
      </c>
      <c r="D48" s="229" t="s">
        <v>744</v>
      </c>
      <c r="E48" s="229" t="s">
        <v>744</v>
      </c>
    </row>
    <row r="49" spans="1:6" ht="15" thickBot="1" x14ac:dyDescent="0.35">
      <c r="A49" s="89"/>
      <c r="B49" s="232" t="str">
        <f t="shared" si="0"/>
        <v>Células amarelas podem ser alteradas pelo utilizador</v>
      </c>
      <c r="C49" s="89"/>
      <c r="D49" s="233" t="s">
        <v>745</v>
      </c>
      <c r="E49" s="233" t="s">
        <v>746</v>
      </c>
      <c r="F49" s="89"/>
    </row>
    <row r="50" spans="1:6" x14ac:dyDescent="0.3">
      <c r="A50" s="77" t="s">
        <v>747</v>
      </c>
      <c r="B50" s="228" t="str">
        <f t="shared" si="0"/>
        <v>Tarifas de uso da rede de transporte</v>
      </c>
      <c r="D50" s="227" t="s">
        <v>748</v>
      </c>
      <c r="E50" s="227" t="s">
        <v>749</v>
      </c>
    </row>
    <row r="51" spans="1:6" x14ac:dyDescent="0.3">
      <c r="B51" s="230" t="str">
        <f t="shared" si="0"/>
        <v>€/(kWh/dia)/ano</v>
      </c>
      <c r="D51" s="229" t="s">
        <v>750</v>
      </c>
      <c r="E51" s="229" t="s">
        <v>751</v>
      </c>
    </row>
    <row r="52" spans="1:6" x14ac:dyDescent="0.3">
      <c r="B52" s="230" t="str">
        <f t="shared" si="0"/>
        <v>€/(kWh/h)/ano</v>
      </c>
      <c r="D52" s="229" t="s">
        <v>752</v>
      </c>
      <c r="E52" s="229" t="s">
        <v>753</v>
      </c>
    </row>
    <row r="53" spans="1:6" ht="15" thickBot="1" x14ac:dyDescent="0.35">
      <c r="A53" s="89"/>
      <c r="B53" s="232" t="str">
        <f t="shared" si="0"/>
        <v>Células verdes são estimativas</v>
      </c>
      <c r="C53" s="89"/>
      <c r="D53" s="233" t="s">
        <v>754</v>
      </c>
      <c r="E53" s="233" t="s">
        <v>755</v>
      </c>
    </row>
    <row r="54" spans="1:6" x14ac:dyDescent="0.3">
      <c r="A54" s="77" t="s">
        <v>756</v>
      </c>
      <c r="B54" s="228" t="str">
        <f t="shared" si="0"/>
        <v>Ponto de interligação (Campo Maior)</v>
      </c>
      <c r="D54" s="227" t="s">
        <v>757</v>
      </c>
      <c r="E54" s="227" t="s">
        <v>758</v>
      </c>
    </row>
    <row r="55" spans="1:6" x14ac:dyDescent="0.3">
      <c r="B55" s="230" t="str">
        <f t="shared" si="0"/>
        <v>Ponto de interligação (Valença do Minho)</v>
      </c>
      <c r="D55" s="229" t="s">
        <v>759</v>
      </c>
      <c r="E55" s="227" t="s">
        <v>760</v>
      </c>
    </row>
    <row r="56" spans="1:6" x14ac:dyDescent="0.3">
      <c r="B56" s="230" t="str">
        <f t="shared" si="0"/>
        <v>Terminal de GNL (Sines)</v>
      </c>
      <c r="D56" s="229" t="s">
        <v>14</v>
      </c>
      <c r="E56" s="229" t="s">
        <v>761</v>
      </c>
    </row>
    <row r="57" spans="1:6" x14ac:dyDescent="0.3">
      <c r="B57" s="230" t="str">
        <f t="shared" si="0"/>
        <v>Armazenamento Subterrâneo (Carriço)</v>
      </c>
      <c r="D57" s="229" t="s">
        <v>712</v>
      </c>
      <c r="E57" s="229" t="s">
        <v>762</v>
      </c>
    </row>
    <row r="58" spans="1:6" x14ac:dyDescent="0.3">
      <c r="B58" s="230" t="str">
        <f t="shared" si="0"/>
        <v>Tipo</v>
      </c>
      <c r="D58" s="229" t="s">
        <v>214</v>
      </c>
      <c r="E58" s="229" t="s">
        <v>763</v>
      </c>
    </row>
    <row r="59" spans="1:6" x14ac:dyDescent="0.3">
      <c r="B59" s="230" t="str">
        <f t="shared" si="0"/>
        <v>Contratada</v>
      </c>
      <c r="D59" s="229" t="s">
        <v>764</v>
      </c>
      <c r="E59" s="229" t="s">
        <v>765</v>
      </c>
    </row>
    <row r="60" spans="1:6" x14ac:dyDescent="0.3">
      <c r="B60" s="230" t="str">
        <f t="shared" si="0"/>
        <v>Utilizada</v>
      </c>
      <c r="D60" s="229" t="s">
        <v>766</v>
      </c>
      <c r="E60" s="229" t="s">
        <v>767</v>
      </c>
    </row>
    <row r="61" spans="1:6" x14ac:dyDescent="0.3">
      <c r="B61" s="230" t="str">
        <f t="shared" si="0"/>
        <v>Tipo de ponto</v>
      </c>
      <c r="D61" s="229" t="s">
        <v>768</v>
      </c>
      <c r="E61" s="229" t="s">
        <v>769</v>
      </c>
    </row>
    <row r="62" spans="1:6" x14ac:dyDescent="0.3">
      <c r="B62" s="230" t="str">
        <f t="shared" si="0"/>
        <v>Campo Maior</v>
      </c>
      <c r="D62" s="229" t="s">
        <v>167</v>
      </c>
      <c r="E62" s="229" t="s">
        <v>167</v>
      </c>
    </row>
    <row r="63" spans="1:6" x14ac:dyDescent="0.3">
      <c r="B63" s="230" t="str">
        <f t="shared" si="0"/>
        <v>Valença do Minho</v>
      </c>
      <c r="D63" s="229" t="s">
        <v>770</v>
      </c>
      <c r="E63" s="229" t="s">
        <v>770</v>
      </c>
    </row>
    <row r="64" spans="1:6" x14ac:dyDescent="0.3">
      <c r="B64" s="230" t="str">
        <f t="shared" si="0"/>
        <v>Terminal de Sines</v>
      </c>
      <c r="D64" s="229" t="s">
        <v>771</v>
      </c>
      <c r="E64" s="229" t="s">
        <v>772</v>
      </c>
    </row>
    <row r="65" spans="2:5" x14ac:dyDescent="0.3">
      <c r="B65" s="230" t="str">
        <f t="shared" si="0"/>
        <v>Carriço</v>
      </c>
      <c r="D65" s="229" t="s">
        <v>773</v>
      </c>
      <c r="E65" s="229" t="s">
        <v>99</v>
      </c>
    </row>
    <row r="66" spans="2:5" x14ac:dyDescent="0.3">
      <c r="B66" s="230" t="str">
        <f t="shared" si="0"/>
        <v>Lisboagás, Setgás, Carregado, Ribatejo</v>
      </c>
      <c r="D66" s="229" t="s">
        <v>774</v>
      </c>
      <c r="E66" s="229" t="s">
        <v>774</v>
      </c>
    </row>
    <row r="67" spans="2:5" x14ac:dyDescent="0.3">
      <c r="B67" s="230" t="str">
        <f t="shared" si="0"/>
        <v>Portgás, Central Outeiro</v>
      </c>
      <c r="D67" s="229" t="s">
        <v>775</v>
      </c>
      <c r="E67" s="229" t="s">
        <v>776</v>
      </c>
    </row>
    <row r="68" spans="2:5" x14ac:dyDescent="0.3">
      <c r="B68" s="230" t="str">
        <f t="shared" ref="B68:B103" si="1">IF($B$2=$D$2,D68,E68)</f>
        <v>Lusitâniagás, Central Lares, Central Figueira da Foz</v>
      </c>
      <c r="D68" s="229" t="s">
        <v>777</v>
      </c>
      <c r="E68" s="229" t="s">
        <v>778</v>
      </c>
    </row>
    <row r="69" spans="2:5" x14ac:dyDescent="0.3">
      <c r="B69" s="230" t="str">
        <f t="shared" si="1"/>
        <v>Tagusgás, Central Pego</v>
      </c>
      <c r="D69" s="229" t="s">
        <v>779</v>
      </c>
      <c r="E69" s="229" t="s">
        <v>780</v>
      </c>
    </row>
    <row r="70" spans="2:5" x14ac:dyDescent="0.3">
      <c r="B70" s="230" t="str">
        <f t="shared" si="1"/>
        <v>Portucel</v>
      </c>
      <c r="D70" s="229" t="s">
        <v>781</v>
      </c>
      <c r="E70" s="229" t="s">
        <v>781</v>
      </c>
    </row>
    <row r="71" spans="2:5" x14ac:dyDescent="0.3">
      <c r="B71" s="230" t="str">
        <f t="shared" si="1"/>
        <v>Refinaria Sines, Portucel</v>
      </c>
      <c r="D71" s="229" t="s">
        <v>782</v>
      </c>
      <c r="E71" s="229" t="s">
        <v>783</v>
      </c>
    </row>
    <row r="72" spans="2:5" x14ac:dyDescent="0.3">
      <c r="B72" s="230" t="str">
        <f t="shared" si="1"/>
        <v>Beiragás</v>
      </c>
      <c r="D72" s="229" t="s">
        <v>784</v>
      </c>
      <c r="E72" s="229" t="s">
        <v>784</v>
      </c>
    </row>
    <row r="73" spans="2:5" x14ac:dyDescent="0.3">
      <c r="B73" s="230" t="str">
        <f t="shared" si="1"/>
        <v>Ponto de interligação</v>
      </c>
      <c r="D73" s="229" t="s">
        <v>216</v>
      </c>
      <c r="E73" s="229" t="s">
        <v>785</v>
      </c>
    </row>
    <row r="74" spans="2:5" x14ac:dyDescent="0.3">
      <c r="B74" s="230" t="str">
        <f t="shared" si="1"/>
        <v>Terminal GNL</v>
      </c>
      <c r="D74" s="229" t="s">
        <v>14</v>
      </c>
      <c r="E74" s="229" t="s">
        <v>786</v>
      </c>
    </row>
    <row r="75" spans="2:5" x14ac:dyDescent="0.3">
      <c r="B75" s="230" t="str">
        <f t="shared" si="1"/>
        <v>Armazenamento</v>
      </c>
      <c r="D75" s="229" t="s">
        <v>787</v>
      </c>
      <c r="E75" s="229" t="s">
        <v>788</v>
      </c>
    </row>
    <row r="76" spans="2:5" x14ac:dyDescent="0.3">
      <c r="B76" s="230" t="str">
        <f t="shared" si="1"/>
        <v>Consumo</v>
      </c>
      <c r="D76" s="229" t="s">
        <v>789</v>
      </c>
      <c r="E76" s="229" t="s">
        <v>790</v>
      </c>
    </row>
    <row r="77" spans="2:5" x14ac:dyDescent="0.3">
      <c r="B77" s="230" t="str">
        <f t="shared" si="1"/>
        <v>Capacidade técnica</v>
      </c>
      <c r="D77" s="229" t="s">
        <v>791</v>
      </c>
      <c r="E77" s="229" t="s">
        <v>792</v>
      </c>
    </row>
    <row r="78" spans="2:5" x14ac:dyDescent="0.3">
      <c r="B78" s="230" t="str">
        <f t="shared" si="1"/>
        <v>Fluxo físico</v>
      </c>
      <c r="D78" s="229" t="s">
        <v>793</v>
      </c>
      <c r="E78" s="229" t="s">
        <v>794</v>
      </c>
    </row>
    <row r="79" spans="2:5" x14ac:dyDescent="0.3">
      <c r="B79" s="230" t="str">
        <f t="shared" si="1"/>
        <v>Fator de utilização física</v>
      </c>
      <c r="D79" s="229" t="s">
        <v>795</v>
      </c>
      <c r="E79" s="229" t="s">
        <v>796</v>
      </c>
    </row>
    <row r="80" spans="2:5" x14ac:dyDescent="0.3">
      <c r="B80" s="230">
        <f t="shared" si="1"/>
        <v>0</v>
      </c>
      <c r="D80" s="229"/>
      <c r="E80" s="229"/>
    </row>
    <row r="81" spans="2:5" x14ac:dyDescent="0.3">
      <c r="B81" s="230">
        <f t="shared" si="1"/>
        <v>0</v>
      </c>
      <c r="D81" s="229"/>
      <c r="E81" s="229"/>
    </row>
    <row r="82" spans="2:5" x14ac:dyDescent="0.3">
      <c r="B82" s="230">
        <f t="shared" si="1"/>
        <v>0</v>
      </c>
      <c r="D82" s="229"/>
      <c r="E82" s="229"/>
    </row>
    <row r="83" spans="2:5" x14ac:dyDescent="0.3">
      <c r="B83" s="230">
        <f t="shared" si="1"/>
        <v>0</v>
      </c>
      <c r="D83" s="229"/>
      <c r="E83" s="229"/>
    </row>
    <row r="84" spans="2:5" x14ac:dyDescent="0.3">
      <c r="B84" s="230">
        <f t="shared" si="1"/>
        <v>0</v>
      </c>
      <c r="D84" s="229"/>
      <c r="E84" s="229"/>
    </row>
    <row r="85" spans="2:5" x14ac:dyDescent="0.3">
      <c r="B85" s="230">
        <f t="shared" si="1"/>
        <v>0</v>
      </c>
      <c r="D85" s="229"/>
      <c r="E85" s="229"/>
    </row>
    <row r="86" spans="2:5" x14ac:dyDescent="0.3">
      <c r="B86" s="230">
        <f t="shared" si="1"/>
        <v>0</v>
      </c>
      <c r="D86" s="229"/>
      <c r="E86" s="229"/>
    </row>
    <row r="87" spans="2:5" x14ac:dyDescent="0.3">
      <c r="B87" s="230">
        <f t="shared" si="1"/>
        <v>0</v>
      </c>
      <c r="D87" s="229"/>
      <c r="E87" s="229"/>
    </row>
    <row r="88" spans="2:5" x14ac:dyDescent="0.3">
      <c r="B88" s="230">
        <f t="shared" si="1"/>
        <v>0</v>
      </c>
      <c r="D88" s="229"/>
      <c r="E88" s="229"/>
    </row>
    <row r="89" spans="2:5" x14ac:dyDescent="0.3">
      <c r="B89" s="230">
        <f t="shared" si="1"/>
        <v>0</v>
      </c>
      <c r="D89" s="229"/>
      <c r="E89" s="229"/>
    </row>
    <row r="90" spans="2:5" x14ac:dyDescent="0.3">
      <c r="B90" s="230">
        <f t="shared" si="1"/>
        <v>0</v>
      </c>
      <c r="D90" s="229"/>
      <c r="E90" s="229"/>
    </row>
    <row r="91" spans="2:5" x14ac:dyDescent="0.3">
      <c r="B91" s="230">
        <f t="shared" si="1"/>
        <v>0</v>
      </c>
      <c r="D91" s="229"/>
      <c r="E91" s="229"/>
    </row>
    <row r="92" spans="2:5" x14ac:dyDescent="0.3">
      <c r="B92" s="230">
        <f t="shared" si="1"/>
        <v>0</v>
      </c>
      <c r="D92" s="229"/>
      <c r="E92" s="229"/>
    </row>
    <row r="93" spans="2:5" x14ac:dyDescent="0.3">
      <c r="B93" s="230">
        <f t="shared" si="1"/>
        <v>0</v>
      </c>
      <c r="D93" s="229"/>
      <c r="E93" s="229"/>
    </row>
    <row r="94" spans="2:5" x14ac:dyDescent="0.3">
      <c r="B94" s="230">
        <f t="shared" si="1"/>
        <v>0</v>
      </c>
      <c r="D94" s="229"/>
      <c r="E94" s="229"/>
    </row>
    <row r="95" spans="2:5" x14ac:dyDescent="0.3">
      <c r="B95" s="230">
        <f t="shared" si="1"/>
        <v>0</v>
      </c>
      <c r="D95" s="229"/>
      <c r="E95" s="229"/>
    </row>
    <row r="96" spans="2:5" x14ac:dyDescent="0.3">
      <c r="B96" s="230">
        <f t="shared" si="1"/>
        <v>0</v>
      </c>
      <c r="D96" s="229"/>
      <c r="E96" s="229"/>
    </row>
    <row r="97" spans="2:5" x14ac:dyDescent="0.3">
      <c r="B97" s="230">
        <f t="shared" si="1"/>
        <v>0</v>
      </c>
      <c r="D97" s="229"/>
      <c r="E97" s="229"/>
    </row>
    <row r="98" spans="2:5" x14ac:dyDescent="0.3">
      <c r="B98" s="230">
        <f t="shared" si="1"/>
        <v>0</v>
      </c>
      <c r="D98" s="229"/>
      <c r="E98" s="229"/>
    </row>
    <row r="99" spans="2:5" x14ac:dyDescent="0.3">
      <c r="B99" s="230">
        <f t="shared" si="1"/>
        <v>0</v>
      </c>
      <c r="D99" s="229"/>
      <c r="E99" s="229"/>
    </row>
    <row r="100" spans="2:5" x14ac:dyDescent="0.3">
      <c r="B100" s="230">
        <f t="shared" si="1"/>
        <v>0</v>
      </c>
      <c r="D100" s="229"/>
      <c r="E100" s="229"/>
    </row>
    <row r="101" spans="2:5" x14ac:dyDescent="0.3">
      <c r="B101" s="230">
        <f t="shared" si="1"/>
        <v>0</v>
      </c>
      <c r="D101" s="229"/>
      <c r="E101" s="229"/>
    </row>
    <row r="102" spans="2:5" x14ac:dyDescent="0.3">
      <c r="B102" s="230">
        <f t="shared" si="1"/>
        <v>0</v>
      </c>
      <c r="D102" s="229"/>
      <c r="E102" s="229"/>
    </row>
    <row r="103" spans="2:5" x14ac:dyDescent="0.3">
      <c r="B103" s="230">
        <f t="shared" si="1"/>
        <v>0</v>
      </c>
      <c r="D103" s="229"/>
      <c r="E103" s="2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6AC7FFC084DE43B6BEA366C2F1911F" ma:contentTypeVersion="0" ma:contentTypeDescription="Criar um novo documento." ma:contentTypeScope="" ma:versionID="6c2aa31bd7e7f5f649febbd0d1486e46">
  <xsd:schema xmlns:xsd="http://www.w3.org/2001/XMLSchema" xmlns:xs="http://www.w3.org/2001/XMLSchema" xmlns:p="http://schemas.microsoft.com/office/2006/metadata/properties" targetNamespace="http://schemas.microsoft.com/office/2006/metadata/properties" ma:root="true" ma:fieldsID="7506b910cc15b996377c43172305fc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FBFF0C-2D58-4FAD-B6C3-2A2833B44845}"/>
</file>

<file path=customXml/itemProps2.xml><?xml version="1.0" encoding="utf-8"?>
<ds:datastoreItem xmlns:ds="http://schemas.openxmlformats.org/officeDocument/2006/customXml" ds:itemID="{AA1AF676-722F-499F-A694-0F5847A8C01E}"/>
</file>

<file path=customXml/itemProps3.xml><?xml version="1.0" encoding="utf-8"?>
<ds:datastoreItem xmlns:ds="http://schemas.openxmlformats.org/officeDocument/2006/customXml" ds:itemID="{F477D73F-9E11-49C4-AC68-5DAF23CA9B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2</vt:i4>
      </vt:variant>
    </vt:vector>
  </HeadingPairs>
  <TitlesOfParts>
    <vt:vector size="29" baseType="lpstr">
      <vt:lpstr>Information</vt:lpstr>
      <vt:lpstr>Input</vt:lpstr>
      <vt:lpstr>Output</vt:lpstr>
      <vt:lpstr>Introduction</vt:lpstr>
      <vt:lpstr>RPM &amp; Discounts</vt:lpstr>
      <vt:lpstr>Input_</vt:lpstr>
      <vt:lpstr>Input capacity</vt:lpstr>
      <vt:lpstr>Distance Matrix_Entry</vt:lpstr>
      <vt:lpstr>Distance Matrix_Exit</vt:lpstr>
      <vt:lpstr>Entry Tariff_1</vt:lpstr>
      <vt:lpstr>Entry Tariff_2</vt:lpstr>
      <vt:lpstr>Exit Tariff_1</vt:lpstr>
      <vt:lpstr>Exit Tariff_2</vt:lpstr>
      <vt:lpstr>Reference prices</vt:lpstr>
      <vt:lpstr>CAA</vt:lpstr>
      <vt:lpstr>A0.Support</vt:lpstr>
      <vt:lpstr>A1.Network points</vt:lpstr>
      <vt:lpstr>A2.Network segments</vt:lpstr>
      <vt:lpstr>A3.Distance matrix</vt:lpstr>
      <vt:lpstr>A4a.CWD Entry Av. Distance</vt:lpstr>
      <vt:lpstr>A4b.CWD Exit Av. Distance</vt:lpstr>
      <vt:lpstr>A5.Counter-factual</vt:lpstr>
      <vt:lpstr>Article 30</vt:lpstr>
      <vt:lpstr>Art30(1)(a)</vt:lpstr>
      <vt:lpstr>Art30(1)(b)(v)</vt:lpstr>
      <vt:lpstr>Art30(2)(a)</vt:lpstr>
      <vt:lpstr>Labels</vt:lpstr>
      <vt:lpstr>Discount</vt:lpstr>
      <vt:lpstr>List_RPM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 (ERSE)</dc:creator>
  <cp:lastModifiedBy>Daniel Horta (ERSE)</cp:lastModifiedBy>
  <dcterms:created xsi:type="dcterms:W3CDTF">2022-09-22T13:51:25Z</dcterms:created>
  <dcterms:modified xsi:type="dcterms:W3CDTF">2024-08-30T10:15:42Z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0x010100DB6AC7FFC084DE43B6BEA366C2F1911F</vt:lpwstr>
  </property>
</Properties>
</file>