
<file path=[Content_Types].xml><?xml version="1.0" encoding="utf-8"?>
<Types xmlns="http://schemas.openxmlformats.org/package/2006/content-types">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charts/style6.xml" ContentType="application/vnd.ms-office.chartstyle+xml"/>
  <Override PartName="/customXml/itemProps1.xml" ContentType="application/vnd.openxmlformats-officedocument.customXmlProperties+xml"/>
  <Default Extension="rels" ContentType="application/vnd.openxmlformats-package.relationship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charts/style4.xml" ContentType="application/vnd.ms-office.chartstyle+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harts/style2.xml" ContentType="application/vnd.ms-office.chartstyle+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harts/colors5.xml" ContentType="application/vnd.ms-office.chartcolorstyle+xml"/>
  <Override PartName="/xl/sharedStrings.xml" ContentType="application/vnd.openxmlformats-officedocument.spreadsheetml.sharedStrings+xml"/>
  <Override PartName="/xl/charts/colors3.xml" ContentType="application/vnd.ms-office.chartcolorstyle+xml"/>
  <Override PartName="/xl/worksheets/sheet18.xml" ContentType="application/vnd.openxmlformats-officedocument.spreadsheetml.worksheet+xml"/>
  <Override PartName="/xl/worksheets/sheet27.xml" ContentType="application/vnd.openxmlformats-officedocument.spreadsheetml.worksheet+xml"/>
  <Override PartName="/xl/charts/colors1.xml" ContentType="application/vnd.ms-office.chartcolorstyle+xml"/>
  <Default Extension="bin" ContentType="application/vnd.openxmlformats-officedocument.spreadsheetml.printerSettings"/>
  <Default Extension="png" ContentType="image/png"/>
  <Override PartName="/xl/worksheets/sheet16.xml" ContentType="application/vnd.openxmlformats-officedocument.spreadsheetml.worksheet+xml"/>
  <Override PartName="/xl/worksheets/sheet25.xml" ContentType="application/vnd.openxmlformats-officedocument.spreadsheetml.worksheet+xml"/>
  <Override PartName="/customXml/itemProps2.xml" ContentType="application/vnd.openxmlformats-officedocument.customXmlProperties+xml"/>
  <Override PartName="/xl/worksheets/sheet14.xml" ContentType="application/vnd.openxmlformats-officedocument.spreadsheetml.worksheet+xml"/>
  <Override PartName="/xl/worksheets/sheet23.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charts/style5.xml" ContentType="application/vnd.ms-office.chartstyle+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charts/style1.xml" ContentType="application/vnd.ms-office.chartstyle+xml"/>
  <Override PartName="/xl/drawings/drawing3.xml" ContentType="application/vnd.openxmlformats-officedocument.drawing+xml"/>
  <Override PartName="/xl/charts/style3.xml" ContentType="application/vnd.ms-office.chartstyle+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harts/colors6.xml" ContentType="application/vnd.ms-office.chartcolorstyle+xml"/>
  <Override PartName="/xl/charts/colors4.xml" ContentType="application/vnd.ms-office.chartcolorstyle+xml"/>
  <Override PartName="/xl/calcChain.xml" ContentType="application/vnd.openxmlformats-officedocument.spreadsheetml.calcChain+xml"/>
  <Override PartName="/xl/worksheets/sheet19.xml" ContentType="application/vnd.openxmlformats-officedocument.spreadsheetml.worksheet+xml"/>
  <Override PartName="/xl/charts/colors2.xml" ContentType="application/vnd.ms-office.chartcolorstyle+xml"/>
  <Override PartName="/xl/worksheets/sheet17.xml" ContentType="application/vnd.openxmlformats-officedocument.spreadsheetml.worksheet+xml"/>
  <Override PartName="/xl/worksheets/sheet26.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charts/chart6.xml" ContentType="application/vnd.openxmlformats-officedocument.drawingml.chart+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COMUM\Tarifas Gás 2019-2020\Word\NC Tarifas\Art30\ModeloSimplificado\"/>
    </mc:Choice>
  </mc:AlternateContent>
  <workbookProtection workbookAlgorithmName="SHA-512" workbookHashValue="TdJmUYwKwNCITUQaU6dM6L6F14CszVAqMjejSCkyeZXJQuQyFjbj6QpGMc6hoO8HRTZEOtlvF9+MjN1Kzs8Gdw==" workbookSaltValue="ijVvm8E1OFYIC8VFtbICPQ==" workbookSpinCount="100000" lockStructure="1"/>
  <bookViews>
    <workbookView xWindow="0" yWindow="0" windowWidth="23040" windowHeight="8295" tabRatio="800"/>
  </bookViews>
  <sheets>
    <sheet name="Information" sheetId="30" r:id="rId1"/>
    <sheet name="Input" sheetId="2" r:id="rId2"/>
    <sheet name="Output" sheetId="31" r:id="rId3"/>
    <sheet name="Introdução" sheetId="29" state="hidden" r:id="rId4"/>
    <sheet name="RPM inputs" sheetId="11" state="hidden" r:id="rId5"/>
    <sheet name="RPM" sheetId="3" state="hidden" r:id="rId6"/>
    <sheet name="Pre-scaling RPM" sheetId="6" state="hidden" r:id="rId7"/>
    <sheet name="Reference prices RPM" sheetId="5" state="hidden" r:id="rId8"/>
    <sheet name="CWDvsRPM" sheetId="13" state="hidden" r:id="rId9"/>
    <sheet name="Tariff Evolution" sheetId="23" state="hidden" r:id="rId10"/>
    <sheet name="CAA" sheetId="17" state="hidden" r:id="rId11"/>
    <sheet name="CWD" sheetId="16" state="hidden" r:id="rId12"/>
    <sheet name="Pre-scaling CWD" sheetId="18" state="hidden" r:id="rId13"/>
    <sheet name="Reference prices CWD" sheetId="19" state="hidden" r:id="rId14"/>
    <sheet name="CWD 28-72" sheetId="12" state="hidden" r:id="rId15"/>
    <sheet name="Pre-scaling CWD 28-72" sheetId="20" state="hidden" r:id="rId16"/>
    <sheet name="Reference prices CWD 28-72" sheetId="21" state="hidden" r:id="rId17"/>
    <sheet name="Data_a" sheetId="7" state="hidden" r:id="rId18"/>
    <sheet name="Data_b" sheetId="8" state="hidden" r:id="rId19"/>
    <sheet name="Data_c" sheetId="9" state="hidden" r:id="rId20"/>
    <sheet name="Data_d" sheetId="10" state="hidden" r:id="rId21"/>
    <sheet name="Article 30" sheetId="22" state="hidden" r:id="rId22"/>
    <sheet name="Quadros" sheetId="25" state="hidden" r:id="rId23"/>
    <sheet name="Art30(1)(a)" sheetId="34" state="hidden" r:id="rId24"/>
    <sheet name="Art30(1)(b)(v)" sheetId="35" state="hidden" r:id="rId25"/>
    <sheet name="Art30(2)(a)" sheetId="33" state="hidden" r:id="rId26"/>
    <sheet name="Labels" sheetId="32" state="hidden" r:id="rId27"/>
  </sheets>
  <definedNames>
    <definedName name="anos_gás">Data_a!$G$4:$J$4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9" i="35" l="1"/>
  <c r="C9" i="35" s="1"/>
  <c r="D6" i="35"/>
  <c r="C6" i="35"/>
  <c r="R76" i="34" l="1"/>
  <c r="Y72" i="34"/>
  <c r="Y71" i="34"/>
  <c r="Y70" i="34"/>
  <c r="Y69" i="34"/>
  <c r="Y68" i="34"/>
  <c r="Y67" i="34"/>
  <c r="Y66" i="34"/>
  <c r="Y65" i="34"/>
  <c r="Y64" i="34"/>
  <c r="Y63" i="34"/>
  <c r="Y62" i="34"/>
  <c r="Y61" i="34"/>
  <c r="Y60" i="34"/>
  <c r="Y59" i="34"/>
  <c r="Y58" i="34"/>
  <c r="W72" i="34"/>
  <c r="W71" i="34"/>
  <c r="W70" i="34"/>
  <c r="W69" i="34"/>
  <c r="W68" i="34"/>
  <c r="W67" i="34"/>
  <c r="W66" i="34"/>
  <c r="W65" i="34"/>
  <c r="W64" i="34"/>
  <c r="W63" i="34"/>
  <c r="W62" i="34"/>
  <c r="W61" i="34"/>
  <c r="W60" i="34"/>
  <c r="W59" i="34"/>
  <c r="W58" i="34"/>
  <c r="V72" i="34"/>
  <c r="V71" i="34"/>
  <c r="V70" i="34"/>
  <c r="V69" i="34"/>
  <c r="V68" i="34"/>
  <c r="V67" i="34"/>
  <c r="V66" i="34"/>
  <c r="V65" i="34"/>
  <c r="V64" i="34"/>
  <c r="V63" i="34"/>
  <c r="V62" i="34"/>
  <c r="V61" i="34"/>
  <c r="V60" i="34"/>
  <c r="V59" i="34"/>
  <c r="V58" i="34"/>
  <c r="I40" i="34"/>
  <c r="I39" i="34"/>
  <c r="I38" i="34"/>
  <c r="I37" i="34"/>
  <c r="I36" i="34"/>
  <c r="I35" i="34"/>
  <c r="I34" i="34"/>
  <c r="I33" i="34"/>
  <c r="I32" i="34"/>
  <c r="I31" i="34"/>
  <c r="I30" i="34"/>
  <c r="I29" i="34"/>
  <c r="I28" i="34"/>
  <c r="I27" i="34"/>
  <c r="I26" i="34"/>
  <c r="I25" i="34"/>
  <c r="I24" i="34"/>
  <c r="I23" i="34"/>
  <c r="I22" i="34"/>
  <c r="I21" i="34"/>
  <c r="I20" i="34"/>
  <c r="I19" i="34"/>
  <c r="I18" i="34"/>
  <c r="I17" i="34"/>
  <c r="I16" i="34"/>
  <c r="I15" i="34"/>
  <c r="I14" i="34"/>
  <c r="I13" i="34"/>
  <c r="I12" i="34"/>
  <c r="I11" i="34"/>
  <c r="I10" i="34"/>
  <c r="I9" i="34"/>
  <c r="D7" i="34"/>
  <c r="C7" i="34"/>
  <c r="D6" i="34"/>
  <c r="C6" i="34"/>
  <c r="D5" i="34"/>
  <c r="C5" i="34"/>
  <c r="D4" i="34"/>
  <c r="C4" i="34"/>
  <c r="AB39" i="5" l="1"/>
  <c r="AA39" i="5"/>
  <c r="Z39" i="5"/>
  <c r="AB38" i="5"/>
  <c r="AA38" i="5"/>
  <c r="Y39" i="5"/>
  <c r="Y38" i="5"/>
  <c r="F4" i="11" l="1"/>
  <c r="V59" i="7"/>
  <c r="G35" i="33"/>
  <c r="G34" i="33"/>
  <c r="G33" i="33"/>
  <c r="G32" i="33"/>
  <c r="G31" i="33"/>
  <c r="G30" i="33"/>
  <c r="G29" i="33"/>
  <c r="G28" i="33"/>
  <c r="T61" i="33" s="1"/>
  <c r="G27" i="33"/>
  <c r="G26" i="33"/>
  <c r="G25" i="33"/>
  <c r="T58" i="33" s="1"/>
  <c r="G24" i="33"/>
  <c r="G23" i="33"/>
  <c r="G22" i="33"/>
  <c r="G21" i="33"/>
  <c r="T54" i="33" s="1"/>
  <c r="G20" i="33"/>
  <c r="G19" i="33"/>
  <c r="G18" i="33"/>
  <c r="G17" i="33"/>
  <c r="T50" i="33" s="1"/>
  <c r="G16" i="33"/>
  <c r="G15" i="33"/>
  <c r="G14" i="33"/>
  <c r="G13" i="33"/>
  <c r="G12" i="33"/>
  <c r="G11" i="33"/>
  <c r="G10" i="33"/>
  <c r="G9" i="33"/>
  <c r="G8" i="33"/>
  <c r="G7" i="33"/>
  <c r="G6" i="33"/>
  <c r="G5" i="33"/>
  <c r="T60" i="33"/>
  <c r="T59" i="33"/>
  <c r="T57" i="33"/>
  <c r="T56" i="33"/>
  <c r="T55" i="33"/>
  <c r="T53" i="33"/>
  <c r="T52" i="33"/>
  <c r="T51" i="33"/>
  <c r="U37" i="33"/>
  <c r="H4" i="33"/>
  <c r="T37" i="33" s="1"/>
  <c r="K4" i="33"/>
  <c r="W37" i="33" s="1"/>
  <c r="J4" i="33"/>
  <c r="V37" i="33" s="1"/>
  <c r="I4" i="33"/>
  <c r="B2" i="32" l="1"/>
  <c r="B65" i="32" l="1"/>
  <c r="B73" i="32"/>
  <c r="N48" i="34" s="1"/>
  <c r="B81" i="32"/>
  <c r="B89" i="32"/>
  <c r="B97" i="32"/>
  <c r="B66" i="32"/>
  <c r="B74" i="32"/>
  <c r="V56" i="34" s="1"/>
  <c r="B82" i="32"/>
  <c r="B90" i="32"/>
  <c r="B98" i="32"/>
  <c r="B70" i="32"/>
  <c r="N45" i="34" s="1"/>
  <c r="N44" i="34" s="1"/>
  <c r="B94" i="32"/>
  <c r="B67" i="32"/>
  <c r="B75" i="32"/>
  <c r="W56" i="34" s="1"/>
  <c r="B83" i="32"/>
  <c r="B91" i="32"/>
  <c r="B99" i="32"/>
  <c r="B95" i="32"/>
  <c r="B68" i="32"/>
  <c r="B76" i="32"/>
  <c r="Y56" i="34" s="1"/>
  <c r="B84" i="32"/>
  <c r="B92" i="32"/>
  <c r="B100" i="32"/>
  <c r="B55" i="32"/>
  <c r="L9" i="34" s="1"/>
  <c r="B79" i="32"/>
  <c r="B69" i="32"/>
  <c r="B77" i="32"/>
  <c r="B85" i="32"/>
  <c r="B93" i="32"/>
  <c r="B78" i="32"/>
  <c r="B71" i="32"/>
  <c r="N46" i="34" s="1"/>
  <c r="B72" i="32"/>
  <c r="N47" i="34" s="1"/>
  <c r="B80" i="32"/>
  <c r="B88" i="32"/>
  <c r="B96" i="32"/>
  <c r="B86" i="32"/>
  <c r="B87" i="32"/>
  <c r="B15" i="32"/>
  <c r="C26" i="30" s="1"/>
  <c r="B56" i="32"/>
  <c r="L10" i="34" s="1"/>
  <c r="B64" i="32"/>
  <c r="B51" i="32"/>
  <c r="B4" i="34" s="1"/>
  <c r="B62" i="32"/>
  <c r="B57" i="32"/>
  <c r="L34" i="34" s="1"/>
  <c r="B59" i="32"/>
  <c r="B58" i="32"/>
  <c r="N43" i="34" s="1"/>
  <c r="B54" i="32"/>
  <c r="B7" i="34" s="1"/>
  <c r="B52" i="32"/>
  <c r="B5" i="34" s="1"/>
  <c r="B60" i="32"/>
  <c r="B53" i="32"/>
  <c r="B6" i="34" s="1"/>
  <c r="B61" i="32"/>
  <c r="B63" i="32"/>
  <c r="B16" i="32"/>
  <c r="D28" i="30" s="1"/>
  <c r="B17" i="32"/>
  <c r="D30" i="30" s="1"/>
  <c r="B3" i="32"/>
  <c r="C9" i="30" s="1"/>
  <c r="B50" i="32"/>
  <c r="B32" i="32"/>
  <c r="B40" i="32"/>
  <c r="B48" i="32"/>
  <c r="B35" i="32"/>
  <c r="B28" i="32"/>
  <c r="B44" i="32"/>
  <c r="L10" i="2" s="1"/>
  <c r="K10" i="34" s="1"/>
  <c r="V57" i="34" s="1"/>
  <c r="W57" i="34" s="1"/>
  <c r="B30" i="32"/>
  <c r="B46" i="32"/>
  <c r="B47" i="32"/>
  <c r="B2" i="31" s="1"/>
  <c r="B33" i="32"/>
  <c r="B41" i="32"/>
  <c r="B49" i="32"/>
  <c r="B43" i="32"/>
  <c r="L9" i="2" s="1"/>
  <c r="K9" i="34" s="1"/>
  <c r="B37" i="32"/>
  <c r="B31" i="32"/>
  <c r="B26" i="32"/>
  <c r="B34" i="32"/>
  <c r="B42" i="32"/>
  <c r="B27" i="32"/>
  <c r="B36" i="32"/>
  <c r="B29" i="32"/>
  <c r="B38" i="32"/>
  <c r="B39" i="32"/>
  <c r="B45" i="32"/>
  <c r="B25" i="32"/>
  <c r="B19" i="32"/>
  <c r="B2" i="2" s="1"/>
  <c r="B18" i="32"/>
  <c r="Q5" i="30" s="1"/>
  <c r="B9" i="32"/>
  <c r="C18" i="30" s="1"/>
  <c r="B10" i="32"/>
  <c r="C20" i="30" s="1"/>
  <c r="B11" i="32"/>
  <c r="C21" i="30" s="1"/>
  <c r="B23" i="32"/>
  <c r="B7" i="32"/>
  <c r="C14" i="30" s="1"/>
  <c r="B8" i="32"/>
  <c r="C17" i="30" s="1"/>
  <c r="B20" i="32"/>
  <c r="D4" i="2" s="1"/>
  <c r="B4" i="32"/>
  <c r="C10" i="30" s="1"/>
  <c r="B13" i="32"/>
  <c r="D21" i="30" s="1"/>
  <c r="B24" i="32"/>
  <c r="B21" i="32"/>
  <c r="B7" i="2" s="1"/>
  <c r="B22" i="32"/>
  <c r="B12" i="32"/>
  <c r="D20" i="30" s="1"/>
  <c r="B5" i="32"/>
  <c r="C12" i="30" s="1"/>
  <c r="B6" i="32"/>
  <c r="C13" i="30" s="1"/>
  <c r="B14" i="32"/>
  <c r="C23" i="30" s="1"/>
  <c r="M51" i="34" l="1"/>
  <c r="T69" i="34"/>
  <c r="M52" i="34"/>
  <c r="T70" i="34"/>
  <c r="T67" i="34"/>
  <c r="M49" i="34"/>
  <c r="T58" i="34"/>
  <c r="M44" i="34"/>
  <c r="T62" i="34"/>
  <c r="T59" i="34"/>
  <c r="M45" i="34"/>
  <c r="T63" i="34"/>
  <c r="L28" i="34"/>
  <c r="L20" i="34"/>
  <c r="L12" i="34"/>
  <c r="L14" i="34"/>
  <c r="L13" i="34"/>
  <c r="L27" i="34"/>
  <c r="L19" i="34"/>
  <c r="L26" i="34"/>
  <c r="L16" i="34"/>
  <c r="L31" i="34"/>
  <c r="L18" i="34"/>
  <c r="L32" i="34"/>
  <c r="L15" i="34"/>
  <c r="L30" i="34"/>
  <c r="L29" i="34"/>
  <c r="L33" i="34"/>
  <c r="L25" i="34"/>
  <c r="L17" i="34"/>
  <c r="L24" i="34"/>
  <c r="L23" i="34"/>
  <c r="L22" i="34"/>
  <c r="L21" i="34"/>
  <c r="L11" i="34"/>
  <c r="M48" i="34"/>
  <c r="T66" i="34"/>
  <c r="L37" i="34"/>
  <c r="L36" i="34"/>
  <c r="L39" i="34"/>
  <c r="L38" i="34"/>
  <c r="L35" i="34"/>
  <c r="L40" i="34"/>
  <c r="M53" i="34"/>
  <c r="T71" i="34"/>
  <c r="M46" i="34"/>
  <c r="T64" i="34"/>
  <c r="T60" i="34"/>
  <c r="M47" i="34"/>
  <c r="T65" i="34"/>
  <c r="T61" i="34"/>
  <c r="M54" i="34"/>
  <c r="T72" i="34"/>
  <c r="N52" i="34"/>
  <c r="N51" i="34"/>
  <c r="N50" i="34"/>
  <c r="N49" i="34"/>
  <c r="N53" i="34"/>
  <c r="N54" i="34"/>
  <c r="M50" i="34"/>
  <c r="T68" i="34"/>
  <c r="E34" i="2"/>
  <c r="E29" i="31" s="1"/>
  <c r="E29" i="33" s="1"/>
  <c r="R62" i="33" s="1"/>
  <c r="H34" i="34"/>
  <c r="E14" i="2"/>
  <c r="E21" i="2" s="1"/>
  <c r="H14" i="34"/>
  <c r="D34" i="2"/>
  <c r="G34" i="34"/>
  <c r="E39" i="2"/>
  <c r="E34" i="31" s="1"/>
  <c r="E34" i="33" s="1"/>
  <c r="R67" i="33" s="1"/>
  <c r="H39" i="34"/>
  <c r="E40" i="2"/>
  <c r="E35" i="31" s="1"/>
  <c r="E35" i="33" s="1"/>
  <c r="R68" i="33" s="1"/>
  <c r="H40" i="34"/>
  <c r="E12" i="2"/>
  <c r="E17" i="2" s="1"/>
  <c r="H12" i="34"/>
  <c r="E38" i="2"/>
  <c r="E33" i="31" s="1"/>
  <c r="E33" i="33" s="1"/>
  <c r="R66" i="33" s="1"/>
  <c r="H38" i="34"/>
  <c r="D20" i="2"/>
  <c r="D32" i="2" s="1"/>
  <c r="G20" i="34"/>
  <c r="G32" i="34" s="1"/>
  <c r="C22" i="2"/>
  <c r="D3" i="34" s="1"/>
  <c r="P43" i="34" s="1"/>
  <c r="R62" i="34"/>
  <c r="F22" i="34"/>
  <c r="E13" i="2"/>
  <c r="E8" i="31" s="1"/>
  <c r="E8" i="33" s="1"/>
  <c r="R41" i="33" s="1"/>
  <c r="H13" i="34"/>
  <c r="E11" i="2"/>
  <c r="H11" i="34"/>
  <c r="D15" i="2"/>
  <c r="G15" i="34"/>
  <c r="G27" i="34" s="1"/>
  <c r="D9" i="2"/>
  <c r="D4" i="31" s="1"/>
  <c r="D4" i="33" s="1"/>
  <c r="Q37" i="33" s="1"/>
  <c r="G9" i="34"/>
  <c r="M43" i="34" s="1"/>
  <c r="D10" i="2"/>
  <c r="D22" i="2" s="1"/>
  <c r="G10" i="34"/>
  <c r="G22" i="34" s="1"/>
  <c r="E9" i="2"/>
  <c r="E4" i="31" s="1"/>
  <c r="E4" i="33" s="1"/>
  <c r="R37" i="33" s="1"/>
  <c r="H9" i="34"/>
  <c r="E10" i="2"/>
  <c r="E5" i="31" s="1"/>
  <c r="E5" i="33" s="1"/>
  <c r="R38" i="33" s="1"/>
  <c r="H10" i="34"/>
  <c r="E37" i="2"/>
  <c r="E32" i="31" s="1"/>
  <c r="E32" i="33" s="1"/>
  <c r="R65" i="33" s="1"/>
  <c r="H37" i="34"/>
  <c r="D35" i="2"/>
  <c r="D30" i="31" s="1"/>
  <c r="D30" i="33" s="1"/>
  <c r="Q63" i="33" s="1"/>
  <c r="G35" i="34"/>
  <c r="C10" i="2"/>
  <c r="C3" i="34" s="1"/>
  <c r="O43" i="34" s="1"/>
  <c r="F10" i="34"/>
  <c r="R58" i="34"/>
  <c r="E36" i="2"/>
  <c r="E31" i="31" s="1"/>
  <c r="E31" i="33" s="1"/>
  <c r="R64" i="33" s="1"/>
  <c r="H36" i="34"/>
  <c r="E35" i="2"/>
  <c r="E30" i="31" s="1"/>
  <c r="E30" i="33" s="1"/>
  <c r="R63" i="33" s="1"/>
  <c r="H35" i="34"/>
  <c r="L5" i="31"/>
  <c r="E6" i="31"/>
  <c r="E6" i="33" s="1"/>
  <c r="R39" i="33" s="1"/>
  <c r="D29" i="31"/>
  <c r="D29" i="33" s="1"/>
  <c r="Q62" i="33" s="1"/>
  <c r="L9" i="31"/>
  <c r="C5" i="31"/>
  <c r="C5" i="33" s="1"/>
  <c r="P38" i="33" s="1"/>
  <c r="L4" i="31"/>
  <c r="M4" i="33" s="1"/>
  <c r="Q4" i="2"/>
  <c r="Q3" i="31"/>
  <c r="L14" i="2"/>
  <c r="L33" i="2" s="1"/>
  <c r="K33" i="34" s="1"/>
  <c r="L39" i="2"/>
  <c r="K39" i="34" s="1"/>
  <c r="L32" i="2"/>
  <c r="K32" i="34" s="1"/>
  <c r="L11" i="2"/>
  <c r="K11" i="34" s="1"/>
  <c r="L23" i="2"/>
  <c r="K23" i="34" s="1"/>
  <c r="L18" i="2"/>
  <c r="K18" i="34" s="1"/>
  <c r="L27" i="2"/>
  <c r="K27" i="34" s="1"/>
  <c r="L20" i="2"/>
  <c r="K20" i="34" s="1"/>
  <c r="L34" i="2"/>
  <c r="K34" i="34" s="1"/>
  <c r="L12" i="2"/>
  <c r="K12" i="34" s="1"/>
  <c r="L35" i="2"/>
  <c r="K35" i="34" s="1"/>
  <c r="L15" i="2"/>
  <c r="K15" i="34" s="1"/>
  <c r="L17" i="2"/>
  <c r="K17" i="34" s="1"/>
  <c r="L38" i="2"/>
  <c r="K38" i="34" s="1"/>
  <c r="L40" i="2"/>
  <c r="K40" i="34" s="1"/>
  <c r="L24" i="2"/>
  <c r="K24" i="34" s="1"/>
  <c r="L13" i="2"/>
  <c r="K13" i="34" s="1"/>
  <c r="L36" i="2"/>
  <c r="K36" i="34" s="1"/>
  <c r="L25" i="2"/>
  <c r="K25" i="34" s="1"/>
  <c r="L16" i="2"/>
  <c r="K16" i="34" s="1"/>
  <c r="L29" i="2"/>
  <c r="K29" i="34" s="1"/>
  <c r="L28" i="2"/>
  <c r="K28" i="34" s="1"/>
  <c r="L22" i="2"/>
  <c r="K22" i="34" s="1"/>
  <c r="L30" i="2"/>
  <c r="K30" i="34" s="1"/>
  <c r="L37" i="2"/>
  <c r="K37" i="34" s="1"/>
  <c r="E16" i="2"/>
  <c r="E23" i="2"/>
  <c r="X35" i="5"/>
  <c r="X34" i="5"/>
  <c r="X33" i="5"/>
  <c r="X32" i="5"/>
  <c r="X31" i="5"/>
  <c r="X30" i="5"/>
  <c r="X29" i="5"/>
  <c r="X28" i="5"/>
  <c r="X27" i="5"/>
  <c r="X26" i="5"/>
  <c r="X25" i="5"/>
  <c r="X24" i="5"/>
  <c r="X23" i="5"/>
  <c r="X22" i="5"/>
  <c r="X21" i="5"/>
  <c r="X20" i="5"/>
  <c r="X19" i="5"/>
  <c r="X18" i="5"/>
  <c r="X17" i="5"/>
  <c r="X39" i="5"/>
  <c r="D5" i="31" l="1"/>
  <c r="D5" i="33" s="1"/>
  <c r="Q38" i="33" s="1"/>
  <c r="E18" i="2"/>
  <c r="E25" i="2"/>
  <c r="E20" i="2"/>
  <c r="L21" i="2"/>
  <c r="K21" i="34" s="1"/>
  <c r="E19" i="2"/>
  <c r="E26" i="2"/>
  <c r="E21" i="31" s="1"/>
  <c r="E21" i="33" s="1"/>
  <c r="R54" i="33" s="1"/>
  <c r="E7" i="31"/>
  <c r="E7" i="33" s="1"/>
  <c r="R40" i="33" s="1"/>
  <c r="E24" i="2"/>
  <c r="D15" i="31"/>
  <c r="D15" i="33" s="1"/>
  <c r="Q48" i="33" s="1"/>
  <c r="E9" i="31"/>
  <c r="E9" i="33" s="1"/>
  <c r="R42" i="33" s="1"/>
  <c r="C17" i="31"/>
  <c r="C17" i="33" s="1"/>
  <c r="P50" i="33" s="1"/>
  <c r="L33" i="31"/>
  <c r="M33" i="33" s="1"/>
  <c r="M5" i="33"/>
  <c r="L26" i="31"/>
  <c r="M26" i="33" s="1"/>
  <c r="M9" i="33"/>
  <c r="D10" i="31"/>
  <c r="D10" i="33" s="1"/>
  <c r="Q43" i="33" s="1"/>
  <c r="H23" i="34"/>
  <c r="H16" i="34"/>
  <c r="H28" i="34" s="1"/>
  <c r="E22" i="2"/>
  <c r="E17" i="31" s="1"/>
  <c r="E17" i="33" s="1"/>
  <c r="R50" i="33" s="1"/>
  <c r="D27" i="2"/>
  <c r="D22" i="31" s="1"/>
  <c r="D22" i="33" s="1"/>
  <c r="Q55" i="33" s="1"/>
  <c r="E15" i="2"/>
  <c r="H20" i="34"/>
  <c r="H32" i="34" s="1"/>
  <c r="H25" i="34"/>
  <c r="H18" i="34"/>
  <c r="H30" i="34" s="1"/>
  <c r="H24" i="34"/>
  <c r="H17" i="34"/>
  <c r="H29" i="34" s="1"/>
  <c r="H21" i="34"/>
  <c r="H33" i="34" s="1"/>
  <c r="H19" i="34"/>
  <c r="H31" i="34" s="1"/>
  <c r="H26" i="34"/>
  <c r="H15" i="34"/>
  <c r="H27" i="34" s="1"/>
  <c r="H22" i="34"/>
  <c r="L31" i="2"/>
  <c r="K31" i="34" s="1"/>
  <c r="K14" i="34"/>
  <c r="L27" i="31"/>
  <c r="M27" i="33" s="1"/>
  <c r="L19" i="31"/>
  <c r="M19" i="33" s="1"/>
  <c r="L17" i="31"/>
  <c r="M17" i="33" s="1"/>
  <c r="L8" i="31"/>
  <c r="M8" i="33" s="1"/>
  <c r="L23" i="31"/>
  <c r="M23" i="33" s="1"/>
  <c r="L28" i="31"/>
  <c r="M28" i="33" s="1"/>
  <c r="L10" i="31"/>
  <c r="M10" i="33" s="1"/>
  <c r="L24" i="31"/>
  <c r="M24" i="33" s="1"/>
  <c r="L30" i="31"/>
  <c r="M30" i="33" s="1"/>
  <c r="L15" i="31"/>
  <c r="M15" i="33" s="1"/>
  <c r="L7" i="31"/>
  <c r="M7" i="33" s="1"/>
  <c r="L31" i="31"/>
  <c r="M31" i="33" s="1"/>
  <c r="L25" i="31"/>
  <c r="M25" i="33" s="1"/>
  <c r="L18" i="31"/>
  <c r="M18" i="33" s="1"/>
  <c r="L11" i="31"/>
  <c r="M11" i="33" s="1"/>
  <c r="L35" i="31"/>
  <c r="M35" i="33" s="1"/>
  <c r="L29" i="31"/>
  <c r="M29" i="33" s="1"/>
  <c r="L22" i="31"/>
  <c r="M22" i="33" s="1"/>
  <c r="L21" i="31"/>
  <c r="M21" i="33" s="1"/>
  <c r="L34" i="31"/>
  <c r="M34" i="33" s="1"/>
  <c r="L20" i="31"/>
  <c r="M20" i="33" s="1"/>
  <c r="L32" i="31"/>
  <c r="M32" i="33" s="1"/>
  <c r="L14" i="31"/>
  <c r="M14" i="33" s="1"/>
  <c r="L6" i="31"/>
  <c r="M6" i="33" s="1"/>
  <c r="L13" i="31"/>
  <c r="M13" i="33" s="1"/>
  <c r="L12" i="31"/>
  <c r="M12" i="33" s="1"/>
  <c r="L16" i="31"/>
  <c r="M16" i="33" s="1"/>
  <c r="E18" i="31"/>
  <c r="E18" i="33" s="1"/>
  <c r="R51" i="33" s="1"/>
  <c r="D27" i="31"/>
  <c r="D27" i="33" s="1"/>
  <c r="Q60" i="33" s="1"/>
  <c r="D17" i="31"/>
  <c r="D17" i="33" s="1"/>
  <c r="Q50" i="33" s="1"/>
  <c r="E20" i="31"/>
  <c r="E20" i="33" s="1"/>
  <c r="R53" i="33" s="1"/>
  <c r="E19" i="31"/>
  <c r="E19" i="33" s="1"/>
  <c r="R52" i="33" s="1"/>
  <c r="L26" i="2"/>
  <c r="K26" i="34" s="1"/>
  <c r="L19" i="2"/>
  <c r="K19" i="34" s="1"/>
  <c r="E29" i="2"/>
  <c r="E12" i="31"/>
  <c r="E12" i="33" s="1"/>
  <c r="R45" i="33" s="1"/>
  <c r="E27" i="2"/>
  <c r="E10" i="31"/>
  <c r="E10" i="33" s="1"/>
  <c r="R43" i="33" s="1"/>
  <c r="E28" i="2"/>
  <c r="E11" i="31"/>
  <c r="E11" i="33" s="1"/>
  <c r="R44" i="33" s="1"/>
  <c r="E33" i="2"/>
  <c r="E16" i="31"/>
  <c r="E16" i="33" s="1"/>
  <c r="R49" i="33" s="1"/>
  <c r="E30" i="2"/>
  <c r="E13" i="31"/>
  <c r="E13" i="33" s="1"/>
  <c r="R46" i="33" s="1"/>
  <c r="E31" i="2"/>
  <c r="E14" i="31"/>
  <c r="E14" i="33" s="1"/>
  <c r="R47" i="33" s="1"/>
  <c r="E32" i="2"/>
  <c r="E15" i="31"/>
  <c r="E15" i="33" s="1"/>
  <c r="R48" i="33" s="1"/>
  <c r="U43" i="5"/>
  <c r="T43" i="5"/>
  <c r="S43" i="5"/>
  <c r="U42" i="5"/>
  <c r="T42" i="5"/>
  <c r="S42" i="5"/>
  <c r="V43" i="5"/>
  <c r="V42" i="5"/>
  <c r="J35" i="5"/>
  <c r="I35" i="5"/>
  <c r="H35" i="5"/>
  <c r="G35" i="5"/>
  <c r="J34" i="5"/>
  <c r="I34" i="5"/>
  <c r="H34" i="5"/>
  <c r="G34" i="5"/>
  <c r="J33" i="5"/>
  <c r="I33" i="5"/>
  <c r="H33" i="5"/>
  <c r="G33" i="5"/>
  <c r="J32" i="5"/>
  <c r="I32" i="5"/>
  <c r="H32" i="5"/>
  <c r="G32" i="5"/>
  <c r="J31" i="5"/>
  <c r="I31" i="5"/>
  <c r="H31" i="5"/>
  <c r="G31" i="5"/>
  <c r="J30" i="5"/>
  <c r="I30" i="5"/>
  <c r="H30" i="5"/>
  <c r="G30" i="5"/>
  <c r="J29" i="5"/>
  <c r="I29" i="5"/>
  <c r="H29" i="5"/>
  <c r="G29" i="5"/>
  <c r="J28" i="5"/>
  <c r="I28" i="5"/>
  <c r="H28" i="5"/>
  <c r="G28" i="5"/>
  <c r="J27" i="5"/>
  <c r="I27" i="5"/>
  <c r="H27" i="5"/>
  <c r="G27" i="5"/>
  <c r="J26" i="5"/>
  <c r="I26" i="5"/>
  <c r="H26" i="5"/>
  <c r="G26" i="5"/>
  <c r="J25" i="5"/>
  <c r="I25" i="5"/>
  <c r="H25" i="5"/>
  <c r="G25" i="5"/>
  <c r="J24" i="5"/>
  <c r="I24" i="5"/>
  <c r="H24" i="5"/>
  <c r="G24" i="5"/>
  <c r="J23" i="5"/>
  <c r="I23" i="5"/>
  <c r="H23" i="5"/>
  <c r="G23" i="5"/>
  <c r="J22" i="5"/>
  <c r="I22" i="5"/>
  <c r="H22" i="5"/>
  <c r="G22" i="5"/>
  <c r="J21" i="5"/>
  <c r="I21" i="5"/>
  <c r="H21" i="5"/>
  <c r="G21" i="5"/>
  <c r="J20" i="5"/>
  <c r="I20" i="5"/>
  <c r="H20" i="5"/>
  <c r="G20" i="5"/>
  <c r="J19" i="5"/>
  <c r="I19" i="5"/>
  <c r="H19" i="5"/>
  <c r="G19" i="5"/>
  <c r="J18" i="5"/>
  <c r="I18" i="5"/>
  <c r="H18" i="5"/>
  <c r="G18" i="5"/>
  <c r="J17" i="5"/>
  <c r="I17" i="5"/>
  <c r="H17" i="5"/>
  <c r="G17" i="5"/>
  <c r="J16" i="5"/>
  <c r="I16" i="5"/>
  <c r="H16" i="5"/>
  <c r="G16" i="5"/>
  <c r="J15" i="5"/>
  <c r="I15" i="5"/>
  <c r="H15" i="5"/>
  <c r="G15" i="5"/>
  <c r="J14" i="5"/>
  <c r="I14" i="5"/>
  <c r="H14" i="5"/>
  <c r="G14" i="5"/>
  <c r="J13" i="5"/>
  <c r="I13" i="5"/>
  <c r="H13" i="5"/>
  <c r="G13" i="5"/>
  <c r="J12" i="5"/>
  <c r="I12" i="5"/>
  <c r="H12" i="5"/>
  <c r="G12" i="5"/>
  <c r="J11" i="5"/>
  <c r="I11" i="5"/>
  <c r="H11" i="5"/>
  <c r="G11" i="5"/>
  <c r="J10" i="5"/>
  <c r="I10" i="5"/>
  <c r="H10" i="5"/>
  <c r="G10" i="5"/>
  <c r="J9" i="5"/>
  <c r="I9" i="5"/>
  <c r="H9" i="5"/>
  <c r="G9" i="5"/>
  <c r="J8" i="5"/>
  <c r="I8" i="5"/>
  <c r="H8" i="5"/>
  <c r="G8" i="5"/>
  <c r="J7" i="5"/>
  <c r="I7" i="5"/>
  <c r="H7" i="5"/>
  <c r="G7" i="5"/>
  <c r="J6" i="5"/>
  <c r="I6" i="5"/>
  <c r="H6" i="5"/>
  <c r="G6" i="5"/>
  <c r="J5" i="5"/>
  <c r="I5" i="5"/>
  <c r="H5" i="5"/>
  <c r="G5" i="5"/>
  <c r="E25" i="31" l="1"/>
  <c r="E25" i="33" s="1"/>
  <c r="R58" i="33" s="1"/>
  <c r="E28" i="31"/>
  <c r="E28" i="33" s="1"/>
  <c r="R61" i="33" s="1"/>
  <c r="E24" i="31"/>
  <c r="E24" i="33" s="1"/>
  <c r="R57" i="33" s="1"/>
  <c r="E27" i="31"/>
  <c r="E27" i="33" s="1"/>
  <c r="R60" i="33" s="1"/>
  <c r="E23" i="31"/>
  <c r="E23" i="33" s="1"/>
  <c r="R56" i="33" s="1"/>
  <c r="E26" i="31"/>
  <c r="E26" i="33" s="1"/>
  <c r="R59" i="33" s="1"/>
  <c r="E22" i="31"/>
  <c r="E22" i="33" s="1"/>
  <c r="R55" i="33" s="1"/>
  <c r="J9" i="2"/>
  <c r="J4" i="31" s="1"/>
  <c r="I9" i="2"/>
  <c r="H9" i="2"/>
  <c r="G9" i="2"/>
  <c r="G4" i="31" s="1"/>
  <c r="J3" i="5"/>
  <c r="P3" i="5" s="1"/>
  <c r="V3" i="5" s="1"/>
  <c r="AB3" i="5" s="1"/>
  <c r="AH3" i="5" s="1"/>
  <c r="AN3" i="5" s="1"/>
  <c r="I3" i="5"/>
  <c r="O3" i="5" s="1"/>
  <c r="U3" i="5" s="1"/>
  <c r="AA3" i="5" s="1"/>
  <c r="AG3" i="5" s="1"/>
  <c r="AM3" i="5" s="1"/>
  <c r="H3" i="5"/>
  <c r="N3" i="5" s="1"/>
  <c r="T3" i="5" s="1"/>
  <c r="Z3" i="5" s="1"/>
  <c r="AF3" i="5" s="1"/>
  <c r="AL3" i="5" s="1"/>
  <c r="G3" i="5"/>
  <c r="M3" i="5" s="1"/>
  <c r="S3" i="5" s="1"/>
  <c r="Y3" i="5" s="1"/>
  <c r="AE3" i="5" s="1"/>
  <c r="AK3" i="5" s="1"/>
  <c r="J36" i="7"/>
  <c r="I36" i="7"/>
  <c r="H36" i="7"/>
  <c r="G36" i="7"/>
  <c r="J35" i="7"/>
  <c r="I35" i="7"/>
  <c r="H35" i="7"/>
  <c r="G35" i="7"/>
  <c r="J34" i="7"/>
  <c r="I34" i="7"/>
  <c r="H34" i="7"/>
  <c r="G34" i="7"/>
  <c r="J33" i="7"/>
  <c r="I33" i="7"/>
  <c r="H33" i="7"/>
  <c r="G33" i="7"/>
  <c r="J32" i="7"/>
  <c r="I32" i="7"/>
  <c r="H32" i="7"/>
  <c r="G32" i="7"/>
  <c r="J31" i="7"/>
  <c r="I31" i="7"/>
  <c r="H31" i="7"/>
  <c r="G31" i="7"/>
  <c r="J30" i="7"/>
  <c r="I30" i="7"/>
  <c r="H30" i="7"/>
  <c r="G30" i="7"/>
  <c r="J29" i="7"/>
  <c r="I29" i="7"/>
  <c r="H29" i="7"/>
  <c r="G29" i="7"/>
  <c r="J28" i="7"/>
  <c r="I28" i="7"/>
  <c r="H28" i="7"/>
  <c r="G28" i="7"/>
  <c r="J27" i="7"/>
  <c r="I27" i="7"/>
  <c r="H27" i="7"/>
  <c r="G27" i="7"/>
  <c r="J26" i="7"/>
  <c r="I26" i="7"/>
  <c r="H26" i="7"/>
  <c r="G26" i="7"/>
  <c r="J25" i="7"/>
  <c r="I25" i="7"/>
  <c r="H25" i="7"/>
  <c r="G25" i="7"/>
  <c r="J24" i="7"/>
  <c r="I24" i="7"/>
  <c r="H24" i="7"/>
  <c r="G24" i="7"/>
  <c r="J23" i="7"/>
  <c r="I23" i="7"/>
  <c r="H23" i="7"/>
  <c r="G23" i="7"/>
  <c r="J22" i="7"/>
  <c r="I22" i="7"/>
  <c r="H22" i="7"/>
  <c r="G22" i="7"/>
  <c r="J21" i="7"/>
  <c r="I21" i="7"/>
  <c r="H21" i="7"/>
  <c r="G21" i="7"/>
  <c r="J20" i="7"/>
  <c r="I20" i="7"/>
  <c r="H20" i="7"/>
  <c r="G20" i="7"/>
  <c r="J19" i="7"/>
  <c r="I19" i="7"/>
  <c r="H19" i="7"/>
  <c r="G19" i="7"/>
  <c r="J18" i="7"/>
  <c r="I18" i="7"/>
  <c r="H18" i="7"/>
  <c r="G18" i="7"/>
  <c r="J17" i="7"/>
  <c r="I17" i="7"/>
  <c r="H17" i="7"/>
  <c r="G17" i="7"/>
  <c r="J16" i="7"/>
  <c r="I16" i="7"/>
  <c r="H16" i="7"/>
  <c r="G16" i="7"/>
  <c r="J15" i="7"/>
  <c r="I15" i="7"/>
  <c r="H15" i="7"/>
  <c r="G15" i="7"/>
  <c r="J14" i="7"/>
  <c r="I14" i="7"/>
  <c r="H14" i="7"/>
  <c r="G14" i="7"/>
  <c r="J13" i="7"/>
  <c r="I13" i="7"/>
  <c r="H13" i="7"/>
  <c r="G13" i="7"/>
  <c r="J12" i="7"/>
  <c r="I12" i="7"/>
  <c r="H12" i="7"/>
  <c r="G12" i="7"/>
  <c r="J11" i="7"/>
  <c r="I11" i="7"/>
  <c r="H11" i="7"/>
  <c r="G11" i="7"/>
  <c r="J10" i="7"/>
  <c r="I10" i="7"/>
  <c r="H10" i="7"/>
  <c r="G10" i="7"/>
  <c r="J9" i="7"/>
  <c r="I9" i="7"/>
  <c r="H9" i="7"/>
  <c r="G9" i="7"/>
  <c r="J8" i="7"/>
  <c r="I8" i="7"/>
  <c r="H8" i="7"/>
  <c r="G8" i="7"/>
  <c r="J7" i="7"/>
  <c r="I7" i="7"/>
  <c r="H7" i="7"/>
  <c r="G7" i="7"/>
  <c r="J6" i="7"/>
  <c r="I6" i="7"/>
  <c r="H6" i="7"/>
  <c r="J4" i="7"/>
  <c r="G4" i="7"/>
  <c r="L4" i="7" s="1"/>
  <c r="G6" i="7"/>
  <c r="H4" i="7" l="1"/>
  <c r="H4" i="31"/>
  <c r="I4" i="7"/>
  <c r="I4" i="31"/>
  <c r="B9" i="6"/>
  <c r="B8" i="6"/>
  <c r="B7" i="6"/>
  <c r="G26" i="10" l="1"/>
  <c r="B31" i="17"/>
  <c r="B29" i="17"/>
  <c r="C28" i="17"/>
  <c r="B28" i="17"/>
  <c r="B27" i="17"/>
  <c r="B26" i="17"/>
  <c r="C25" i="17"/>
  <c r="B25" i="17"/>
  <c r="B23" i="17"/>
  <c r="C22" i="17"/>
  <c r="B22" i="17"/>
  <c r="B21" i="17"/>
  <c r="E18" i="11"/>
  <c r="E17" i="11"/>
  <c r="E16" i="11"/>
  <c r="E15" i="11"/>
  <c r="E14" i="11"/>
  <c r="E13" i="11"/>
  <c r="E12" i="11"/>
  <c r="E7" i="11"/>
  <c r="E6" i="11"/>
  <c r="O46" i="7"/>
  <c r="O45" i="7"/>
  <c r="O44" i="7"/>
  <c r="O43" i="7"/>
  <c r="O42" i="7"/>
  <c r="O41" i="7"/>
  <c r="O40" i="7"/>
  <c r="L11" i="7" l="1"/>
  <c r="C8" i="17" l="1"/>
  <c r="C11" i="17"/>
  <c r="C14" i="17"/>
  <c r="A2" i="13"/>
  <c r="C26" i="17" l="1"/>
  <c r="C29" i="17"/>
  <c r="C23" i="17"/>
  <c r="U60" i="7" l="1"/>
  <c r="U59" i="7"/>
  <c r="U58" i="7"/>
  <c r="U57" i="7"/>
  <c r="U56" i="7"/>
  <c r="U55" i="7"/>
  <c r="U54" i="7"/>
  <c r="U53" i="7"/>
  <c r="U52" i="7"/>
  <c r="U51" i="7"/>
  <c r="P46" i="7"/>
  <c r="P45" i="7"/>
  <c r="P44" i="7"/>
  <c r="P43" i="7"/>
  <c r="P42" i="7"/>
  <c r="P41" i="7"/>
  <c r="P40" i="7"/>
  <c r="U50" i="7"/>
  <c r="T50" i="7"/>
  <c r="L43" i="21"/>
  <c r="L41" i="21"/>
  <c r="O37" i="21"/>
  <c r="L39" i="21"/>
  <c r="L37" i="21"/>
  <c r="T3" i="21"/>
  <c r="Q3" i="21"/>
  <c r="O3" i="21"/>
  <c r="O4" i="21"/>
  <c r="L3" i="21"/>
  <c r="F4" i="21"/>
  <c r="O44" i="20"/>
  <c r="O43" i="20"/>
  <c r="O42" i="20"/>
  <c r="O41" i="20"/>
  <c r="O40" i="20"/>
  <c r="O39" i="20"/>
  <c r="O38" i="20"/>
  <c r="O37" i="20"/>
  <c r="O36" i="20"/>
  <c r="O35" i="20"/>
  <c r="O34" i="20"/>
  <c r="O33" i="20"/>
  <c r="O32" i="20"/>
  <c r="O31" i="20"/>
  <c r="O30" i="20"/>
  <c r="O29" i="20"/>
  <c r="O28" i="20"/>
  <c r="O27" i="20"/>
  <c r="O26" i="20"/>
  <c r="O25" i="20"/>
  <c r="O24" i="20"/>
  <c r="O23" i="20"/>
  <c r="O22" i="20"/>
  <c r="O21" i="20"/>
  <c r="O20" i="20"/>
  <c r="O19" i="20"/>
  <c r="O18" i="20"/>
  <c r="O17" i="20"/>
  <c r="O16" i="20"/>
  <c r="O15" i="20"/>
  <c r="O14" i="20"/>
  <c r="O12" i="20"/>
  <c r="M12" i="20"/>
  <c r="K12" i="20"/>
  <c r="H12" i="20"/>
  <c r="H44" i="20"/>
  <c r="H43" i="20"/>
  <c r="H42" i="20"/>
  <c r="H41" i="20"/>
  <c r="H40" i="20"/>
  <c r="H39" i="20"/>
  <c r="H38" i="20"/>
  <c r="H37" i="20"/>
  <c r="H36" i="20"/>
  <c r="H35" i="20"/>
  <c r="H34" i="20"/>
  <c r="H33" i="20"/>
  <c r="H32" i="20"/>
  <c r="H31" i="20"/>
  <c r="H30" i="20"/>
  <c r="H29" i="20"/>
  <c r="H28" i="20"/>
  <c r="H27" i="20"/>
  <c r="H26" i="20"/>
  <c r="H25" i="20"/>
  <c r="H24" i="20"/>
  <c r="H23" i="20"/>
  <c r="H22" i="20"/>
  <c r="H21" i="20"/>
  <c r="H20" i="20"/>
  <c r="H19" i="20"/>
  <c r="H18" i="20"/>
  <c r="H17" i="20"/>
  <c r="H16" i="20"/>
  <c r="H15" i="20"/>
  <c r="H14" i="20"/>
  <c r="C3" i="20"/>
  <c r="B10" i="20"/>
  <c r="B9" i="20"/>
  <c r="B8" i="20"/>
  <c r="B7" i="20"/>
  <c r="B6" i="20"/>
  <c r="B5" i="20"/>
  <c r="B4" i="20"/>
  <c r="B3" i="20"/>
  <c r="A7" i="20"/>
  <c r="A4" i="20"/>
  <c r="A2" i="20"/>
  <c r="W23" i="12"/>
  <c r="W22" i="12"/>
  <c r="W21" i="12"/>
  <c r="W20" i="12"/>
  <c r="W19" i="12"/>
  <c r="W18" i="12"/>
  <c r="W17" i="12"/>
  <c r="W16" i="12"/>
  <c r="U15" i="12"/>
  <c r="P2" i="12"/>
  <c r="B9" i="12"/>
  <c r="O37" i="19"/>
  <c r="L43" i="19"/>
  <c r="L41" i="19"/>
  <c r="L39" i="19"/>
  <c r="L37" i="19"/>
  <c r="O4" i="19"/>
  <c r="O3" i="19"/>
  <c r="Q3" i="19"/>
  <c r="T3" i="19"/>
  <c r="L3" i="19"/>
  <c r="F4" i="19"/>
  <c r="C3" i="18"/>
  <c r="A7" i="18"/>
  <c r="A4" i="18"/>
  <c r="B10" i="18"/>
  <c r="B9" i="18"/>
  <c r="B8" i="18"/>
  <c r="B7" i="18"/>
  <c r="B6" i="18"/>
  <c r="B5" i="18"/>
  <c r="B4" i="18"/>
  <c r="B3" i="18"/>
  <c r="A2" i="18"/>
  <c r="H44" i="18"/>
  <c r="H43" i="18"/>
  <c r="H42" i="18"/>
  <c r="H41" i="18"/>
  <c r="H40" i="18"/>
  <c r="H39" i="18"/>
  <c r="H38" i="18"/>
  <c r="H37" i="18"/>
  <c r="H36" i="18"/>
  <c r="H35" i="18"/>
  <c r="H34" i="18"/>
  <c r="H33" i="18"/>
  <c r="H32" i="18"/>
  <c r="H31" i="18"/>
  <c r="H30" i="18"/>
  <c r="H29" i="18"/>
  <c r="H28" i="18"/>
  <c r="H27" i="18"/>
  <c r="H26" i="18"/>
  <c r="H25" i="18"/>
  <c r="H24" i="18"/>
  <c r="H23" i="18"/>
  <c r="H22" i="18"/>
  <c r="H21" i="18"/>
  <c r="H20" i="18"/>
  <c r="H19" i="18"/>
  <c r="H18" i="18"/>
  <c r="H17" i="18"/>
  <c r="H16" i="18"/>
  <c r="H15" i="18"/>
  <c r="H14" i="18"/>
  <c r="O44" i="18"/>
  <c r="O43" i="18"/>
  <c r="O42" i="18"/>
  <c r="O41" i="18"/>
  <c r="O40" i="18"/>
  <c r="O39" i="18"/>
  <c r="O38" i="18"/>
  <c r="O37" i="18"/>
  <c r="O36" i="18"/>
  <c r="O35" i="18"/>
  <c r="O34" i="18"/>
  <c r="O33" i="18"/>
  <c r="O32" i="18"/>
  <c r="O31" i="18"/>
  <c r="O30" i="18"/>
  <c r="O29" i="18"/>
  <c r="O28" i="18"/>
  <c r="O27" i="18"/>
  <c r="O26" i="18"/>
  <c r="O25" i="18"/>
  <c r="O24" i="18"/>
  <c r="O23" i="18"/>
  <c r="O22" i="18"/>
  <c r="O21" i="18"/>
  <c r="O20" i="18"/>
  <c r="O19" i="18"/>
  <c r="O18" i="18"/>
  <c r="O17" i="18"/>
  <c r="O16" i="18"/>
  <c r="O15" i="18"/>
  <c r="O14" i="18"/>
  <c r="O12" i="18"/>
  <c r="M12" i="18"/>
  <c r="K12" i="18"/>
  <c r="H12" i="18"/>
  <c r="W23" i="16"/>
  <c r="W22" i="16"/>
  <c r="W21" i="16"/>
  <c r="W20" i="16"/>
  <c r="W19" i="16"/>
  <c r="W18" i="16"/>
  <c r="W17" i="16"/>
  <c r="W16" i="16"/>
  <c r="U15" i="16"/>
  <c r="B9" i="16"/>
  <c r="P2" i="16"/>
  <c r="B2" i="16"/>
  <c r="B2" i="12" s="1"/>
  <c r="E36" i="23"/>
  <c r="E35" i="23"/>
  <c r="E34" i="23"/>
  <c r="E33" i="23"/>
  <c r="E32" i="23"/>
  <c r="E31" i="23"/>
  <c r="E30" i="23"/>
  <c r="E29" i="23"/>
  <c r="E28" i="23"/>
  <c r="E27" i="23"/>
  <c r="E26" i="23"/>
  <c r="E25" i="23"/>
  <c r="E24" i="23"/>
  <c r="E23" i="23"/>
  <c r="E22" i="23"/>
  <c r="E21" i="23"/>
  <c r="E20" i="23"/>
  <c r="E19" i="23"/>
  <c r="E18" i="23"/>
  <c r="E17" i="23"/>
  <c r="E16" i="23"/>
  <c r="E15" i="23"/>
  <c r="E14" i="23"/>
  <c r="E13" i="23"/>
  <c r="E12" i="23"/>
  <c r="E11" i="23"/>
  <c r="E10" i="23"/>
  <c r="E9" i="23"/>
  <c r="E8" i="23"/>
  <c r="E7" i="23"/>
  <c r="E6" i="23"/>
  <c r="A7" i="13"/>
  <c r="A4" i="13"/>
  <c r="B10" i="13"/>
  <c r="B9" i="13"/>
  <c r="B8" i="13"/>
  <c r="B7" i="13"/>
  <c r="B6" i="13"/>
  <c r="B5" i="13"/>
  <c r="B4" i="13"/>
  <c r="B3" i="13"/>
  <c r="B17" i="5"/>
  <c r="B17" i="21" s="1"/>
  <c r="B5" i="5"/>
  <c r="B5" i="19" s="1"/>
  <c r="B5" i="9" s="1"/>
  <c r="L3" i="5"/>
  <c r="I3" i="21" s="1"/>
  <c r="X37" i="5"/>
  <c r="L35" i="5"/>
  <c r="I35" i="21" s="1"/>
  <c r="L34" i="5"/>
  <c r="I34" i="21" s="1"/>
  <c r="L33" i="5"/>
  <c r="I33" i="21" s="1"/>
  <c r="L32" i="5"/>
  <c r="I32" i="19" s="1"/>
  <c r="L31" i="5"/>
  <c r="I31" i="19" s="1"/>
  <c r="L30" i="5"/>
  <c r="I30" i="21" s="1"/>
  <c r="L29" i="5"/>
  <c r="I29" i="21" s="1"/>
  <c r="L28" i="5"/>
  <c r="I28" i="21" s="1"/>
  <c r="L27" i="5"/>
  <c r="I27" i="21" s="1"/>
  <c r="L26" i="5"/>
  <c r="I26" i="21" s="1"/>
  <c r="L25" i="5"/>
  <c r="I25" i="21" s="1"/>
  <c r="L24" i="5"/>
  <c r="I24" i="19" s="1"/>
  <c r="L23" i="5"/>
  <c r="I23" i="19" s="1"/>
  <c r="L22" i="5"/>
  <c r="I22" i="21" s="1"/>
  <c r="L21" i="5"/>
  <c r="I21" i="21" s="1"/>
  <c r="L20" i="5"/>
  <c r="I20" i="21" s="1"/>
  <c r="L19" i="5"/>
  <c r="I19" i="21" s="1"/>
  <c r="L18" i="5"/>
  <c r="I18" i="21" s="1"/>
  <c r="L17" i="5"/>
  <c r="I17" i="21" s="1"/>
  <c r="L16" i="5"/>
  <c r="I16" i="19" s="1"/>
  <c r="L15" i="5"/>
  <c r="I15" i="19" s="1"/>
  <c r="L14" i="5"/>
  <c r="I14" i="21" s="1"/>
  <c r="L13" i="5"/>
  <c r="I13" i="21" s="1"/>
  <c r="L12" i="5"/>
  <c r="I12" i="21" s="1"/>
  <c r="L11" i="5"/>
  <c r="I11" i="21" s="1"/>
  <c r="L10" i="5"/>
  <c r="I10" i="21" s="1"/>
  <c r="L9" i="5"/>
  <c r="I9" i="21" s="1"/>
  <c r="L8" i="5"/>
  <c r="I8" i="19" s="1"/>
  <c r="L7" i="5"/>
  <c r="I7" i="19" s="1"/>
  <c r="L6" i="5"/>
  <c r="I6" i="21" s="1"/>
  <c r="L5" i="5"/>
  <c r="I5" i="21" s="1"/>
  <c r="C30" i="5"/>
  <c r="C30" i="21" s="1"/>
  <c r="C29" i="5"/>
  <c r="C29" i="21" s="1"/>
  <c r="C27" i="5"/>
  <c r="C27" i="21" s="1"/>
  <c r="C22" i="5"/>
  <c r="C22" i="19" s="1"/>
  <c r="C22" i="9" s="1"/>
  <c r="C17" i="5"/>
  <c r="C17" i="19" s="1"/>
  <c r="C17" i="9" s="1"/>
  <c r="C15" i="5"/>
  <c r="C15" i="21" s="1"/>
  <c r="C10" i="5"/>
  <c r="C10" i="21" s="1"/>
  <c r="C5" i="5"/>
  <c r="C5" i="21" s="1"/>
  <c r="E35" i="5"/>
  <c r="E35" i="21" s="1"/>
  <c r="E34" i="5"/>
  <c r="E34" i="21" s="1"/>
  <c r="E33" i="5"/>
  <c r="E33" i="19" s="1"/>
  <c r="E33" i="9" s="1"/>
  <c r="E32" i="5"/>
  <c r="E32" i="19" s="1"/>
  <c r="E32" i="9" s="1"/>
  <c r="E31" i="5"/>
  <c r="E31" i="21" s="1"/>
  <c r="E30" i="5"/>
  <c r="E30" i="21" s="1"/>
  <c r="E29" i="5"/>
  <c r="E29" i="19" s="1"/>
  <c r="E29" i="9" s="1"/>
  <c r="E28" i="5"/>
  <c r="E28" i="19" s="1"/>
  <c r="E28" i="9" s="1"/>
  <c r="E27" i="5"/>
  <c r="E27" i="21" s="1"/>
  <c r="E26" i="5"/>
  <c r="E26" i="21" s="1"/>
  <c r="E25" i="5"/>
  <c r="E25" i="19" s="1"/>
  <c r="E25" i="9" s="1"/>
  <c r="E24" i="5"/>
  <c r="E24" i="19" s="1"/>
  <c r="E24" i="9" s="1"/>
  <c r="E23" i="5"/>
  <c r="E23" i="21" s="1"/>
  <c r="E22" i="5"/>
  <c r="E22" i="21" s="1"/>
  <c r="E21" i="5"/>
  <c r="E21" i="19" s="1"/>
  <c r="E21" i="9" s="1"/>
  <c r="E20" i="5"/>
  <c r="E20" i="19" s="1"/>
  <c r="E20" i="9" s="1"/>
  <c r="E19" i="5"/>
  <c r="E19" i="21" s="1"/>
  <c r="E18" i="5"/>
  <c r="E18" i="21" s="1"/>
  <c r="E17" i="5"/>
  <c r="E17" i="19" s="1"/>
  <c r="E17" i="9" s="1"/>
  <c r="E16" i="5"/>
  <c r="E16" i="19" s="1"/>
  <c r="E16" i="9" s="1"/>
  <c r="E15" i="5"/>
  <c r="E15" i="21" s="1"/>
  <c r="E14" i="5"/>
  <c r="E14" i="21" s="1"/>
  <c r="E13" i="5"/>
  <c r="E13" i="19" s="1"/>
  <c r="E13" i="9" s="1"/>
  <c r="E12" i="5"/>
  <c r="E12" i="19" s="1"/>
  <c r="E12" i="9" s="1"/>
  <c r="E11" i="5"/>
  <c r="E11" i="21" s="1"/>
  <c r="E10" i="5"/>
  <c r="E10" i="21" s="1"/>
  <c r="E9" i="5"/>
  <c r="E9" i="19" s="1"/>
  <c r="E9" i="9" s="1"/>
  <c r="E8" i="5"/>
  <c r="E8" i="19" s="1"/>
  <c r="E8" i="9" s="1"/>
  <c r="E7" i="5"/>
  <c r="E7" i="21" s="1"/>
  <c r="E6" i="5"/>
  <c r="E6" i="21" s="1"/>
  <c r="E5" i="5"/>
  <c r="E5" i="19" s="1"/>
  <c r="E5" i="9" s="1"/>
  <c r="D35" i="5"/>
  <c r="D35" i="21" s="1"/>
  <c r="D34" i="5"/>
  <c r="D34" i="19" s="1"/>
  <c r="D34" i="9" s="1"/>
  <c r="D33" i="5"/>
  <c r="D33" i="19" s="1"/>
  <c r="D33" i="9" s="1"/>
  <c r="D32" i="5"/>
  <c r="D32" i="21" s="1"/>
  <c r="D31" i="5"/>
  <c r="D31" i="21" s="1"/>
  <c r="D30" i="5"/>
  <c r="D30" i="19" s="1"/>
  <c r="D30" i="9" s="1"/>
  <c r="D29" i="5"/>
  <c r="D29" i="19" s="1"/>
  <c r="D29" i="9" s="1"/>
  <c r="D28" i="5"/>
  <c r="D28" i="19" s="1"/>
  <c r="D28" i="9" s="1"/>
  <c r="D27" i="5"/>
  <c r="D27" i="21" s="1"/>
  <c r="D26" i="5"/>
  <c r="D26" i="19" s="1"/>
  <c r="D26" i="9" s="1"/>
  <c r="D25" i="5"/>
  <c r="D25" i="19" s="1"/>
  <c r="D25" i="9" s="1"/>
  <c r="D24" i="5"/>
  <c r="D24" i="21" s="1"/>
  <c r="D23" i="5"/>
  <c r="D23" i="21" s="1"/>
  <c r="D22" i="5"/>
  <c r="D22" i="19" s="1"/>
  <c r="D22" i="9" s="1"/>
  <c r="D21" i="5"/>
  <c r="D21" i="19" s="1"/>
  <c r="D21" i="9" s="1"/>
  <c r="D20" i="5"/>
  <c r="D20" i="19" s="1"/>
  <c r="D20" i="9" s="1"/>
  <c r="D19" i="5"/>
  <c r="D19" i="21" s="1"/>
  <c r="D18" i="5"/>
  <c r="D18" i="19" s="1"/>
  <c r="D18" i="9" s="1"/>
  <c r="D17" i="5"/>
  <c r="D17" i="19" s="1"/>
  <c r="D17" i="9" s="1"/>
  <c r="D16" i="5"/>
  <c r="D16" i="21" s="1"/>
  <c r="D15" i="5"/>
  <c r="D15" i="21" s="1"/>
  <c r="D14" i="5"/>
  <c r="D14" i="19" s="1"/>
  <c r="D14" i="9" s="1"/>
  <c r="D13" i="5"/>
  <c r="D13" i="19" s="1"/>
  <c r="D13" i="9" s="1"/>
  <c r="D12" i="5"/>
  <c r="D12" i="19" s="1"/>
  <c r="D12" i="9" s="1"/>
  <c r="D11" i="5"/>
  <c r="D11" i="21" s="1"/>
  <c r="D10" i="5"/>
  <c r="D10" i="19" s="1"/>
  <c r="D10" i="9" s="1"/>
  <c r="D9" i="5"/>
  <c r="D9" i="19" s="1"/>
  <c r="D9" i="9" s="1"/>
  <c r="D8" i="5"/>
  <c r="D8" i="21" s="1"/>
  <c r="D7" i="5"/>
  <c r="D7" i="21" s="1"/>
  <c r="D6" i="5"/>
  <c r="D6" i="19" s="1"/>
  <c r="D6" i="9" s="1"/>
  <c r="D5" i="5"/>
  <c r="D5" i="19" s="1"/>
  <c r="D5" i="9" s="1"/>
  <c r="E4" i="5"/>
  <c r="D4" i="5"/>
  <c r="D4" i="21" s="1"/>
  <c r="C4" i="5"/>
  <c r="C4" i="19" s="1"/>
  <c r="C4" i="9" s="1"/>
  <c r="E3" i="21"/>
  <c r="O44" i="6"/>
  <c r="O43" i="6"/>
  <c r="O42" i="6"/>
  <c r="O41" i="6"/>
  <c r="O40" i="6"/>
  <c r="O39" i="6"/>
  <c r="O38" i="6"/>
  <c r="O37" i="6"/>
  <c r="O36" i="6"/>
  <c r="O35" i="6"/>
  <c r="O34" i="6"/>
  <c r="O33" i="6"/>
  <c r="O32" i="6"/>
  <c r="O31" i="6"/>
  <c r="O30" i="6"/>
  <c r="O29" i="6"/>
  <c r="O28" i="6"/>
  <c r="O27" i="6"/>
  <c r="O26" i="6"/>
  <c r="O25" i="6"/>
  <c r="O24" i="6"/>
  <c r="O23" i="6"/>
  <c r="O22" i="6"/>
  <c r="O21" i="6"/>
  <c r="O20" i="6"/>
  <c r="O19" i="6"/>
  <c r="O18" i="6"/>
  <c r="O17" i="6"/>
  <c r="O16" i="6"/>
  <c r="O15" i="6"/>
  <c r="O14" i="6"/>
  <c r="F39" i="6"/>
  <c r="F38" i="6"/>
  <c r="F36" i="6"/>
  <c r="F31" i="6"/>
  <c r="F26" i="6"/>
  <c r="E26" i="6"/>
  <c r="F24" i="6"/>
  <c r="F19" i="6"/>
  <c r="F14" i="6"/>
  <c r="E14" i="6"/>
  <c r="G44" i="6"/>
  <c r="G43" i="6"/>
  <c r="G42" i="6"/>
  <c r="G41" i="6"/>
  <c r="G40" i="6"/>
  <c r="G39" i="6"/>
  <c r="G38" i="6"/>
  <c r="G37" i="6"/>
  <c r="G36" i="6"/>
  <c r="G35" i="6"/>
  <c r="G34" i="6"/>
  <c r="G33" i="6"/>
  <c r="G32" i="6"/>
  <c r="G31" i="6"/>
  <c r="G30" i="6"/>
  <c r="G29" i="6"/>
  <c r="G28" i="6"/>
  <c r="G27" i="6"/>
  <c r="G26" i="6"/>
  <c r="G25" i="6"/>
  <c r="G24" i="6"/>
  <c r="G23" i="6"/>
  <c r="G22" i="6"/>
  <c r="G21" i="6"/>
  <c r="G20" i="6"/>
  <c r="G19" i="6"/>
  <c r="G18" i="6"/>
  <c r="G17" i="6"/>
  <c r="G16" i="6"/>
  <c r="G15" i="6"/>
  <c r="G14" i="6"/>
  <c r="G13" i="6"/>
  <c r="F13" i="6"/>
  <c r="H13" i="6"/>
  <c r="H12" i="6"/>
  <c r="H13" i="18" l="1"/>
  <c r="G28" i="18"/>
  <c r="G19" i="20"/>
  <c r="E26" i="18"/>
  <c r="F31" i="20"/>
  <c r="F38" i="20"/>
  <c r="B18" i="23"/>
  <c r="G14" i="18"/>
  <c r="F14" i="18"/>
  <c r="G20" i="18"/>
  <c r="F38" i="18"/>
  <c r="G23" i="20"/>
  <c r="G35" i="20"/>
  <c r="G30" i="18"/>
  <c r="G14" i="20"/>
  <c r="G31" i="20"/>
  <c r="G43" i="20"/>
  <c r="G36" i="18"/>
  <c r="G38" i="20"/>
  <c r="G38" i="18"/>
  <c r="G15" i="20"/>
  <c r="G27" i="20"/>
  <c r="G22" i="18"/>
  <c r="G30" i="20"/>
  <c r="E5" i="23"/>
  <c r="C11" i="23"/>
  <c r="G44" i="18"/>
  <c r="G22" i="20"/>
  <c r="G39" i="20"/>
  <c r="G18" i="20"/>
  <c r="G26" i="20"/>
  <c r="G34" i="20"/>
  <c r="G42" i="20"/>
  <c r="D6" i="23"/>
  <c r="D10" i="23"/>
  <c r="D14" i="23"/>
  <c r="D18" i="23"/>
  <c r="D22" i="23"/>
  <c r="D26" i="23"/>
  <c r="D30" i="23"/>
  <c r="D34" i="23"/>
  <c r="C16" i="23"/>
  <c r="G21" i="18"/>
  <c r="G29" i="18"/>
  <c r="G37" i="18"/>
  <c r="F13" i="18"/>
  <c r="F39" i="18"/>
  <c r="F36" i="20"/>
  <c r="D7" i="23"/>
  <c r="D11" i="23"/>
  <c r="D15" i="23"/>
  <c r="D19" i="23"/>
  <c r="D23" i="23"/>
  <c r="D27" i="23"/>
  <c r="D31" i="23"/>
  <c r="D35" i="23"/>
  <c r="C23" i="23"/>
  <c r="G15" i="18"/>
  <c r="G23" i="18"/>
  <c r="G31" i="18"/>
  <c r="G39" i="18"/>
  <c r="F19" i="18"/>
  <c r="E14" i="18"/>
  <c r="F13" i="20"/>
  <c r="F39" i="20"/>
  <c r="C28" i="23"/>
  <c r="G16" i="18"/>
  <c r="G24" i="18"/>
  <c r="G32" i="18"/>
  <c r="G40" i="18"/>
  <c r="F24" i="18"/>
  <c r="F14" i="20"/>
  <c r="E14" i="20"/>
  <c r="G16" i="20"/>
  <c r="G20" i="20"/>
  <c r="G24" i="20"/>
  <c r="G28" i="20"/>
  <c r="G32" i="20"/>
  <c r="G36" i="20"/>
  <c r="G40" i="20"/>
  <c r="G44" i="20"/>
  <c r="D8" i="23"/>
  <c r="D12" i="23"/>
  <c r="D16" i="23"/>
  <c r="D20" i="23"/>
  <c r="D24" i="23"/>
  <c r="D28" i="23"/>
  <c r="D32" i="23"/>
  <c r="D36" i="23"/>
  <c r="C30" i="23"/>
  <c r="G13" i="18"/>
  <c r="G17" i="18"/>
  <c r="G25" i="18"/>
  <c r="G33" i="18"/>
  <c r="G41" i="18"/>
  <c r="F26" i="18"/>
  <c r="F19" i="20"/>
  <c r="E26" i="20"/>
  <c r="C5" i="23"/>
  <c r="C31" i="23"/>
  <c r="G18" i="18"/>
  <c r="G26" i="18"/>
  <c r="G34" i="18"/>
  <c r="G42" i="18"/>
  <c r="F31" i="18"/>
  <c r="F24" i="20"/>
  <c r="G13" i="20"/>
  <c r="G17" i="20"/>
  <c r="G21" i="20"/>
  <c r="G25" i="20"/>
  <c r="G29" i="20"/>
  <c r="G33" i="20"/>
  <c r="G37" i="20"/>
  <c r="G41" i="20"/>
  <c r="C18" i="23"/>
  <c r="O13" i="6"/>
  <c r="D5" i="23"/>
  <c r="D9" i="23"/>
  <c r="D13" i="23"/>
  <c r="D17" i="23"/>
  <c r="D21" i="23"/>
  <c r="D25" i="23"/>
  <c r="D29" i="23"/>
  <c r="D33" i="23"/>
  <c r="C6" i="23"/>
  <c r="B6" i="23"/>
  <c r="G19" i="18"/>
  <c r="G27" i="18"/>
  <c r="G35" i="18"/>
  <c r="G43" i="18"/>
  <c r="F36" i="18"/>
  <c r="F26" i="20"/>
  <c r="H13" i="20"/>
  <c r="R38" i="5"/>
  <c r="E16" i="21"/>
  <c r="D7" i="19"/>
  <c r="D7" i="9" s="1"/>
  <c r="D23" i="19"/>
  <c r="D23" i="9" s="1"/>
  <c r="E10" i="19"/>
  <c r="E10" i="9" s="1"/>
  <c r="E26" i="19"/>
  <c r="E26" i="9" s="1"/>
  <c r="D20" i="21"/>
  <c r="AD17" i="5"/>
  <c r="Q17" i="19" s="1"/>
  <c r="D11" i="19"/>
  <c r="D11" i="9" s="1"/>
  <c r="D27" i="19"/>
  <c r="D27" i="9" s="1"/>
  <c r="E20" i="21"/>
  <c r="AD21" i="5"/>
  <c r="Q21" i="21" s="1"/>
  <c r="E14" i="19"/>
  <c r="E14" i="9" s="1"/>
  <c r="E30" i="19"/>
  <c r="E30" i="9" s="1"/>
  <c r="E24" i="21"/>
  <c r="C17" i="21"/>
  <c r="D15" i="19"/>
  <c r="D15" i="9" s="1"/>
  <c r="D31" i="19"/>
  <c r="D31" i="9" s="1"/>
  <c r="B5" i="21"/>
  <c r="D28" i="21"/>
  <c r="C22" i="21"/>
  <c r="D4" i="19"/>
  <c r="D4" i="9" s="1"/>
  <c r="E18" i="19"/>
  <c r="E18" i="9" s="1"/>
  <c r="E34" i="19"/>
  <c r="E34" i="9" s="1"/>
  <c r="E8" i="21"/>
  <c r="E28" i="21"/>
  <c r="E4" i="19"/>
  <c r="E4" i="9" s="1"/>
  <c r="D19" i="19"/>
  <c r="D19" i="9" s="1"/>
  <c r="D35" i="19"/>
  <c r="D35" i="9" s="1"/>
  <c r="D12" i="21"/>
  <c r="E32" i="21"/>
  <c r="E6" i="19"/>
  <c r="E6" i="9" s="1"/>
  <c r="E22" i="19"/>
  <c r="E22" i="9" s="1"/>
  <c r="E12" i="21"/>
  <c r="E4" i="21"/>
  <c r="T4" i="21"/>
  <c r="T4" i="19"/>
  <c r="AD25" i="5"/>
  <c r="Q25" i="19" s="1"/>
  <c r="C27" i="19"/>
  <c r="C27" i="9" s="1"/>
  <c r="E7" i="19"/>
  <c r="E7" i="9" s="1"/>
  <c r="E11" i="19"/>
  <c r="E11" i="9" s="1"/>
  <c r="E15" i="19"/>
  <c r="E15" i="9" s="1"/>
  <c r="E19" i="19"/>
  <c r="E19" i="9" s="1"/>
  <c r="E23" i="19"/>
  <c r="E23" i="9" s="1"/>
  <c r="E27" i="19"/>
  <c r="E27" i="9" s="1"/>
  <c r="E31" i="19"/>
  <c r="E31" i="9" s="1"/>
  <c r="E35" i="19"/>
  <c r="E35" i="9" s="1"/>
  <c r="D5" i="21"/>
  <c r="D9" i="21"/>
  <c r="D13" i="21"/>
  <c r="D17" i="21"/>
  <c r="D21" i="21"/>
  <c r="D25" i="21"/>
  <c r="D29" i="21"/>
  <c r="D33" i="21"/>
  <c r="I23" i="21"/>
  <c r="AD29" i="5"/>
  <c r="Q29" i="21" s="1"/>
  <c r="E3" i="19"/>
  <c r="C29" i="19"/>
  <c r="C29" i="9" s="1"/>
  <c r="D8" i="19"/>
  <c r="D8" i="9" s="1"/>
  <c r="D16" i="19"/>
  <c r="D16" i="9" s="1"/>
  <c r="D24" i="19"/>
  <c r="D24" i="9" s="1"/>
  <c r="D32" i="19"/>
  <c r="D32" i="9" s="1"/>
  <c r="I9" i="19"/>
  <c r="E5" i="21"/>
  <c r="E9" i="21"/>
  <c r="E13" i="21"/>
  <c r="E17" i="21"/>
  <c r="E21" i="21"/>
  <c r="E25" i="21"/>
  <c r="E29" i="21"/>
  <c r="E33" i="21"/>
  <c r="I31" i="21"/>
  <c r="I7" i="21"/>
  <c r="L4" i="19"/>
  <c r="AD33" i="5"/>
  <c r="Q33" i="19" s="1"/>
  <c r="B17" i="19"/>
  <c r="B17" i="9" s="1"/>
  <c r="C30" i="19"/>
  <c r="C30" i="9" s="1"/>
  <c r="I17" i="19"/>
  <c r="D6" i="21"/>
  <c r="D10" i="21"/>
  <c r="D14" i="21"/>
  <c r="D18" i="21"/>
  <c r="D22" i="21"/>
  <c r="D26" i="21"/>
  <c r="D30" i="21"/>
  <c r="D34" i="21"/>
  <c r="I4" i="21"/>
  <c r="AD5" i="5"/>
  <c r="Q5" i="21" s="1"/>
  <c r="C5" i="19"/>
  <c r="C5" i="9" s="1"/>
  <c r="I25" i="19"/>
  <c r="AD9" i="5"/>
  <c r="Q9" i="19" s="1"/>
  <c r="C10" i="19"/>
  <c r="C10" i="9" s="1"/>
  <c r="I33" i="19"/>
  <c r="C4" i="21"/>
  <c r="I15" i="21"/>
  <c r="AD13" i="5"/>
  <c r="Q13" i="21" s="1"/>
  <c r="C15" i="19"/>
  <c r="C15" i="9" s="1"/>
  <c r="AD10" i="5"/>
  <c r="AD18" i="5"/>
  <c r="AD26" i="5"/>
  <c r="AD34" i="5"/>
  <c r="I10" i="19"/>
  <c r="I18" i="19"/>
  <c r="I26" i="19"/>
  <c r="I34" i="19"/>
  <c r="I8" i="21"/>
  <c r="I16" i="21"/>
  <c r="I24" i="21"/>
  <c r="I32" i="21"/>
  <c r="AD11" i="5"/>
  <c r="AD19" i="5"/>
  <c r="AD27" i="5"/>
  <c r="AD35" i="5"/>
  <c r="I3" i="19"/>
  <c r="I11" i="19"/>
  <c r="I19" i="19"/>
  <c r="I27" i="19"/>
  <c r="I35" i="19"/>
  <c r="AD12" i="5"/>
  <c r="AD20" i="5"/>
  <c r="AD28" i="5"/>
  <c r="I12" i="19"/>
  <c r="I20" i="19"/>
  <c r="I28" i="19"/>
  <c r="I5" i="19"/>
  <c r="I13" i="19"/>
  <c r="I21" i="19"/>
  <c r="I29" i="19"/>
  <c r="AD6" i="5"/>
  <c r="AD14" i="5"/>
  <c r="AD22" i="5"/>
  <c r="AD30" i="5"/>
  <c r="I6" i="19"/>
  <c r="I14" i="19"/>
  <c r="I22" i="19"/>
  <c r="I30" i="19"/>
  <c r="AD7" i="5"/>
  <c r="AD15" i="5"/>
  <c r="AD23" i="5"/>
  <c r="AD31" i="5"/>
  <c r="AD8" i="5"/>
  <c r="AD16" i="5"/>
  <c r="AD24" i="5"/>
  <c r="AD32" i="5"/>
  <c r="O45" i="25"/>
  <c r="O44" i="25"/>
  <c r="O43" i="25"/>
  <c r="O42" i="25"/>
  <c r="O41" i="25"/>
  <c r="O40" i="25"/>
  <c r="O39" i="25"/>
  <c r="O38" i="25"/>
  <c r="O37" i="25"/>
  <c r="O36" i="25"/>
  <c r="O35" i="25"/>
  <c r="O34" i="25"/>
  <c r="O33" i="25"/>
  <c r="O32" i="25"/>
  <c r="O31" i="25"/>
  <c r="L38" i="21" l="1"/>
  <c r="X38" i="5"/>
  <c r="R42" i="5"/>
  <c r="L42" i="21" s="1"/>
  <c r="I4" i="19"/>
  <c r="L4" i="21"/>
  <c r="O13" i="18"/>
  <c r="O13" i="20"/>
  <c r="Q21" i="19"/>
  <c r="L38" i="19"/>
  <c r="Q33" i="21"/>
  <c r="Q25" i="21"/>
  <c r="Q17" i="21"/>
  <c r="Q9" i="21"/>
  <c r="Q4" i="21"/>
  <c r="Q4" i="19"/>
  <c r="Q29" i="19"/>
  <c r="Q13" i="19"/>
  <c r="Q5" i="19"/>
  <c r="Q27" i="21"/>
  <c r="Q27" i="19"/>
  <c r="Q11" i="21"/>
  <c r="Q11" i="19"/>
  <c r="Q16" i="19"/>
  <c r="Q16" i="21"/>
  <c r="Q19" i="21"/>
  <c r="Q19" i="19"/>
  <c r="Q28" i="21"/>
  <c r="Q28" i="19"/>
  <c r="Q24" i="19"/>
  <c r="Q24" i="21"/>
  <c r="Q31" i="21"/>
  <c r="Q31" i="19"/>
  <c r="Q23" i="19"/>
  <c r="Q23" i="21"/>
  <c r="Q20" i="21"/>
  <c r="Q20" i="19"/>
  <c r="Q34" i="21"/>
  <c r="Q34" i="19"/>
  <c r="Q22" i="21"/>
  <c r="Q22" i="19"/>
  <c r="Q15" i="21"/>
  <c r="Q15" i="19"/>
  <c r="Q14" i="21"/>
  <c r="Q14" i="19"/>
  <c r="Q12" i="21"/>
  <c r="Q12" i="19"/>
  <c r="Q26" i="19"/>
  <c r="Q26" i="21"/>
  <c r="Q7" i="19"/>
  <c r="Q7" i="21"/>
  <c r="Q18" i="19"/>
  <c r="Q18" i="21"/>
  <c r="Q8" i="19"/>
  <c r="Q8" i="21"/>
  <c r="Q30" i="21"/>
  <c r="Q30" i="19"/>
  <c r="Q6" i="21"/>
  <c r="Q6" i="19"/>
  <c r="Q32" i="19"/>
  <c r="Q32" i="21"/>
  <c r="Q35" i="21"/>
  <c r="Q35" i="19"/>
  <c r="Q10" i="21"/>
  <c r="Q10" i="19"/>
  <c r="L42" i="19" l="1"/>
  <c r="X16" i="5"/>
  <c r="X8" i="5"/>
  <c r="X9" i="5"/>
  <c r="X15" i="5"/>
  <c r="X7" i="5"/>
  <c r="X11" i="5"/>
  <c r="X10" i="5"/>
  <c r="X14" i="5"/>
  <c r="X6" i="5"/>
  <c r="X5" i="5"/>
  <c r="X13" i="5"/>
  <c r="X12" i="5"/>
  <c r="AL86" i="10"/>
  <c r="AL101" i="10"/>
  <c r="AL100" i="10"/>
  <c r="AL102" i="10" s="1"/>
  <c r="AL99" i="10"/>
  <c r="D41" i="8" l="1"/>
  <c r="D40" i="8"/>
  <c r="D39" i="8"/>
  <c r="D38" i="8"/>
  <c r="D37" i="8"/>
  <c r="D36" i="8"/>
  <c r="D35" i="8"/>
  <c r="D34" i="8"/>
  <c r="D33" i="8"/>
  <c r="D32" i="8"/>
  <c r="D31" i="8"/>
  <c r="D30" i="8"/>
  <c r="M36" i="23" l="1"/>
  <c r="L36" i="23"/>
  <c r="M35" i="23"/>
  <c r="L35" i="23"/>
  <c r="M34" i="23"/>
  <c r="L34" i="23"/>
  <c r="M33" i="23"/>
  <c r="L33" i="23"/>
  <c r="M32" i="23"/>
  <c r="L32" i="23"/>
  <c r="M31" i="23"/>
  <c r="L31" i="23"/>
  <c r="M30" i="23"/>
  <c r="L30" i="23"/>
  <c r="M29" i="23"/>
  <c r="L29" i="23"/>
  <c r="M28" i="23"/>
  <c r="L28" i="23"/>
  <c r="M27" i="23"/>
  <c r="L27" i="23"/>
  <c r="M26" i="23"/>
  <c r="L26" i="23"/>
  <c r="M25" i="23"/>
  <c r="L25" i="23"/>
  <c r="M24" i="23"/>
  <c r="L24" i="23"/>
  <c r="M23" i="23"/>
  <c r="L23" i="23"/>
  <c r="M22" i="23"/>
  <c r="L22" i="23"/>
  <c r="M21" i="23"/>
  <c r="L21" i="23"/>
  <c r="M20" i="23"/>
  <c r="L20" i="23"/>
  <c r="M19" i="23"/>
  <c r="L19" i="23"/>
  <c r="M18" i="23"/>
  <c r="L18" i="23"/>
  <c r="M17" i="23"/>
  <c r="L17" i="23"/>
  <c r="M16" i="23"/>
  <c r="L16" i="23"/>
  <c r="M15" i="23"/>
  <c r="L15" i="23"/>
  <c r="M14" i="23"/>
  <c r="L14" i="23"/>
  <c r="M13" i="23"/>
  <c r="L13" i="23"/>
  <c r="M12" i="23"/>
  <c r="L12" i="23"/>
  <c r="M11" i="23"/>
  <c r="L11" i="23"/>
  <c r="M10" i="23"/>
  <c r="L10" i="23"/>
  <c r="M9" i="23"/>
  <c r="L9" i="23"/>
  <c r="M8" i="23"/>
  <c r="L8" i="23"/>
  <c r="M7" i="23"/>
  <c r="L7" i="23"/>
  <c r="M6" i="23"/>
  <c r="L6" i="23"/>
  <c r="F36" i="23"/>
  <c r="K36" i="23" s="1"/>
  <c r="F35" i="23"/>
  <c r="K35" i="23" s="1"/>
  <c r="F34" i="23"/>
  <c r="K34" i="23" s="1"/>
  <c r="F33" i="23"/>
  <c r="K33" i="23" s="1"/>
  <c r="F32" i="23"/>
  <c r="K32" i="23" s="1"/>
  <c r="F31" i="23"/>
  <c r="K31" i="23" s="1"/>
  <c r="F30" i="23"/>
  <c r="K30" i="23" s="1"/>
  <c r="F29" i="23"/>
  <c r="K29" i="23" s="1"/>
  <c r="F28" i="23"/>
  <c r="K28" i="23" s="1"/>
  <c r="F27" i="23"/>
  <c r="K27" i="23" s="1"/>
  <c r="F26" i="23"/>
  <c r="K26" i="23" s="1"/>
  <c r="F25" i="23"/>
  <c r="K25" i="23" s="1"/>
  <c r="F24" i="23"/>
  <c r="K24" i="23" s="1"/>
  <c r="F23" i="23"/>
  <c r="K23" i="23" s="1"/>
  <c r="F22" i="23"/>
  <c r="K22" i="23" s="1"/>
  <c r="F21" i="23"/>
  <c r="K21" i="23" s="1"/>
  <c r="F20" i="23"/>
  <c r="K20" i="23" s="1"/>
  <c r="F19" i="23"/>
  <c r="K19" i="23" s="1"/>
  <c r="F18" i="23"/>
  <c r="K18" i="23" s="1"/>
  <c r="F17" i="23"/>
  <c r="K17" i="23" s="1"/>
  <c r="F16" i="23"/>
  <c r="K16" i="23" s="1"/>
  <c r="F15" i="23"/>
  <c r="K15" i="23" s="1"/>
  <c r="F14" i="23"/>
  <c r="K14" i="23" s="1"/>
  <c r="F13" i="23"/>
  <c r="K13" i="23" s="1"/>
  <c r="F12" i="23"/>
  <c r="K12" i="23" s="1"/>
  <c r="F11" i="23"/>
  <c r="K11" i="23" s="1"/>
  <c r="F10" i="23"/>
  <c r="K10" i="23" s="1"/>
  <c r="F9" i="23"/>
  <c r="K9" i="23" s="1"/>
  <c r="F8" i="23"/>
  <c r="K8" i="23" s="1"/>
  <c r="F7" i="23"/>
  <c r="K7" i="23" s="1"/>
  <c r="F6" i="23"/>
  <c r="K6" i="23" s="1"/>
  <c r="L9" i="7" l="1"/>
  <c r="L10" i="7"/>
  <c r="L35" i="7"/>
  <c r="L33" i="7"/>
  <c r="L26" i="7"/>
  <c r="L13" i="7"/>
  <c r="L17" i="7"/>
  <c r="L34" i="7"/>
  <c r="L21" i="7"/>
  <c r="L7" i="7"/>
  <c r="L15" i="7"/>
  <c r="L31" i="7"/>
  <c r="L16" i="7"/>
  <c r="L32" i="7"/>
  <c r="L6" i="7"/>
  <c r="P12" i="6"/>
  <c r="I12" i="6"/>
  <c r="L36" i="7"/>
  <c r="L8" i="7"/>
  <c r="L14" i="7"/>
  <c r="L30" i="7"/>
  <c r="L12" i="7"/>
  <c r="L28" i="7"/>
  <c r="D5" i="17" l="1"/>
  <c r="G35" i="21" l="1"/>
  <c r="F35" i="21"/>
  <c r="G34" i="21"/>
  <c r="F34" i="21"/>
  <c r="G33" i="21"/>
  <c r="F33" i="21"/>
  <c r="G32" i="21"/>
  <c r="F32" i="21"/>
  <c r="G31" i="21"/>
  <c r="F31" i="21"/>
  <c r="G30" i="21"/>
  <c r="F30" i="21"/>
  <c r="G29" i="21"/>
  <c r="F29" i="21"/>
  <c r="F28" i="21"/>
  <c r="G27" i="21"/>
  <c r="F27" i="21"/>
  <c r="F26" i="21"/>
  <c r="G25" i="21"/>
  <c r="F25" i="21"/>
  <c r="F24" i="21"/>
  <c r="F23" i="21"/>
  <c r="F22" i="21"/>
  <c r="F21" i="21"/>
  <c r="F20" i="21"/>
  <c r="F19" i="21"/>
  <c r="F18" i="21"/>
  <c r="F17" i="21"/>
  <c r="G16" i="21"/>
  <c r="F16" i="21"/>
  <c r="G15" i="21"/>
  <c r="F15" i="21"/>
  <c r="G14" i="21"/>
  <c r="F14" i="21"/>
  <c r="G13" i="21"/>
  <c r="F13" i="21"/>
  <c r="G12" i="21"/>
  <c r="F12" i="21"/>
  <c r="G11" i="21"/>
  <c r="F11" i="21"/>
  <c r="G10" i="21"/>
  <c r="F10" i="21"/>
  <c r="G9" i="21"/>
  <c r="F9" i="21"/>
  <c r="G8" i="21"/>
  <c r="F8" i="21"/>
  <c r="G7" i="21"/>
  <c r="F7" i="21"/>
  <c r="G6" i="21"/>
  <c r="F6" i="21"/>
  <c r="G5" i="21"/>
  <c r="F5" i="21"/>
  <c r="M44" i="20"/>
  <c r="K44" i="20"/>
  <c r="M43" i="20"/>
  <c r="K43" i="20"/>
  <c r="M42" i="20"/>
  <c r="K42" i="20"/>
  <c r="M41" i="20"/>
  <c r="K41" i="20"/>
  <c r="M40" i="20"/>
  <c r="K40" i="20"/>
  <c r="M39" i="20"/>
  <c r="K39" i="20"/>
  <c r="M38" i="20"/>
  <c r="K38" i="20"/>
  <c r="M37" i="20"/>
  <c r="K37" i="20"/>
  <c r="M36" i="20"/>
  <c r="K36" i="20"/>
  <c r="M35" i="20"/>
  <c r="K35" i="20"/>
  <c r="M34" i="20"/>
  <c r="K34" i="20"/>
  <c r="M33" i="20"/>
  <c r="K33" i="20"/>
  <c r="M32" i="20"/>
  <c r="K32" i="20"/>
  <c r="M31" i="20"/>
  <c r="K31" i="20"/>
  <c r="M30" i="20"/>
  <c r="K30" i="20"/>
  <c r="M29" i="20"/>
  <c r="K29" i="20"/>
  <c r="M28" i="20"/>
  <c r="K28" i="20"/>
  <c r="M27" i="20"/>
  <c r="K27" i="20"/>
  <c r="M26" i="20"/>
  <c r="K26" i="20"/>
  <c r="M25" i="20"/>
  <c r="K25" i="20"/>
  <c r="M24" i="20"/>
  <c r="K24" i="20"/>
  <c r="M23" i="20"/>
  <c r="K23" i="20"/>
  <c r="M22" i="20"/>
  <c r="K22" i="20"/>
  <c r="M21" i="20"/>
  <c r="K21" i="20"/>
  <c r="M20" i="20"/>
  <c r="K20" i="20"/>
  <c r="M19" i="20"/>
  <c r="K19" i="20"/>
  <c r="M18" i="20"/>
  <c r="K18" i="20"/>
  <c r="M17" i="20"/>
  <c r="K17" i="20"/>
  <c r="M16" i="20"/>
  <c r="K16" i="20"/>
  <c r="M15" i="20"/>
  <c r="K15" i="20"/>
  <c r="M14" i="20"/>
  <c r="K14" i="20"/>
  <c r="G35" i="19"/>
  <c r="F35" i="19"/>
  <c r="G34" i="19"/>
  <c r="F34" i="19"/>
  <c r="G33" i="19"/>
  <c r="F33" i="19"/>
  <c r="G32" i="19"/>
  <c r="F32" i="19"/>
  <c r="G31" i="19"/>
  <c r="F31" i="19"/>
  <c r="G30" i="19"/>
  <c r="F30" i="19"/>
  <c r="G29" i="19"/>
  <c r="F29" i="19"/>
  <c r="F28" i="19"/>
  <c r="G27" i="19"/>
  <c r="F27" i="19"/>
  <c r="F26" i="19"/>
  <c r="G25" i="19"/>
  <c r="F25" i="19"/>
  <c r="F24" i="19"/>
  <c r="F23" i="19"/>
  <c r="F22" i="19"/>
  <c r="F21" i="19"/>
  <c r="F20" i="19"/>
  <c r="F19" i="19"/>
  <c r="F18" i="19"/>
  <c r="F17" i="19"/>
  <c r="G16" i="19"/>
  <c r="F16" i="19"/>
  <c r="G15" i="19"/>
  <c r="F15" i="19"/>
  <c r="G14" i="19"/>
  <c r="F14" i="19"/>
  <c r="G13" i="19"/>
  <c r="F13" i="19"/>
  <c r="G12" i="19"/>
  <c r="F12" i="19"/>
  <c r="G11" i="19"/>
  <c r="F11" i="19"/>
  <c r="G10" i="19"/>
  <c r="F10" i="19"/>
  <c r="G9" i="19"/>
  <c r="F9" i="19"/>
  <c r="G8" i="19"/>
  <c r="F8" i="19"/>
  <c r="G7" i="19"/>
  <c r="F7" i="19"/>
  <c r="G6" i="19"/>
  <c r="F6" i="19"/>
  <c r="G5" i="19"/>
  <c r="F5" i="19"/>
  <c r="M44" i="18"/>
  <c r="K44" i="18"/>
  <c r="M43" i="18"/>
  <c r="K43" i="18"/>
  <c r="M42" i="18"/>
  <c r="K42" i="18"/>
  <c r="M41" i="18"/>
  <c r="K41" i="18"/>
  <c r="M40" i="18"/>
  <c r="K40" i="18"/>
  <c r="M39" i="18"/>
  <c r="K39" i="18"/>
  <c r="M38" i="18"/>
  <c r="K38" i="18"/>
  <c r="M37" i="18"/>
  <c r="K37" i="18"/>
  <c r="M36" i="18"/>
  <c r="K36" i="18"/>
  <c r="M35" i="18"/>
  <c r="K35" i="18"/>
  <c r="M34" i="18"/>
  <c r="K34" i="18"/>
  <c r="M33" i="18"/>
  <c r="K33" i="18"/>
  <c r="M32" i="18"/>
  <c r="K32" i="18"/>
  <c r="M31" i="18"/>
  <c r="K31" i="18"/>
  <c r="M30" i="18"/>
  <c r="K30" i="18"/>
  <c r="M29" i="18"/>
  <c r="K29" i="18"/>
  <c r="M28" i="18"/>
  <c r="K28" i="18"/>
  <c r="M27" i="18"/>
  <c r="K27" i="18"/>
  <c r="M26" i="18"/>
  <c r="K26" i="18"/>
  <c r="M25" i="18"/>
  <c r="K25" i="18"/>
  <c r="M24" i="18"/>
  <c r="K24" i="18"/>
  <c r="M23" i="18"/>
  <c r="K23" i="18"/>
  <c r="M22" i="18"/>
  <c r="K22" i="18"/>
  <c r="M21" i="18"/>
  <c r="K21" i="18"/>
  <c r="M20" i="18"/>
  <c r="K20" i="18"/>
  <c r="M19" i="18"/>
  <c r="K19" i="18"/>
  <c r="M18" i="18"/>
  <c r="K18" i="18"/>
  <c r="M17" i="18"/>
  <c r="K17" i="18"/>
  <c r="M16" i="18"/>
  <c r="K16" i="18"/>
  <c r="M15" i="18"/>
  <c r="K15" i="18"/>
  <c r="M14" i="18"/>
  <c r="K14" i="18"/>
  <c r="F5" i="17"/>
  <c r="D20" i="17"/>
  <c r="F20" i="17" l="1"/>
  <c r="F35" i="5"/>
  <c r="F33" i="5"/>
  <c r="F31" i="5"/>
  <c r="F34" i="5"/>
  <c r="F32" i="5"/>
  <c r="F30" i="5"/>
  <c r="F29" i="5"/>
  <c r="F28" i="5"/>
  <c r="F27" i="5"/>
  <c r="F26" i="5"/>
  <c r="F25" i="5"/>
  <c r="F24" i="5"/>
  <c r="F23" i="5"/>
  <c r="F22" i="5"/>
  <c r="F21" i="5"/>
  <c r="F20" i="5"/>
  <c r="F19" i="5"/>
  <c r="F18" i="5"/>
  <c r="F17" i="5"/>
  <c r="F16" i="5"/>
  <c r="F15" i="5"/>
  <c r="F14" i="5"/>
  <c r="F13" i="5"/>
  <c r="F12" i="5"/>
  <c r="F11" i="5"/>
  <c r="F10" i="5"/>
  <c r="F9" i="5"/>
  <c r="F8" i="5"/>
  <c r="F7" i="5"/>
  <c r="F6" i="5"/>
  <c r="F5" i="5"/>
  <c r="M44" i="6" l="1"/>
  <c r="M43" i="6"/>
  <c r="M42" i="6"/>
  <c r="M41" i="6"/>
  <c r="M40" i="6"/>
  <c r="M39" i="6"/>
  <c r="M38" i="6"/>
  <c r="M35" i="6"/>
  <c r="M34" i="6"/>
  <c r="M33" i="6"/>
  <c r="M32" i="6"/>
  <c r="M31" i="6"/>
  <c r="M30" i="6"/>
  <c r="M29" i="6"/>
  <c r="M28" i="6"/>
  <c r="M27" i="6"/>
  <c r="M26" i="6"/>
  <c r="M23" i="6"/>
  <c r="M22" i="6"/>
  <c r="M21" i="6"/>
  <c r="M20" i="6"/>
  <c r="M19" i="6"/>
  <c r="M18" i="6"/>
  <c r="M17" i="6"/>
  <c r="M16" i="6"/>
  <c r="M15" i="6"/>
  <c r="M14" i="6"/>
  <c r="M37" i="6"/>
  <c r="M36" i="6"/>
  <c r="AK85" i="10" l="1"/>
  <c r="AM85" i="10"/>
  <c r="AM86" i="10" l="1"/>
  <c r="AM100" i="10"/>
  <c r="AM99" i="10"/>
  <c r="AM101" i="10"/>
  <c r="AN85" i="10"/>
  <c r="AK101" i="10"/>
  <c r="AK99" i="10"/>
  <c r="AK86" i="10"/>
  <c r="AK100" i="10"/>
  <c r="AJ85" i="10"/>
  <c r="AO81" i="10"/>
  <c r="AN81" i="10"/>
  <c r="AM81" i="10"/>
  <c r="AL81" i="10"/>
  <c r="AK81" i="10"/>
  <c r="AJ81" i="10"/>
  <c r="AI81" i="10"/>
  <c r="AH81" i="10"/>
  <c r="AG81" i="10"/>
  <c r="AF81" i="10"/>
  <c r="AE81" i="10"/>
  <c r="AD81" i="10"/>
  <c r="AC81" i="10"/>
  <c r="AI85" i="10" l="1"/>
  <c r="AJ99" i="10"/>
  <c r="AJ101" i="10"/>
  <c r="AJ86" i="10"/>
  <c r="AJ100" i="10"/>
  <c r="AO85" i="10"/>
  <c r="AN86" i="10"/>
  <c r="AN99" i="10"/>
  <c r="AN102" i="10" s="1"/>
  <c r="AN100" i="10"/>
  <c r="AN101" i="10"/>
  <c r="AK102" i="10"/>
  <c r="AM102" i="10"/>
  <c r="H11" i="11"/>
  <c r="H10" i="11"/>
  <c r="H7" i="11"/>
  <c r="H6" i="11"/>
  <c r="AO100" i="10" l="1"/>
  <c r="AO102" i="10" s="1"/>
  <c r="AO86" i="10"/>
  <c r="AO101" i="10"/>
  <c r="AO99" i="10"/>
  <c r="AJ102" i="10"/>
  <c r="AH85" i="10"/>
  <c r="AI100" i="10"/>
  <c r="AI101" i="10"/>
  <c r="AI99" i="10"/>
  <c r="AI86" i="10"/>
  <c r="AG85" i="10" l="1"/>
  <c r="AH100" i="10"/>
  <c r="AH101" i="10"/>
  <c r="AH99" i="10"/>
  <c r="AH102" i="10" s="1"/>
  <c r="AH86" i="10"/>
  <c r="AI102" i="10"/>
  <c r="G20" i="21"/>
  <c r="G20" i="19"/>
  <c r="I19" i="25"/>
  <c r="I18" i="25"/>
  <c r="AF85" i="10" l="1"/>
  <c r="AG100" i="10"/>
  <c r="AG86" i="10"/>
  <c r="AG101" i="10"/>
  <c r="AG99" i="10"/>
  <c r="D11" i="17"/>
  <c r="P6" i="12"/>
  <c r="P6" i="16"/>
  <c r="P7" i="12"/>
  <c r="P7" i="16"/>
  <c r="I17" i="11"/>
  <c r="I16" i="11"/>
  <c r="Z71" i="7"/>
  <c r="I18" i="11" s="1"/>
  <c r="AG102" i="10" l="1"/>
  <c r="AE85" i="10"/>
  <c r="AF86" i="10"/>
  <c r="AF99" i="10"/>
  <c r="AF100" i="10"/>
  <c r="AF101" i="10"/>
  <c r="AF102" i="10" s="1"/>
  <c r="F11" i="17"/>
  <c r="E11" i="17"/>
  <c r="H15" i="11"/>
  <c r="H18" i="11"/>
  <c r="H12" i="11"/>
  <c r="H17" i="11"/>
  <c r="F17" i="11" s="1"/>
  <c r="H16" i="11"/>
  <c r="H13" i="11"/>
  <c r="H14" i="11"/>
  <c r="J20" i="25"/>
  <c r="J23" i="25"/>
  <c r="J21" i="25"/>
  <c r="J22" i="25"/>
  <c r="J24" i="25"/>
  <c r="J26" i="25"/>
  <c r="J25" i="25"/>
  <c r="I14" i="11"/>
  <c r="I12" i="11"/>
  <c r="I13" i="11"/>
  <c r="I15" i="11"/>
  <c r="F15" i="11" l="1"/>
  <c r="F13" i="11"/>
  <c r="F12" i="11"/>
  <c r="H20" i="25" s="1"/>
  <c r="L20" i="25" s="1"/>
  <c r="F18" i="11"/>
  <c r="H26" i="25" s="1"/>
  <c r="L26" i="25" s="1"/>
  <c r="F14" i="11"/>
  <c r="H25" i="25"/>
  <c r="L25" i="25" s="1"/>
  <c r="F16" i="11"/>
  <c r="H24" i="25" s="1"/>
  <c r="L24" i="25" s="1"/>
  <c r="AD85" i="10"/>
  <c r="AE86" i="10"/>
  <c r="AE99" i="10"/>
  <c r="AE100" i="10"/>
  <c r="AE101" i="10"/>
  <c r="H23" i="25"/>
  <c r="L23" i="25" s="1"/>
  <c r="H21" i="25"/>
  <c r="L21" i="25" s="1"/>
  <c r="H22" i="25"/>
  <c r="L22" i="25" s="1"/>
  <c r="I10" i="11"/>
  <c r="F10" i="11" s="1"/>
  <c r="H18" i="25" s="1"/>
  <c r="I9" i="11"/>
  <c r="I8" i="11"/>
  <c r="I7" i="11"/>
  <c r="F7" i="11" s="1"/>
  <c r="G19" i="25" s="1"/>
  <c r="K19" i="25" s="1"/>
  <c r="I6" i="11"/>
  <c r="F6" i="11" s="1"/>
  <c r="G18" i="25" s="1"/>
  <c r="K18" i="25" s="1"/>
  <c r="I5" i="11"/>
  <c r="E5" i="11" s="1"/>
  <c r="I4" i="11"/>
  <c r="E4" i="11" l="1"/>
  <c r="I16" i="25" s="1"/>
  <c r="AC85" i="10"/>
  <c r="AD99" i="10"/>
  <c r="AD101" i="10"/>
  <c r="AD86" i="10"/>
  <c r="AD100" i="10"/>
  <c r="AE102" i="10"/>
  <c r="H9" i="11"/>
  <c r="H8" i="11"/>
  <c r="H4" i="11"/>
  <c r="H5" i="11"/>
  <c r="I17" i="25"/>
  <c r="P4" i="12" l="1"/>
  <c r="P4" i="16"/>
  <c r="AD102" i="10"/>
  <c r="AC101" i="10"/>
  <c r="AC99" i="10"/>
  <c r="AC86" i="10"/>
  <c r="AC100" i="10"/>
  <c r="P5" i="12"/>
  <c r="P5" i="16"/>
  <c r="F5" i="11"/>
  <c r="G17" i="25" s="1"/>
  <c r="K17" i="25" s="1"/>
  <c r="F9" i="11"/>
  <c r="H17" i="25" s="1"/>
  <c r="F8" i="11"/>
  <c r="G16" i="25"/>
  <c r="K16" i="25" s="1"/>
  <c r="G63" i="10"/>
  <c r="G51" i="10"/>
  <c r="G39" i="10"/>
  <c r="F27" i="10"/>
  <c r="G27" i="10"/>
  <c r="Z52" i="10"/>
  <c r="Z29" i="10"/>
  <c r="H28" i="10"/>
  <c r="H16" i="25" l="1"/>
  <c r="C4" i="16"/>
  <c r="C4" i="12"/>
  <c r="AF92" i="10"/>
  <c r="AF91" i="10"/>
  <c r="AF90" i="10"/>
  <c r="AC102" i="10"/>
  <c r="V58" i="7"/>
  <c r="I11" i="11" s="1"/>
  <c r="F11" i="11" s="1"/>
  <c r="P21" i="3"/>
  <c r="P20" i="3"/>
  <c r="P19" i="3"/>
  <c r="P18" i="3"/>
  <c r="Q21" i="3"/>
  <c r="Q20" i="3"/>
  <c r="Q19" i="3"/>
  <c r="Q18" i="3"/>
  <c r="E22" i="11"/>
  <c r="F4" i="22" s="1"/>
  <c r="F5" i="22" s="1"/>
  <c r="C4" i="3"/>
  <c r="Z69" i="10"/>
  <c r="Z64" i="10"/>
  <c r="Z62" i="10"/>
  <c r="Z59" i="10"/>
  <c r="Z57" i="10"/>
  <c r="Z56" i="10"/>
  <c r="Z55" i="10"/>
  <c r="Z54" i="10"/>
  <c r="Z50" i="10"/>
  <c r="Z49" i="10"/>
  <c r="Z47" i="10"/>
  <c r="Z42" i="10"/>
  <c r="Z40" i="10"/>
  <c r="Z36" i="10"/>
  <c r="Z31" i="10"/>
  <c r="Y64" i="10"/>
  <c r="Y53" i="10"/>
  <c r="Y42" i="10"/>
  <c r="Y31" i="10"/>
  <c r="X69" i="10"/>
  <c r="X62" i="10"/>
  <c r="X59" i="10"/>
  <c r="X57" i="10"/>
  <c r="X56" i="10"/>
  <c r="X55" i="10"/>
  <c r="X54" i="10"/>
  <c r="X53" i="10"/>
  <c r="X52" i="10"/>
  <c r="X50" i="10"/>
  <c r="X49" i="10"/>
  <c r="X47" i="10"/>
  <c r="X40" i="10"/>
  <c r="X36" i="10"/>
  <c r="X29" i="10"/>
  <c r="W69" i="10"/>
  <c r="W58" i="10"/>
  <c r="W47" i="10"/>
  <c r="W36" i="10"/>
  <c r="V62" i="10"/>
  <c r="V59" i="10"/>
  <c r="V58" i="10"/>
  <c r="G58" i="10" s="1"/>
  <c r="V57" i="10"/>
  <c r="V56" i="10"/>
  <c r="V55" i="10"/>
  <c r="V54" i="10"/>
  <c r="V53" i="10"/>
  <c r="V52" i="10"/>
  <c r="V50" i="10"/>
  <c r="V49" i="10"/>
  <c r="V40" i="10"/>
  <c r="V29" i="10"/>
  <c r="U70" i="10"/>
  <c r="U69" i="10"/>
  <c r="G69" i="10" s="1"/>
  <c r="U68" i="10"/>
  <c r="U67" i="10"/>
  <c r="U65" i="10"/>
  <c r="U64" i="10"/>
  <c r="U62" i="10"/>
  <c r="G62" i="10" s="1"/>
  <c r="U61" i="10"/>
  <c r="U60" i="10"/>
  <c r="U55" i="10"/>
  <c r="U52" i="10"/>
  <c r="U44" i="10"/>
  <c r="U41" i="10"/>
  <c r="U33" i="10"/>
  <c r="U30" i="10"/>
  <c r="T66" i="10"/>
  <c r="T55" i="10"/>
  <c r="T44" i="10"/>
  <c r="T33" i="10"/>
  <c r="S70" i="10"/>
  <c r="S68" i="10"/>
  <c r="S65" i="10"/>
  <c r="S61" i="10"/>
  <c r="S59" i="10"/>
  <c r="S57" i="10"/>
  <c r="S54" i="10"/>
  <c r="S50" i="10"/>
  <c r="S47" i="10"/>
  <c r="S45" i="10"/>
  <c r="S44" i="10"/>
  <c r="S42" i="10"/>
  <c r="S41" i="10"/>
  <c r="S40" i="10"/>
  <c r="R70" i="10"/>
  <c r="G70" i="10" s="1"/>
  <c r="R59" i="10"/>
  <c r="R48" i="10"/>
  <c r="S38" i="10"/>
  <c r="S35" i="10"/>
  <c r="S32" i="10"/>
  <c r="S28" i="10"/>
  <c r="Q48" i="10"/>
  <c r="Q47" i="10"/>
  <c r="Q45" i="10"/>
  <c r="Q44" i="10"/>
  <c r="Q42" i="10"/>
  <c r="Q41" i="10"/>
  <c r="Q40" i="10"/>
  <c r="Q38" i="10"/>
  <c r="Q35" i="10"/>
  <c r="Q32" i="10"/>
  <c r="Q28" i="10"/>
  <c r="P43" i="10"/>
  <c r="P32" i="10"/>
  <c r="Q50" i="10"/>
  <c r="P54" i="10"/>
  <c r="Q54" i="10"/>
  <c r="Q57" i="10"/>
  <c r="Q61" i="10"/>
  <c r="Q68" i="10"/>
  <c r="Q65" i="10"/>
  <c r="P65" i="10"/>
  <c r="G65" i="10" s="1"/>
  <c r="O61" i="10"/>
  <c r="O68" i="10"/>
  <c r="N68" i="10"/>
  <c r="M61" i="10"/>
  <c r="N57" i="10"/>
  <c r="O57" i="10"/>
  <c r="O50" i="10"/>
  <c r="N46" i="10"/>
  <c r="O48" i="10"/>
  <c r="O47" i="10"/>
  <c r="O45" i="10"/>
  <c r="O44" i="10"/>
  <c r="O43" i="10"/>
  <c r="O42" i="10"/>
  <c r="O41" i="10"/>
  <c r="O40" i="10"/>
  <c r="O38" i="10"/>
  <c r="O28" i="10"/>
  <c r="O35" i="10"/>
  <c r="N35" i="10"/>
  <c r="L56" i="10"/>
  <c r="K56" i="10"/>
  <c r="L60" i="10"/>
  <c r="L67" i="10"/>
  <c r="K67" i="10"/>
  <c r="G67" i="10" s="1"/>
  <c r="J60" i="10"/>
  <c r="H60" i="10"/>
  <c r="H49" i="10"/>
  <c r="J49" i="10"/>
  <c r="K45" i="10"/>
  <c r="L45" i="10"/>
  <c r="L49" i="10"/>
  <c r="M50" i="10"/>
  <c r="G50" i="10" s="1"/>
  <c r="M48" i="10"/>
  <c r="G48" i="10" s="1"/>
  <c r="M47" i="10"/>
  <c r="M46" i="10"/>
  <c r="G46" i="10" s="1"/>
  <c r="M45" i="10"/>
  <c r="M44" i="10"/>
  <c r="M43" i="10"/>
  <c r="G43" i="10" s="1"/>
  <c r="M42" i="10"/>
  <c r="M41" i="10"/>
  <c r="M40" i="10"/>
  <c r="M38" i="10"/>
  <c r="L38" i="10"/>
  <c r="L36" i="10"/>
  <c r="L35" i="10"/>
  <c r="M28" i="10"/>
  <c r="L33" i="10"/>
  <c r="L32" i="10"/>
  <c r="L31" i="10"/>
  <c r="L30" i="10"/>
  <c r="L29" i="10"/>
  <c r="L28" i="10"/>
  <c r="K34" i="10"/>
  <c r="J36" i="10"/>
  <c r="J35" i="10"/>
  <c r="J34" i="10"/>
  <c r="J33" i="10"/>
  <c r="J32" i="10"/>
  <c r="J31" i="10"/>
  <c r="J30" i="10"/>
  <c r="J29" i="10"/>
  <c r="J28" i="10"/>
  <c r="J38" i="10"/>
  <c r="I37" i="10"/>
  <c r="H38" i="10"/>
  <c r="G38" i="10" s="1"/>
  <c r="H37" i="10"/>
  <c r="H36" i="10"/>
  <c r="H35" i="10"/>
  <c r="H34" i="10"/>
  <c r="H33" i="10"/>
  <c r="H32" i="10"/>
  <c r="H31" i="10"/>
  <c r="H30" i="10"/>
  <c r="H29" i="10"/>
  <c r="F63" i="10"/>
  <c r="F51" i="10"/>
  <c r="E6" i="3" s="1"/>
  <c r="F39" i="10"/>
  <c r="C23" i="10"/>
  <c r="K44" i="6"/>
  <c r="K43" i="6"/>
  <c r="K42" i="6"/>
  <c r="K41" i="6"/>
  <c r="K40" i="6"/>
  <c r="K39" i="6"/>
  <c r="K38" i="6"/>
  <c r="K25" i="6"/>
  <c r="K24" i="6"/>
  <c r="K23" i="6"/>
  <c r="K22" i="6"/>
  <c r="K21" i="6"/>
  <c r="K20" i="6"/>
  <c r="K19" i="6"/>
  <c r="K18" i="6"/>
  <c r="K17" i="6"/>
  <c r="K16" i="6"/>
  <c r="K15" i="6"/>
  <c r="K14" i="6"/>
  <c r="K37" i="6"/>
  <c r="K36" i="6"/>
  <c r="K35" i="6"/>
  <c r="K34" i="6"/>
  <c r="K33" i="6"/>
  <c r="K32" i="6"/>
  <c r="K31" i="6"/>
  <c r="K30" i="6"/>
  <c r="K29" i="6"/>
  <c r="K28" i="6"/>
  <c r="K27" i="6"/>
  <c r="K26" i="6"/>
  <c r="M25" i="6"/>
  <c r="M24" i="6"/>
  <c r="C26" i="3" l="1" a="1"/>
  <c r="I26" i="3" s="1"/>
  <c r="H19" i="25"/>
  <c r="G31" i="10"/>
  <c r="G64" i="10"/>
  <c r="G32" i="10"/>
  <c r="G42" i="10"/>
  <c r="F46" i="10"/>
  <c r="K5" i="3" s="1"/>
  <c r="G59" i="10"/>
  <c r="F64" i="10"/>
  <c r="G7" i="3" s="1"/>
  <c r="G28" i="10"/>
  <c r="AF93" i="10"/>
  <c r="AG91" i="10" s="1"/>
  <c r="I5" i="8" s="1"/>
  <c r="AG90" i="10"/>
  <c r="G34" i="10"/>
  <c r="G54" i="10"/>
  <c r="AG92" i="10"/>
  <c r="G49" i="10"/>
  <c r="G61" i="10"/>
  <c r="G55" i="10"/>
  <c r="G52" i="10"/>
  <c r="G29" i="10"/>
  <c r="G37" i="10"/>
  <c r="G47" i="10"/>
  <c r="G60" i="10"/>
  <c r="G68" i="10"/>
  <c r="F66" i="10"/>
  <c r="G66" i="10"/>
  <c r="F69" i="10"/>
  <c r="L7" i="3" s="1"/>
  <c r="D5" i="16"/>
  <c r="D5" i="12"/>
  <c r="G44" i="10"/>
  <c r="F33" i="10"/>
  <c r="G53" i="10"/>
  <c r="F43" i="10"/>
  <c r="E6" i="16"/>
  <c r="E6" i="12"/>
  <c r="G35" i="10"/>
  <c r="G45" i="10"/>
  <c r="F7" i="16"/>
  <c r="F7" i="12"/>
  <c r="G36" i="10"/>
  <c r="F58" i="10"/>
  <c r="D5" i="3"/>
  <c r="F7" i="3"/>
  <c r="I7" i="16"/>
  <c r="I7" i="12"/>
  <c r="G56" i="10"/>
  <c r="L7" i="16"/>
  <c r="L7" i="12"/>
  <c r="G33" i="10"/>
  <c r="G40" i="10"/>
  <c r="F30" i="10"/>
  <c r="G57" i="10"/>
  <c r="K5" i="16"/>
  <c r="K5" i="12"/>
  <c r="G7" i="16"/>
  <c r="G7" i="12"/>
  <c r="G30" i="10"/>
  <c r="F37" i="10"/>
  <c r="G41" i="10"/>
  <c r="F41" i="10"/>
  <c r="I7" i="3"/>
  <c r="R18" i="3"/>
  <c r="F31" i="10"/>
  <c r="F36" i="10"/>
  <c r="F53" i="10"/>
  <c r="F59" i="10"/>
  <c r="F47" i="10"/>
  <c r="F44" i="10"/>
  <c r="F32" i="10"/>
  <c r="F57" i="10"/>
  <c r="F40" i="10"/>
  <c r="F56" i="10"/>
  <c r="F60" i="10"/>
  <c r="F45" i="10"/>
  <c r="F49" i="10"/>
  <c r="F50" i="10"/>
  <c r="F42" i="10"/>
  <c r="F35" i="10"/>
  <c r="F29" i="10"/>
  <c r="F38" i="10"/>
  <c r="F48" i="10"/>
  <c r="F65" i="10"/>
  <c r="F34" i="10"/>
  <c r="F52" i="10"/>
  <c r="F67" i="10"/>
  <c r="F70" i="10"/>
  <c r="F62" i="10"/>
  <c r="F28" i="10"/>
  <c r="F54" i="10"/>
  <c r="F55" i="10"/>
  <c r="F61" i="10"/>
  <c r="F68" i="10"/>
  <c r="E26" i="3" l="1"/>
  <c r="L26" i="3"/>
  <c r="H26" i="3"/>
  <c r="D26" i="3"/>
  <c r="M26" i="3"/>
  <c r="C26" i="3"/>
  <c r="F26" i="3"/>
  <c r="K26" i="3"/>
  <c r="J26" i="3"/>
  <c r="G26" i="3"/>
  <c r="I4" i="8"/>
  <c r="AG93" i="10"/>
  <c r="J5" i="16"/>
  <c r="J5" i="12"/>
  <c r="J5" i="3"/>
  <c r="E7" i="16"/>
  <c r="E7" i="12"/>
  <c r="E7" i="3"/>
  <c r="E4" i="16"/>
  <c r="E4" i="12"/>
  <c r="E4" i="3"/>
  <c r="E5" i="16"/>
  <c r="E5" i="12"/>
  <c r="E5" i="3"/>
  <c r="G4" i="16"/>
  <c r="G4" i="12"/>
  <c r="G4" i="3"/>
  <c r="F4" i="16"/>
  <c r="F4" i="12"/>
  <c r="F4" i="3"/>
  <c r="K4" i="16"/>
  <c r="K4" i="12"/>
  <c r="K4" i="3"/>
  <c r="J7" i="16"/>
  <c r="J7" i="12"/>
  <c r="J7" i="3"/>
  <c r="L6" i="16"/>
  <c r="L6" i="12"/>
  <c r="L6" i="3"/>
  <c r="K7" i="16"/>
  <c r="K7" i="12"/>
  <c r="K7" i="3"/>
  <c r="D6" i="16"/>
  <c r="D6" i="12"/>
  <c r="D6" i="3"/>
  <c r="I5" i="16"/>
  <c r="I5" i="12"/>
  <c r="I5" i="3"/>
  <c r="H5" i="16"/>
  <c r="H5" i="12"/>
  <c r="H5" i="3"/>
  <c r="F6" i="16"/>
  <c r="F6" i="12"/>
  <c r="F6" i="3"/>
  <c r="D7" i="16"/>
  <c r="D7" i="12"/>
  <c r="D7" i="3"/>
  <c r="J4" i="16"/>
  <c r="J4" i="12"/>
  <c r="J4" i="3"/>
  <c r="C6" i="16"/>
  <c r="C6" i="12"/>
  <c r="C6" i="3"/>
  <c r="L5" i="16"/>
  <c r="L5" i="12"/>
  <c r="L5" i="3"/>
  <c r="I4" i="16"/>
  <c r="I4" i="12"/>
  <c r="I4" i="3"/>
  <c r="K6" i="16"/>
  <c r="K6" i="12"/>
  <c r="K6" i="3"/>
  <c r="M4" i="16"/>
  <c r="M4" i="12"/>
  <c r="M4" i="3"/>
  <c r="G5" i="16"/>
  <c r="G5" i="12"/>
  <c r="G5" i="3"/>
  <c r="H7" i="16"/>
  <c r="H7" i="12"/>
  <c r="H7" i="3"/>
  <c r="M6" i="16"/>
  <c r="M6" i="12"/>
  <c r="M6" i="3"/>
  <c r="H6" i="16"/>
  <c r="H6" i="12"/>
  <c r="H6" i="3"/>
  <c r="M5" i="16"/>
  <c r="M5" i="12"/>
  <c r="M5" i="3"/>
  <c r="C7" i="16"/>
  <c r="C7" i="12"/>
  <c r="C7" i="3"/>
  <c r="G6" i="16"/>
  <c r="G6" i="12"/>
  <c r="G6" i="3"/>
  <c r="M7" i="16"/>
  <c r="M7" i="12"/>
  <c r="M7" i="3"/>
  <c r="H4" i="16"/>
  <c r="H4" i="12"/>
  <c r="H4" i="3"/>
  <c r="I6" i="16"/>
  <c r="I6" i="12"/>
  <c r="I6" i="3"/>
  <c r="D4" i="16"/>
  <c r="D4" i="12"/>
  <c r="D4" i="3"/>
  <c r="C5" i="16"/>
  <c r="C5" i="12"/>
  <c r="C5" i="3"/>
  <c r="J6" i="16"/>
  <c r="J6" i="12"/>
  <c r="J6" i="3"/>
  <c r="L4" i="16"/>
  <c r="L12" i="16" s="1"/>
  <c r="L4" i="12"/>
  <c r="L4" i="3"/>
  <c r="F5" i="16"/>
  <c r="F5" i="12"/>
  <c r="F5" i="3"/>
  <c r="R21" i="3"/>
  <c r="R20" i="3"/>
  <c r="R19" i="3"/>
  <c r="L12" i="12" l="1"/>
  <c r="J12" i="16"/>
  <c r="G12" i="12"/>
  <c r="I12" i="16"/>
  <c r="J12" i="12"/>
  <c r="E12" i="16"/>
  <c r="D4" i="8"/>
  <c r="I6" i="8"/>
  <c r="E26" i="11"/>
  <c r="E27" i="11"/>
  <c r="H12" i="16"/>
  <c r="I12" i="12"/>
  <c r="F12" i="16"/>
  <c r="E12" i="12"/>
  <c r="D12" i="12"/>
  <c r="M12" i="16"/>
  <c r="G12" i="16"/>
  <c r="K12" i="12"/>
  <c r="M12" i="12"/>
  <c r="K12" i="16"/>
  <c r="C12" i="12"/>
  <c r="D12" i="16"/>
  <c r="C12" i="16"/>
  <c r="H12" i="12"/>
  <c r="F12" i="12"/>
  <c r="I12" i="3" l="1"/>
  <c r="H12" i="3"/>
  <c r="L11" i="3"/>
  <c r="L13" i="3"/>
  <c r="L12" i="3"/>
  <c r="L19" i="3" s="1"/>
  <c r="G13" i="3"/>
  <c r="I11" i="3"/>
  <c r="M12" i="3"/>
  <c r="J14" i="3"/>
  <c r="H11" i="3"/>
  <c r="J11" i="3"/>
  <c r="I14" i="3"/>
  <c r="L14" i="3"/>
  <c r="L21" i="3" s="1"/>
  <c r="H14" i="3"/>
  <c r="H13" i="3"/>
  <c r="J13" i="3"/>
  <c r="M13" i="3"/>
  <c r="G12" i="3"/>
  <c r="I13" i="3"/>
  <c r="K11" i="3"/>
  <c r="K12" i="3"/>
  <c r="K19" i="3" s="1"/>
  <c r="M14" i="3"/>
  <c r="G14" i="3"/>
  <c r="J12" i="3"/>
  <c r="K14" i="3"/>
  <c r="G11" i="3"/>
  <c r="K13" i="3"/>
  <c r="M11" i="3"/>
  <c r="C11" i="3"/>
  <c r="E12" i="3"/>
  <c r="F11" i="3"/>
  <c r="F14" i="3"/>
  <c r="C12" i="3"/>
  <c r="D12" i="3"/>
  <c r="F13" i="3"/>
  <c r="F12" i="3"/>
  <c r="F19" i="3" s="1"/>
  <c r="C14" i="3"/>
  <c r="D11" i="3"/>
  <c r="D14" i="3"/>
  <c r="C13" i="3"/>
  <c r="E13" i="3"/>
  <c r="D13" i="3"/>
  <c r="E14" i="3"/>
  <c r="E11" i="3"/>
  <c r="E18" i="3" s="1"/>
  <c r="D5" i="8"/>
  <c r="M42" i="21"/>
  <c r="E23" i="11"/>
  <c r="F8" i="22" s="1"/>
  <c r="F9" i="22" s="1"/>
  <c r="M21" i="3"/>
  <c r="J18" i="3"/>
  <c r="D20" i="3"/>
  <c r="K20" i="3"/>
  <c r="M18" i="3"/>
  <c r="K18" i="3"/>
  <c r="L18" i="3"/>
  <c r="G20" i="3"/>
  <c r="E21" i="3"/>
  <c r="I20" i="3"/>
  <c r="F20" i="3"/>
  <c r="D21" i="3"/>
  <c r="K21" i="3"/>
  <c r="F18" i="3"/>
  <c r="C20" i="3"/>
  <c r="H18" i="3"/>
  <c r="C18" i="3"/>
  <c r="I21" i="3"/>
  <c r="M20" i="3"/>
  <c r="G21" i="3"/>
  <c r="C21" i="3"/>
  <c r="D18" i="3"/>
  <c r="D19" i="3"/>
  <c r="F21" i="3"/>
  <c r="E19" i="3"/>
  <c r="E20" i="3"/>
  <c r="H20" i="3"/>
  <c r="L20" i="3"/>
  <c r="J21" i="3"/>
  <c r="M19" i="3"/>
  <c r="C19" i="3"/>
  <c r="G19" i="3"/>
  <c r="G18" i="3"/>
  <c r="H19" i="3"/>
  <c r="H21" i="3"/>
  <c r="J19" i="3"/>
  <c r="J20" i="3"/>
  <c r="I19" i="3"/>
  <c r="I18" i="3"/>
  <c r="D3" i="8" l="1"/>
  <c r="D3" i="13" s="1"/>
  <c r="M43" i="21"/>
  <c r="L28" i="3"/>
  <c r="G28" i="3"/>
  <c r="M28" i="3"/>
  <c r="E28" i="3"/>
  <c r="F28" i="3"/>
  <c r="C28" i="3"/>
  <c r="K28" i="3"/>
  <c r="D28" i="3"/>
  <c r="H28" i="3"/>
  <c r="I28" i="3"/>
  <c r="J28" i="3"/>
  <c r="E5" i="17" l="1"/>
  <c r="E20" i="17" l="1"/>
  <c r="L23" i="7" l="1"/>
  <c r="L27" i="7"/>
  <c r="L22" i="7"/>
  <c r="L18" i="7"/>
  <c r="G21" i="21" l="1"/>
  <c r="G21" i="19"/>
  <c r="G17" i="19"/>
  <c r="G17" i="21"/>
  <c r="L20" i="7"/>
  <c r="G26" i="19"/>
  <c r="G26" i="21"/>
  <c r="E11" i="11"/>
  <c r="E10" i="11"/>
  <c r="L29" i="7"/>
  <c r="L24" i="7"/>
  <c r="E9" i="11"/>
  <c r="E8" i="11"/>
  <c r="L25" i="7"/>
  <c r="G22" i="21"/>
  <c r="G22" i="19"/>
  <c r="L19" i="7"/>
  <c r="C11" i="16" l="1" a="1"/>
  <c r="F11" i="16" s="1"/>
  <c r="C11" i="12" a="1"/>
  <c r="E11" i="12" s="1"/>
  <c r="C25" i="3" a="1"/>
  <c r="E25" i="3" s="1"/>
  <c r="G19" i="21"/>
  <c r="G19" i="19"/>
  <c r="G28" i="21"/>
  <c r="G28" i="19"/>
  <c r="J18" i="25"/>
  <c r="L18" i="25" s="1"/>
  <c r="D10" i="17"/>
  <c r="G24" i="19"/>
  <c r="G24" i="21"/>
  <c r="D26" i="17"/>
  <c r="D25" i="17" s="1"/>
  <c r="J16" i="25"/>
  <c r="L16" i="25" s="1"/>
  <c r="J19" i="25"/>
  <c r="L19" i="25" s="1"/>
  <c r="G23" i="21"/>
  <c r="G23" i="19"/>
  <c r="G18" i="19"/>
  <c r="G18" i="21"/>
  <c r="J17" i="25"/>
  <c r="L17" i="25" s="1"/>
  <c r="D11" i="16" l="1"/>
  <c r="F25" i="3"/>
  <c r="F27" i="3" s="1"/>
  <c r="E11" i="16"/>
  <c r="E14" i="16" s="1"/>
  <c r="C8" i="18" s="1"/>
  <c r="C11" i="16"/>
  <c r="D25" i="3"/>
  <c r="D27" i="3" s="1"/>
  <c r="D11" i="12"/>
  <c r="C11" i="12"/>
  <c r="C25" i="3"/>
  <c r="C27" i="3" s="1"/>
  <c r="F11" i="12"/>
  <c r="L25" i="3"/>
  <c r="L27" i="3" s="1"/>
  <c r="I25" i="3"/>
  <c r="I27" i="3" s="1"/>
  <c r="G25" i="3"/>
  <c r="G27" i="3" s="1"/>
  <c r="K25" i="3"/>
  <c r="K27" i="3" s="1"/>
  <c r="M25" i="3"/>
  <c r="M27" i="3" s="1"/>
  <c r="H25" i="3"/>
  <c r="H27" i="3" s="1"/>
  <c r="J25" i="3"/>
  <c r="J27" i="3" s="1"/>
  <c r="H11" i="12"/>
  <c r="I11" i="12"/>
  <c r="J11" i="12"/>
  <c r="K11" i="12"/>
  <c r="G11" i="12"/>
  <c r="L11" i="12"/>
  <c r="M11" i="12"/>
  <c r="L11" i="16"/>
  <c r="G11" i="16"/>
  <c r="H11" i="16"/>
  <c r="M11" i="16"/>
  <c r="K11" i="16"/>
  <c r="J11" i="16"/>
  <c r="I11" i="16"/>
  <c r="E10" i="17"/>
  <c r="F10" i="17"/>
  <c r="E25" i="17"/>
  <c r="F25" i="17"/>
  <c r="E14" i="12"/>
  <c r="C8" i="20" s="1"/>
  <c r="E27" i="3"/>
  <c r="E30" i="3"/>
  <c r="C8" i="6" s="1"/>
  <c r="F26" i="17"/>
  <c r="E26" i="17"/>
  <c r="C13" i="16" l="1"/>
  <c r="C14" i="16" s="1"/>
  <c r="M13" i="12"/>
  <c r="M14" i="12" s="1"/>
  <c r="K13" i="12"/>
  <c r="K14" i="12" s="1"/>
  <c r="I13" i="12"/>
  <c r="I14" i="12" s="1"/>
  <c r="F13" i="16"/>
  <c r="F14" i="16" s="1"/>
  <c r="C9" i="18" s="1"/>
  <c r="I36" i="18" s="1"/>
  <c r="P36" i="18" s="1"/>
  <c r="J27" i="19" s="1"/>
  <c r="Q4" i="16"/>
  <c r="Q6" i="16"/>
  <c r="Q6" i="12"/>
  <c r="D13" i="16"/>
  <c r="D14" i="16" s="1"/>
  <c r="Q7" i="16"/>
  <c r="G13" i="12"/>
  <c r="G14" i="12" s="1"/>
  <c r="L13" i="12"/>
  <c r="L14" i="12" s="1"/>
  <c r="J13" i="16"/>
  <c r="J14" i="16" s="1"/>
  <c r="C13" i="12"/>
  <c r="F13" i="12"/>
  <c r="F14" i="12" s="1"/>
  <c r="C9" i="20" s="1"/>
  <c r="I37" i="20" s="1"/>
  <c r="P37" i="20" s="1"/>
  <c r="J28" i="21" s="1"/>
  <c r="I13" i="16"/>
  <c r="I14" i="16" s="1"/>
  <c r="Q7" i="12"/>
  <c r="Q5" i="12"/>
  <c r="K13" i="16"/>
  <c r="K14" i="16" s="1"/>
  <c r="M13" i="16"/>
  <c r="M14" i="16" s="1"/>
  <c r="Q4" i="12"/>
  <c r="E13" i="12"/>
  <c r="J13" i="12"/>
  <c r="J14" i="12" s="1"/>
  <c r="E13" i="16"/>
  <c r="H13" i="16"/>
  <c r="H14" i="16" s="1"/>
  <c r="G13" i="16"/>
  <c r="G14" i="16" s="1"/>
  <c r="H13" i="12"/>
  <c r="H14" i="12" s="1"/>
  <c r="D13" i="12"/>
  <c r="D14" i="12" s="1"/>
  <c r="Q5" i="16"/>
  <c r="L13" i="16"/>
  <c r="L14" i="16" s="1"/>
  <c r="I31" i="18"/>
  <c r="P31" i="18" s="1"/>
  <c r="J22" i="19" s="1"/>
  <c r="I33" i="18"/>
  <c r="P33" i="18" s="1"/>
  <c r="J24" i="19" s="1"/>
  <c r="I32" i="18"/>
  <c r="P32" i="18" s="1"/>
  <c r="J23" i="19" s="1"/>
  <c r="I35" i="18"/>
  <c r="P35" i="18" s="1"/>
  <c r="J26" i="19" s="1"/>
  <c r="I34" i="18"/>
  <c r="P34" i="18" s="1"/>
  <c r="J25" i="19" s="1"/>
  <c r="I31" i="20"/>
  <c r="P31" i="20" s="1"/>
  <c r="J22" i="21" s="1"/>
  <c r="I33" i="20"/>
  <c r="P33" i="20" s="1"/>
  <c r="J24" i="21" s="1"/>
  <c r="I35" i="20"/>
  <c r="P35" i="20" s="1"/>
  <c r="J26" i="21" s="1"/>
  <c r="I34" i="20"/>
  <c r="P34" i="20" s="1"/>
  <c r="J25" i="21" s="1"/>
  <c r="I32" i="20"/>
  <c r="P32" i="20" s="1"/>
  <c r="J23" i="21" s="1"/>
  <c r="I31" i="6"/>
  <c r="P31" i="6" s="1"/>
  <c r="M22" i="5" s="1"/>
  <c r="I34" i="6"/>
  <c r="P34" i="6" s="1"/>
  <c r="M25" i="5" s="1"/>
  <c r="I32" i="6"/>
  <c r="P32" i="6" s="1"/>
  <c r="M23" i="5" s="1"/>
  <c r="I33" i="6"/>
  <c r="P33" i="6" s="1"/>
  <c r="M24" i="5" s="1"/>
  <c r="I35" i="6"/>
  <c r="P35" i="6" s="1"/>
  <c r="M26" i="5" s="1"/>
  <c r="S19" i="3"/>
  <c r="H29" i="3"/>
  <c r="H30" i="3" s="1"/>
  <c r="C29" i="3"/>
  <c r="I29" i="3"/>
  <c r="I30" i="3" s="1"/>
  <c r="S18" i="3"/>
  <c r="K29" i="3"/>
  <c r="K30" i="3" s="1"/>
  <c r="J29" i="3"/>
  <c r="J30" i="3" s="1"/>
  <c r="S20" i="3"/>
  <c r="G29" i="3"/>
  <c r="L29" i="3"/>
  <c r="L30" i="3" s="1"/>
  <c r="M29" i="3"/>
  <c r="M30" i="3" s="1"/>
  <c r="S21" i="3"/>
  <c r="E29" i="3"/>
  <c r="F29" i="3"/>
  <c r="F30" i="3" s="1"/>
  <c r="C9" i="6" s="1"/>
  <c r="I37" i="6" s="1"/>
  <c r="P37" i="6" s="1"/>
  <c r="M28" i="5" s="1"/>
  <c r="D29" i="3"/>
  <c r="D30" i="3" s="1"/>
  <c r="P26" i="5" l="1"/>
  <c r="V26" i="5" s="1"/>
  <c r="O26" i="5"/>
  <c r="U26" i="5" s="1"/>
  <c r="N26" i="5"/>
  <c r="T26" i="5" s="1"/>
  <c r="S26" i="5"/>
  <c r="P24" i="5"/>
  <c r="V24" i="5" s="1"/>
  <c r="O24" i="5"/>
  <c r="U24" i="5" s="1"/>
  <c r="N24" i="5"/>
  <c r="T24" i="5" s="1"/>
  <c r="S24" i="5"/>
  <c r="N25" i="5"/>
  <c r="T25" i="5" s="1"/>
  <c r="O25" i="5"/>
  <c r="U25" i="5" s="1"/>
  <c r="P25" i="5"/>
  <c r="V25" i="5" s="1"/>
  <c r="S25" i="5"/>
  <c r="P28" i="5"/>
  <c r="V28" i="5" s="1"/>
  <c r="O28" i="5"/>
  <c r="U28" i="5" s="1"/>
  <c r="N28" i="5"/>
  <c r="T28" i="5" s="1"/>
  <c r="S28" i="5"/>
  <c r="P23" i="5"/>
  <c r="V23" i="5" s="1"/>
  <c r="O23" i="5"/>
  <c r="U23" i="5" s="1"/>
  <c r="N23" i="5"/>
  <c r="T23" i="5" s="1"/>
  <c r="S23" i="5"/>
  <c r="N22" i="5"/>
  <c r="T22" i="5" s="1"/>
  <c r="P22" i="5"/>
  <c r="V22" i="5" s="1"/>
  <c r="O22" i="5"/>
  <c r="U22" i="5" s="1"/>
  <c r="S22" i="5"/>
  <c r="I37" i="18"/>
  <c r="P37" i="18" s="1"/>
  <c r="J28" i="19" s="1"/>
  <c r="M28" i="19" s="1"/>
  <c r="I36" i="20"/>
  <c r="P36" i="20" s="1"/>
  <c r="J27" i="21" s="1"/>
  <c r="M27" i="21" s="1"/>
  <c r="R7" i="16"/>
  <c r="S7" i="16" s="1"/>
  <c r="C6" i="18" s="1"/>
  <c r="I24" i="18" s="1"/>
  <c r="P24" i="18" s="1"/>
  <c r="J15" i="19" s="1"/>
  <c r="M15" i="19" s="1"/>
  <c r="R4" i="12"/>
  <c r="S4" i="12" s="1"/>
  <c r="I36" i="6"/>
  <c r="P36" i="6" s="1"/>
  <c r="M27" i="5" s="1"/>
  <c r="C7" i="18"/>
  <c r="T18" i="3"/>
  <c r="U18" i="3" s="1"/>
  <c r="P31" i="25" s="1"/>
  <c r="C10" i="20"/>
  <c r="I44" i="20" s="1"/>
  <c r="P44" i="20" s="1"/>
  <c r="J35" i="21" s="1"/>
  <c r="C10" i="18"/>
  <c r="I38" i="18" s="1"/>
  <c r="P38" i="18" s="1"/>
  <c r="J29" i="19" s="1"/>
  <c r="R6" i="12"/>
  <c r="S6" i="12" s="1"/>
  <c r="C5" i="20" s="1"/>
  <c r="C7" i="20"/>
  <c r="C14" i="12"/>
  <c r="R5" i="16"/>
  <c r="S5" i="16" s="1"/>
  <c r="R5" i="12"/>
  <c r="S5" i="12" s="1"/>
  <c r="R4" i="16"/>
  <c r="T21" i="3"/>
  <c r="U21" i="3" s="1"/>
  <c r="C6" i="6" s="1"/>
  <c r="R6" i="16"/>
  <c r="S6" i="16" s="1"/>
  <c r="C5" i="18" s="1"/>
  <c r="R7" i="12"/>
  <c r="S7" i="12" s="1"/>
  <c r="C6" i="20" s="1"/>
  <c r="C30" i="3"/>
  <c r="C7" i="6"/>
  <c r="M22" i="21"/>
  <c r="M27" i="19"/>
  <c r="M28" i="21"/>
  <c r="C10" i="6"/>
  <c r="G30" i="3"/>
  <c r="T19" i="3"/>
  <c r="U19" i="3" s="1"/>
  <c r="P32" i="25" s="1"/>
  <c r="M25" i="19"/>
  <c r="T20" i="3"/>
  <c r="U20" i="3" s="1"/>
  <c r="M23" i="21"/>
  <c r="M26" i="19"/>
  <c r="M25" i="21"/>
  <c r="M23" i="19"/>
  <c r="M26" i="21"/>
  <c r="M24" i="19"/>
  <c r="M24" i="21"/>
  <c r="M22" i="19"/>
  <c r="O27" i="5" l="1"/>
  <c r="U27" i="5" s="1"/>
  <c r="N27" i="5"/>
  <c r="T27" i="5" s="1"/>
  <c r="P27" i="5"/>
  <c r="V27" i="5" s="1"/>
  <c r="S27" i="5"/>
  <c r="I43" i="18"/>
  <c r="P43" i="18" s="1"/>
  <c r="J34" i="19" s="1"/>
  <c r="M34" i="19" s="1"/>
  <c r="I39" i="18"/>
  <c r="P39" i="18" s="1"/>
  <c r="J30" i="19" s="1"/>
  <c r="M30" i="19" s="1"/>
  <c r="I44" i="18"/>
  <c r="P44" i="18" s="1"/>
  <c r="J35" i="19" s="1"/>
  <c r="M35" i="19" s="1"/>
  <c r="I42" i="18"/>
  <c r="P42" i="18" s="1"/>
  <c r="J33" i="19" s="1"/>
  <c r="M33" i="19" s="1"/>
  <c r="I41" i="18"/>
  <c r="P41" i="18" s="1"/>
  <c r="J32" i="19" s="1"/>
  <c r="I39" i="20"/>
  <c r="P39" i="20" s="1"/>
  <c r="J30" i="21" s="1"/>
  <c r="M30" i="21" s="1"/>
  <c r="I25" i="18"/>
  <c r="P25" i="18" s="1"/>
  <c r="J16" i="19" s="1"/>
  <c r="M16" i="19" s="1"/>
  <c r="I40" i="20"/>
  <c r="P40" i="20" s="1"/>
  <c r="J31" i="21" s="1"/>
  <c r="M31" i="21" s="1"/>
  <c r="I43" i="20"/>
  <c r="P43" i="20" s="1"/>
  <c r="J34" i="21" s="1"/>
  <c r="M34" i="21" s="1"/>
  <c r="I38" i="20"/>
  <c r="P38" i="20" s="1"/>
  <c r="J29" i="21" s="1"/>
  <c r="M29" i="21" s="1"/>
  <c r="I41" i="20"/>
  <c r="P41" i="20" s="1"/>
  <c r="J32" i="21" s="1"/>
  <c r="M32" i="21" s="1"/>
  <c r="P34" i="25"/>
  <c r="I40" i="18"/>
  <c r="P40" i="18" s="1"/>
  <c r="J31" i="19" s="1"/>
  <c r="M31" i="19" s="1"/>
  <c r="I42" i="20"/>
  <c r="P42" i="20" s="1"/>
  <c r="J33" i="21" s="1"/>
  <c r="M33" i="21" s="1"/>
  <c r="C4" i="20"/>
  <c r="I17" i="20" s="1"/>
  <c r="P17" i="20" s="1"/>
  <c r="J8" i="21" s="1"/>
  <c r="M8" i="21" s="1"/>
  <c r="I29" i="18"/>
  <c r="P29" i="18" s="1"/>
  <c r="J20" i="19" s="1"/>
  <c r="M20" i="19" s="1"/>
  <c r="I30" i="18"/>
  <c r="P30" i="18" s="1"/>
  <c r="J21" i="19" s="1"/>
  <c r="M21" i="19" s="1"/>
  <c r="I27" i="18"/>
  <c r="P27" i="18" s="1"/>
  <c r="J18" i="19" s="1"/>
  <c r="M18" i="19" s="1"/>
  <c r="I28" i="18"/>
  <c r="P28" i="18" s="1"/>
  <c r="J19" i="19" s="1"/>
  <c r="M19" i="19" s="1"/>
  <c r="I26" i="18"/>
  <c r="P26" i="18" s="1"/>
  <c r="J17" i="19" s="1"/>
  <c r="M17" i="19" s="1"/>
  <c r="I25" i="20"/>
  <c r="P25" i="20" s="1"/>
  <c r="J16" i="21" s="1"/>
  <c r="M16" i="21" s="1"/>
  <c r="I24" i="20"/>
  <c r="P24" i="20" s="1"/>
  <c r="J15" i="21" s="1"/>
  <c r="M15" i="21" s="1"/>
  <c r="I30" i="20"/>
  <c r="P30" i="20" s="1"/>
  <c r="J21" i="21" s="1"/>
  <c r="M21" i="21" s="1"/>
  <c r="I26" i="20"/>
  <c r="P26" i="20" s="1"/>
  <c r="J17" i="21" s="1"/>
  <c r="M17" i="21" s="1"/>
  <c r="I28" i="20"/>
  <c r="P28" i="20" s="1"/>
  <c r="J19" i="21" s="1"/>
  <c r="M19" i="21" s="1"/>
  <c r="I29" i="20"/>
  <c r="P29" i="20" s="1"/>
  <c r="J20" i="21" s="1"/>
  <c r="M20" i="21" s="1"/>
  <c r="I27" i="20"/>
  <c r="P27" i="20" s="1"/>
  <c r="J18" i="21" s="1"/>
  <c r="M18" i="21" s="1"/>
  <c r="I20" i="18"/>
  <c r="P20" i="18" s="1"/>
  <c r="J11" i="19" s="1"/>
  <c r="M11" i="19" s="1"/>
  <c r="I22" i="18"/>
  <c r="P22" i="18" s="1"/>
  <c r="J13" i="19" s="1"/>
  <c r="M13" i="19" s="1"/>
  <c r="I23" i="18"/>
  <c r="P23" i="18" s="1"/>
  <c r="J14" i="19" s="1"/>
  <c r="M14" i="19" s="1"/>
  <c r="I21" i="18"/>
  <c r="P21" i="18" s="1"/>
  <c r="J12" i="19" s="1"/>
  <c r="M12" i="19" s="1"/>
  <c r="I19" i="18"/>
  <c r="P19" i="18" s="1"/>
  <c r="J10" i="19" s="1"/>
  <c r="M10" i="19" s="1"/>
  <c r="I22" i="20"/>
  <c r="P22" i="20" s="1"/>
  <c r="J13" i="21" s="1"/>
  <c r="M13" i="21" s="1"/>
  <c r="I21" i="20"/>
  <c r="P21" i="20" s="1"/>
  <c r="J12" i="21" s="1"/>
  <c r="M12" i="21" s="1"/>
  <c r="I20" i="20"/>
  <c r="P20" i="20" s="1"/>
  <c r="J11" i="21" s="1"/>
  <c r="M11" i="21" s="1"/>
  <c r="I23" i="20"/>
  <c r="P23" i="20" s="1"/>
  <c r="J14" i="21" s="1"/>
  <c r="M14" i="21" s="1"/>
  <c r="I19" i="20"/>
  <c r="P19" i="20" s="1"/>
  <c r="J10" i="21" s="1"/>
  <c r="M10" i="21" s="1"/>
  <c r="I29" i="6"/>
  <c r="P29" i="6" s="1"/>
  <c r="M20" i="5" s="1"/>
  <c r="I26" i="6"/>
  <c r="P26" i="6" s="1"/>
  <c r="M17" i="5" s="1"/>
  <c r="I27" i="6"/>
  <c r="P27" i="6" s="1"/>
  <c r="M18" i="5" s="1"/>
  <c r="I30" i="6"/>
  <c r="P30" i="6" s="1"/>
  <c r="M21" i="5" s="1"/>
  <c r="I28" i="6"/>
  <c r="P28" i="6" s="1"/>
  <c r="M19" i="5" s="1"/>
  <c r="S4" i="16"/>
  <c r="C4" i="18"/>
  <c r="P35" i="25" a="1"/>
  <c r="P36" i="25" s="1"/>
  <c r="M29" i="19"/>
  <c r="I43" i="6"/>
  <c r="P43" i="6" s="1"/>
  <c r="M34" i="5" s="1"/>
  <c r="I44" i="6"/>
  <c r="P44" i="6" s="1"/>
  <c r="M35" i="5" s="1"/>
  <c r="I39" i="6"/>
  <c r="P39" i="6" s="1"/>
  <c r="M30" i="5" s="1"/>
  <c r="I42" i="6"/>
  <c r="P42" i="6" s="1"/>
  <c r="M33" i="5" s="1"/>
  <c r="I40" i="6"/>
  <c r="P40" i="6" s="1"/>
  <c r="M31" i="5" s="1"/>
  <c r="I38" i="6"/>
  <c r="P38" i="6" s="1"/>
  <c r="M29" i="5" s="1"/>
  <c r="I41" i="6"/>
  <c r="P41" i="6" s="1"/>
  <c r="M32" i="5" s="1"/>
  <c r="C4" i="6"/>
  <c r="M32" i="19"/>
  <c r="M35" i="21"/>
  <c r="P33" i="25"/>
  <c r="C5" i="6"/>
  <c r="I25" i="6"/>
  <c r="P25" i="6" s="1"/>
  <c r="M16" i="5" s="1"/>
  <c r="I24" i="6"/>
  <c r="P24" i="6" s="1"/>
  <c r="M15" i="5" s="1"/>
  <c r="O19" i="5" l="1"/>
  <c r="U19" i="5" s="1"/>
  <c r="N19" i="5"/>
  <c r="T19" i="5" s="1"/>
  <c r="P19" i="5"/>
  <c r="V19" i="5" s="1"/>
  <c r="S19" i="5"/>
  <c r="N30" i="5"/>
  <c r="T30" i="5" s="1"/>
  <c r="P30" i="5"/>
  <c r="V30" i="5" s="1"/>
  <c r="O30" i="5"/>
  <c r="U30" i="5" s="1"/>
  <c r="S30" i="5"/>
  <c r="P21" i="5"/>
  <c r="V21" i="5" s="1"/>
  <c r="O21" i="5"/>
  <c r="U21" i="5" s="1"/>
  <c r="N21" i="5"/>
  <c r="T21" i="5" s="1"/>
  <c r="S21" i="5"/>
  <c r="P15" i="5"/>
  <c r="V15" i="5" s="1"/>
  <c r="O15" i="5"/>
  <c r="U15" i="5" s="1"/>
  <c r="N15" i="5"/>
  <c r="T15" i="5" s="1"/>
  <c r="S15" i="5"/>
  <c r="O35" i="5"/>
  <c r="U35" i="5" s="1"/>
  <c r="N35" i="5"/>
  <c r="T35" i="5" s="1"/>
  <c r="P35" i="5"/>
  <c r="V35" i="5" s="1"/>
  <c r="S35" i="5"/>
  <c r="P18" i="5"/>
  <c r="V18" i="5" s="1"/>
  <c r="O18" i="5"/>
  <c r="U18" i="5" s="1"/>
  <c r="N18" i="5"/>
  <c r="T18" i="5" s="1"/>
  <c r="S18" i="5"/>
  <c r="P16" i="5"/>
  <c r="V16" i="5" s="1"/>
  <c r="O16" i="5"/>
  <c r="U16" i="5" s="1"/>
  <c r="N16" i="5"/>
  <c r="T16" i="5" s="1"/>
  <c r="S16" i="5"/>
  <c r="P34" i="5"/>
  <c r="V34" i="5" s="1"/>
  <c r="O34" i="5"/>
  <c r="U34" i="5" s="1"/>
  <c r="N34" i="5"/>
  <c r="T34" i="5" s="1"/>
  <c r="S34" i="5"/>
  <c r="O17" i="5"/>
  <c r="U17" i="5" s="1"/>
  <c r="P17" i="5"/>
  <c r="V17" i="5" s="1"/>
  <c r="N17" i="5"/>
  <c r="T17" i="5" s="1"/>
  <c r="S17" i="5"/>
  <c r="P20" i="5"/>
  <c r="V20" i="5" s="1"/>
  <c r="O20" i="5"/>
  <c r="U20" i="5" s="1"/>
  <c r="N20" i="5"/>
  <c r="T20" i="5" s="1"/>
  <c r="S20" i="5"/>
  <c r="P31" i="5"/>
  <c r="V31" i="5" s="1"/>
  <c r="O31" i="5"/>
  <c r="U31" i="5" s="1"/>
  <c r="N31" i="5"/>
  <c r="T31" i="5" s="1"/>
  <c r="S31" i="5"/>
  <c r="O33" i="5"/>
  <c r="U33" i="5" s="1"/>
  <c r="N33" i="5"/>
  <c r="T33" i="5" s="1"/>
  <c r="P33" i="5"/>
  <c r="V33" i="5" s="1"/>
  <c r="S33" i="5"/>
  <c r="P32" i="5"/>
  <c r="V32" i="5" s="1"/>
  <c r="O32" i="5"/>
  <c r="U32" i="5" s="1"/>
  <c r="N32" i="5"/>
  <c r="T32" i="5" s="1"/>
  <c r="S32" i="5"/>
  <c r="P29" i="5"/>
  <c r="V29" i="5" s="1"/>
  <c r="O29" i="5"/>
  <c r="U29" i="5" s="1"/>
  <c r="N29" i="5"/>
  <c r="T29" i="5" s="1"/>
  <c r="S29" i="5"/>
  <c r="I18" i="20"/>
  <c r="P18" i="20" s="1"/>
  <c r="J9" i="21" s="1"/>
  <c r="M9" i="21" s="1"/>
  <c r="I14" i="20"/>
  <c r="P14" i="20" s="1"/>
  <c r="J5" i="21" s="1"/>
  <c r="M5" i="21" s="1"/>
  <c r="I16" i="20"/>
  <c r="P16" i="20" s="1"/>
  <c r="J7" i="21" s="1"/>
  <c r="M7" i="21" s="1"/>
  <c r="I15" i="20"/>
  <c r="P15" i="20" s="1"/>
  <c r="J6" i="21" s="1"/>
  <c r="M6" i="21" s="1"/>
  <c r="O39" i="21"/>
  <c r="O23" i="21" s="1"/>
  <c r="R23" i="21" s="1"/>
  <c r="U23" i="21" s="1"/>
  <c r="P40" i="25"/>
  <c r="P45" i="25"/>
  <c r="O39" i="19"/>
  <c r="O30" i="19" s="1"/>
  <c r="R30" i="19" s="1"/>
  <c r="U30" i="19" s="1"/>
  <c r="P35" i="25"/>
  <c r="I16" i="18"/>
  <c r="P16" i="18" s="1"/>
  <c r="J7" i="19" s="1"/>
  <c r="M7" i="19" s="1"/>
  <c r="I15" i="18"/>
  <c r="P15" i="18" s="1"/>
  <c r="J6" i="19" s="1"/>
  <c r="M6" i="19" s="1"/>
  <c r="I14" i="18"/>
  <c r="P14" i="18" s="1"/>
  <c r="J5" i="19" s="1"/>
  <c r="M5" i="19" s="1"/>
  <c r="I17" i="18"/>
  <c r="P17" i="18" s="1"/>
  <c r="J8" i="19" s="1"/>
  <c r="M8" i="19" s="1"/>
  <c r="I18" i="18"/>
  <c r="P18" i="18" s="1"/>
  <c r="J9" i="19" s="1"/>
  <c r="M9" i="19" s="1"/>
  <c r="P43" i="25"/>
  <c r="P37" i="25"/>
  <c r="P39" i="25"/>
  <c r="P38" i="25"/>
  <c r="P41" i="25"/>
  <c r="P42" i="25"/>
  <c r="P44" i="25"/>
  <c r="I14" i="6"/>
  <c r="P14" i="6" s="1"/>
  <c r="M5" i="5" s="1"/>
  <c r="I18" i="6"/>
  <c r="P18" i="6" s="1"/>
  <c r="M9" i="5" s="1"/>
  <c r="I15" i="6"/>
  <c r="P15" i="6" s="1"/>
  <c r="M6" i="5" s="1"/>
  <c r="I16" i="6"/>
  <c r="P16" i="6" s="1"/>
  <c r="M7" i="5" s="1"/>
  <c r="I17" i="6"/>
  <c r="P17" i="6" s="1"/>
  <c r="M8" i="5" s="1"/>
  <c r="I21" i="6"/>
  <c r="P21" i="6" s="1"/>
  <c r="M12" i="5" s="1"/>
  <c r="I20" i="6"/>
  <c r="P20" i="6" s="1"/>
  <c r="M11" i="5" s="1"/>
  <c r="I23" i="6"/>
  <c r="P23" i="6" s="1"/>
  <c r="M14" i="5" s="1"/>
  <c r="I22" i="6"/>
  <c r="P22" i="6" s="1"/>
  <c r="M13" i="5" s="1"/>
  <c r="I19" i="6"/>
  <c r="P19" i="6" s="1"/>
  <c r="M10" i="5" s="1"/>
  <c r="P8" i="5" l="1"/>
  <c r="V8" i="5" s="1"/>
  <c r="O8" i="5"/>
  <c r="U8" i="5" s="1"/>
  <c r="N8" i="5"/>
  <c r="T8" i="5" s="1"/>
  <c r="S8" i="5"/>
  <c r="N6" i="5"/>
  <c r="T6" i="5" s="1"/>
  <c r="O6" i="5"/>
  <c r="U6" i="5" s="1"/>
  <c r="P6" i="5"/>
  <c r="V6" i="5" s="1"/>
  <c r="S6" i="5"/>
  <c r="P13" i="5"/>
  <c r="V13" i="5" s="1"/>
  <c r="O13" i="5"/>
  <c r="U13" i="5" s="1"/>
  <c r="N13" i="5"/>
  <c r="T13" i="5" s="1"/>
  <c r="S13" i="5"/>
  <c r="P5" i="5"/>
  <c r="V5" i="5" s="1"/>
  <c r="O5" i="5"/>
  <c r="U5" i="5" s="1"/>
  <c r="N5" i="5"/>
  <c r="T5" i="5" s="1"/>
  <c r="Z38" i="5" s="1"/>
  <c r="S5" i="5"/>
  <c r="O9" i="5"/>
  <c r="U9" i="5" s="1"/>
  <c r="N9" i="5"/>
  <c r="T9" i="5" s="1"/>
  <c r="P9" i="5"/>
  <c r="V9" i="5" s="1"/>
  <c r="S9" i="5"/>
  <c r="P7" i="5"/>
  <c r="V7" i="5" s="1"/>
  <c r="O7" i="5"/>
  <c r="U7" i="5" s="1"/>
  <c r="N7" i="5"/>
  <c r="T7" i="5" s="1"/>
  <c r="S7" i="5"/>
  <c r="P10" i="5"/>
  <c r="V10" i="5" s="1"/>
  <c r="O10" i="5"/>
  <c r="U10" i="5" s="1"/>
  <c r="N10" i="5"/>
  <c r="T10" i="5" s="1"/>
  <c r="S10" i="5"/>
  <c r="N14" i="5"/>
  <c r="T14" i="5" s="1"/>
  <c r="O14" i="5"/>
  <c r="U14" i="5" s="1"/>
  <c r="P14" i="5"/>
  <c r="V14" i="5" s="1"/>
  <c r="S14" i="5"/>
  <c r="O11" i="5"/>
  <c r="U11" i="5" s="1"/>
  <c r="N11" i="5"/>
  <c r="T11" i="5" s="1"/>
  <c r="P11" i="5"/>
  <c r="V11" i="5" s="1"/>
  <c r="S11" i="5"/>
  <c r="N12" i="5"/>
  <c r="T12" i="5" s="1"/>
  <c r="P12" i="5"/>
  <c r="V12" i="5" s="1"/>
  <c r="O12" i="5"/>
  <c r="U12" i="5" s="1"/>
  <c r="S12" i="5"/>
  <c r="M39" i="21"/>
  <c r="M38" i="21"/>
  <c r="O38" i="21"/>
  <c r="O12" i="21" s="1"/>
  <c r="R12" i="21" s="1"/>
  <c r="U12" i="21" s="1"/>
  <c r="O17" i="19"/>
  <c r="R17" i="19" s="1"/>
  <c r="C7" i="13" s="1"/>
  <c r="O27" i="19"/>
  <c r="R27" i="19" s="1"/>
  <c r="U27" i="19" s="1"/>
  <c r="O32" i="19"/>
  <c r="R32" i="19" s="1"/>
  <c r="U32" i="19" s="1"/>
  <c r="O31" i="21"/>
  <c r="R31" i="21" s="1"/>
  <c r="U31" i="21" s="1"/>
  <c r="O19" i="19"/>
  <c r="R19" i="19" s="1"/>
  <c r="U19" i="19" s="1"/>
  <c r="O20" i="19"/>
  <c r="R20" i="19" s="1"/>
  <c r="U20" i="19" s="1"/>
  <c r="O30" i="21"/>
  <c r="R30" i="21" s="1"/>
  <c r="U30" i="21" s="1"/>
  <c r="O19" i="21"/>
  <c r="R19" i="21" s="1"/>
  <c r="U19" i="21" s="1"/>
  <c r="O34" i="19"/>
  <c r="R34" i="19" s="1"/>
  <c r="U34" i="19" s="1"/>
  <c r="O29" i="19"/>
  <c r="R29" i="19" s="1"/>
  <c r="U29" i="19" s="1"/>
  <c r="O31" i="19"/>
  <c r="R31" i="19" s="1"/>
  <c r="U31" i="19" s="1"/>
  <c r="O25" i="19"/>
  <c r="R25" i="19" s="1"/>
  <c r="U25" i="19" s="1"/>
  <c r="O35" i="19"/>
  <c r="R35" i="19" s="1"/>
  <c r="U35" i="19" s="1"/>
  <c r="O23" i="19"/>
  <c r="R23" i="19" s="1"/>
  <c r="U23" i="19" s="1"/>
  <c r="O22" i="19"/>
  <c r="R22" i="19" s="1"/>
  <c r="C8" i="13" s="1"/>
  <c r="O18" i="19"/>
  <c r="R18" i="19" s="1"/>
  <c r="U18" i="19" s="1"/>
  <c r="O25" i="21"/>
  <c r="R25" i="21" s="1"/>
  <c r="U25" i="21" s="1"/>
  <c r="M38" i="19"/>
  <c r="O34" i="21"/>
  <c r="R34" i="21" s="1"/>
  <c r="U34" i="21" s="1"/>
  <c r="O21" i="21"/>
  <c r="R21" i="21" s="1"/>
  <c r="U21" i="21" s="1"/>
  <c r="O20" i="21"/>
  <c r="R20" i="21" s="1"/>
  <c r="U20" i="21" s="1"/>
  <c r="O17" i="21"/>
  <c r="R17" i="21" s="1"/>
  <c r="D7" i="13" s="1"/>
  <c r="O33" i="21"/>
  <c r="R33" i="21" s="1"/>
  <c r="U33" i="21" s="1"/>
  <c r="O22" i="21"/>
  <c r="R22" i="21" s="1"/>
  <c r="D8" i="13" s="1"/>
  <c r="O35" i="21"/>
  <c r="R35" i="21" s="1"/>
  <c r="U35" i="21" s="1"/>
  <c r="O26" i="21"/>
  <c r="R26" i="21" s="1"/>
  <c r="U26" i="21" s="1"/>
  <c r="O33" i="19"/>
  <c r="R33" i="19" s="1"/>
  <c r="U33" i="19" s="1"/>
  <c r="O28" i="19"/>
  <c r="R28" i="19" s="1"/>
  <c r="U28" i="19" s="1"/>
  <c r="O24" i="21"/>
  <c r="R24" i="21" s="1"/>
  <c r="U24" i="21" s="1"/>
  <c r="O18" i="21"/>
  <c r="R18" i="21" s="1"/>
  <c r="U18" i="21" s="1"/>
  <c r="O32" i="21"/>
  <c r="R32" i="21" s="1"/>
  <c r="U32" i="21" s="1"/>
  <c r="O27" i="21"/>
  <c r="R27" i="21" s="1"/>
  <c r="D9" i="13" s="1"/>
  <c r="O29" i="21"/>
  <c r="R29" i="21" s="1"/>
  <c r="U29" i="21" s="1"/>
  <c r="O28" i="21"/>
  <c r="R28" i="21" s="1"/>
  <c r="U28" i="21" s="1"/>
  <c r="O26" i="19"/>
  <c r="R26" i="19" s="1"/>
  <c r="U26" i="19" s="1"/>
  <c r="O21" i="19"/>
  <c r="R21" i="19" s="1"/>
  <c r="U21" i="19" s="1"/>
  <c r="O38" i="19"/>
  <c r="O14" i="19" s="1"/>
  <c r="R14" i="19" s="1"/>
  <c r="U14" i="19" s="1"/>
  <c r="M39" i="19"/>
  <c r="O24" i="19"/>
  <c r="R24" i="19" s="1"/>
  <c r="U24" i="19" s="1"/>
  <c r="O15" i="21" l="1"/>
  <c r="R15" i="21" s="1"/>
  <c r="O10" i="21"/>
  <c r="R10" i="21" s="1"/>
  <c r="D5" i="13" s="1"/>
  <c r="T39" i="5"/>
  <c r="O16" i="21"/>
  <c r="R16" i="21" s="1"/>
  <c r="U16" i="21" s="1"/>
  <c r="U39" i="5"/>
  <c r="O13" i="21"/>
  <c r="R13" i="21" s="1"/>
  <c r="U13" i="21" s="1"/>
  <c r="V38" i="5"/>
  <c r="O9" i="21"/>
  <c r="R9" i="21" s="1"/>
  <c r="U9" i="21" s="1"/>
  <c r="O11" i="21"/>
  <c r="R11" i="21" s="1"/>
  <c r="U11" i="21" s="1"/>
  <c r="O7" i="21"/>
  <c r="R7" i="21" s="1"/>
  <c r="U7" i="21" s="1"/>
  <c r="AB28" i="5"/>
  <c r="AH28" i="5" s="1"/>
  <c r="K28" i="33" s="1"/>
  <c r="AB23" i="5"/>
  <c r="AH23" i="5" s="1"/>
  <c r="K23" i="33" s="1"/>
  <c r="AB26" i="5"/>
  <c r="AH26" i="5" s="1"/>
  <c r="K26" i="33" s="1"/>
  <c r="AB21" i="5"/>
  <c r="AH21" i="5" s="1"/>
  <c r="K21" i="33" s="1"/>
  <c r="AB18" i="5"/>
  <c r="AH18" i="5" s="1"/>
  <c r="K18" i="33" s="1"/>
  <c r="AB20" i="5"/>
  <c r="AH20" i="5" s="1"/>
  <c r="K20" i="33" s="1"/>
  <c r="AB31" i="5"/>
  <c r="AH31" i="5" s="1"/>
  <c r="K31" i="33" s="1"/>
  <c r="AB34" i="5"/>
  <c r="AH34" i="5" s="1"/>
  <c r="K34" i="33" s="1"/>
  <c r="AB19" i="5"/>
  <c r="AH19" i="5" s="1"/>
  <c r="K19" i="33" s="1"/>
  <c r="AB30" i="5"/>
  <c r="AH30" i="5" s="1"/>
  <c r="K30" i="33" s="1"/>
  <c r="AB29" i="5"/>
  <c r="AH29" i="5" s="1"/>
  <c r="K29" i="33" s="1"/>
  <c r="AB24" i="5"/>
  <c r="AH24" i="5" s="1"/>
  <c r="K24" i="33" s="1"/>
  <c r="AB27" i="5"/>
  <c r="AH27" i="5" s="1"/>
  <c r="K27" i="33" s="1"/>
  <c r="AB32" i="5"/>
  <c r="AH32" i="5" s="1"/>
  <c r="K32" i="33" s="1"/>
  <c r="AB35" i="5"/>
  <c r="AH35" i="5" s="1"/>
  <c r="K35" i="33" s="1"/>
  <c r="AB22" i="5"/>
  <c r="AH22" i="5" s="1"/>
  <c r="K22" i="33" s="1"/>
  <c r="AB17" i="5"/>
  <c r="AH17" i="5" s="1"/>
  <c r="K17" i="33" s="1"/>
  <c r="AB33" i="5"/>
  <c r="AH33" i="5" s="1"/>
  <c r="K33" i="33" s="1"/>
  <c r="AB25" i="5"/>
  <c r="AH25" i="5" s="1"/>
  <c r="K25" i="33" s="1"/>
  <c r="Z34" i="5"/>
  <c r="AF34" i="5" s="1"/>
  <c r="I34" i="33" s="1"/>
  <c r="Z35" i="5"/>
  <c r="AF35" i="5" s="1"/>
  <c r="I35" i="33" s="1"/>
  <c r="Z30" i="5"/>
  <c r="AF30" i="5" s="1"/>
  <c r="I30" i="33" s="1"/>
  <c r="Z31" i="5"/>
  <c r="AF31" i="5" s="1"/>
  <c r="I31" i="33" s="1"/>
  <c r="Z27" i="5"/>
  <c r="AF27" i="5" s="1"/>
  <c r="I27" i="33" s="1"/>
  <c r="V60" i="33" s="1"/>
  <c r="Z28" i="5"/>
  <c r="AF28" i="5" s="1"/>
  <c r="I28" i="33" s="1"/>
  <c r="V61" i="33" s="1"/>
  <c r="Z17" i="5"/>
  <c r="AF17" i="5" s="1"/>
  <c r="I17" i="33" s="1"/>
  <c r="Z29" i="5"/>
  <c r="AF29" i="5" s="1"/>
  <c r="I29" i="33" s="1"/>
  <c r="Z33" i="5"/>
  <c r="AF33" i="5" s="1"/>
  <c r="I33" i="33" s="1"/>
  <c r="Z22" i="5"/>
  <c r="AF22" i="5" s="1"/>
  <c r="I22" i="33" s="1"/>
  <c r="V55" i="33" s="1"/>
  <c r="Z18" i="5"/>
  <c r="AF18" i="5" s="1"/>
  <c r="I18" i="33" s="1"/>
  <c r="Z21" i="5"/>
  <c r="AF21" i="5" s="1"/>
  <c r="I21" i="33" s="1"/>
  <c r="Z25" i="5"/>
  <c r="AF25" i="5" s="1"/>
  <c r="I25" i="33" s="1"/>
  <c r="V58" i="33" s="1"/>
  <c r="Z26" i="5"/>
  <c r="AF26" i="5" s="1"/>
  <c r="I26" i="33" s="1"/>
  <c r="V59" i="33" s="1"/>
  <c r="Z24" i="5"/>
  <c r="AF24" i="5" s="1"/>
  <c r="I24" i="33" s="1"/>
  <c r="V57" i="33" s="1"/>
  <c r="Z19" i="5"/>
  <c r="AF19" i="5" s="1"/>
  <c r="I19" i="33" s="1"/>
  <c r="Z20" i="5"/>
  <c r="AF20" i="5" s="1"/>
  <c r="I20" i="33" s="1"/>
  <c r="Z32" i="5"/>
  <c r="AF32" i="5" s="1"/>
  <c r="I32" i="33" s="1"/>
  <c r="Z23" i="5"/>
  <c r="AF23" i="5" s="1"/>
  <c r="I23" i="33" s="1"/>
  <c r="V56" i="33" s="1"/>
  <c r="Y32" i="5"/>
  <c r="AE32" i="5" s="1"/>
  <c r="H32" i="33" s="1"/>
  <c r="Y24" i="5"/>
  <c r="AE24" i="5" s="1"/>
  <c r="H24" i="33" s="1"/>
  <c r="U57" i="33" s="1"/>
  <c r="Y26" i="5"/>
  <c r="AE26" i="5" s="1"/>
  <c r="H26" i="33" s="1"/>
  <c r="U59" i="33" s="1"/>
  <c r="Y31" i="5"/>
  <c r="AE31" i="5" s="1"/>
  <c r="H31" i="33" s="1"/>
  <c r="Y23" i="5"/>
  <c r="AE23" i="5" s="1"/>
  <c r="H23" i="33" s="1"/>
  <c r="U56" i="33" s="1"/>
  <c r="Y33" i="5"/>
  <c r="AE33" i="5" s="1"/>
  <c r="H33" i="33" s="1"/>
  <c r="Y30" i="5"/>
  <c r="AE30" i="5" s="1"/>
  <c r="H30" i="33" s="1"/>
  <c r="Y22" i="5"/>
  <c r="AE22" i="5" s="1"/>
  <c r="H22" i="33" s="1"/>
  <c r="U55" i="33" s="1"/>
  <c r="Y29" i="5"/>
  <c r="AE29" i="5" s="1"/>
  <c r="H29" i="33" s="1"/>
  <c r="Y21" i="5"/>
  <c r="AE21" i="5" s="1"/>
  <c r="H21" i="33" s="1"/>
  <c r="Y28" i="5"/>
  <c r="AE28" i="5" s="1"/>
  <c r="H28" i="33" s="1"/>
  <c r="U61" i="33" s="1"/>
  <c r="Y20" i="5"/>
  <c r="AE20" i="5" s="1"/>
  <c r="H20" i="33" s="1"/>
  <c r="U53" i="33" s="1"/>
  <c r="Y34" i="5"/>
  <c r="AE34" i="5" s="1"/>
  <c r="H34" i="33" s="1"/>
  <c r="Y25" i="5"/>
  <c r="AE25" i="5" s="1"/>
  <c r="H25" i="33" s="1"/>
  <c r="U58" i="33" s="1"/>
  <c r="Y35" i="5"/>
  <c r="AE35" i="5" s="1"/>
  <c r="H35" i="33" s="1"/>
  <c r="Y27" i="5"/>
  <c r="AE27" i="5" s="1"/>
  <c r="H27" i="33" s="1"/>
  <c r="U60" i="33" s="1"/>
  <c r="Y19" i="5"/>
  <c r="AE19" i="5" s="1"/>
  <c r="H19" i="33" s="1"/>
  <c r="U52" i="33" s="1"/>
  <c r="Y18" i="5"/>
  <c r="AE18" i="5" s="1"/>
  <c r="H18" i="33" s="1"/>
  <c r="Y17" i="5"/>
  <c r="AE17" i="5" s="1"/>
  <c r="H17" i="33" s="1"/>
  <c r="U50" i="33" s="1"/>
  <c r="S38" i="5"/>
  <c r="S39" i="5"/>
  <c r="T38" i="5"/>
  <c r="AA23" i="5"/>
  <c r="AG23" i="5" s="1"/>
  <c r="J23" i="33" s="1"/>
  <c r="W56" i="33" s="1"/>
  <c r="AA32" i="5"/>
  <c r="AG32" i="5" s="1"/>
  <c r="J32" i="33" s="1"/>
  <c r="W65" i="33" s="1"/>
  <c r="AA27" i="5"/>
  <c r="AG27" i="5" s="1"/>
  <c r="J27" i="33" s="1"/>
  <c r="W60" i="33" s="1"/>
  <c r="AA33" i="5"/>
  <c r="AG33" i="5" s="1"/>
  <c r="J33" i="33" s="1"/>
  <c r="W66" i="33" s="1"/>
  <c r="AA28" i="5"/>
  <c r="AG28" i="5" s="1"/>
  <c r="J28" i="33" s="1"/>
  <c r="W61" i="33" s="1"/>
  <c r="AA19" i="5"/>
  <c r="AG19" i="5" s="1"/>
  <c r="J19" i="33" s="1"/>
  <c r="W52" i="33" s="1"/>
  <c r="AA20" i="5"/>
  <c r="AG20" i="5" s="1"/>
  <c r="J20" i="33" s="1"/>
  <c r="AA29" i="5"/>
  <c r="AG29" i="5" s="1"/>
  <c r="J29" i="33" s="1"/>
  <c r="W62" i="33" s="1"/>
  <c r="AA25" i="5"/>
  <c r="AG25" i="5" s="1"/>
  <c r="J25" i="33" s="1"/>
  <c r="W58" i="33" s="1"/>
  <c r="AA35" i="5"/>
  <c r="AG35" i="5" s="1"/>
  <c r="J35" i="33" s="1"/>
  <c r="AA31" i="5"/>
  <c r="AG31" i="5" s="1"/>
  <c r="J31" i="33" s="1"/>
  <c r="AA18" i="5"/>
  <c r="AG18" i="5" s="1"/>
  <c r="J18" i="33" s="1"/>
  <c r="W51" i="33" s="1"/>
  <c r="AA22" i="5"/>
  <c r="AG22" i="5" s="1"/>
  <c r="J22" i="33" s="1"/>
  <c r="W55" i="33" s="1"/>
  <c r="AA21" i="5"/>
  <c r="AG21" i="5" s="1"/>
  <c r="J21" i="33" s="1"/>
  <c r="W54" i="33" s="1"/>
  <c r="AA17" i="5"/>
  <c r="AG17" i="5" s="1"/>
  <c r="J17" i="33" s="1"/>
  <c r="W50" i="33" s="1"/>
  <c r="AA26" i="5"/>
  <c r="AG26" i="5" s="1"/>
  <c r="J26" i="33" s="1"/>
  <c r="W59" i="33" s="1"/>
  <c r="AA30" i="5"/>
  <c r="AG30" i="5" s="1"/>
  <c r="J30" i="33" s="1"/>
  <c r="W63" i="33" s="1"/>
  <c r="AA24" i="5"/>
  <c r="AG24" i="5" s="1"/>
  <c r="J24" i="33" s="1"/>
  <c r="W57" i="33" s="1"/>
  <c r="AA34" i="5"/>
  <c r="AG34" i="5" s="1"/>
  <c r="J34" i="33" s="1"/>
  <c r="W67" i="33" s="1"/>
  <c r="U38" i="5"/>
  <c r="C9" i="13"/>
  <c r="O8" i="21"/>
  <c r="R8" i="21" s="1"/>
  <c r="U8" i="21" s="1"/>
  <c r="O14" i="21"/>
  <c r="R14" i="21" s="1"/>
  <c r="U14" i="21" s="1"/>
  <c r="O6" i="21"/>
  <c r="R6" i="21" s="1"/>
  <c r="U6" i="21" s="1"/>
  <c r="O5" i="21"/>
  <c r="R5" i="21" s="1"/>
  <c r="D4" i="13" s="1"/>
  <c r="U17" i="19"/>
  <c r="C10" i="13"/>
  <c r="U17" i="21"/>
  <c r="U27" i="21"/>
  <c r="U22" i="19"/>
  <c r="D10" i="13"/>
  <c r="O16" i="19"/>
  <c r="R16" i="19" s="1"/>
  <c r="U16" i="19" s="1"/>
  <c r="U22" i="21"/>
  <c r="O12" i="19"/>
  <c r="R12" i="19" s="1"/>
  <c r="U12" i="19" s="1"/>
  <c r="O11" i="19"/>
  <c r="R11" i="19" s="1"/>
  <c r="U11" i="19" s="1"/>
  <c r="O6" i="19"/>
  <c r="R6" i="19" s="1"/>
  <c r="U6" i="19" s="1"/>
  <c r="O7" i="19"/>
  <c r="R7" i="19" s="1"/>
  <c r="U7" i="19" s="1"/>
  <c r="O9" i="19"/>
  <c r="R9" i="19" s="1"/>
  <c r="U9" i="19" s="1"/>
  <c r="O13" i="19"/>
  <c r="R13" i="19" s="1"/>
  <c r="U13" i="19" s="1"/>
  <c r="O10" i="19"/>
  <c r="R10" i="19" s="1"/>
  <c r="U10" i="19" s="1"/>
  <c r="O8" i="19"/>
  <c r="R8" i="19" s="1"/>
  <c r="U8" i="19" s="1"/>
  <c r="O15" i="19"/>
  <c r="R15" i="19" s="1"/>
  <c r="U15" i="19" s="1"/>
  <c r="O5" i="19"/>
  <c r="R5" i="19" s="1"/>
  <c r="U5" i="19" s="1"/>
  <c r="U10" i="21"/>
  <c r="V39" i="5"/>
  <c r="D6" i="13"/>
  <c r="U15" i="21"/>
  <c r="W53" i="33" l="1"/>
  <c r="U51" i="33"/>
  <c r="V54" i="33"/>
  <c r="V64" i="33"/>
  <c r="U54" i="33"/>
  <c r="U62" i="33"/>
  <c r="T62" i="33"/>
  <c r="V51" i="33"/>
  <c r="V63" i="33"/>
  <c r="U68" i="33"/>
  <c r="T68" i="33"/>
  <c r="U63" i="33"/>
  <c r="T63" i="33"/>
  <c r="V65" i="33"/>
  <c r="V68" i="33"/>
  <c r="U66" i="33"/>
  <c r="T66" i="33"/>
  <c r="V53" i="33"/>
  <c r="V66" i="33"/>
  <c r="V67" i="33"/>
  <c r="W64" i="33"/>
  <c r="U67" i="33"/>
  <c r="T67" i="33"/>
  <c r="V52" i="33"/>
  <c r="V62" i="33"/>
  <c r="W68" i="33"/>
  <c r="U64" i="33"/>
  <c r="T64" i="33"/>
  <c r="V50" i="33"/>
  <c r="U65" i="33"/>
  <c r="T65" i="33"/>
  <c r="I29" i="31"/>
  <c r="AM29" i="5"/>
  <c r="G21" i="31"/>
  <c r="AK21" i="5"/>
  <c r="J22" i="31"/>
  <c r="AN22" i="5"/>
  <c r="AM20" i="5"/>
  <c r="I20" i="31"/>
  <c r="G32" i="31"/>
  <c r="AK32" i="5"/>
  <c r="J35" i="31"/>
  <c r="AN35" i="5"/>
  <c r="I19" i="31"/>
  <c r="AM19" i="5"/>
  <c r="G27" i="31"/>
  <c r="AK27" i="5"/>
  <c r="H23" i="31"/>
  <c r="AL23" i="5"/>
  <c r="AN32" i="5"/>
  <c r="J32" i="31"/>
  <c r="AN20" i="5"/>
  <c r="J20" i="31"/>
  <c r="AM22" i="5"/>
  <c r="I22" i="31"/>
  <c r="I28" i="31"/>
  <c r="AM28" i="5"/>
  <c r="Y16" i="5"/>
  <c r="AE16" i="5" s="1"/>
  <c r="H16" i="33" s="1"/>
  <c r="Y8" i="5"/>
  <c r="AE8" i="5" s="1"/>
  <c r="H8" i="33" s="1"/>
  <c r="Y9" i="5"/>
  <c r="AE9" i="5" s="1"/>
  <c r="H9" i="33" s="1"/>
  <c r="Y15" i="5"/>
  <c r="AE15" i="5" s="1"/>
  <c r="H15" i="33" s="1"/>
  <c r="Y7" i="5"/>
  <c r="AE7" i="5" s="1"/>
  <c r="H7" i="33" s="1"/>
  <c r="Y10" i="5"/>
  <c r="AE10" i="5" s="1"/>
  <c r="H10" i="33" s="1"/>
  <c r="Y14" i="5"/>
  <c r="AE14" i="5" s="1"/>
  <c r="H14" i="33" s="1"/>
  <c r="Y6" i="5"/>
  <c r="AE6" i="5" s="1"/>
  <c r="H6" i="33" s="1"/>
  <c r="Y13" i="5"/>
  <c r="AE13" i="5" s="1"/>
  <c r="H13" i="33" s="1"/>
  <c r="Y5" i="5"/>
  <c r="AE5" i="5" s="1"/>
  <c r="H5" i="33" s="1"/>
  <c r="Y12" i="5"/>
  <c r="AE12" i="5" s="1"/>
  <c r="H12" i="33" s="1"/>
  <c r="Y11" i="5"/>
  <c r="AE11" i="5" s="1"/>
  <c r="H11" i="33" s="1"/>
  <c r="G35" i="31"/>
  <c r="AK35" i="5"/>
  <c r="G30" i="31"/>
  <c r="AK30" i="5"/>
  <c r="H32" i="31"/>
  <c r="AL32" i="5"/>
  <c r="AL22" i="5"/>
  <c r="H22" i="31"/>
  <c r="AL35" i="5"/>
  <c r="H35" i="31"/>
  <c r="J27" i="31"/>
  <c r="AN27" i="5"/>
  <c r="AN18" i="5"/>
  <c r="J18" i="31"/>
  <c r="H27" i="31"/>
  <c r="AL27" i="5"/>
  <c r="G19" i="31"/>
  <c r="AK19" i="5"/>
  <c r="AL21" i="5"/>
  <c r="H21" i="31"/>
  <c r="J31" i="31"/>
  <c r="AN31" i="5"/>
  <c r="AM21" i="5"/>
  <c r="I21" i="31"/>
  <c r="AL30" i="5"/>
  <c r="H30" i="31"/>
  <c r="I18" i="31"/>
  <c r="AM18" i="5"/>
  <c r="I33" i="31"/>
  <c r="AM33" i="5"/>
  <c r="AB9" i="5"/>
  <c r="AH9" i="5" s="1"/>
  <c r="K9" i="33" s="1"/>
  <c r="AB15" i="5"/>
  <c r="AH15" i="5" s="1"/>
  <c r="K15" i="33" s="1"/>
  <c r="AB11" i="5"/>
  <c r="AH11" i="5" s="1"/>
  <c r="K11" i="33" s="1"/>
  <c r="AB6" i="5"/>
  <c r="AH6" i="5" s="1"/>
  <c r="K6" i="33" s="1"/>
  <c r="AB12" i="5"/>
  <c r="AH12" i="5" s="1"/>
  <c r="K12" i="33" s="1"/>
  <c r="AB16" i="5"/>
  <c r="AH16" i="5" s="1"/>
  <c r="K16" i="33" s="1"/>
  <c r="AB14" i="5"/>
  <c r="AH14" i="5" s="1"/>
  <c r="K14" i="33" s="1"/>
  <c r="AB7" i="5"/>
  <c r="AH7" i="5" s="1"/>
  <c r="K7" i="33" s="1"/>
  <c r="AB10" i="5"/>
  <c r="AH10" i="5" s="1"/>
  <c r="K10" i="33" s="1"/>
  <c r="AB5" i="5"/>
  <c r="AH5" i="5" s="1"/>
  <c r="K5" i="33" s="1"/>
  <c r="AB8" i="5"/>
  <c r="AH8" i="5" s="1"/>
  <c r="K8" i="33" s="1"/>
  <c r="AB13" i="5"/>
  <c r="AH13" i="5" s="1"/>
  <c r="K13" i="33" s="1"/>
  <c r="G25" i="31"/>
  <c r="AK25" i="5"/>
  <c r="G33" i="31"/>
  <c r="AK33" i="5"/>
  <c r="AL20" i="5"/>
  <c r="H20" i="31"/>
  <c r="H33" i="31"/>
  <c r="AL33" i="5"/>
  <c r="AL34" i="5"/>
  <c r="H34" i="31"/>
  <c r="AN24" i="5"/>
  <c r="J24" i="31"/>
  <c r="J21" i="31"/>
  <c r="AN21" i="5"/>
  <c r="AM34" i="5"/>
  <c r="I34" i="31"/>
  <c r="I31" i="31"/>
  <c r="AM31" i="5"/>
  <c r="I27" i="31"/>
  <c r="AM27" i="5"/>
  <c r="Z15" i="5"/>
  <c r="AF15" i="5" s="1"/>
  <c r="I15" i="33" s="1"/>
  <c r="V48" i="33" s="1"/>
  <c r="Z5" i="5"/>
  <c r="AF5" i="5" s="1"/>
  <c r="I5" i="33" s="1"/>
  <c r="Z9" i="5"/>
  <c r="AF9" i="5" s="1"/>
  <c r="I9" i="33" s="1"/>
  <c r="Z8" i="5"/>
  <c r="AF8" i="5" s="1"/>
  <c r="I8" i="33" s="1"/>
  <c r="Z10" i="5"/>
  <c r="AF10" i="5" s="1"/>
  <c r="I10" i="33" s="1"/>
  <c r="Z13" i="5"/>
  <c r="AF13" i="5" s="1"/>
  <c r="I13" i="33" s="1"/>
  <c r="Z16" i="5"/>
  <c r="AF16" i="5" s="1"/>
  <c r="I16" i="33" s="1"/>
  <c r="V49" i="33" s="1"/>
  <c r="Z11" i="5"/>
  <c r="AF11" i="5" s="1"/>
  <c r="I11" i="33" s="1"/>
  <c r="Z6" i="5"/>
  <c r="AF6" i="5" s="1"/>
  <c r="I6" i="33" s="1"/>
  <c r="Z12" i="5"/>
  <c r="AF12" i="5" s="1"/>
  <c r="I12" i="33" s="1"/>
  <c r="Z7" i="5"/>
  <c r="AF7" i="5" s="1"/>
  <c r="I7" i="33" s="1"/>
  <c r="Z14" i="5"/>
  <c r="AF14" i="5" s="1"/>
  <c r="I14" i="33" s="1"/>
  <c r="G34" i="31"/>
  <c r="AK34" i="5"/>
  <c r="G23" i="31"/>
  <c r="AK23" i="5"/>
  <c r="H19" i="31"/>
  <c r="AL19" i="5"/>
  <c r="H29" i="31"/>
  <c r="AL29" i="5"/>
  <c r="J25" i="31"/>
  <c r="AN25" i="5"/>
  <c r="J29" i="31"/>
  <c r="AN29" i="5"/>
  <c r="AN26" i="5"/>
  <c r="J26" i="31"/>
  <c r="H25" i="31"/>
  <c r="AL25" i="5"/>
  <c r="E8" i="17"/>
  <c r="E23" i="17" s="1"/>
  <c r="E29" i="17" s="1"/>
  <c r="E8" i="13"/>
  <c r="I24" i="31"/>
  <c r="AM24" i="5"/>
  <c r="AM35" i="5"/>
  <c r="I35" i="31"/>
  <c r="AM32" i="5"/>
  <c r="I32" i="31"/>
  <c r="AA15" i="5"/>
  <c r="AG15" i="5" s="1"/>
  <c r="J15" i="33" s="1"/>
  <c r="W48" i="33" s="1"/>
  <c r="AA5" i="5"/>
  <c r="AG5" i="5" s="1"/>
  <c r="J5" i="33" s="1"/>
  <c r="AA10" i="5"/>
  <c r="AG10" i="5" s="1"/>
  <c r="J10" i="33" s="1"/>
  <c r="W43" i="33" s="1"/>
  <c r="AA14" i="5"/>
  <c r="AG14" i="5" s="1"/>
  <c r="J14" i="33" s="1"/>
  <c r="W47" i="33" s="1"/>
  <c r="AA13" i="5"/>
  <c r="AG13" i="5" s="1"/>
  <c r="J13" i="33" s="1"/>
  <c r="AA8" i="5"/>
  <c r="AG8" i="5" s="1"/>
  <c r="J8" i="33" s="1"/>
  <c r="AA9" i="5"/>
  <c r="AG9" i="5" s="1"/>
  <c r="J9" i="33" s="1"/>
  <c r="W42" i="33" s="1"/>
  <c r="AA7" i="5"/>
  <c r="AG7" i="5" s="1"/>
  <c r="J7" i="33" s="1"/>
  <c r="AA16" i="5"/>
  <c r="AG16" i="5" s="1"/>
  <c r="J16" i="33" s="1"/>
  <c r="W49" i="33" s="1"/>
  <c r="AA11" i="5"/>
  <c r="AG11" i="5" s="1"/>
  <c r="J11" i="33" s="1"/>
  <c r="AA12" i="5"/>
  <c r="AG12" i="5" s="1"/>
  <c r="J12" i="33" s="1"/>
  <c r="W45" i="33" s="1"/>
  <c r="AA6" i="5"/>
  <c r="AG6" i="5" s="1"/>
  <c r="J6" i="33" s="1"/>
  <c r="G20" i="31"/>
  <c r="AK20" i="5"/>
  <c r="G31" i="31"/>
  <c r="AK31" i="5"/>
  <c r="AL24" i="5"/>
  <c r="H24" i="31"/>
  <c r="H17" i="31"/>
  <c r="AL17" i="5"/>
  <c r="J33" i="31"/>
  <c r="AN33" i="5"/>
  <c r="J30" i="31"/>
  <c r="AN30" i="5"/>
  <c r="AN23" i="5"/>
  <c r="J23" i="31"/>
  <c r="AM26" i="5"/>
  <c r="I26" i="31"/>
  <c r="G18" i="31"/>
  <c r="AK18" i="5"/>
  <c r="G24" i="31"/>
  <c r="AK24" i="5"/>
  <c r="AN34" i="5"/>
  <c r="J34" i="31"/>
  <c r="I17" i="31"/>
  <c r="AM17" i="5"/>
  <c r="G29" i="31"/>
  <c r="AK29" i="5"/>
  <c r="H31" i="31"/>
  <c r="AL31" i="5"/>
  <c r="G22" i="31"/>
  <c r="AK22" i="5"/>
  <c r="H18" i="31"/>
  <c r="AL18" i="5"/>
  <c r="I30" i="31"/>
  <c r="AM30" i="5"/>
  <c r="AM25" i="5"/>
  <c r="I25" i="31"/>
  <c r="AM23" i="5"/>
  <c r="I23" i="31"/>
  <c r="G17" i="31"/>
  <c r="AK17" i="5"/>
  <c r="AK28" i="5"/>
  <c r="G28" i="31"/>
  <c r="G26" i="31"/>
  <c r="AK26" i="5"/>
  <c r="AL26" i="5"/>
  <c r="H26" i="31"/>
  <c r="AL28" i="5"/>
  <c r="H28" i="31"/>
  <c r="J17" i="31"/>
  <c r="AN17" i="5"/>
  <c r="AN19" i="5"/>
  <c r="J19" i="31"/>
  <c r="AN28" i="5"/>
  <c r="J28" i="31"/>
  <c r="U5" i="21"/>
  <c r="C5" i="13"/>
  <c r="E10" i="13"/>
  <c r="C4" i="13"/>
  <c r="E7" i="13"/>
  <c r="C6" i="13"/>
  <c r="E9" i="13"/>
  <c r="D8" i="17"/>
  <c r="V40" i="33" l="1"/>
  <c r="W46" i="33"/>
  <c r="W39" i="33"/>
  <c r="V44" i="33"/>
  <c r="V39" i="33"/>
  <c r="U45" i="33"/>
  <c r="T45" i="33"/>
  <c r="U42" i="33"/>
  <c r="T42" i="33"/>
  <c r="U46" i="33"/>
  <c r="T46" i="33"/>
  <c r="U49" i="33"/>
  <c r="T49" i="33"/>
  <c r="U41" i="33"/>
  <c r="T41" i="33"/>
  <c r="W44" i="33"/>
  <c r="V46" i="33"/>
  <c r="U39" i="33"/>
  <c r="T39" i="33"/>
  <c r="V43" i="33"/>
  <c r="U47" i="33"/>
  <c r="T47" i="33"/>
  <c r="U38" i="33"/>
  <c r="T38" i="33"/>
  <c r="W40" i="33"/>
  <c r="V47" i="33"/>
  <c r="V41" i="33"/>
  <c r="U43" i="33"/>
  <c r="T43" i="33"/>
  <c r="U40" i="33"/>
  <c r="T40" i="33"/>
  <c r="V42" i="33"/>
  <c r="W41" i="33"/>
  <c r="V45" i="33"/>
  <c r="V38" i="33"/>
  <c r="W38" i="33"/>
  <c r="U44" i="33"/>
  <c r="T44" i="33"/>
  <c r="U48" i="33"/>
  <c r="T48" i="33"/>
  <c r="AM15" i="5"/>
  <c r="I15" i="31"/>
  <c r="AL10" i="5"/>
  <c r="H10" i="31"/>
  <c r="E7" i="17"/>
  <c r="E13" i="17" s="1"/>
  <c r="AL8" i="5"/>
  <c r="H8" i="31"/>
  <c r="J6" i="31"/>
  <c r="AN6" i="5"/>
  <c r="E14" i="17"/>
  <c r="H7" i="31"/>
  <c r="AL7" i="5"/>
  <c r="H9" i="31"/>
  <c r="AL9" i="5"/>
  <c r="AN8" i="5"/>
  <c r="J8" i="31"/>
  <c r="J11" i="31"/>
  <c r="AN11" i="5"/>
  <c r="G7" i="31"/>
  <c r="AK7" i="5"/>
  <c r="AM8" i="5"/>
  <c r="I8" i="31"/>
  <c r="AL12" i="5"/>
  <c r="H12" i="31"/>
  <c r="H5" i="31"/>
  <c r="AL5" i="5"/>
  <c r="J5" i="31"/>
  <c r="AN5" i="5"/>
  <c r="AN15" i="5"/>
  <c r="J15" i="31"/>
  <c r="G11" i="31"/>
  <c r="AK11" i="5"/>
  <c r="G15" i="31"/>
  <c r="AK15" i="5"/>
  <c r="AM6" i="5"/>
  <c r="I6" i="31"/>
  <c r="H11" i="31"/>
  <c r="AL11" i="5"/>
  <c r="J7" i="31"/>
  <c r="AN7" i="5"/>
  <c r="G5" i="31"/>
  <c r="AK5" i="5"/>
  <c r="G8" i="31"/>
  <c r="AK8" i="5"/>
  <c r="AM16" i="5"/>
  <c r="I16" i="31"/>
  <c r="AN12" i="5"/>
  <c r="J12" i="31"/>
  <c r="I9" i="31"/>
  <c r="AM9" i="5"/>
  <c r="AN10" i="5"/>
  <c r="J10" i="31"/>
  <c r="G12" i="31"/>
  <c r="AK12" i="5"/>
  <c r="AM12" i="5"/>
  <c r="I12" i="31"/>
  <c r="AL16" i="5"/>
  <c r="H16" i="31"/>
  <c r="AN14" i="5"/>
  <c r="J14" i="31"/>
  <c r="G13" i="31"/>
  <c r="AK13" i="5"/>
  <c r="G16" i="31"/>
  <c r="AK16" i="5"/>
  <c r="I7" i="31"/>
  <c r="AM7" i="5"/>
  <c r="AL14" i="5"/>
  <c r="H14" i="31"/>
  <c r="J13" i="31"/>
  <c r="AN13" i="5"/>
  <c r="G10" i="31"/>
  <c r="AK10" i="5"/>
  <c r="AM13" i="5"/>
  <c r="I13" i="31"/>
  <c r="AL6" i="5"/>
  <c r="H6" i="31"/>
  <c r="H15" i="31"/>
  <c r="AL15" i="5"/>
  <c r="J9" i="31"/>
  <c r="AN9" i="5"/>
  <c r="G9" i="31"/>
  <c r="AK9" i="5"/>
  <c r="AM14" i="5"/>
  <c r="I14" i="31"/>
  <c r="AM10" i="5"/>
  <c r="I10" i="31"/>
  <c r="I11" i="31"/>
  <c r="AM11" i="5"/>
  <c r="I5" i="31"/>
  <c r="AM5" i="5"/>
  <c r="H13" i="31"/>
  <c r="AL13" i="5"/>
  <c r="AN16" i="5"/>
  <c r="J16" i="31"/>
  <c r="G6" i="31"/>
  <c r="AK6" i="5"/>
  <c r="G14" i="31"/>
  <c r="AK14" i="5"/>
  <c r="D14" i="17"/>
  <c r="D23" i="17"/>
  <c r="D29" i="17" s="1"/>
  <c r="D7" i="17"/>
  <c r="E4" i="13"/>
  <c r="E6" i="13"/>
  <c r="E5" i="13"/>
  <c r="F8" i="17"/>
  <c r="E16" i="17" l="1"/>
  <c r="E22" i="17"/>
  <c r="E28" i="17" s="1"/>
  <c r="E31" i="17" s="1"/>
  <c r="D13" i="17"/>
  <c r="D16" i="17" s="1"/>
  <c r="D22" i="17"/>
  <c r="D28" i="17" s="1"/>
  <c r="D31" i="17" s="1"/>
  <c r="F7" i="17"/>
  <c r="F23" i="17"/>
  <c r="F29" i="17" s="1"/>
  <c r="F14" i="17"/>
  <c r="F22" i="17" l="1"/>
  <c r="F28" i="17" s="1"/>
  <c r="F31" i="17" s="1"/>
  <c r="F13" i="17"/>
  <c r="F16" i="17" s="1"/>
  <c r="F10" i="22"/>
  <c r="F11" i="22" s="1"/>
</calcChain>
</file>

<file path=xl/sharedStrings.xml><?xml version="1.0" encoding="utf-8"?>
<sst xmlns="http://schemas.openxmlformats.org/spreadsheetml/2006/main" count="1208" uniqueCount="456">
  <si>
    <t>Entry</t>
  </si>
  <si>
    <t>VIP</t>
  </si>
  <si>
    <t>LNG terminal</t>
  </si>
  <si>
    <t>kWh/day</t>
  </si>
  <si>
    <t>Point</t>
  </si>
  <si>
    <t>Unit</t>
  </si>
  <si>
    <t>2019-2020</t>
  </si>
  <si>
    <t>2020-2021</t>
  </si>
  <si>
    <t>2021-2022</t>
  </si>
  <si>
    <t>Underground storage</t>
  </si>
  <si>
    <t>Product</t>
  </si>
  <si>
    <t>Annual</t>
  </si>
  <si>
    <t>Quarterly</t>
  </si>
  <si>
    <t>Monthly</t>
  </si>
  <si>
    <t>Daily</t>
  </si>
  <si>
    <t>Within-day</t>
  </si>
  <si>
    <t>Consumption - Flexible annual tariff</t>
  </si>
  <si>
    <t>Consumption - Base tariff</t>
  </si>
  <si>
    <t>Annual base capacity</t>
  </si>
  <si>
    <t>Monthly additional capacity (april to september)</t>
  </si>
  <si>
    <t>Consumption - Flexible monthly tariff</t>
  </si>
  <si>
    <t>Consumption - Flexible daily tariff</t>
  </si>
  <si>
    <t>Exit</t>
  </si>
  <si>
    <t>Monthly (april to september)</t>
  </si>
  <si>
    <t>Monthly (october to march)</t>
  </si>
  <si>
    <t>kWh/h</t>
  </si>
  <si>
    <t>Daily (april to september)</t>
  </si>
  <si>
    <t>Daily (october to march)</t>
  </si>
  <si>
    <t>%</t>
  </si>
  <si>
    <t>km</t>
  </si>
  <si>
    <t>A</t>
  </si>
  <si>
    <t>B</t>
  </si>
  <si>
    <t>C</t>
  </si>
  <si>
    <t>D</t>
  </si>
  <si>
    <t>E</t>
  </si>
  <si>
    <t>F</t>
  </si>
  <si>
    <t>G</t>
  </si>
  <si>
    <t>H</t>
  </si>
  <si>
    <t>I</t>
  </si>
  <si>
    <t>J</t>
  </si>
  <si>
    <t>K</t>
  </si>
  <si>
    <t>€</t>
  </si>
  <si>
    <t>Total</t>
  </si>
  <si>
    <t>€/(kWh/d)/year</t>
  </si>
  <si>
    <t>Multipliers</t>
  </si>
  <si>
    <t>Entry-exit split</t>
  </si>
  <si>
    <t>Article 9 discount</t>
  </si>
  <si>
    <t>Entry - Underground storage</t>
  </si>
  <si>
    <t>Exit - Underground storage</t>
  </si>
  <si>
    <t>Aa</t>
  </si>
  <si>
    <t>5+8</t>
  </si>
  <si>
    <t>aK</t>
  </si>
  <si>
    <t>ah</t>
  </si>
  <si>
    <t>hH</t>
  </si>
  <si>
    <t>hc</t>
  </si>
  <si>
    <t>Bi</t>
  </si>
  <si>
    <t>iI</t>
  </si>
  <si>
    <t>4+2</t>
  </si>
  <si>
    <t>if</t>
  </si>
  <si>
    <t>fF</t>
  </si>
  <si>
    <t>fb</t>
  </si>
  <si>
    <t>6+8</t>
  </si>
  <si>
    <t>bK</t>
  </si>
  <si>
    <t>bc</t>
  </si>
  <si>
    <t>DG</t>
  </si>
  <si>
    <t>Dc</t>
  </si>
  <si>
    <t>Cj</t>
  </si>
  <si>
    <t>jJ</t>
  </si>
  <si>
    <t>7+1</t>
  </si>
  <si>
    <t>je</t>
  </si>
  <si>
    <t>eE</t>
  </si>
  <si>
    <t>ec</t>
  </si>
  <si>
    <t>AA</t>
  </si>
  <si>
    <t>AB</t>
  </si>
  <si>
    <t>AC</t>
  </si>
  <si>
    <t>AD</t>
  </si>
  <si>
    <t>AE</t>
  </si>
  <si>
    <t>AF</t>
  </si>
  <si>
    <t>AG</t>
  </si>
  <si>
    <t>AH</t>
  </si>
  <si>
    <t>AI</t>
  </si>
  <si>
    <t>AJ</t>
  </si>
  <si>
    <t>AK</t>
  </si>
  <si>
    <t>BA</t>
  </si>
  <si>
    <t>BB</t>
  </si>
  <si>
    <t>BC</t>
  </si>
  <si>
    <t>BD</t>
  </si>
  <si>
    <t>BE</t>
  </si>
  <si>
    <t>BF</t>
  </si>
  <si>
    <t>BG</t>
  </si>
  <si>
    <t>BH</t>
  </si>
  <si>
    <t>BI</t>
  </si>
  <si>
    <t>BJ</t>
  </si>
  <si>
    <t>BK</t>
  </si>
  <si>
    <t>CA</t>
  </si>
  <si>
    <t>CB</t>
  </si>
  <si>
    <t>CC</t>
  </si>
  <si>
    <t>CD</t>
  </si>
  <si>
    <t>CE</t>
  </si>
  <si>
    <t>CF</t>
  </si>
  <si>
    <t>CG</t>
  </si>
  <si>
    <t>CH</t>
  </si>
  <si>
    <t>CI</t>
  </si>
  <si>
    <t>CJ</t>
  </si>
  <si>
    <t>CK</t>
  </si>
  <si>
    <t>DA</t>
  </si>
  <si>
    <t>DB</t>
  </si>
  <si>
    <t>DC</t>
  </si>
  <si>
    <t>DD</t>
  </si>
  <si>
    <t>DE</t>
  </si>
  <si>
    <t>DF</t>
  </si>
  <si>
    <t>DH</t>
  </si>
  <si>
    <t>DI</t>
  </si>
  <si>
    <t>DJ</t>
  </si>
  <si>
    <t>DK</t>
  </si>
  <si>
    <t>Campo Maior</t>
  </si>
  <si>
    <t>Valença do Minho</t>
  </si>
  <si>
    <t>Terminal de Sines</t>
  </si>
  <si>
    <t>Carriço</t>
  </si>
  <si>
    <t>Lisboagás, Setgás, Carregado, Ribatejo</t>
  </si>
  <si>
    <t>Portgás, Central Outeiro</t>
  </si>
  <si>
    <t>Lusitâniagás, Central Lares, Central Figueira da Foz</t>
  </si>
  <si>
    <t>Tagusgás, Central Pego</t>
  </si>
  <si>
    <t>Portucel</t>
  </si>
  <si>
    <t>Refinaria Sines, Portucel</t>
  </si>
  <si>
    <t>Beiragás</t>
  </si>
  <si>
    <t>Customers in HP</t>
  </si>
  <si>
    <t>Campo Maior (IP)</t>
  </si>
  <si>
    <t>Valença do Minho (IP)</t>
  </si>
  <si>
    <t>2018-2019</t>
  </si>
  <si>
    <t>2016-2019</t>
  </si>
  <si>
    <t>Entradas em exploração na rede de transporte, a preços correntes (2009 - 2017) + Norma 11 (2018 - 2022)</t>
  </si>
  <si>
    <t>Milhares €</t>
  </si>
  <si>
    <t>Ano</t>
  </si>
  <si>
    <t>Ramais</t>
  </si>
  <si>
    <t>GRMS</t>
  </si>
  <si>
    <t>Structure of transmission assets</t>
  </si>
  <si>
    <t>Main pipelines</t>
  </si>
  <si>
    <t>Secondary pipelines</t>
  </si>
  <si>
    <t>Other entry/exit points</t>
  </si>
  <si>
    <t>Gasodutos</t>
  </si>
  <si>
    <t>Investimentos na RNT, a preços constantes de 2019 (anos 2010 - 2022)</t>
  </si>
  <si>
    <t>Duration in months of tariff options</t>
  </si>
  <si>
    <t>October - March</t>
  </si>
  <si>
    <t>April - September</t>
  </si>
  <si>
    <t>January - December</t>
  </si>
  <si>
    <t>Capacity Cost Allocation Assessment (Capacity CAA)</t>
  </si>
  <si>
    <t>Assumes flows LNG-&gt;VIP. A positive result (+) implies that cross-system users are being subsidized.</t>
  </si>
  <si>
    <t>Artigo do código de rede</t>
  </si>
  <si>
    <t>Descrição</t>
  </si>
  <si>
    <t>Informação</t>
  </si>
  <si>
    <t>Art. 30 (1)(b)(i)</t>
  </si>
  <si>
    <t>Art. 30 (1)(b)(iv)</t>
  </si>
  <si>
    <t>Art. 30 (1)(b)(v)(1)</t>
  </si>
  <si>
    <t>Divisão capacidade-energia</t>
  </si>
  <si>
    <t>Capacidade</t>
  </si>
  <si>
    <t>Energia</t>
  </si>
  <si>
    <t>Art. 30 (1)(b)(v)(2)</t>
  </si>
  <si>
    <t>Divisão entrada-saída (nas tarifas de transporte baseadas na capacidade)</t>
  </si>
  <si>
    <t>Entrada</t>
  </si>
  <si>
    <t>Saída</t>
  </si>
  <si>
    <t>Art. 30 (1)(b)(v)(3)</t>
  </si>
  <si>
    <t>Divisão transfronteiriço-nacional (calculada nos termos do artigo 5.º)</t>
  </si>
  <si>
    <t>Utilização intersistema</t>
  </si>
  <si>
    <t>Utilização intrasistema</t>
  </si>
  <si>
    <t>Proveitos permitidos/previstos, em milhares de euros</t>
  </si>
  <si>
    <t>Receitas dos serviços de transporte, em milhares de euros</t>
  </si>
  <si>
    <t>Armazenamento</t>
  </si>
  <si>
    <t>Consumo</t>
  </si>
  <si>
    <r>
      <t xml:space="preserve">Preços de referência indicativos
</t>
    </r>
    <r>
      <rPr>
        <i/>
        <sz val="11"/>
        <color theme="1"/>
        <rFont val="Calibri"/>
        <family val="2"/>
      </rPr>
      <t>(variação anual)</t>
    </r>
  </si>
  <si>
    <r>
      <t xml:space="preserve">Preços de referência indicativos
</t>
    </r>
    <r>
      <rPr>
        <i/>
        <sz val="11"/>
        <color theme="1"/>
        <rFont val="Calibri"/>
        <family val="2"/>
      </rPr>
      <t>(preços unitários)</t>
    </r>
  </si>
  <si>
    <t>Investimentos na rede de transporte, a preços constantes de 2019</t>
  </si>
  <si>
    <t>1 / Deflator (Preços 2019)</t>
  </si>
  <si>
    <t>Deflator (Preços 2019)</t>
  </si>
  <si>
    <t>Variação preços</t>
  </si>
  <si>
    <t>Receitas</t>
  </si>
  <si>
    <t>Intersistema</t>
  </si>
  <si>
    <t>Intrasistema</t>
  </si>
  <si>
    <t>Índice de comparação da imputação de custos de capacidade</t>
  </si>
  <si>
    <t>milhões €</t>
  </si>
  <si>
    <t>GWh/dia</t>
  </si>
  <si>
    <t>Descrição do ponto</t>
  </si>
  <si>
    <t>Tipo de ponto</t>
  </si>
  <si>
    <t>A - Campo Maior</t>
  </si>
  <si>
    <t>IP</t>
  </si>
  <si>
    <t>B - Valença do Minho</t>
  </si>
  <si>
    <t>C - Terminal de Sines</t>
  </si>
  <si>
    <t>D - Carriço</t>
  </si>
  <si>
    <t>E - Lisboagás, Setgás, Carregado, Ribatejo</t>
  </si>
  <si>
    <t>F - Portgás, Central Outeiro</t>
  </si>
  <si>
    <t>G - Lusitâniagás, Central Lares, Central Figueira da Foz</t>
  </si>
  <si>
    <t>H - Tagusgás, Central Pego</t>
  </si>
  <si>
    <t>I - Portucel</t>
  </si>
  <si>
    <t>J - Refinaria Sines, Portucel</t>
  </si>
  <si>
    <t>K - Beiragás</t>
  </si>
  <si>
    <t>Matriz de distâncias</t>
  </si>
  <si>
    <t>Matriz de valor económico</t>
  </si>
  <si>
    <t>Matriz de distâncias efetivas</t>
  </si>
  <si>
    <t>Fator de valor económico</t>
  </si>
  <si>
    <t>-</t>
  </si>
  <si>
    <t>Capacidade efetiva</t>
  </si>
  <si>
    <t>Capacidade prevista</t>
  </si>
  <si>
    <t>Terminal GNL</t>
  </si>
  <si>
    <t>Capacidades previstas</t>
  </si>
  <si>
    <t>Ponto</t>
  </si>
  <si>
    <t>Produto</t>
  </si>
  <si>
    <t>Unidade</t>
  </si>
  <si>
    <t>kWh/dia</t>
  </si>
  <si>
    <t>Anual</t>
  </si>
  <si>
    <t>Trimestral</t>
  </si>
  <si>
    <t>Mensal</t>
  </si>
  <si>
    <t>Diário</t>
  </si>
  <si>
    <t>Armazenamento subterrâneo</t>
  </si>
  <si>
    <t>Intradiário</t>
  </si>
  <si>
    <t>Longas utilizações</t>
  </si>
  <si>
    <t>Redes de distribuição e Clientes em AP</t>
  </si>
  <si>
    <t>Clientes em AP</t>
  </si>
  <si>
    <t>Tarifa flexível anual - capacidade base anual</t>
  </si>
  <si>
    <t>Tarifa flexível anual - capacidade mensal adicional (abril a setembro)</t>
  </si>
  <si>
    <t>Tarifa flexível mensal - capacidade mensal (outubro a março)</t>
  </si>
  <si>
    <t>Tarifa flexível mensal - capacidade mensal (abril a setembro)</t>
  </si>
  <si>
    <t>Tarifa flexível diária - capacidade diária (outubro a março)</t>
  </si>
  <si>
    <t>Tarifa flexível diária - capacidade diária (abril a setembro)</t>
  </si>
  <si>
    <t>Fluxos físicos</t>
  </si>
  <si>
    <t>Capacidade técnica</t>
  </si>
  <si>
    <t>Parâmetros para os proveitos</t>
  </si>
  <si>
    <t>Proveitos permitidos (€ por período tarifário)</t>
  </si>
  <si>
    <t>Proveitos a recuperar nos pontos de entrada</t>
  </si>
  <si>
    <t>Combinações entrada-saída com GRMS</t>
  </si>
  <si>
    <t>Combinações entrada-saída sem GRMS</t>
  </si>
  <si>
    <t>Preços pré-equalização por ponto de saída</t>
  </si>
  <si>
    <t>Preços pré-equalização por ponto de entrada</t>
  </si>
  <si>
    <t>Siglas</t>
  </si>
  <si>
    <r>
      <t>K</t>
    </r>
    <r>
      <rPr>
        <b/>
        <vertAlign val="subscript"/>
        <sz val="11"/>
        <color theme="1"/>
        <rFont val="Calibri"/>
        <family val="2"/>
      </rPr>
      <t>i</t>
    </r>
  </si>
  <si>
    <r>
      <t>f</t>
    </r>
    <r>
      <rPr>
        <b/>
        <vertAlign val="subscript"/>
        <sz val="11"/>
        <color theme="1"/>
        <rFont val="Calibri"/>
        <family val="2"/>
      </rPr>
      <t>i</t>
    </r>
  </si>
  <si>
    <r>
      <t>K</t>
    </r>
    <r>
      <rPr>
        <b/>
        <vertAlign val="subscript"/>
        <sz val="11"/>
        <color theme="1"/>
        <rFont val="Calibri"/>
        <family val="2"/>
      </rPr>
      <t>i</t>
    </r>
    <r>
      <rPr>
        <b/>
        <vertAlign val="superscript"/>
        <sz val="11"/>
        <color theme="1"/>
        <rFont val="Calibri"/>
        <family val="2"/>
      </rPr>
      <t>e</t>
    </r>
  </si>
  <si>
    <r>
      <t>AD</t>
    </r>
    <r>
      <rPr>
        <b/>
        <vertAlign val="subscript"/>
        <sz val="11"/>
        <color theme="1"/>
        <rFont val="Calibri"/>
        <family val="2"/>
      </rPr>
      <t>i</t>
    </r>
  </si>
  <si>
    <r>
      <t>W</t>
    </r>
    <r>
      <rPr>
        <b/>
        <vertAlign val="subscript"/>
        <sz val="11"/>
        <color theme="1"/>
        <rFont val="Calibri"/>
        <family val="2"/>
      </rPr>
      <t>c,i</t>
    </r>
  </si>
  <si>
    <r>
      <t>T</t>
    </r>
    <r>
      <rPr>
        <b/>
        <vertAlign val="subscript"/>
        <sz val="11"/>
        <color theme="1"/>
        <rFont val="Calibri"/>
        <family val="2"/>
      </rPr>
      <t>i</t>
    </r>
  </si>
  <si>
    <r>
      <t>K</t>
    </r>
    <r>
      <rPr>
        <b/>
        <vertAlign val="subscript"/>
        <sz val="11"/>
        <color theme="1"/>
        <rFont val="Calibri"/>
        <family val="2"/>
      </rPr>
      <t>j</t>
    </r>
  </si>
  <si>
    <r>
      <t>f</t>
    </r>
    <r>
      <rPr>
        <b/>
        <vertAlign val="subscript"/>
        <sz val="11"/>
        <color theme="1"/>
        <rFont val="Calibri"/>
        <family val="2"/>
      </rPr>
      <t>j</t>
    </r>
  </si>
  <si>
    <r>
      <t>K</t>
    </r>
    <r>
      <rPr>
        <b/>
        <vertAlign val="subscript"/>
        <sz val="11"/>
        <color theme="1"/>
        <rFont val="Calibri"/>
        <family val="2"/>
      </rPr>
      <t>j</t>
    </r>
    <r>
      <rPr>
        <b/>
        <vertAlign val="superscript"/>
        <sz val="11"/>
        <color theme="1"/>
        <rFont val="Calibri"/>
        <family val="2"/>
      </rPr>
      <t>e</t>
    </r>
  </si>
  <si>
    <r>
      <t>AD</t>
    </r>
    <r>
      <rPr>
        <b/>
        <vertAlign val="subscript"/>
        <sz val="11"/>
        <color theme="1"/>
        <rFont val="Calibri"/>
        <family val="2"/>
      </rPr>
      <t>j</t>
    </r>
  </si>
  <si>
    <r>
      <t>W</t>
    </r>
    <r>
      <rPr>
        <b/>
        <vertAlign val="subscript"/>
        <sz val="11"/>
        <color theme="1"/>
        <rFont val="Calibri"/>
        <family val="2"/>
      </rPr>
      <t>c,j</t>
    </r>
  </si>
  <si>
    <r>
      <t>T</t>
    </r>
    <r>
      <rPr>
        <b/>
        <vertAlign val="subscript"/>
        <sz val="11"/>
        <color theme="1"/>
        <rFont val="Calibri"/>
        <family val="2"/>
      </rPr>
      <t>j</t>
    </r>
  </si>
  <si>
    <r>
      <t>K</t>
    </r>
    <r>
      <rPr>
        <vertAlign val="subscript"/>
        <sz val="11"/>
        <color theme="1"/>
        <rFont val="Calibri"/>
        <family val="2"/>
      </rPr>
      <t>i</t>
    </r>
  </si>
  <si>
    <r>
      <t>f</t>
    </r>
    <r>
      <rPr>
        <vertAlign val="subscript"/>
        <sz val="11"/>
        <color theme="1"/>
        <rFont val="Calibri"/>
        <family val="2"/>
      </rPr>
      <t>i</t>
    </r>
  </si>
  <si>
    <r>
      <t>K</t>
    </r>
    <r>
      <rPr>
        <vertAlign val="subscript"/>
        <sz val="11"/>
        <color theme="1"/>
        <rFont val="Calibri"/>
        <family val="2"/>
      </rPr>
      <t>i</t>
    </r>
    <r>
      <rPr>
        <vertAlign val="superscript"/>
        <sz val="11"/>
        <color theme="1"/>
        <rFont val="Calibri"/>
        <family val="2"/>
      </rPr>
      <t>e</t>
    </r>
  </si>
  <si>
    <r>
      <t>AD</t>
    </r>
    <r>
      <rPr>
        <vertAlign val="subscript"/>
        <sz val="11"/>
        <color theme="1"/>
        <rFont val="Calibri"/>
        <family val="2"/>
      </rPr>
      <t>i</t>
    </r>
  </si>
  <si>
    <r>
      <t>W</t>
    </r>
    <r>
      <rPr>
        <vertAlign val="subscript"/>
        <sz val="11"/>
        <color theme="1"/>
        <rFont val="Calibri"/>
        <family val="2"/>
      </rPr>
      <t>c,i</t>
    </r>
  </si>
  <si>
    <r>
      <t>T</t>
    </r>
    <r>
      <rPr>
        <vertAlign val="subscript"/>
        <sz val="11"/>
        <color theme="1"/>
        <rFont val="Calibri"/>
        <family val="2"/>
      </rPr>
      <t>i</t>
    </r>
  </si>
  <si>
    <t>capacidade prevista, medida em kWh/dia, no ponto de entrada i</t>
  </si>
  <si>
    <t>fator de fluxo físico no ponto de entrada i</t>
  </si>
  <si>
    <t>capacidade efetiva, medida em kWh/dia, no ponto de entrada i</t>
  </si>
  <si>
    <t>distância média ponderada, medida em km, no ponto de entrada i</t>
  </si>
  <si>
    <t>ponderação do custo para o ponto de entrada i</t>
  </si>
  <si>
    <t>preço pré-equalização decorrente da metodologia de preço de referência para o ponto de entrada i</t>
  </si>
  <si>
    <r>
      <t>K</t>
    </r>
    <r>
      <rPr>
        <vertAlign val="subscript"/>
        <sz val="11"/>
        <color theme="1"/>
        <rFont val="Calibri"/>
        <family val="2"/>
      </rPr>
      <t>j</t>
    </r>
  </si>
  <si>
    <r>
      <t>f</t>
    </r>
    <r>
      <rPr>
        <vertAlign val="subscript"/>
        <sz val="11"/>
        <color theme="1"/>
        <rFont val="Calibri"/>
        <family val="2"/>
      </rPr>
      <t>j</t>
    </r>
  </si>
  <si>
    <r>
      <t>K</t>
    </r>
    <r>
      <rPr>
        <vertAlign val="subscript"/>
        <sz val="11"/>
        <color theme="1"/>
        <rFont val="Calibri"/>
        <family val="2"/>
      </rPr>
      <t>j</t>
    </r>
    <r>
      <rPr>
        <vertAlign val="superscript"/>
        <sz val="11"/>
        <color theme="1"/>
        <rFont val="Calibri"/>
        <family val="2"/>
      </rPr>
      <t>e</t>
    </r>
  </si>
  <si>
    <r>
      <t>AD</t>
    </r>
    <r>
      <rPr>
        <vertAlign val="subscript"/>
        <sz val="11"/>
        <color theme="1"/>
        <rFont val="Calibri"/>
        <family val="2"/>
      </rPr>
      <t>j</t>
    </r>
  </si>
  <si>
    <r>
      <t>W</t>
    </r>
    <r>
      <rPr>
        <vertAlign val="subscript"/>
        <sz val="11"/>
        <color theme="1"/>
        <rFont val="Calibri"/>
        <family val="2"/>
      </rPr>
      <t>c,j</t>
    </r>
  </si>
  <si>
    <r>
      <t>T</t>
    </r>
    <r>
      <rPr>
        <vertAlign val="subscript"/>
        <sz val="11"/>
        <color theme="1"/>
        <rFont val="Calibri"/>
        <family val="2"/>
      </rPr>
      <t>j</t>
    </r>
  </si>
  <si>
    <t>capacidade prevista, medida em kWh/dia, no ponto de saída j</t>
  </si>
  <si>
    <t>fator de fluxo físico no ponto de saída j</t>
  </si>
  <si>
    <t>capacidade efetiva, medida em kWh/dia, no ponto de saída j</t>
  </si>
  <si>
    <t>distância média ponderada, medida em km, no ponto de saída j</t>
  </si>
  <si>
    <t>ponderação do custo para o ponto de saída j</t>
  </si>
  <si>
    <t>preço pré-equalização decorrente da metodologia de preço de referência para o ponto de saída j</t>
  </si>
  <si>
    <t>Preços pós-equalização</t>
  </si>
  <si>
    <t>Multiplicador</t>
  </si>
  <si>
    <t>Desconto</t>
  </si>
  <si>
    <t>Preços pré-escalamento</t>
  </si>
  <si>
    <t>€/(kWh/dia)/ano</t>
  </si>
  <si>
    <t>€/(kWh/h)/ano</t>
  </si>
  <si>
    <t># meses</t>
  </si>
  <si>
    <t>Fatores de escalamento</t>
  </si>
  <si>
    <t>Multiplicativo</t>
  </si>
  <si>
    <t>Divisão de entrada-saída, pré-escalamento</t>
  </si>
  <si>
    <t>Divisão de entrada-saída, pós-escalamento</t>
  </si>
  <si>
    <t>Preços de referência</t>
  </si>
  <si>
    <t>Receitas, pré-escalamento</t>
  </si>
  <si>
    <t>Receitas, pós-escalamento</t>
  </si>
  <si>
    <t>CWD</t>
  </si>
  <si>
    <t>CWD modificada</t>
  </si>
  <si>
    <t>cost driver: capacidade prevista</t>
  </si>
  <si>
    <t>cost driver: capacidade efetiva</t>
  </si>
  <si>
    <t>Preços pré-equalização</t>
  </si>
  <si>
    <t>Distâncias</t>
  </si>
  <si>
    <t>Lote</t>
  </si>
  <si>
    <t>Segmento</t>
  </si>
  <si>
    <t>Distância (km)</t>
  </si>
  <si>
    <t>Distância total</t>
  </si>
  <si>
    <t>Combinação entrada-saída</t>
  </si>
  <si>
    <t>Distâncias para combinações entrada-saída</t>
  </si>
  <si>
    <t>Segmentos</t>
  </si>
  <si>
    <t>milhões € ÷ (GWh/dia)</t>
  </si>
  <si>
    <t>Fator de custo: capacidade contratada prevista</t>
  </si>
  <si>
    <t>Rácio = Receitas ÷ Fator de custo</t>
  </si>
  <si>
    <t>Fator de custo: capacidade efetiva</t>
  </si>
  <si>
    <t>Fator de utilização física</t>
  </si>
  <si>
    <t>Estrutura de consumo por ponto de saída para consumo</t>
  </si>
  <si>
    <t>Dados: TP platform (net allocation, average of top 10%), Março-2016 até Fevereiro-2019.</t>
  </si>
  <si>
    <r>
      <t xml:space="preserve">Preços aprovados antes da implementação da metodologia de preço de referência
</t>
    </r>
    <r>
      <rPr>
        <i/>
        <sz val="11"/>
        <color theme="1"/>
        <rFont val="Calibri"/>
        <family val="2"/>
      </rPr>
      <t>(preços unitários)</t>
    </r>
  </si>
  <si>
    <t>Capacidades previstas 2019/2020</t>
  </si>
  <si>
    <t>Nota: saídas para VIP e terminal nos períodos tarifários 2018-2019 baseados em dados reais do ano-gás 2017-18.</t>
  </si>
  <si>
    <t>Rede de Transporte</t>
  </si>
  <si>
    <t>Apenas gasodutos (troços comuns)</t>
  </si>
  <si>
    <t>Preços de referência indicativos para os períodos tarifários até ao final do período de regulação 2019-2022 e comparação com os preços do período tarifário 2018-2019</t>
  </si>
  <si>
    <t>RPM</t>
  </si>
  <si>
    <t>Data_a</t>
  </si>
  <si>
    <t>Data_b</t>
  </si>
  <si>
    <t>Data_c</t>
  </si>
  <si>
    <t>Data_d</t>
  </si>
  <si>
    <t>Estrutura do ficheiro Excel (consulte a decisão fundamentada e o documento justificativo para mais detalhes):</t>
  </si>
  <si>
    <t>Folha</t>
  </si>
  <si>
    <t>Objetivo</t>
  </si>
  <si>
    <t>Modelo tarifário simplificado para as tarifas de transporte do gás natural</t>
  </si>
  <si>
    <t>Input</t>
  </si>
  <si>
    <t>Output</t>
  </si>
  <si>
    <t>RPM inputs</t>
  </si>
  <si>
    <t>Pre-scaling RPM</t>
  </si>
  <si>
    <t>Reference prices RPM</t>
  </si>
  <si>
    <t>CWDvsRPM</t>
  </si>
  <si>
    <t>Tariff Evolution</t>
  </si>
  <si>
    <t>CAA</t>
  </si>
  <si>
    <t>CWD
Pre-scaling CWD
References prices CWD</t>
  </si>
  <si>
    <t>CWD 28-72
Pre-scaling CWD 28-72
References prices CWD 28-72</t>
  </si>
  <si>
    <t>Contém os valores de capacidade prevista para os vários termos da tarifa de uso da rede de transporte e os valores dos proveitos permitidos. O utilizador pode alterar os campos amarelos para editar o crescimento das capacidades previstas e os valores dos proveitos permitidos para os vários períodos tarifários até ao ano 2021-2022.</t>
  </si>
  <si>
    <t>Apresenta os preços de referência indicativos para diferentes períodos tarifários, por alteração do campo amarelo.</t>
  </si>
  <si>
    <t>Dados de entrada para a aplicação da metodologia CWD modificada (metodologia de preço de referência adotada pela ERSE).</t>
  </si>
  <si>
    <t>Aplicação da metodologia CWD modificada (metodologia de preço de referência adotada pela ERSE).</t>
  </si>
  <si>
    <t>Determinação dos preços de referência. Estes preços resultam da aplicação dos ajustes previstos no artigo 6(4) do código de rede de tarifas, com exeção do ajuste por escalamento, aos preços obtidos com a metodologia CWD modificada (folha "RPM"). Os ajustes incluem a equalização, a aplicação de descontos a pontos de interface com o armazenamento subterrâneo e a aplicação de multiplicadores.</t>
  </si>
  <si>
    <t>Preços de referência indicativos para os períodos tarifários até ao final do período de regulação 2019-2022 e comparação com os preços do período tarifário 2018-2019.</t>
  </si>
  <si>
    <t>Dados de entrada relativos às variáveis de capacidade, medidas em kWh/dia.</t>
  </si>
  <si>
    <t>Parâmetros da estrutura tarifária, designadamente a divisão de entrada-saída, os multplicadores e descontos a aplicar.</t>
  </si>
  <si>
    <t>Tarifas de uso da rede de transporte a vigorar no período tarifário 2018-2019.</t>
  </si>
  <si>
    <t>Dados de entrada relativos à rede nacional de transporte, referentes ao cálculo das distâncias entre pontos e à estrutura dos investimentos.</t>
  </si>
  <si>
    <r>
      <t xml:space="preserve">O </t>
    </r>
    <r>
      <rPr>
        <b/>
        <sz val="11"/>
        <color theme="1"/>
        <rFont val="Calibri"/>
        <family val="2"/>
      </rPr>
      <t>código de rede relativo a estruturas tarifárias harmonizadas para o transporte de gás</t>
    </r>
    <r>
      <rPr>
        <sz val="11"/>
        <color theme="1"/>
        <rFont val="Calibri"/>
        <family val="2"/>
        <scheme val="minor"/>
      </rPr>
      <t xml:space="preserve">, Regulamento n.º 460/2017 da Comissão Europeia, estabelece no artigo 30.º, n.º 2, alínea b), a necessidade de um </t>
    </r>
    <r>
      <rPr>
        <b/>
        <sz val="11"/>
        <color theme="1"/>
        <rFont val="Calibri"/>
        <family val="2"/>
        <scheme val="minor"/>
      </rPr>
      <t>modelo tarifário simplificado</t>
    </r>
    <r>
      <rPr>
        <sz val="11"/>
        <color theme="1"/>
        <rFont val="Calibri"/>
        <family val="2"/>
        <scheme val="minor"/>
      </rPr>
      <t xml:space="preserve">.
Nos termos do artigo 26.º, a entidade reguladora nacional ou o(s) operador(es) da rede de transporte, conforme decidido pela entidade reguladora nacional, devem realizar uma consulta pública sobre a metodologia de preço de referência. A metodologia do preço de referência é definida como a metodologia aplicada à parte das receitas provenientes dos serviços de transporte a recuperar por meio de tarifas de transporte baseadas na capacidade, com o objetivo de obter preços de referência.
Tendo em conta os comentários recebidos à consulta pública, que decorreu entre os dias 17 de agosto de 2018 e 17 de outubro de 2018, a ERSE publicou a 18 de março de 2019 a sua decisão fundamentada com vista ao cumprimento do artigo 27(4) do referido Regulamento. A metodologia de preço de referência adotada pela ERSE designa-se por </t>
    </r>
    <r>
      <rPr>
        <b/>
        <sz val="11"/>
        <color theme="1"/>
        <rFont val="Calibri"/>
        <family val="2"/>
        <scheme val="minor"/>
      </rPr>
      <t>metodologia modificada da distância ponderada pela capacidade</t>
    </r>
    <r>
      <rPr>
        <sz val="11"/>
        <color theme="1"/>
        <rFont val="Calibri"/>
        <family val="2"/>
        <scheme val="minor"/>
      </rPr>
      <t xml:space="preserve"> (metodologia CWD modificada)</t>
    </r>
    <r>
      <rPr>
        <sz val="11"/>
        <color theme="1"/>
        <rFont val="Calibri"/>
        <family val="2"/>
        <scheme val="minor"/>
      </rPr>
      <t xml:space="preserve">. Consulte a decisão fundamentada da ERSE para mais informações (disponível na página da ERSE: www.erse.pt).
Este </t>
    </r>
    <r>
      <rPr>
        <b/>
        <sz val="11"/>
        <color theme="1"/>
        <rFont val="Calibri"/>
        <family val="2"/>
        <scheme val="minor"/>
      </rPr>
      <t>modelo tarifário simplificado</t>
    </r>
    <r>
      <rPr>
        <sz val="11"/>
        <color theme="1"/>
        <rFont val="Calibri"/>
        <family val="2"/>
        <scheme val="minor"/>
      </rPr>
      <t xml:space="preserve"> calcula as tarifas de transporte de acordo com a </t>
    </r>
    <r>
      <rPr>
        <sz val="11"/>
        <color theme="1"/>
        <rFont val="Calibri"/>
        <family val="2"/>
        <scheme val="minor"/>
      </rPr>
      <t>metodologia CWD modificada</t>
    </r>
    <r>
      <rPr>
        <sz val="11"/>
        <color theme="1"/>
        <rFont val="Calibri"/>
        <family val="2"/>
        <scheme val="minor"/>
      </rPr>
      <t>. O utilizador pode avaliar as mudanças nas tarifas de transporte em resultado de alterações nas quantidades de gás previstas e dos proveitos permitidos do operador da rede de transporte. Assim, este modelo está em conformidade com o requisito do artigo 30(2)(b), ou seja, a publicação de "um modelo tarifário simplificado, atualizado periodicamente, acompanhado da explicação de como o utilizar, para permitir aos utilizadores da rede o cálculo das tarifas de transporte aplicáveis ao período tarifário em vigor e uma estimativa da sua possível evolução para além desse período tarifário".</t>
    </r>
  </si>
  <si>
    <t>Folhas de cálculo relativas à determinação dos preços de referência, segundo a metodologia CWD, assumindo uma divisão de entrada-saída de 28/72.</t>
  </si>
  <si>
    <t>Determinação dos preços pré-escalamento. Estes preços resultam da aplicação dos ajustes previstos no artigo 6(4) do Código de Rede de Tarifas aos preços obtidos com a metodologia CWD modificada (folha "RPM"). Os ajustes incluem a equalização, a aplicação de descontos a pontos de interface com o armazenamento subterrâneo e a aplicação de multiplicadores.</t>
  </si>
  <si>
    <t>Comparação da metodologia CWD modificada com a metodologia da distância ponderada pela capacidade (metodologia CWD). Consulte a decisão fundamentada da ERSE para mais informações.</t>
  </si>
  <si>
    <t>Cálculo da avaliação de imputação de custo (CAA - 'cost allocation assessment'), prevista no artigo 5.º do Código de Rede de Tarifas.</t>
  </si>
  <si>
    <t>Folhas de cálculo relativas à determinação dos preços de referência segundo a metodologia CWD, definida no artigo 8.º do Código de Rede de Tarifas.</t>
  </si>
  <si>
    <t>Atualizado em 25 de março de 2019</t>
  </si>
  <si>
    <t>VIP [A+B]</t>
  </si>
  <si>
    <t>Terminal GNL [C]</t>
  </si>
  <si>
    <t>Armazenamento [D]</t>
  </si>
  <si>
    <t>Consumo [E - K]</t>
  </si>
  <si>
    <t>Labels</t>
  </si>
  <si>
    <t>2022-2023</t>
  </si>
  <si>
    <t>RPM Year</t>
  </si>
  <si>
    <t>Simplified tariff model</t>
  </si>
  <si>
    <t>All calculated data are for information purposes only.</t>
  </si>
  <si>
    <t>The calculated prices do not include value-added tax (VAT).</t>
  </si>
  <si>
    <t>Last update:</t>
  </si>
  <si>
    <t>Description of the simplified tariff model</t>
  </si>
  <si>
    <t>This model includes two additional worksheets, with the following purposes:</t>
  </si>
  <si>
    <t xml:space="preserve">Input - </t>
  </si>
  <si>
    <t xml:space="preserve">Output - </t>
  </si>
  <si>
    <t>This worksheet computes the transmission tariffs applicable for the use of the transmission system based on the values from the 'Input' worksheet.</t>
  </si>
  <si>
    <t>Allowed revenues</t>
  </si>
  <si>
    <t>Forecasted capacity demand</t>
  </si>
  <si>
    <t>The values that can be changed by the user are the yellow cells included in the 'Input' worksheet.</t>
  </si>
  <si>
    <t>English</t>
  </si>
  <si>
    <t>Português</t>
  </si>
  <si>
    <t>Information</t>
  </si>
  <si>
    <t>Chosen language</t>
  </si>
  <si>
    <t>Última atualização:</t>
  </si>
  <si>
    <t>Modelo tarifário simplificado</t>
  </si>
  <si>
    <t>Todos os dados calculados são apenas para fins informativos.</t>
  </si>
  <si>
    <t>Descrição do modelo tarifário simplificado</t>
  </si>
  <si>
    <t>Transmission tariffs for natural gas</t>
  </si>
  <si>
    <t>Tarifas de transporte para o gás natural</t>
  </si>
  <si>
    <t>Os preços calculados não incluem o imposto sobre o valor acrescentado (IVA).</t>
  </si>
  <si>
    <t>Este modelo inclui duas folhas de cálculo adicionais, com as seguintes finalidades:</t>
  </si>
  <si>
    <t>Esta folha calcula as tarifas de transporte aplicáveis para o uso da rede de transporte com base nos valores da folha 'Input'.</t>
  </si>
  <si>
    <t>Os valores que podem ser alterados pelo utilizador são as células amarelas incluídas na folha 'Input'.</t>
  </si>
  <si>
    <t>Allowed revenues of the transmission system operator</t>
  </si>
  <si>
    <t>Transmission tariffs</t>
  </si>
  <si>
    <t>Underground Storage</t>
  </si>
  <si>
    <t>HP Customers</t>
  </si>
  <si>
    <t>Distribution networks and HP Customers</t>
  </si>
  <si>
    <t>Terminal de GNL</t>
  </si>
  <si>
    <t>Armazenamento Subterrâneo</t>
  </si>
  <si>
    <t>Redes de distribuição e clientes em AP</t>
  </si>
  <si>
    <t>Yearly</t>
  </si>
  <si>
    <t>Intraday</t>
  </si>
  <si>
    <t>Long Uses</t>
  </si>
  <si>
    <t>Annual Flexible Rate - Annual Base Capacity</t>
  </si>
  <si>
    <t>Annual Flexible Rate - Additional Monthly Capacity (April to September)</t>
  </si>
  <si>
    <t>Flexible Monthly Rate - Monthly Capacity (October to March)</t>
  </si>
  <si>
    <t>Flexible Monthly Rate - Monthly Capacity (April to September)</t>
  </si>
  <si>
    <t>Daily Flexible Rate - Daily Capacity (October to March)</t>
  </si>
  <si>
    <t>Daily Flexible Rate - Daily Capacity (April to September)</t>
  </si>
  <si>
    <t>Proveitos permitidos</t>
  </si>
  <si>
    <t>Proveitos permitidos do operador da rede de transporte</t>
  </si>
  <si>
    <t>Produtos</t>
  </si>
  <si>
    <t>€/(kWh/day)/year</t>
  </si>
  <si>
    <t>€/(kWh/h)/year</t>
  </si>
  <si>
    <t>Tarifas de uso da rede de transporte</t>
  </si>
  <si>
    <t>This simplified tariff model presents the transmission tariffs for natural gas for the gas year 2019-2020 and allows the estimation of these tariffs until the gas year 2022-2023.</t>
  </si>
  <si>
    <t>Language / Idioma</t>
  </si>
  <si>
    <t>Este modelo tarifário simplificado apresenta as tarifas de transporte de gás natural para o ano gás de 2019-2020 e permite estimar a evolução destas tarifas até ao ano gás 2022-2023.</t>
  </si>
  <si>
    <t>Esta folha inclui os proveitos permitidos do operador da rede de transporte e os valores para a capacidade prevista.</t>
  </si>
  <si>
    <t>This worksheet includes the allowed revenues of the transmission system operator and the forecasted capacity demand.</t>
  </si>
  <si>
    <t>Legenda de cores</t>
  </si>
  <si>
    <t>Células amarelas na folha 'Input' podem ser alteradas pelo usuário.</t>
  </si>
  <si>
    <t>Yellow cells in the worksheet 'Input' can be changed by the user.</t>
  </si>
  <si>
    <t>Green cells in the worksheet 'Output' are estimated values based on the values entered in the yellow cells in the 'Input' worksheet.</t>
  </si>
  <si>
    <t>Células verdes na folha 'Output' são valores estimados com base nos valores introduzidos nas células amarelas na folha 'Input'.</t>
  </si>
  <si>
    <t>Color legend</t>
  </si>
  <si>
    <t>Yellow cells can be changed by the user</t>
  </si>
  <si>
    <t>Green cells are estimates</t>
  </si>
  <si>
    <t>Células verdes são estimativas</t>
  </si>
  <si>
    <t>Células amarelas podem ser alteradas pelo utilizador</t>
  </si>
  <si>
    <t>Tarifas de uso da rede de transporte (até ao final do período de regulação)</t>
  </si>
  <si>
    <t>Art 30(1)(a)</t>
  </si>
  <si>
    <t>Capacidade técnica, em GWh/dia</t>
  </si>
  <si>
    <t>Tipo</t>
  </si>
  <si>
    <t>Contratada</t>
  </si>
  <si>
    <t>Utilizada</t>
  </si>
  <si>
    <t>Fluxo físico</t>
  </si>
  <si>
    <t>Fator de fluxo físico, por ponto da rede de transporte</t>
  </si>
  <si>
    <t>Divisão capacidade-energia, ou seja, a repartição entre a receita proveniente das tarifas de transporte baseadas na capacidade e a receita proveniente das tarifas de transporte baseadas na energia</t>
  </si>
  <si>
    <t>Divisão entrada-saída, ou seja, a repartição entre a receita proveniente das tarifas de transporte baseadas na capacidade em todos os pontos de entrada e a receita proveniente das tarifas de transporte baseadas na capacidade em todos os pontos de saída</t>
  </si>
  <si>
    <t>Divisão transfronteiriço-nacional, ou seja, a repartição entre a receita proveniente dos utilizadores nacionais da rede, tanto nos pontos de entrada como nos de saída, e a receita proveniente dos utilizadores transfronteiriços da rede, tanto nos pontos de entrada como de saída, calculada nos termos do artigo 5.º.</t>
  </si>
  <si>
    <t>Transfronteiriço</t>
  </si>
  <si>
    <t>Nacional</t>
  </si>
  <si>
    <t>·</t>
  </si>
  <si>
    <t>Ponto de interligação</t>
  </si>
  <si>
    <t>Pontos de entrada/saída</t>
  </si>
  <si>
    <t>Terminal de GNL (Sines)</t>
  </si>
  <si>
    <t>Armazenamento Subterrâneo (Carriço)</t>
  </si>
  <si>
    <t>Ponto de interligação (Campo Maior)</t>
  </si>
  <si>
    <t>Ponto de interligação (Valença do Minho)</t>
  </si>
  <si>
    <t>Interconnection point (Campo Maior)</t>
  </si>
  <si>
    <t>Interconnection point (Valença do Minho)</t>
  </si>
  <si>
    <t>Type</t>
  </si>
  <si>
    <t>Contracted</t>
  </si>
  <si>
    <t>Type of point</t>
  </si>
  <si>
    <t>Interconnection point</t>
  </si>
  <si>
    <t>Storage</t>
  </si>
  <si>
    <t>Consumption</t>
  </si>
  <si>
    <t>LNG terminal (Sines)</t>
  </si>
  <si>
    <t>Underground storage (Carriço)</t>
  </si>
  <si>
    <t>Portgás, Outeiro power plant</t>
  </si>
  <si>
    <t>Lusitâniagás, Lares power plant, Figueira da Foz power plant</t>
  </si>
  <si>
    <t>Tagusgás, Pego power plant</t>
  </si>
  <si>
    <t>Sines Refinary, Portucel</t>
  </si>
  <si>
    <t>Technical capacity</t>
  </si>
  <si>
    <t>Physical flow</t>
  </si>
  <si>
    <t>Physical utilization factor</t>
  </si>
  <si>
    <t>Pontos de interligação (VIP)</t>
  </si>
  <si>
    <t>Interconnection points (VIP)</t>
  </si>
  <si>
    <t>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</si>
</sst>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
    <numFmt numFmtId="165" formatCode="0.0%"/>
    <numFmt numFmtId="166" formatCode="0.0000"/>
    <numFmt numFmtId="167" formatCode="#,##0.0000"/>
    <numFmt numFmtId="168" formatCode="0.000"/>
    <numFmt numFmtId="169" formatCode="\(\+\)\ 0.0%;\(\-\)\ 0.0%"/>
    <numFmt numFmtId="170" formatCode="#,##0.0"/>
    <numFmt numFmtId="171" formatCode="#,##0\ &quot;€&quot;"/>
  </numFmts>
  <fonts count="30"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scheme val="minor"/>
    </font>
    <font>
      <b/>
      <sz val="11"/>
      <name val="Calibri"/>
      <family val="2"/>
      <scheme val="minor"/>
    </font>
    <font>
      <b/>
      <i/>
      <sz val="11"/>
      <color theme="1"/>
      <name val="Calibri"/>
      <family val="2"/>
      <scheme val="minor"/>
    </font>
    <font>
      <b/>
      <sz val="11"/>
      <color rgb="FFFF0000"/>
      <name val="Calibri"/>
      <family val="2"/>
      <scheme val="minor"/>
    </font>
    <font>
      <sz val="11"/>
      <color rgb="FFFF0000"/>
      <name val="Calibri"/>
      <family val="2"/>
      <scheme val="minor"/>
    </font>
    <font>
      <i/>
      <sz val="11"/>
      <color rgb="FFFF0000"/>
      <name val="Calibri"/>
      <family val="2"/>
      <scheme val="minor"/>
    </font>
    <font>
      <i/>
      <sz val="11"/>
      <color theme="1"/>
      <name val="Calibri"/>
      <family val="2"/>
    </font>
    <font>
      <i/>
      <u/>
      <sz val="11"/>
      <color theme="1"/>
      <name val="Calibri"/>
      <family val="2"/>
      <scheme val="minor"/>
    </font>
    <font>
      <b/>
      <vertAlign val="subscript"/>
      <sz val="11"/>
      <color theme="1"/>
      <name val="Calibri"/>
      <family val="2"/>
    </font>
    <font>
      <b/>
      <vertAlign val="superscript"/>
      <sz val="11"/>
      <color theme="1"/>
      <name val="Calibri"/>
      <family val="2"/>
    </font>
    <font>
      <vertAlign val="subscript"/>
      <sz val="11"/>
      <color theme="1"/>
      <name val="Calibri"/>
      <family val="2"/>
    </font>
    <font>
      <vertAlign val="superscript"/>
      <sz val="11"/>
      <color theme="1"/>
      <name val="Calibri"/>
      <family val="2"/>
    </font>
    <font>
      <i/>
      <sz val="11"/>
      <color rgb="FF00B050"/>
      <name val="Calibri"/>
      <family val="2"/>
      <scheme val="minor"/>
    </font>
    <font>
      <b/>
      <sz val="11"/>
      <color theme="1"/>
      <name val="Calibri"/>
      <family val="2"/>
    </font>
    <font>
      <u/>
      <sz val="11"/>
      <color theme="10"/>
      <name val="Calibri"/>
      <family val="2"/>
      <scheme val="minor"/>
    </font>
    <font>
      <b/>
      <sz val="11"/>
      <color theme="0"/>
      <name val="Calibri"/>
      <family val="2"/>
      <scheme val="minor"/>
    </font>
    <font>
      <sz val="11"/>
      <color theme="0"/>
      <name val="Calibri"/>
      <family val="2"/>
      <scheme val="minor"/>
    </font>
    <font>
      <b/>
      <sz val="12"/>
      <color rgb="FFCC9925"/>
      <name val="Calibri"/>
      <family val="2"/>
      <scheme val="minor"/>
    </font>
    <font>
      <b/>
      <sz val="14"/>
      <color rgb="FFCC9925"/>
      <name val="Calibri"/>
      <family val="2"/>
      <scheme val="minor"/>
    </font>
    <font>
      <b/>
      <sz val="18"/>
      <color rgb="FFCC9925"/>
      <name val="Calibri"/>
      <family val="2"/>
      <scheme val="minor"/>
    </font>
    <font>
      <i/>
      <sz val="11"/>
      <color rgb="FFCC9925"/>
      <name val="Calibri"/>
      <family val="2"/>
      <scheme val="minor"/>
    </font>
    <font>
      <b/>
      <sz val="14"/>
      <color theme="0"/>
      <name val="Calibri"/>
      <family val="2"/>
      <scheme val="minor"/>
    </font>
    <font>
      <b/>
      <sz val="18"/>
      <color theme="1"/>
      <name val="Calibri"/>
      <family val="2"/>
      <scheme val="minor"/>
    </font>
    <font>
      <b/>
      <sz val="14"/>
      <color theme="1"/>
      <name val="Calibri"/>
      <family val="2"/>
      <scheme val="minor"/>
    </font>
    <font>
      <b/>
      <sz val="10"/>
      <color theme="1"/>
      <name val="Calibri"/>
      <family val="2"/>
      <scheme val="minor"/>
    </font>
    <font>
      <sz val="10"/>
      <color theme="1"/>
      <name val="Calibri"/>
      <family val="2"/>
      <scheme val="minor"/>
    </font>
    <font>
      <sz val="11"/>
      <color theme="1"/>
      <name val="Symbol"/>
      <family val="1"/>
      <charset val="2"/>
    </font>
  </fonts>
  <fills count="18">
    <fill>
      <patternFill patternType="none"/>
    </fill>
    <fill>
      <patternFill patternType="gray125"/>
    </fill>
    <fill>
      <patternFill patternType="solid">
        <fgColor theme="5"/>
        <bgColor indexed="64"/>
      </patternFill>
    </fill>
    <fill>
      <patternFill patternType="solid">
        <fgColor theme="6"/>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bgColor indexed="64"/>
      </patternFill>
    </fill>
    <fill>
      <patternFill patternType="solid">
        <fgColor rgb="FFCC9925"/>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0"/>
        <bgColor indexed="64"/>
      </patternFill>
    </fill>
    <fill>
      <patternFill patternType="solid">
        <fgColor rgb="FF92D050"/>
        <bgColor indexed="64"/>
      </patternFill>
    </fill>
  </fills>
  <borders count="85">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thick">
        <color rgb="FFCC9925"/>
      </bottom>
      <diagonal/>
    </border>
    <border>
      <left style="medium">
        <color rgb="FFCC9925"/>
      </left>
      <right/>
      <top style="medium">
        <color rgb="FFCC9925"/>
      </top>
      <bottom/>
      <diagonal/>
    </border>
    <border>
      <left/>
      <right/>
      <top style="medium">
        <color rgb="FFCC9925"/>
      </top>
      <bottom/>
      <diagonal/>
    </border>
    <border>
      <left/>
      <right style="medium">
        <color rgb="FFCC9925"/>
      </right>
      <top style="medium">
        <color rgb="FFCC9925"/>
      </top>
      <bottom/>
      <diagonal/>
    </border>
    <border>
      <left style="medium">
        <color rgb="FFCC9925"/>
      </left>
      <right/>
      <top/>
      <bottom/>
      <diagonal/>
    </border>
    <border>
      <left/>
      <right style="medium">
        <color rgb="FFCC9925"/>
      </right>
      <top/>
      <bottom/>
      <diagonal/>
    </border>
    <border>
      <left style="medium">
        <color rgb="FFCC9925"/>
      </left>
      <right/>
      <top/>
      <bottom style="medium">
        <color rgb="FFCC9925"/>
      </bottom>
      <diagonal/>
    </border>
    <border>
      <left/>
      <right/>
      <top/>
      <bottom style="medium">
        <color rgb="FFCC9925"/>
      </bottom>
      <diagonal/>
    </border>
    <border>
      <left/>
      <right style="medium">
        <color rgb="FFCC9925"/>
      </right>
      <top/>
      <bottom style="medium">
        <color rgb="FFCC9925"/>
      </bottom>
      <diagonal/>
    </border>
    <border>
      <left style="thin">
        <color theme="1"/>
      </left>
      <right style="thin">
        <color theme="1"/>
      </right>
      <top style="thin">
        <color theme="1"/>
      </top>
      <bottom style="thin">
        <color theme="1"/>
      </bottom>
      <diagonal/>
    </border>
    <border>
      <left style="medium">
        <color theme="1"/>
      </left>
      <right style="medium">
        <color theme="1"/>
      </right>
      <top style="medium">
        <color theme="1"/>
      </top>
      <bottom style="medium">
        <color theme="1"/>
      </bottom>
      <diagonal/>
    </border>
    <border>
      <left style="medium">
        <color indexed="64"/>
      </left>
      <right style="medium">
        <color indexed="64"/>
      </right>
      <top/>
      <bottom style="thin">
        <color indexed="64"/>
      </bottom>
      <diagonal/>
    </border>
    <border>
      <left style="thin">
        <color theme="1"/>
      </left>
      <right style="thin">
        <color theme="1"/>
      </right>
      <top/>
      <bottom style="thin">
        <color theme="1"/>
      </bottom>
      <diagonal/>
    </border>
    <border>
      <left style="thin">
        <color indexed="64"/>
      </left>
      <right style="thin">
        <color theme="1"/>
      </right>
      <top/>
      <bottom/>
      <diagonal/>
    </border>
    <border>
      <left style="thin">
        <color theme="1"/>
      </left>
      <right style="thin">
        <color theme="1"/>
      </right>
      <top style="thin">
        <color theme="1"/>
      </top>
      <bottom style="medium">
        <color indexed="64"/>
      </bottom>
      <diagonal/>
    </border>
    <border>
      <left style="thin">
        <color theme="1"/>
      </left>
      <right style="thin">
        <color theme="1"/>
      </right>
      <top style="thin">
        <color theme="1"/>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s>
  <cellStyleXfs count="3">
    <xf numFmtId="0" fontId="0" fillId="0" borderId="0"/>
    <xf numFmtId="9" fontId="3" fillId="0" borderId="0" applyFont="0" applyFill="0" applyBorder="0" applyAlignment="0" applyProtection="0"/>
    <xf numFmtId="0" fontId="17" fillId="0" borderId="0" applyNumberFormat="0" applyFill="0" applyBorder="0" applyAlignment="0" applyProtection="0"/>
  </cellStyleXfs>
  <cellXfs count="668">
    <xf numFmtId="0" fontId="0" fillId="0" borderId="0" xfId="0"/>
    <xf numFmtId="0" fontId="1" fillId="0" borderId="0" xfId="0" applyFont="1"/>
    <xf numFmtId="0" fontId="1" fillId="2" borderId="1" xfId="0" applyFont="1" applyFill="1" applyBorder="1"/>
    <xf numFmtId="0" fontId="0" fillId="3" borderId="6" xfId="0" applyFill="1" applyBorder="1"/>
    <xf numFmtId="0" fontId="0" fillId="3" borderId="7" xfId="0" applyFill="1" applyBorder="1"/>
    <xf numFmtId="0" fontId="1" fillId="3" borderId="5" xfId="0" applyFont="1" applyFill="1" applyBorder="1" applyAlignment="1">
      <alignment horizontal="center"/>
    </xf>
    <xf numFmtId="0" fontId="1" fillId="3" borderId="6" xfId="0" applyFont="1" applyFill="1" applyBorder="1" applyAlignment="1">
      <alignment horizontal="center"/>
    </xf>
    <xf numFmtId="0" fontId="1" fillId="3" borderId="7" xfId="0" applyFont="1" applyFill="1" applyBorder="1" applyAlignment="1">
      <alignment horizontal="center"/>
    </xf>
    <xf numFmtId="0" fontId="2" fillId="3" borderId="5" xfId="0" applyFont="1" applyFill="1" applyBorder="1"/>
    <xf numFmtId="0" fontId="0" fillId="3" borderId="8" xfId="0" applyFill="1" applyBorder="1"/>
    <xf numFmtId="0" fontId="0" fillId="0" borderId="3" xfId="0" applyBorder="1"/>
    <xf numFmtId="0" fontId="0" fillId="0" borderId="10" xfId="0" applyBorder="1"/>
    <xf numFmtId="0" fontId="0" fillId="0" borderId="11" xfId="0" applyBorder="1"/>
    <xf numFmtId="0" fontId="0" fillId="0" borderId="11" xfId="0" applyBorder="1" applyAlignment="1">
      <alignment horizontal="left"/>
    </xf>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1" xfId="0" applyBorder="1"/>
    <xf numFmtId="0" fontId="0" fillId="0" borderId="22" xfId="0" applyBorder="1"/>
    <xf numFmtId="0" fontId="0" fillId="0" borderId="23" xfId="0" applyBorder="1"/>
    <xf numFmtId="0" fontId="1" fillId="2" borderId="2" xfId="0" applyFont="1" applyFill="1" applyBorder="1" applyAlignment="1">
      <alignment horizontal="center"/>
    </xf>
    <xf numFmtId="0" fontId="1" fillId="2" borderId="2" xfId="0" applyFont="1" applyFill="1" applyBorder="1"/>
    <xf numFmtId="0" fontId="1" fillId="4" borderId="3" xfId="0" applyFont="1" applyFill="1" applyBorder="1" applyAlignment="1">
      <alignment horizontal="center"/>
    </xf>
    <xf numFmtId="0" fontId="0" fillId="0" borderId="0" xfId="0" applyFill="1"/>
    <xf numFmtId="0" fontId="1" fillId="4" borderId="27" xfId="0" applyFont="1" applyFill="1" applyBorder="1" applyAlignment="1">
      <alignment horizontal="center"/>
    </xf>
    <xf numFmtId="9" fontId="0" fillId="0" borderId="3" xfId="1" applyFont="1" applyBorder="1" applyAlignment="1">
      <alignment horizontal="center"/>
    </xf>
    <xf numFmtId="3" fontId="0" fillId="0" borderId="3" xfId="1" applyNumberFormat="1" applyFont="1" applyBorder="1" applyAlignment="1">
      <alignment horizontal="center"/>
    </xf>
    <xf numFmtId="3" fontId="0" fillId="0" borderId="3" xfId="1" applyNumberFormat="1" applyFont="1" applyBorder="1"/>
    <xf numFmtId="164" fontId="0" fillId="0" borderId="3" xfId="1" applyNumberFormat="1" applyFont="1" applyBorder="1"/>
    <xf numFmtId="165" fontId="0" fillId="0" borderId="3" xfId="1" applyNumberFormat="1" applyFont="1" applyFill="1" applyBorder="1"/>
    <xf numFmtId="3" fontId="0" fillId="0" borderId="12" xfId="0" applyNumberFormat="1" applyFont="1" applyFill="1" applyBorder="1"/>
    <xf numFmtId="167" fontId="1" fillId="0" borderId="3" xfId="0" applyNumberFormat="1" applyFont="1" applyFill="1" applyBorder="1"/>
    <xf numFmtId="166" fontId="1" fillId="0" borderId="3" xfId="0" applyNumberFormat="1" applyFont="1" applyFill="1" applyBorder="1"/>
    <xf numFmtId="0" fontId="1" fillId="4" borderId="5" xfId="0" applyFont="1" applyFill="1" applyBorder="1" applyAlignment="1">
      <alignment horizontal="center"/>
    </xf>
    <xf numFmtId="0" fontId="1" fillId="4" borderId="6" xfId="0" applyFont="1" applyFill="1" applyBorder="1" applyAlignment="1">
      <alignment horizontal="center"/>
    </xf>
    <xf numFmtId="0" fontId="1" fillId="4" borderId="7" xfId="0" applyFont="1" applyFill="1" applyBorder="1" applyAlignment="1">
      <alignment horizontal="center"/>
    </xf>
    <xf numFmtId="166" fontId="0" fillId="0" borderId="14" xfId="0" applyNumberFormat="1" applyBorder="1"/>
    <xf numFmtId="166" fontId="0" fillId="0" borderId="17" xfId="0" applyNumberFormat="1" applyBorder="1"/>
    <xf numFmtId="167" fontId="0" fillId="0" borderId="14" xfId="0" applyNumberFormat="1" applyBorder="1"/>
    <xf numFmtId="166" fontId="0" fillId="0" borderId="12" xfId="0" applyNumberFormat="1" applyBorder="1"/>
    <xf numFmtId="0" fontId="1" fillId="4" borderId="2" xfId="0" applyFont="1" applyFill="1" applyBorder="1"/>
    <xf numFmtId="0" fontId="0" fillId="3" borderId="2" xfId="0" applyFill="1" applyBorder="1"/>
    <xf numFmtId="0" fontId="0" fillId="0" borderId="10" xfId="0" applyBorder="1" applyAlignment="1">
      <alignment horizontal="left"/>
    </xf>
    <xf numFmtId="0" fontId="0" fillId="0" borderId="31" xfId="0" applyBorder="1"/>
    <xf numFmtId="0" fontId="0" fillId="0" borderId="32" xfId="0" applyBorder="1"/>
    <xf numFmtId="0" fontId="0" fillId="0" borderId="30" xfId="0" applyBorder="1"/>
    <xf numFmtId="0" fontId="2" fillId="3" borderId="2" xfId="0" applyFont="1" applyFill="1" applyBorder="1"/>
    <xf numFmtId="0" fontId="0" fillId="0" borderId="0" xfId="0" applyBorder="1"/>
    <xf numFmtId="3" fontId="0" fillId="0" borderId="11" xfId="0" applyNumberFormat="1" applyBorder="1"/>
    <xf numFmtId="3" fontId="0" fillId="0" borderId="12" xfId="0" applyNumberFormat="1" applyBorder="1"/>
    <xf numFmtId="3" fontId="0" fillId="0" borderId="3" xfId="0" applyNumberFormat="1" applyBorder="1"/>
    <xf numFmtId="3" fontId="0" fillId="0" borderId="14" xfId="0" applyNumberFormat="1" applyBorder="1"/>
    <xf numFmtId="3" fontId="0" fillId="0" borderId="16" xfId="0" applyNumberFormat="1" applyBorder="1"/>
    <xf numFmtId="3" fontId="0" fillId="0" borderId="17" xfId="0" applyNumberFormat="1" applyBorder="1"/>
    <xf numFmtId="3" fontId="0" fillId="0" borderId="20" xfId="0" applyNumberFormat="1" applyBorder="1"/>
    <xf numFmtId="166" fontId="0" fillId="0" borderId="20" xfId="0" applyNumberFormat="1" applyBorder="1"/>
    <xf numFmtId="0" fontId="0" fillId="0" borderId="30" xfId="0" applyBorder="1" applyAlignment="1"/>
    <xf numFmtId="0" fontId="0" fillId="0" borderId="31" xfId="0" applyBorder="1" applyAlignment="1"/>
    <xf numFmtId="0" fontId="0" fillId="0" borderId="32" xfId="0" applyBorder="1" applyAlignment="1"/>
    <xf numFmtId="0" fontId="0" fillId="0" borderId="2" xfId="0" applyBorder="1" applyAlignment="1"/>
    <xf numFmtId="0" fontId="1" fillId="2" borderId="5" xfId="0" applyFont="1" applyFill="1" applyBorder="1"/>
    <xf numFmtId="165" fontId="0" fillId="0" borderId="12" xfId="1" applyNumberFormat="1" applyFont="1" applyBorder="1"/>
    <xf numFmtId="165" fontId="0" fillId="0" borderId="17" xfId="1" applyNumberFormat="1" applyFont="1" applyBorder="1"/>
    <xf numFmtId="9" fontId="6" fillId="5" borderId="12" xfId="1" applyNumberFormat="1" applyFont="1" applyFill="1" applyBorder="1"/>
    <xf numFmtId="0" fontId="1" fillId="2" borderId="33" xfId="0" applyFont="1" applyFill="1" applyBorder="1" applyAlignment="1">
      <alignment horizontal="center"/>
    </xf>
    <xf numFmtId="168" fontId="0" fillId="0" borderId="30" xfId="0" applyNumberFormat="1" applyBorder="1"/>
    <xf numFmtId="168" fontId="0" fillId="0" borderId="32" xfId="0" applyNumberFormat="1" applyBorder="1"/>
    <xf numFmtId="168" fontId="0" fillId="0" borderId="30" xfId="0" applyNumberFormat="1" applyBorder="1" applyAlignment="1">
      <alignment horizontal="right"/>
    </xf>
    <xf numFmtId="168" fontId="0" fillId="0" borderId="31" xfId="0" applyNumberFormat="1" applyBorder="1" applyAlignment="1">
      <alignment horizontal="right"/>
    </xf>
    <xf numFmtId="168" fontId="0" fillId="0" borderId="32" xfId="0" applyNumberFormat="1" applyBorder="1" applyAlignment="1">
      <alignment horizontal="right"/>
    </xf>
    <xf numFmtId="168" fontId="0" fillId="0" borderId="2" xfId="0" applyNumberFormat="1" applyBorder="1" applyAlignment="1">
      <alignment horizontal="right"/>
    </xf>
    <xf numFmtId="9" fontId="6" fillId="5" borderId="17" xfId="1" applyNumberFormat="1" applyFont="1" applyFill="1" applyBorder="1"/>
    <xf numFmtId="0" fontId="1" fillId="4" borderId="2" xfId="0" applyFont="1" applyFill="1" applyBorder="1" applyAlignment="1">
      <alignment horizontal="center"/>
    </xf>
    <xf numFmtId="0" fontId="0" fillId="0" borderId="34" xfId="0" applyBorder="1"/>
    <xf numFmtId="0" fontId="0" fillId="0" borderId="33" xfId="0" applyBorder="1"/>
    <xf numFmtId="0" fontId="0" fillId="2" borderId="34" xfId="0" applyFill="1" applyBorder="1"/>
    <xf numFmtId="0" fontId="0" fillId="2" borderId="33" xfId="0" applyFill="1" applyBorder="1"/>
    <xf numFmtId="0" fontId="0" fillId="0" borderId="35" xfId="0" applyBorder="1"/>
    <xf numFmtId="0" fontId="0" fillId="0" borderId="38" xfId="0" applyBorder="1"/>
    <xf numFmtId="0" fontId="0" fillId="0" borderId="39" xfId="0" applyBorder="1"/>
    <xf numFmtId="0" fontId="0" fillId="0" borderId="36" xfId="0" applyBorder="1"/>
    <xf numFmtId="0" fontId="0" fillId="0" borderId="40" xfId="0" applyBorder="1"/>
    <xf numFmtId="0" fontId="0" fillId="0" borderId="41" xfId="0" applyBorder="1"/>
    <xf numFmtId="0" fontId="0" fillId="0" borderId="37" xfId="0" applyBorder="1"/>
    <xf numFmtId="0" fontId="0" fillId="0" borderId="42" xfId="0" applyBorder="1"/>
    <xf numFmtId="0" fontId="0" fillId="0" borderId="24" xfId="0" applyBorder="1"/>
    <xf numFmtId="0" fontId="0" fillId="0" borderId="43" xfId="0" applyBorder="1"/>
    <xf numFmtId="0" fontId="0" fillId="0" borderId="44" xfId="0" applyBorder="1"/>
    <xf numFmtId="0" fontId="6" fillId="5" borderId="30" xfId="0" applyFont="1" applyFill="1" applyBorder="1"/>
    <xf numFmtId="0" fontId="6" fillId="5" borderId="32" xfId="0" applyFont="1" applyFill="1" applyBorder="1"/>
    <xf numFmtId="164" fontId="6" fillId="5" borderId="30" xfId="0" applyNumberFormat="1" applyFont="1" applyFill="1" applyBorder="1"/>
    <xf numFmtId="164" fontId="6" fillId="5" borderId="31" xfId="0" applyNumberFormat="1" applyFont="1" applyFill="1" applyBorder="1"/>
    <xf numFmtId="164" fontId="6" fillId="5" borderId="32" xfId="0" applyNumberFormat="1" applyFont="1" applyFill="1" applyBorder="1"/>
    <xf numFmtId="164" fontId="0" fillId="0" borderId="30" xfId="0" applyNumberFormat="1" applyBorder="1"/>
    <xf numFmtId="164" fontId="0" fillId="0" borderId="2" xfId="0" applyNumberFormat="1" applyBorder="1"/>
    <xf numFmtId="14" fontId="4" fillId="2" borderId="24" xfId="0" applyNumberFormat="1" applyFont="1" applyFill="1" applyBorder="1"/>
    <xf numFmtId="0" fontId="0" fillId="2" borderId="25" xfId="0" applyFill="1" applyBorder="1"/>
    <xf numFmtId="0" fontId="0" fillId="2" borderId="26" xfId="0" applyFill="1" applyBorder="1"/>
    <xf numFmtId="0" fontId="5" fillId="0" borderId="45" xfId="0" applyFont="1" applyBorder="1" applyAlignment="1">
      <alignment horizontal="center"/>
    </xf>
    <xf numFmtId="0" fontId="5" fillId="0" borderId="27" xfId="0" applyFont="1" applyBorder="1" applyAlignment="1">
      <alignment horizontal="center"/>
    </xf>
    <xf numFmtId="0" fontId="1" fillId="6" borderId="1" xfId="0" applyFont="1" applyFill="1" applyBorder="1"/>
    <xf numFmtId="0" fontId="1" fillId="6" borderId="34" xfId="0" applyFont="1" applyFill="1" applyBorder="1"/>
    <xf numFmtId="0" fontId="1" fillId="6" borderId="33" xfId="0" applyFont="1" applyFill="1" applyBorder="1"/>
    <xf numFmtId="0" fontId="0" fillId="0" borderId="38" xfId="0" applyBorder="1" applyAlignment="1">
      <alignment horizontal="left"/>
    </xf>
    <xf numFmtId="0" fontId="6" fillId="5" borderId="36" xfId="0" applyFont="1" applyFill="1" applyBorder="1"/>
    <xf numFmtId="0" fontId="0" fillId="0" borderId="46" xfId="0" applyBorder="1" applyAlignment="1">
      <alignment horizontal="left"/>
    </xf>
    <xf numFmtId="0" fontId="0" fillId="0" borderId="25" xfId="0" applyBorder="1"/>
    <xf numFmtId="2" fontId="6" fillId="5" borderId="47" xfId="0" applyNumberFormat="1" applyFont="1" applyFill="1" applyBorder="1"/>
    <xf numFmtId="0" fontId="6" fillId="5" borderId="47" xfId="0" applyFont="1" applyFill="1" applyBorder="1"/>
    <xf numFmtId="164" fontId="6" fillId="5" borderId="47" xfId="0" applyNumberFormat="1" applyFont="1" applyFill="1" applyBorder="1"/>
    <xf numFmtId="0" fontId="0" fillId="0" borderId="40" xfId="0" applyBorder="1" applyAlignment="1">
      <alignment horizontal="left"/>
    </xf>
    <xf numFmtId="0" fontId="6" fillId="5" borderId="37" xfId="0" applyFont="1" applyFill="1" applyBorder="1"/>
    <xf numFmtId="0" fontId="1" fillId="0" borderId="1" xfId="0" applyFont="1" applyBorder="1"/>
    <xf numFmtId="0" fontId="1" fillId="0" borderId="33" xfId="0" applyFont="1" applyBorder="1"/>
    <xf numFmtId="164" fontId="0" fillId="8" borderId="3" xfId="0" applyNumberFormat="1" applyFill="1" applyBorder="1"/>
    <xf numFmtId="0" fontId="0" fillId="0" borderId="3" xfId="0" applyBorder="1" applyAlignment="1">
      <alignment horizontal="center"/>
    </xf>
    <xf numFmtId="0" fontId="1" fillId="4" borderId="1" xfId="0" applyFont="1" applyFill="1" applyBorder="1"/>
    <xf numFmtId="0" fontId="0" fillId="4" borderId="34" xfId="0" applyFill="1" applyBorder="1"/>
    <xf numFmtId="0" fontId="0" fillId="4" borderId="33" xfId="0" applyFill="1" applyBorder="1"/>
    <xf numFmtId="0" fontId="0" fillId="7" borderId="11" xfId="0" applyFill="1" applyBorder="1" applyAlignment="1">
      <alignment horizontal="center"/>
    </xf>
    <xf numFmtId="0" fontId="0" fillId="7" borderId="12" xfId="0" applyFill="1" applyBorder="1" applyAlignment="1">
      <alignment horizontal="center"/>
    </xf>
    <xf numFmtId="164" fontId="0" fillId="8" borderId="16" xfId="0" applyNumberFormat="1" applyFill="1" applyBorder="1"/>
    <xf numFmtId="0" fontId="0" fillId="0" borderId="1" xfId="0" applyBorder="1"/>
    <xf numFmtId="164" fontId="0" fillId="0" borderId="3" xfId="0" applyNumberFormat="1" applyFont="1" applyBorder="1" applyAlignment="1">
      <alignment horizontal="center"/>
    </xf>
    <xf numFmtId="0" fontId="0" fillId="0" borderId="10"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2" fillId="6" borderId="5" xfId="0" applyFont="1" applyFill="1" applyBorder="1" applyAlignment="1">
      <alignment horizontal="center"/>
    </xf>
    <xf numFmtId="0" fontId="5" fillId="2" borderId="5" xfId="0" applyFont="1" applyFill="1" applyBorder="1"/>
    <xf numFmtId="9" fontId="0" fillId="0" borderId="17" xfId="0" applyNumberFormat="1" applyFont="1" applyFill="1" applyBorder="1"/>
    <xf numFmtId="3" fontId="0" fillId="0" borderId="3" xfId="0" applyNumberFormat="1" applyFont="1" applyBorder="1"/>
    <xf numFmtId="9" fontId="0" fillId="0" borderId="3" xfId="1" applyFont="1" applyBorder="1"/>
    <xf numFmtId="3" fontId="6" fillId="5" borderId="11" xfId="0" applyNumberFormat="1" applyFont="1" applyFill="1" applyBorder="1"/>
    <xf numFmtId="3" fontId="6" fillId="5" borderId="12" xfId="0" applyNumberFormat="1" applyFont="1" applyFill="1" applyBorder="1"/>
    <xf numFmtId="3" fontId="6" fillId="5" borderId="3" xfId="0" applyNumberFormat="1" applyFont="1" applyFill="1" applyBorder="1"/>
    <xf numFmtId="3" fontId="6" fillId="5" borderId="14" xfId="0" applyNumberFormat="1" applyFont="1" applyFill="1" applyBorder="1"/>
    <xf numFmtId="3" fontId="6" fillId="5" borderId="16" xfId="0" applyNumberFormat="1" applyFont="1" applyFill="1" applyBorder="1"/>
    <xf numFmtId="3" fontId="6" fillId="5" borderId="17" xfId="0" applyNumberFormat="1" applyFont="1" applyFill="1" applyBorder="1"/>
    <xf numFmtId="3" fontId="6" fillId="5" borderId="19" xfId="0" applyNumberFormat="1" applyFont="1" applyFill="1" applyBorder="1"/>
    <xf numFmtId="0" fontId="0" fillId="0" borderId="10" xfId="0" applyFont="1" applyBorder="1"/>
    <xf numFmtId="0" fontId="0" fillId="0" borderId="15" xfId="0" applyFont="1" applyBorder="1"/>
    <xf numFmtId="0" fontId="1" fillId="2" borderId="34" xfId="0" applyFont="1" applyFill="1" applyBorder="1"/>
    <xf numFmtId="0" fontId="1" fillId="2" borderId="33" xfId="0" applyFont="1" applyFill="1" applyBorder="1"/>
    <xf numFmtId="0" fontId="0" fillId="0" borderId="48" xfId="0" applyBorder="1"/>
    <xf numFmtId="0" fontId="0" fillId="0" borderId="3" xfId="0" applyBorder="1" applyAlignment="1">
      <alignment horizontal="left"/>
    </xf>
    <xf numFmtId="0" fontId="0" fillId="0" borderId="16" xfId="0" applyBorder="1" applyAlignment="1">
      <alignment horizontal="left"/>
    </xf>
    <xf numFmtId="0" fontId="2" fillId="0" borderId="0" xfId="0" applyFont="1" applyFill="1" applyBorder="1"/>
    <xf numFmtId="0" fontId="0" fillId="0" borderId="49" xfId="0" applyBorder="1"/>
    <xf numFmtId="0" fontId="0" fillId="0" borderId="27" xfId="0" applyBorder="1" applyAlignment="1">
      <alignment horizontal="left"/>
    </xf>
    <xf numFmtId="3" fontId="6" fillId="5" borderId="50" xfId="0" applyNumberFormat="1" applyFont="1" applyFill="1" applyBorder="1"/>
    <xf numFmtId="3" fontId="0" fillId="0" borderId="14" xfId="0" applyNumberFormat="1" applyFont="1" applyFill="1" applyBorder="1"/>
    <xf numFmtId="166" fontId="6" fillId="5" borderId="12" xfId="0" applyNumberFormat="1" applyFont="1" applyFill="1" applyBorder="1"/>
    <xf numFmtId="166" fontId="6" fillId="5" borderId="14" xfId="0" applyNumberFormat="1" applyFont="1" applyFill="1" applyBorder="1"/>
    <xf numFmtId="166" fontId="6" fillId="5" borderId="17" xfId="0" applyNumberFormat="1" applyFont="1" applyFill="1" applyBorder="1"/>
    <xf numFmtId="166" fontId="6" fillId="5" borderId="20" xfId="0" applyNumberFormat="1" applyFont="1" applyFill="1" applyBorder="1"/>
    <xf numFmtId="3" fontId="6" fillId="5" borderId="51" xfId="0" applyNumberFormat="1" applyFont="1" applyFill="1" applyBorder="1"/>
    <xf numFmtId="0" fontId="0" fillId="0" borderId="52" xfId="0" applyBorder="1"/>
    <xf numFmtId="0" fontId="0" fillId="0" borderId="53" xfId="0" applyBorder="1"/>
    <xf numFmtId="3" fontId="6" fillId="5" borderId="48" xfId="0" applyNumberFormat="1" applyFont="1" applyFill="1" applyBorder="1"/>
    <xf numFmtId="3" fontId="6" fillId="0" borderId="0" xfId="0" applyNumberFormat="1" applyFont="1" applyFill="1" applyBorder="1"/>
    <xf numFmtId="3" fontId="1" fillId="0" borderId="0" xfId="0" applyNumberFormat="1" applyFont="1"/>
    <xf numFmtId="0" fontId="0" fillId="6" borderId="34" xfId="0" applyFill="1" applyBorder="1"/>
    <xf numFmtId="0" fontId="2" fillId="6" borderId="33" xfId="0" applyFont="1" applyFill="1" applyBorder="1" applyAlignment="1">
      <alignment horizontal="right"/>
    </xf>
    <xf numFmtId="3" fontId="3" fillId="0" borderId="30" xfId="1" applyNumberFormat="1" applyFont="1" applyBorder="1"/>
    <xf numFmtId="3" fontId="3" fillId="0" borderId="12" xfId="1" applyNumberFormat="1" applyFont="1" applyBorder="1"/>
    <xf numFmtId="3" fontId="3" fillId="0" borderId="31" xfId="1" applyNumberFormat="1" applyFont="1" applyBorder="1"/>
    <xf numFmtId="3" fontId="3" fillId="0" borderId="14" xfId="1" applyNumberFormat="1" applyFont="1" applyBorder="1"/>
    <xf numFmtId="3" fontId="3" fillId="0" borderId="32" xfId="1" applyNumberFormat="1" applyFont="1" applyBorder="1"/>
    <xf numFmtId="3" fontId="3" fillId="0" borderId="17" xfId="1" applyNumberFormat="1" applyFont="1" applyBorder="1"/>
    <xf numFmtId="165" fontId="3" fillId="0" borderId="12" xfId="1" applyNumberFormat="1" applyFont="1" applyBorder="1"/>
    <xf numFmtId="165" fontId="3" fillId="0" borderId="14" xfId="1" applyNumberFormat="1" applyFont="1" applyBorder="1"/>
    <xf numFmtId="165" fontId="3" fillId="0" borderId="17" xfId="1" applyNumberFormat="1" applyFont="1" applyBorder="1"/>
    <xf numFmtId="9" fontId="3" fillId="0" borderId="3" xfId="1" applyFont="1" applyBorder="1"/>
    <xf numFmtId="165" fontId="0" fillId="0" borderId="0" xfId="1" applyNumberFormat="1" applyFont="1"/>
    <xf numFmtId="9" fontId="3" fillId="0" borderId="30" xfId="1" applyFont="1" applyBorder="1" applyAlignment="1"/>
    <xf numFmtId="9" fontId="3" fillId="0" borderId="32" xfId="1" applyFont="1" applyBorder="1" applyAlignment="1"/>
    <xf numFmtId="0" fontId="1" fillId="2" borderId="24" xfId="0" applyFont="1" applyFill="1" applyBorder="1"/>
    <xf numFmtId="3" fontId="0" fillId="0" borderId="10" xfId="0" applyNumberFormat="1" applyFont="1" applyBorder="1"/>
    <xf numFmtId="3" fontId="0" fillId="0" borderId="13" xfId="0" applyNumberFormat="1" applyFont="1" applyBorder="1"/>
    <xf numFmtId="3" fontId="0" fillId="0" borderId="15" xfId="0" applyNumberFormat="1" applyFont="1" applyBorder="1"/>
    <xf numFmtId="0" fontId="1" fillId="9" borderId="1" xfId="0" applyFont="1" applyFill="1" applyBorder="1"/>
    <xf numFmtId="0" fontId="0" fillId="9" borderId="34" xfId="0" applyFill="1" applyBorder="1"/>
    <xf numFmtId="0" fontId="0" fillId="9" borderId="33" xfId="0" applyFill="1" applyBorder="1"/>
    <xf numFmtId="0" fontId="2" fillId="10" borderId="1" xfId="0" applyFont="1" applyFill="1" applyBorder="1"/>
    <xf numFmtId="0" fontId="0" fillId="10" borderId="34" xfId="0" applyFill="1" applyBorder="1"/>
    <xf numFmtId="0" fontId="0" fillId="10" borderId="33" xfId="0" applyFill="1" applyBorder="1"/>
    <xf numFmtId="0" fontId="1" fillId="6" borderId="4" xfId="0" applyFont="1" applyFill="1" applyBorder="1" applyAlignment="1">
      <alignment horizontal="left"/>
    </xf>
    <xf numFmtId="0" fontId="0" fillId="0" borderId="13" xfId="0" applyBorder="1" applyAlignment="1">
      <alignment horizontal="left"/>
    </xf>
    <xf numFmtId="3" fontId="0" fillId="0" borderId="24" xfId="0" applyNumberFormat="1" applyBorder="1"/>
    <xf numFmtId="0" fontId="0" fillId="0" borderId="54" xfId="0" applyBorder="1" applyAlignment="1">
      <alignment horizontal="left"/>
    </xf>
    <xf numFmtId="3" fontId="0" fillId="0" borderId="55" xfId="0" applyNumberFormat="1" applyBorder="1"/>
    <xf numFmtId="3" fontId="0" fillId="0" borderId="56" xfId="0" applyNumberFormat="1" applyBorder="1"/>
    <xf numFmtId="3" fontId="0" fillId="0" borderId="57" xfId="0" applyNumberFormat="1" applyBorder="1"/>
    <xf numFmtId="0" fontId="1" fillId="0" borderId="18" xfId="0" applyFont="1" applyFill="1" applyBorder="1" applyAlignment="1">
      <alignment horizontal="left"/>
    </xf>
    <xf numFmtId="3" fontId="1" fillId="0" borderId="19" xfId="0" applyNumberFormat="1" applyFont="1" applyBorder="1"/>
    <xf numFmtId="3" fontId="1" fillId="0" borderId="20" xfId="0" applyNumberFormat="1" applyFont="1" applyBorder="1"/>
    <xf numFmtId="0" fontId="1" fillId="0" borderId="3" xfId="0" applyFont="1" applyFill="1" applyBorder="1" applyAlignment="1">
      <alignment horizontal="left"/>
    </xf>
    <xf numFmtId="168" fontId="0" fillId="0" borderId="3" xfId="0" applyNumberFormat="1" applyBorder="1"/>
    <xf numFmtId="164" fontId="0" fillId="0" borderId="3" xfId="0" applyNumberFormat="1" applyBorder="1"/>
    <xf numFmtId="0" fontId="1" fillId="0" borderId="3" xfId="0" applyFont="1" applyBorder="1"/>
    <xf numFmtId="0" fontId="1" fillId="6" borderId="3" xfId="0" applyFont="1" applyFill="1" applyBorder="1"/>
    <xf numFmtId="0" fontId="1" fillId="6" borderId="1" xfId="0" applyFont="1" applyFill="1" applyBorder="1" applyAlignment="1">
      <alignment horizontal="left"/>
    </xf>
    <xf numFmtId="0" fontId="0" fillId="6" borderId="33" xfId="0" applyFill="1" applyBorder="1"/>
    <xf numFmtId="3" fontId="0" fillId="0" borderId="39" xfId="0" applyNumberFormat="1" applyBorder="1"/>
    <xf numFmtId="3" fontId="0" fillId="0" borderId="58" xfId="0" applyNumberFormat="1" applyBorder="1"/>
    <xf numFmtId="3" fontId="0" fillId="0" borderId="25" xfId="0" applyNumberFormat="1" applyBorder="1"/>
    <xf numFmtId="3" fontId="0" fillId="0" borderId="26" xfId="0" applyNumberFormat="1" applyBorder="1"/>
    <xf numFmtId="0" fontId="1" fillId="0" borderId="1" xfId="0" applyFont="1" applyFill="1" applyBorder="1" applyAlignment="1">
      <alignment horizontal="left"/>
    </xf>
    <xf numFmtId="3" fontId="1" fillId="0" borderId="34" xfId="0" applyNumberFormat="1" applyFont="1" applyBorder="1"/>
    <xf numFmtId="3" fontId="1" fillId="0" borderId="59" xfId="0" applyNumberFormat="1" applyFont="1" applyBorder="1"/>
    <xf numFmtId="0" fontId="2" fillId="10" borderId="33" xfId="0" applyFont="1" applyFill="1" applyBorder="1" applyAlignment="1">
      <alignment horizontal="center"/>
    </xf>
    <xf numFmtId="9" fontId="1" fillId="0" borderId="19" xfId="1" applyFont="1" applyBorder="1"/>
    <xf numFmtId="3" fontId="0" fillId="0" borderId="41" xfId="0" applyNumberFormat="1" applyBorder="1"/>
    <xf numFmtId="3" fontId="0" fillId="0" borderId="60" xfId="0" applyNumberFormat="1" applyBorder="1"/>
    <xf numFmtId="165" fontId="0" fillId="0" borderId="14" xfId="1" applyNumberFormat="1" applyFont="1" applyBorder="1"/>
    <xf numFmtId="0" fontId="0" fillId="0" borderId="51" xfId="0" applyBorder="1"/>
    <xf numFmtId="0" fontId="1" fillId="6" borderId="33" xfId="0" applyFont="1" applyFill="1" applyBorder="1" applyAlignment="1">
      <alignment horizontal="center"/>
    </xf>
    <xf numFmtId="9" fontId="3" fillId="0" borderId="37" xfId="1" applyNumberFormat="1" applyFont="1" applyFill="1" applyBorder="1"/>
    <xf numFmtId="9" fontId="3" fillId="0" borderId="36" xfId="1" applyNumberFormat="1" applyFont="1" applyFill="1" applyBorder="1"/>
    <xf numFmtId="9" fontId="3" fillId="0" borderId="51" xfId="1" applyNumberFormat="1" applyFont="1" applyFill="1" applyBorder="1"/>
    <xf numFmtId="0" fontId="0" fillId="0" borderId="0" xfId="0" applyFont="1" applyBorder="1"/>
    <xf numFmtId="9" fontId="0" fillId="0" borderId="0" xfId="0" applyNumberFormat="1" applyFont="1" applyFill="1" applyBorder="1"/>
    <xf numFmtId="9" fontId="0" fillId="0" borderId="12" xfId="1" applyFont="1" applyFill="1" applyBorder="1"/>
    <xf numFmtId="9" fontId="6" fillId="5" borderId="61" xfId="1" applyNumberFormat="1" applyFont="1" applyFill="1" applyBorder="1"/>
    <xf numFmtId="9" fontId="3" fillId="0" borderId="31" xfId="1" applyFont="1" applyBorder="1" applyAlignment="1"/>
    <xf numFmtId="9" fontId="3" fillId="0" borderId="2" xfId="1" applyFont="1" applyBorder="1" applyAlignment="1"/>
    <xf numFmtId="168" fontId="0" fillId="0" borderId="12" xfId="0" applyNumberFormat="1" applyBorder="1"/>
    <xf numFmtId="168" fontId="0" fillId="0" borderId="14" xfId="0" applyNumberFormat="1" applyBorder="1"/>
    <xf numFmtId="168" fontId="0" fillId="0" borderId="17" xfId="0" applyNumberFormat="1" applyBorder="1"/>
    <xf numFmtId="165" fontId="7" fillId="0" borderId="0" xfId="1" applyNumberFormat="1" applyFont="1"/>
    <xf numFmtId="0" fontId="7" fillId="0" borderId="0" xfId="0" applyFont="1"/>
    <xf numFmtId="9" fontId="0" fillId="0" borderId="0" xfId="1" applyFont="1"/>
    <xf numFmtId="9" fontId="1" fillId="0" borderId="0" xfId="1" applyFont="1"/>
    <xf numFmtId="10" fontId="0" fillId="0" borderId="0" xfId="1" applyNumberFormat="1" applyFont="1"/>
    <xf numFmtId="49" fontId="1" fillId="6" borderId="28" xfId="0" applyNumberFormat="1" applyFont="1" applyFill="1" applyBorder="1" applyAlignment="1">
      <alignment horizontal="center"/>
    </xf>
    <xf numFmtId="49" fontId="1" fillId="6" borderId="29" xfId="0" applyNumberFormat="1" applyFont="1" applyFill="1" applyBorder="1" applyAlignment="1">
      <alignment horizontal="center"/>
    </xf>
    <xf numFmtId="3" fontId="0" fillId="0" borderId="17" xfId="0" applyNumberFormat="1" applyFont="1" applyFill="1" applyBorder="1"/>
    <xf numFmtId="3" fontId="0" fillId="0" borderId="20" xfId="0" applyNumberFormat="1" applyFont="1" applyFill="1" applyBorder="1"/>
    <xf numFmtId="3" fontId="0" fillId="0" borderId="0" xfId="0" applyNumberFormat="1"/>
    <xf numFmtId="1" fontId="6" fillId="5" borderId="12" xfId="1" applyNumberFormat="1" applyFont="1" applyFill="1" applyBorder="1"/>
    <xf numFmtId="1" fontId="6" fillId="5" borderId="61" xfId="1" applyNumberFormat="1" applyFont="1" applyFill="1" applyBorder="1"/>
    <xf numFmtId="1" fontId="6" fillId="5" borderId="17" xfId="1" applyNumberFormat="1" applyFont="1" applyFill="1" applyBorder="1"/>
    <xf numFmtId="1" fontId="0" fillId="0" borderId="42" xfId="0" applyNumberFormat="1" applyBorder="1" applyAlignment="1"/>
    <xf numFmtId="0" fontId="0" fillId="0" borderId="24" xfId="0" applyBorder="1" applyAlignment="1"/>
    <xf numFmtId="0" fontId="0" fillId="0" borderId="43" xfId="0" applyBorder="1" applyAlignment="1"/>
    <xf numFmtId="0" fontId="0" fillId="0" borderId="42" xfId="0" applyBorder="1" applyAlignment="1"/>
    <xf numFmtId="0" fontId="0" fillId="0" borderId="44" xfId="0" applyBorder="1" applyAlignment="1"/>
    <xf numFmtId="1" fontId="0" fillId="0" borderId="43" xfId="0" applyNumberFormat="1" applyBorder="1" applyAlignment="1"/>
    <xf numFmtId="0" fontId="2" fillId="3" borderId="1" xfId="0" applyFont="1" applyFill="1" applyBorder="1"/>
    <xf numFmtId="0" fontId="0" fillId="3" borderId="33" xfId="0" applyFill="1" applyBorder="1"/>
    <xf numFmtId="168" fontId="0" fillId="0" borderId="11" xfId="0" applyNumberFormat="1" applyBorder="1"/>
    <xf numFmtId="168" fontId="0" fillId="0" borderId="16" xfId="0" applyNumberFormat="1" applyBorder="1"/>
    <xf numFmtId="0" fontId="7" fillId="0" borderId="0" xfId="0" applyFont="1" applyAlignment="1">
      <alignment horizontal="center"/>
    </xf>
    <xf numFmtId="2" fontId="7" fillId="0" borderId="0" xfId="0" applyNumberFormat="1" applyFont="1"/>
    <xf numFmtId="9" fontId="0" fillId="0" borderId="12" xfId="1" applyNumberFormat="1" applyFont="1" applyBorder="1"/>
    <xf numFmtId="9" fontId="0" fillId="0" borderId="17" xfId="1" applyNumberFormat="1" applyFont="1" applyBorder="1"/>
    <xf numFmtId="0" fontId="0" fillId="3" borderId="1" xfId="0" applyFill="1" applyBorder="1"/>
    <xf numFmtId="0" fontId="0" fillId="3" borderId="34" xfId="0" applyFill="1" applyBorder="1"/>
    <xf numFmtId="0" fontId="1" fillId="3" borderId="19" xfId="0" applyFont="1" applyFill="1" applyBorder="1" applyAlignment="1">
      <alignment horizontal="center"/>
    </xf>
    <xf numFmtId="0" fontId="1" fillId="3" borderId="20" xfId="0" applyFont="1" applyFill="1" applyBorder="1" applyAlignment="1">
      <alignment horizontal="center"/>
    </xf>
    <xf numFmtId="0" fontId="1" fillId="6" borderId="4" xfId="0" applyFont="1" applyFill="1" applyBorder="1"/>
    <xf numFmtId="0" fontId="0" fillId="6" borderId="9" xfId="0" applyFill="1" applyBorder="1"/>
    <xf numFmtId="0" fontId="0" fillId="6" borderId="8" xfId="0" applyFill="1" applyBorder="1"/>
    <xf numFmtId="0" fontId="0" fillId="10" borderId="4" xfId="0" applyFill="1" applyBorder="1"/>
    <xf numFmtId="0" fontId="0" fillId="10" borderId="9" xfId="0" applyFill="1" applyBorder="1"/>
    <xf numFmtId="0" fontId="1" fillId="10" borderId="35" xfId="0" applyFont="1" applyFill="1" applyBorder="1"/>
    <xf numFmtId="0" fontId="1" fillId="10" borderId="0" xfId="0" applyFont="1" applyFill="1" applyBorder="1"/>
    <xf numFmtId="0" fontId="0" fillId="10" borderId="8" xfId="0" applyFill="1" applyBorder="1"/>
    <xf numFmtId="0" fontId="6" fillId="0" borderId="0" xfId="0" applyFont="1"/>
    <xf numFmtId="166" fontId="0" fillId="0" borderId="3" xfId="0" applyNumberFormat="1" applyBorder="1" applyAlignment="1">
      <alignment horizontal="center"/>
    </xf>
    <xf numFmtId="166" fontId="0" fillId="0" borderId="14" xfId="0" applyNumberFormat="1" applyBorder="1" applyAlignment="1">
      <alignment horizontal="center"/>
    </xf>
    <xf numFmtId="166" fontId="0" fillId="0" borderId="16" xfId="0" applyNumberFormat="1" applyBorder="1" applyAlignment="1">
      <alignment horizontal="center"/>
    </xf>
    <xf numFmtId="168" fontId="0" fillId="0" borderId="16" xfId="0" applyNumberFormat="1" applyBorder="1" applyAlignment="1">
      <alignment horizontal="center"/>
    </xf>
    <xf numFmtId="2" fontId="0" fillId="0" borderId="16" xfId="0" applyNumberFormat="1" applyBorder="1" applyAlignment="1">
      <alignment horizontal="center"/>
    </xf>
    <xf numFmtId="2" fontId="0" fillId="0" borderId="3" xfId="0" applyNumberFormat="1" applyBorder="1" applyAlignment="1">
      <alignment horizontal="center"/>
    </xf>
    <xf numFmtId="2" fontId="0" fillId="0" borderId="14" xfId="0" applyNumberFormat="1" applyBorder="1" applyAlignment="1">
      <alignment horizontal="center"/>
    </xf>
    <xf numFmtId="2" fontId="0" fillId="0" borderId="17" xfId="0" applyNumberFormat="1" applyBorder="1" applyAlignment="1">
      <alignment horizontal="center"/>
    </xf>
    <xf numFmtId="165" fontId="0" fillId="0" borderId="3" xfId="1" applyNumberFormat="1" applyFont="1" applyBorder="1" applyAlignment="1">
      <alignment horizontal="center"/>
    </xf>
    <xf numFmtId="165" fontId="0" fillId="0" borderId="14" xfId="1" applyNumberFormat="1" applyFont="1" applyBorder="1" applyAlignment="1">
      <alignment horizontal="center"/>
    </xf>
    <xf numFmtId="165" fontId="0" fillId="0" borderId="16" xfId="1" applyNumberFormat="1" applyFont="1" applyBorder="1" applyAlignment="1">
      <alignment horizontal="center"/>
    </xf>
    <xf numFmtId="165" fontId="0" fillId="0" borderId="17" xfId="1" applyNumberFormat="1" applyFont="1" applyBorder="1" applyAlignment="1">
      <alignment horizontal="center"/>
    </xf>
    <xf numFmtId="166" fontId="0" fillId="0" borderId="17" xfId="0" applyNumberFormat="1" applyBorder="1" applyAlignment="1">
      <alignment horizontal="center"/>
    </xf>
    <xf numFmtId="168" fontId="0" fillId="0" borderId="17" xfId="0" applyNumberFormat="1" applyBorder="1" applyAlignment="1">
      <alignment horizontal="center"/>
    </xf>
    <xf numFmtId="10" fontId="7" fillId="0" borderId="0" xfId="1" applyNumberFormat="1" applyFont="1"/>
    <xf numFmtId="0" fontId="8" fillId="0" borderId="0" xfId="0" applyFont="1"/>
    <xf numFmtId="169" fontId="1" fillId="0" borderId="3" xfId="1" applyNumberFormat="1" applyFont="1" applyBorder="1" applyAlignment="1">
      <alignment horizontal="center"/>
    </xf>
    <xf numFmtId="169" fontId="1" fillId="0" borderId="14" xfId="1" applyNumberFormat="1" applyFont="1" applyBorder="1" applyAlignment="1">
      <alignment horizontal="center"/>
    </xf>
    <xf numFmtId="0" fontId="0" fillId="10" borderId="52" xfId="0" applyFont="1" applyFill="1" applyBorder="1" applyAlignment="1">
      <alignment horizontal="left" indent="3"/>
    </xf>
    <xf numFmtId="0" fontId="0" fillId="10" borderId="53" xfId="0" applyFont="1" applyFill="1" applyBorder="1"/>
    <xf numFmtId="0" fontId="0" fillId="10" borderId="53" xfId="0" applyFont="1" applyFill="1" applyBorder="1" applyAlignment="1">
      <alignment horizontal="center"/>
    </xf>
    <xf numFmtId="0" fontId="0" fillId="10" borderId="48" xfId="0" applyFont="1" applyFill="1" applyBorder="1" applyAlignment="1">
      <alignment horizontal="center"/>
    </xf>
    <xf numFmtId="2" fontId="0" fillId="0" borderId="3" xfId="1" applyNumberFormat="1" applyFont="1" applyBorder="1" applyAlignment="1">
      <alignment horizontal="center"/>
    </xf>
    <xf numFmtId="2" fontId="0" fillId="0" borderId="14" xfId="1" applyNumberFormat="1" applyFont="1" applyBorder="1" applyAlignment="1">
      <alignment horizontal="center"/>
    </xf>
    <xf numFmtId="2" fontId="0" fillId="0" borderId="16" xfId="1" applyNumberFormat="1" applyFont="1" applyBorder="1" applyAlignment="1">
      <alignment horizontal="center"/>
    </xf>
    <xf numFmtId="2" fontId="0" fillId="0" borderId="17" xfId="1" applyNumberFormat="1" applyFont="1" applyBorder="1" applyAlignment="1">
      <alignment horizontal="center"/>
    </xf>
    <xf numFmtId="0" fontId="1" fillId="6" borderId="18" xfId="0" applyFont="1" applyFill="1" applyBorder="1"/>
    <xf numFmtId="0" fontId="0" fillId="0" borderId="43" xfId="0" applyFill="1" applyBorder="1" applyAlignment="1">
      <alignment horizontal="center" vertical="center" wrapText="1"/>
    </xf>
    <xf numFmtId="0" fontId="0" fillId="0" borderId="21" xfId="0" applyBorder="1" applyAlignment="1">
      <alignment horizontal="left" vertical="top" indent="1"/>
    </xf>
    <xf numFmtId="0" fontId="0" fillId="0" borderId="42" xfId="0" applyBorder="1" applyAlignment="1">
      <alignment horizontal="center" vertical="center" wrapText="1"/>
    </xf>
    <xf numFmtId="0" fontId="0" fillId="0" borderId="23" xfId="0" applyBorder="1" applyAlignment="1">
      <alignment horizontal="left" vertical="top" indent="1"/>
    </xf>
    <xf numFmtId="0" fontId="0" fillId="0" borderId="43" xfId="0" applyBorder="1" applyAlignment="1">
      <alignment horizontal="center" vertical="center" wrapText="1"/>
    </xf>
    <xf numFmtId="0" fontId="0" fillId="0" borderId="18" xfId="0" applyBorder="1" applyAlignment="1">
      <alignment horizontal="left" vertical="top" indent="1"/>
    </xf>
    <xf numFmtId="3" fontId="0" fillId="0" borderId="33" xfId="0" applyNumberFormat="1" applyBorder="1" applyAlignment="1">
      <alignment horizontal="center" vertical="center"/>
    </xf>
    <xf numFmtId="9" fontId="0" fillId="0" borderId="36" xfId="0" applyNumberFormat="1" applyBorder="1" applyAlignment="1">
      <alignment horizontal="center" vertical="center"/>
    </xf>
    <xf numFmtId="9" fontId="0" fillId="0" borderId="37" xfId="0" applyNumberFormat="1" applyBorder="1" applyAlignment="1">
      <alignment horizontal="center" vertical="center"/>
    </xf>
    <xf numFmtId="9" fontId="0" fillId="0" borderId="36" xfId="0" applyNumberFormat="1" applyBorder="1" applyAlignment="1">
      <alignment horizontal="center" vertical="center" wrapText="1"/>
    </xf>
    <xf numFmtId="9" fontId="0" fillId="0" borderId="37" xfId="0" applyNumberFormat="1" applyBorder="1" applyAlignment="1">
      <alignment horizontal="center" vertical="center" wrapText="1"/>
    </xf>
    <xf numFmtId="10" fontId="0" fillId="0" borderId="36" xfId="1" applyNumberFormat="1" applyFont="1" applyBorder="1" applyAlignment="1">
      <alignment horizontal="center" vertical="center" wrapText="1"/>
    </xf>
    <xf numFmtId="10" fontId="0" fillId="0" borderId="37" xfId="1" applyNumberFormat="1" applyFont="1" applyBorder="1" applyAlignment="1">
      <alignment horizontal="center" vertical="center"/>
    </xf>
    <xf numFmtId="0" fontId="0" fillId="0" borderId="62" xfId="0" applyBorder="1" applyAlignment="1">
      <alignment horizontal="left" vertical="top" indent="1"/>
    </xf>
    <xf numFmtId="0" fontId="0" fillId="0" borderId="63" xfId="0" applyBorder="1" applyAlignment="1">
      <alignment horizontal="left" vertical="top" indent="1"/>
    </xf>
    <xf numFmtId="0" fontId="0" fillId="0" borderId="44" xfId="0" applyBorder="1" applyAlignment="1">
      <alignment horizontal="left" vertical="top" indent="1"/>
    </xf>
    <xf numFmtId="0" fontId="0" fillId="0" borderId="44" xfId="0" applyBorder="1" applyAlignment="1">
      <alignment horizontal="left" vertical="top" wrapText="1" indent="1"/>
    </xf>
    <xf numFmtId="0" fontId="0" fillId="0" borderId="59" xfId="0" applyBorder="1" applyAlignment="1">
      <alignment horizontal="left" vertical="top" wrapText="1" indent="1"/>
    </xf>
    <xf numFmtId="0" fontId="0" fillId="0" borderId="64" xfId="0" applyBorder="1" applyAlignment="1">
      <alignment horizontal="left" vertical="top" indent="1"/>
    </xf>
    <xf numFmtId="0" fontId="0" fillId="0" borderId="65" xfId="0" applyBorder="1" applyAlignment="1">
      <alignment horizontal="left" vertical="top" indent="1"/>
    </xf>
    <xf numFmtId="0" fontId="0" fillId="0" borderId="64" xfId="0" applyBorder="1" applyAlignment="1">
      <alignment horizontal="left" vertical="top" wrapText="1" indent="1"/>
    </xf>
    <xf numFmtId="0" fontId="0" fillId="0" borderId="65" xfId="0" applyBorder="1" applyAlignment="1">
      <alignment horizontal="left" vertical="top" wrapText="1" indent="1"/>
    </xf>
    <xf numFmtId="0" fontId="1" fillId="6" borderId="44" xfId="0" applyFont="1" applyFill="1" applyBorder="1"/>
    <xf numFmtId="0" fontId="1" fillId="6" borderId="44" xfId="0" applyFont="1" applyFill="1" applyBorder="1" applyAlignment="1">
      <alignment horizontal="left"/>
    </xf>
    <xf numFmtId="3" fontId="0" fillId="0" borderId="30" xfId="0" applyNumberFormat="1" applyFont="1" applyFill="1" applyBorder="1"/>
    <xf numFmtId="3" fontId="0" fillId="0" borderId="31" xfId="0" applyNumberFormat="1" applyFont="1" applyFill="1" applyBorder="1"/>
    <xf numFmtId="3" fontId="0" fillId="0" borderId="32" xfId="0" applyNumberFormat="1" applyFont="1" applyFill="1" applyBorder="1"/>
    <xf numFmtId="3" fontId="0" fillId="0" borderId="2" xfId="0" applyNumberFormat="1" applyFont="1" applyFill="1" applyBorder="1"/>
    <xf numFmtId="3" fontId="0" fillId="0" borderId="42" xfId="0" applyNumberFormat="1" applyFont="1" applyFill="1" applyBorder="1"/>
    <xf numFmtId="3" fontId="0" fillId="0" borderId="24" xfId="0" applyNumberFormat="1" applyFont="1" applyFill="1" applyBorder="1"/>
    <xf numFmtId="3" fontId="0" fillId="0" borderId="43" xfId="0" applyNumberFormat="1" applyFont="1" applyFill="1" applyBorder="1"/>
    <xf numFmtId="3" fontId="0" fillId="0" borderId="44" xfId="0" applyNumberFormat="1" applyFont="1" applyFill="1" applyBorder="1"/>
    <xf numFmtId="0" fontId="2" fillId="3" borderId="9" xfId="0" applyFont="1" applyFill="1" applyBorder="1"/>
    <xf numFmtId="166" fontId="0" fillId="0" borderId="3" xfId="0" applyNumberFormat="1" applyBorder="1" applyAlignment="1">
      <alignment horizontal="right"/>
    </xf>
    <xf numFmtId="0" fontId="2" fillId="3" borderId="4" xfId="0" applyFont="1" applyFill="1" applyBorder="1"/>
    <xf numFmtId="166" fontId="0" fillId="0" borderId="11" xfId="0" applyNumberFormat="1" applyBorder="1" applyAlignment="1">
      <alignment horizontal="right"/>
    </xf>
    <xf numFmtId="166" fontId="0" fillId="0" borderId="16" xfId="0" applyNumberFormat="1" applyBorder="1" applyAlignment="1">
      <alignment horizontal="right"/>
    </xf>
    <xf numFmtId="166" fontId="0" fillId="0" borderId="19" xfId="0" applyNumberFormat="1" applyBorder="1" applyAlignment="1">
      <alignment horizontal="right"/>
    </xf>
    <xf numFmtId="166" fontId="0" fillId="0" borderId="12" xfId="0" applyNumberFormat="1" applyBorder="1" applyAlignment="1">
      <alignment horizontal="right"/>
    </xf>
    <xf numFmtId="166" fontId="0" fillId="0" borderId="14" xfId="0" applyNumberFormat="1" applyBorder="1" applyAlignment="1">
      <alignment horizontal="right"/>
    </xf>
    <xf numFmtId="166" fontId="0" fillId="0" borderId="17" xfId="0" applyNumberFormat="1" applyBorder="1" applyAlignment="1">
      <alignment horizontal="right"/>
    </xf>
    <xf numFmtId="166" fontId="0" fillId="0" borderId="20" xfId="0" applyNumberFormat="1" applyBorder="1" applyAlignment="1">
      <alignment horizontal="right"/>
    </xf>
    <xf numFmtId="165" fontId="0" fillId="0" borderId="10" xfId="1" applyNumberFormat="1" applyFont="1" applyBorder="1" applyAlignment="1">
      <alignment horizontal="center"/>
    </xf>
    <xf numFmtId="165" fontId="0" fillId="0" borderId="11" xfId="1" applyNumberFormat="1" applyFont="1" applyBorder="1" applyAlignment="1">
      <alignment horizontal="center"/>
    </xf>
    <xf numFmtId="165" fontId="0" fillId="0" borderId="12" xfId="1" applyNumberFormat="1" applyFont="1" applyBorder="1" applyAlignment="1">
      <alignment horizontal="center"/>
    </xf>
    <xf numFmtId="165" fontId="0" fillId="0" borderId="13" xfId="1" applyNumberFormat="1" applyFont="1" applyBorder="1" applyAlignment="1">
      <alignment horizontal="center"/>
    </xf>
    <xf numFmtId="165" fontId="0" fillId="0" borderId="15" xfId="1" applyNumberFormat="1" applyFont="1" applyBorder="1" applyAlignment="1">
      <alignment horizontal="center"/>
    </xf>
    <xf numFmtId="165" fontId="0" fillId="0" borderId="18" xfId="1" applyNumberFormat="1" applyFont="1" applyBorder="1" applyAlignment="1">
      <alignment horizontal="center"/>
    </xf>
    <xf numFmtId="165" fontId="0" fillId="0" borderId="19" xfId="1" applyNumberFormat="1" applyFont="1" applyBorder="1" applyAlignment="1">
      <alignment horizontal="center"/>
    </xf>
    <xf numFmtId="165" fontId="0" fillId="0" borderId="20" xfId="1" applyNumberFormat="1" applyFont="1" applyBorder="1" applyAlignment="1">
      <alignment horizontal="center"/>
    </xf>
    <xf numFmtId="168" fontId="0" fillId="0" borderId="3" xfId="0" applyNumberFormat="1" applyFont="1" applyBorder="1"/>
    <xf numFmtId="0" fontId="0" fillId="0" borderId="3" xfId="0" applyFont="1" applyBorder="1"/>
    <xf numFmtId="10" fontId="7" fillId="0" borderId="0" xfId="0" applyNumberFormat="1" applyFont="1"/>
    <xf numFmtId="0" fontId="1" fillId="3" borderId="1" xfId="0" applyFont="1" applyFill="1" applyBorder="1"/>
    <xf numFmtId="0" fontId="2" fillId="6" borderId="1" xfId="0" applyFont="1" applyFill="1" applyBorder="1"/>
    <xf numFmtId="0" fontId="1" fillId="6" borderId="5" xfId="0" applyFont="1" applyFill="1" applyBorder="1"/>
    <xf numFmtId="0" fontId="0" fillId="0" borderId="12" xfId="0" applyBorder="1"/>
    <xf numFmtId="170" fontId="0" fillId="0" borderId="3" xfId="1" applyNumberFormat="1" applyFont="1" applyBorder="1" applyAlignment="1">
      <alignment horizontal="center"/>
    </xf>
    <xf numFmtId="9" fontId="0" fillId="0" borderId="10" xfId="1" applyFont="1" applyBorder="1" applyAlignment="1">
      <alignment horizontal="center" vertical="center"/>
    </xf>
    <xf numFmtId="9" fontId="3" fillId="0" borderId="12" xfId="1" applyFont="1" applyBorder="1" applyAlignment="1">
      <alignment horizontal="center" vertical="center"/>
    </xf>
    <xf numFmtId="9" fontId="0" fillId="0" borderId="13" xfId="1" applyFont="1" applyBorder="1" applyAlignment="1">
      <alignment horizontal="center" vertical="center"/>
    </xf>
    <xf numFmtId="9" fontId="3" fillId="0" borderId="14" xfId="1" applyFont="1" applyBorder="1" applyAlignment="1">
      <alignment horizontal="center" vertical="center"/>
    </xf>
    <xf numFmtId="9" fontId="0" fillId="6" borderId="13" xfId="1" applyFont="1" applyFill="1" applyBorder="1" applyAlignment="1">
      <alignment horizontal="center" vertical="center"/>
    </xf>
    <xf numFmtId="9" fontId="0" fillId="6" borderId="15" xfId="1" applyFont="1" applyFill="1" applyBorder="1" applyAlignment="1">
      <alignment horizontal="center" vertical="center"/>
    </xf>
    <xf numFmtId="9" fontId="3" fillId="0" borderId="17" xfId="1" applyFont="1" applyBorder="1" applyAlignment="1">
      <alignment horizontal="center" vertical="center"/>
    </xf>
    <xf numFmtId="9" fontId="0" fillId="6" borderId="13" xfId="1" quotePrefix="1" applyFont="1" applyFill="1" applyBorder="1" applyAlignment="1">
      <alignment horizontal="center" vertical="center"/>
    </xf>
    <xf numFmtId="0" fontId="1" fillId="0" borderId="10" xfId="0" applyFont="1" applyBorder="1" applyAlignment="1">
      <alignment horizontal="center"/>
    </xf>
    <xf numFmtId="0" fontId="1" fillId="0" borderId="13" xfId="0" applyFont="1" applyBorder="1" applyAlignment="1">
      <alignment horizontal="center"/>
    </xf>
    <xf numFmtId="0" fontId="1" fillId="0" borderId="15" xfId="0" applyFont="1" applyBorder="1" applyAlignment="1">
      <alignment horizontal="center"/>
    </xf>
    <xf numFmtId="168" fontId="0" fillId="0" borderId="10" xfId="1" applyNumberFormat="1" applyFont="1" applyBorder="1" applyAlignment="1">
      <alignment horizontal="center" vertical="center"/>
    </xf>
    <xf numFmtId="168" fontId="3" fillId="0" borderId="12" xfId="1" applyNumberFormat="1" applyFont="1" applyBorder="1" applyAlignment="1">
      <alignment horizontal="center" vertical="center"/>
    </xf>
    <xf numFmtId="168" fontId="0" fillId="0" borderId="13" xfId="1" applyNumberFormat="1" applyFont="1" applyBorder="1" applyAlignment="1">
      <alignment horizontal="center" vertical="center"/>
    </xf>
    <xf numFmtId="168" fontId="3" fillId="0" borderId="14" xfId="1" applyNumberFormat="1" applyFont="1" applyBorder="1" applyAlignment="1">
      <alignment horizontal="center" vertical="center"/>
    </xf>
    <xf numFmtId="168" fontId="0" fillId="6" borderId="13" xfId="1" quotePrefix="1" applyNumberFormat="1" applyFont="1" applyFill="1" applyBorder="1" applyAlignment="1">
      <alignment horizontal="center" vertical="center"/>
    </xf>
    <xf numFmtId="168" fontId="0" fillId="6" borderId="13" xfId="1" applyNumberFormat="1" applyFont="1" applyFill="1" applyBorder="1" applyAlignment="1">
      <alignment horizontal="center" vertical="center"/>
    </xf>
    <xf numFmtId="168" fontId="0" fillId="6" borderId="15" xfId="1" applyNumberFormat="1" applyFont="1" applyFill="1" applyBorder="1" applyAlignment="1">
      <alignment horizontal="center" vertical="center"/>
    </xf>
    <xf numFmtId="168" fontId="3" fillId="0" borderId="17" xfId="1" applyNumberFormat="1" applyFont="1" applyBorder="1" applyAlignment="1">
      <alignment horizontal="center" vertical="center"/>
    </xf>
    <xf numFmtId="0" fontId="1" fillId="6" borderId="6" xfId="0" applyFont="1" applyFill="1" applyBorder="1" applyAlignment="1">
      <alignment horizontal="center"/>
    </xf>
    <xf numFmtId="0" fontId="1" fillId="3" borderId="4" xfId="0" applyFont="1" applyFill="1" applyBorder="1"/>
    <xf numFmtId="0" fontId="1" fillId="3" borderId="52" xfId="0" applyFont="1" applyFill="1" applyBorder="1"/>
    <xf numFmtId="0" fontId="0" fillId="3" borderId="48" xfId="0" applyFill="1" applyBorder="1"/>
    <xf numFmtId="0" fontId="2" fillId="3" borderId="52" xfId="0" applyFont="1" applyFill="1" applyBorder="1"/>
    <xf numFmtId="0" fontId="2" fillId="3" borderId="48" xfId="0" applyFont="1" applyFill="1" applyBorder="1"/>
    <xf numFmtId="168" fontId="0" fillId="0" borderId="50" xfId="0" applyNumberFormat="1" applyBorder="1"/>
    <xf numFmtId="0" fontId="10" fillId="0" borderId="0" xfId="0" applyFont="1"/>
    <xf numFmtId="0" fontId="0" fillId="0" borderId="0" xfId="0" applyFont="1" applyFill="1" applyBorder="1" applyAlignment="1">
      <alignment horizontal="center"/>
    </xf>
    <xf numFmtId="0" fontId="0" fillId="0" borderId="0" xfId="0" quotePrefix="1"/>
    <xf numFmtId="0" fontId="1" fillId="11" borderId="27" xfId="0" applyFont="1" applyFill="1" applyBorder="1" applyAlignment="1">
      <alignment horizontal="center"/>
    </xf>
    <xf numFmtId="0" fontId="1" fillId="11" borderId="3" xfId="0" applyFont="1" applyFill="1" applyBorder="1" applyAlignment="1">
      <alignment horizontal="center"/>
    </xf>
    <xf numFmtId="1" fontId="0" fillId="0" borderId="24" xfId="0" applyNumberFormat="1" applyBorder="1" applyAlignment="1"/>
    <xf numFmtId="0" fontId="0" fillId="0" borderId="12" xfId="0" applyBorder="1" applyAlignment="1"/>
    <xf numFmtId="0" fontId="0" fillId="0" borderId="14" xfId="0" applyBorder="1" applyAlignment="1"/>
    <xf numFmtId="0" fontId="0" fillId="0" borderId="17" xfId="0" applyBorder="1" applyAlignment="1"/>
    <xf numFmtId="9" fontId="3" fillId="0" borderId="12" xfId="1" applyFont="1" applyBorder="1" applyAlignment="1"/>
    <xf numFmtId="9" fontId="3" fillId="0" borderId="14" xfId="1" applyFont="1" applyBorder="1" applyAlignment="1"/>
    <xf numFmtId="9" fontId="3" fillId="0" borderId="17" xfId="1" applyFont="1" applyBorder="1" applyAlignment="1"/>
    <xf numFmtId="9" fontId="0" fillId="0" borderId="0" xfId="0" applyNumberFormat="1"/>
    <xf numFmtId="0" fontId="0" fillId="0" borderId="15" xfId="0" quotePrefix="1" applyBorder="1"/>
    <xf numFmtId="0" fontId="6" fillId="5" borderId="2" xfId="0" applyFont="1" applyFill="1" applyBorder="1" applyAlignment="1">
      <alignment horizontal="center"/>
    </xf>
    <xf numFmtId="0" fontId="1" fillId="2" borderId="2" xfId="0" applyFont="1" applyFill="1" applyBorder="1" applyAlignment="1">
      <alignment horizontal="center" vertical="top" wrapText="1"/>
    </xf>
    <xf numFmtId="0" fontId="1" fillId="9" borderId="2" xfId="0" applyFont="1" applyFill="1" applyBorder="1" applyAlignment="1">
      <alignment horizontal="center"/>
    </xf>
    <xf numFmtId="0" fontId="2" fillId="0" borderId="0" xfId="0" applyFont="1"/>
    <xf numFmtId="0" fontId="2" fillId="10" borderId="34" xfId="0" applyFont="1" applyFill="1" applyBorder="1" applyAlignment="1">
      <alignment horizontal="right"/>
    </xf>
    <xf numFmtId="0" fontId="1" fillId="3" borderId="2" xfId="0" applyFont="1" applyFill="1" applyBorder="1" applyAlignment="1">
      <alignment horizontal="center"/>
    </xf>
    <xf numFmtId="0" fontId="15" fillId="0" borderId="0" xfId="0" applyFont="1" applyAlignment="1">
      <alignment horizontal="right"/>
    </xf>
    <xf numFmtId="0" fontId="0" fillId="0" borderId="3" xfId="0" applyBorder="1" applyAlignment="1">
      <alignment horizontal="left" vertical="top" wrapText="1"/>
    </xf>
    <xf numFmtId="0" fontId="0" fillId="0" borderId="3" xfId="0" applyBorder="1" applyAlignment="1">
      <alignment horizontal="left" vertical="top"/>
    </xf>
    <xf numFmtId="0" fontId="5" fillId="6" borderId="3" xfId="0" applyFont="1" applyFill="1" applyBorder="1"/>
    <xf numFmtId="0" fontId="17" fillId="0" borderId="3" xfId="2" applyBorder="1" applyAlignment="1">
      <alignment vertical="top"/>
    </xf>
    <xf numFmtId="0" fontId="17" fillId="0" borderId="3" xfId="2" applyBorder="1" applyAlignment="1">
      <alignment vertical="top" wrapText="1"/>
    </xf>
    <xf numFmtId="0" fontId="17" fillId="0" borderId="3" xfId="2" applyBorder="1"/>
    <xf numFmtId="0" fontId="6" fillId="5" borderId="3" xfId="0" applyFont="1" applyFill="1" applyBorder="1"/>
    <xf numFmtId="0" fontId="2" fillId="3" borderId="34" xfId="0" applyFont="1" applyFill="1" applyBorder="1"/>
    <xf numFmtId="0" fontId="1" fillId="2" borderId="1" xfId="0" applyFont="1" applyFill="1" applyBorder="1" applyAlignment="1">
      <alignment horizontal="center"/>
    </xf>
    <xf numFmtId="0" fontId="0" fillId="0" borderId="30" xfId="0" applyBorder="1" applyAlignment="1">
      <alignment horizontal="left"/>
    </xf>
    <xf numFmtId="0" fontId="0" fillId="0" borderId="2" xfId="0" applyBorder="1"/>
    <xf numFmtId="0" fontId="0" fillId="0" borderId="20" xfId="0" applyBorder="1"/>
    <xf numFmtId="0" fontId="0" fillId="3" borderId="0" xfId="0" applyFill="1"/>
    <xf numFmtId="0" fontId="0" fillId="6" borderId="0" xfId="0" applyFill="1"/>
    <xf numFmtId="0" fontId="18" fillId="14" borderId="5" xfId="0" applyFont="1" applyFill="1" applyBorder="1" applyAlignment="1">
      <alignment horizontal="center"/>
    </xf>
    <xf numFmtId="0" fontId="18" fillId="14" borderId="6" xfId="0" applyFont="1" applyFill="1" applyBorder="1" applyAlignment="1">
      <alignment horizontal="center"/>
    </xf>
    <xf numFmtId="0" fontId="18" fillId="14" borderId="7" xfId="0" applyFont="1" applyFill="1" applyBorder="1" applyAlignment="1">
      <alignment horizontal="center"/>
    </xf>
    <xf numFmtId="0" fontId="19" fillId="14" borderId="6" xfId="0" applyFont="1" applyFill="1" applyBorder="1"/>
    <xf numFmtId="0" fontId="19" fillId="14" borderId="7" xfId="0" applyFont="1" applyFill="1" applyBorder="1"/>
    <xf numFmtId="0" fontId="18" fillId="14" borderId="1" xfId="0" applyFont="1" applyFill="1" applyBorder="1"/>
    <xf numFmtId="0" fontId="18" fillId="14" borderId="33" xfId="0" applyFont="1" applyFill="1" applyBorder="1"/>
    <xf numFmtId="0" fontId="18" fillId="14" borderId="2" xfId="0" applyFont="1" applyFill="1" applyBorder="1" applyAlignment="1">
      <alignment horizontal="center"/>
    </xf>
    <xf numFmtId="3" fontId="0" fillId="0" borderId="42" xfId="0" applyNumberFormat="1" applyBorder="1" applyAlignment="1"/>
    <xf numFmtId="3" fontId="0" fillId="0" borderId="24" xfId="0" applyNumberFormat="1" applyBorder="1" applyAlignment="1"/>
    <xf numFmtId="3" fontId="0" fillId="0" borderId="43" xfId="0" applyNumberFormat="1" applyBorder="1" applyAlignment="1"/>
    <xf numFmtId="3" fontId="0" fillId="0" borderId="44" xfId="0" applyNumberFormat="1" applyBorder="1" applyAlignment="1"/>
    <xf numFmtId="167" fontId="0" fillId="0" borderId="42" xfId="0" applyNumberFormat="1" applyBorder="1" applyAlignment="1"/>
    <xf numFmtId="167" fontId="0" fillId="0" borderId="12" xfId="0" applyNumberFormat="1" applyBorder="1"/>
    <xf numFmtId="167" fontId="0" fillId="0" borderId="24" xfId="0" applyNumberFormat="1" applyBorder="1" applyAlignment="1"/>
    <xf numFmtId="167" fontId="0" fillId="0" borderId="43" xfId="0" applyNumberFormat="1" applyBorder="1" applyAlignment="1"/>
    <xf numFmtId="167" fontId="0" fillId="0" borderId="17" xfId="0" applyNumberFormat="1" applyBorder="1"/>
    <xf numFmtId="167" fontId="0" fillId="0" borderId="44" xfId="0" applyNumberFormat="1" applyBorder="1" applyAlignment="1"/>
    <xf numFmtId="167" fontId="0" fillId="0" borderId="20" xfId="0" applyNumberFormat="1" applyBorder="1"/>
    <xf numFmtId="3" fontId="0" fillId="0" borderId="11" xfId="0" applyNumberFormat="1" applyBorder="1" applyAlignment="1">
      <alignment horizontal="right"/>
    </xf>
    <xf numFmtId="3" fontId="0" fillId="0" borderId="12" xfId="0" applyNumberFormat="1" applyBorder="1" applyAlignment="1">
      <alignment horizontal="right"/>
    </xf>
    <xf numFmtId="3" fontId="0" fillId="0" borderId="3" xfId="0" applyNumberFormat="1" applyBorder="1" applyAlignment="1">
      <alignment horizontal="right"/>
    </xf>
    <xf numFmtId="3" fontId="0" fillId="0" borderId="14" xfId="0" applyNumberFormat="1" applyBorder="1" applyAlignment="1">
      <alignment horizontal="right"/>
    </xf>
    <xf numFmtId="3" fontId="0" fillId="0" borderId="16" xfId="0" applyNumberFormat="1" applyBorder="1" applyAlignment="1">
      <alignment horizontal="right"/>
    </xf>
    <xf numFmtId="3" fontId="0" fillId="0" borderId="17" xfId="0" applyNumberFormat="1" applyBorder="1" applyAlignment="1">
      <alignment horizontal="right"/>
    </xf>
    <xf numFmtId="3" fontId="0" fillId="0" borderId="19" xfId="0" applyNumberFormat="1" applyBorder="1" applyAlignment="1">
      <alignment horizontal="right"/>
    </xf>
    <xf numFmtId="3" fontId="0" fillId="0" borderId="20" xfId="0" applyNumberFormat="1" applyBorder="1" applyAlignment="1">
      <alignment horizontal="right"/>
    </xf>
    <xf numFmtId="9" fontId="0" fillId="0" borderId="11" xfId="1" applyFont="1" applyBorder="1"/>
    <xf numFmtId="9" fontId="0" fillId="0" borderId="12" xfId="1" applyFont="1" applyBorder="1"/>
    <xf numFmtId="9" fontId="0" fillId="0" borderId="16" xfId="1" applyFont="1" applyBorder="1"/>
    <xf numFmtId="9" fontId="0" fillId="0" borderId="17" xfId="1" applyFont="1" applyBorder="1"/>
    <xf numFmtId="165" fontId="0" fillId="0" borderId="11" xfId="1" applyNumberFormat="1" applyFont="1" applyBorder="1"/>
    <xf numFmtId="165" fontId="0" fillId="0" borderId="16" xfId="1" applyNumberFormat="1" applyFont="1" applyBorder="1"/>
    <xf numFmtId="166" fontId="0" fillId="0" borderId="11" xfId="0" applyNumberFormat="1" applyBorder="1"/>
    <xf numFmtId="166" fontId="0" fillId="0" borderId="16" xfId="0" applyNumberFormat="1" applyBorder="1"/>
    <xf numFmtId="166" fontId="0" fillId="0" borderId="12" xfId="1" applyNumberFormat="1" applyFont="1" applyBorder="1"/>
    <xf numFmtId="166" fontId="0" fillId="0" borderId="17" xfId="1" applyNumberFormat="1" applyFont="1" applyBorder="1"/>
    <xf numFmtId="168" fontId="0" fillId="0" borderId="30" xfId="0" applyNumberFormat="1" applyBorder="1" applyAlignment="1">
      <alignment horizontal="left"/>
    </xf>
    <xf numFmtId="168" fontId="0" fillId="0" borderId="31" xfId="0" applyNumberFormat="1" applyBorder="1" applyAlignment="1">
      <alignment horizontal="left"/>
    </xf>
    <xf numFmtId="168" fontId="0" fillId="0" borderId="32" xfId="0" applyNumberFormat="1" applyBorder="1" applyAlignment="1">
      <alignment horizontal="left"/>
    </xf>
    <xf numFmtId="168" fontId="0" fillId="0" borderId="2" xfId="0" applyNumberFormat="1" applyBorder="1" applyAlignment="1">
      <alignment horizontal="left"/>
    </xf>
    <xf numFmtId="0" fontId="0" fillId="5" borderId="0" xfId="0" applyFill="1" applyBorder="1"/>
    <xf numFmtId="0" fontId="0" fillId="0" borderId="73" xfId="0" applyFill="1" applyBorder="1"/>
    <xf numFmtId="0" fontId="0" fillId="0" borderId="67" xfId="0" applyFill="1" applyBorder="1"/>
    <xf numFmtId="0" fontId="0" fillId="0" borderId="68" xfId="0" applyFill="1" applyBorder="1"/>
    <xf numFmtId="0" fontId="0" fillId="0" borderId="69" xfId="0" applyFill="1" applyBorder="1"/>
    <xf numFmtId="0" fontId="0" fillId="0" borderId="70" xfId="0" applyFill="1" applyBorder="1"/>
    <xf numFmtId="0" fontId="0" fillId="0" borderId="71" xfId="0" applyFill="1" applyBorder="1"/>
    <xf numFmtId="0" fontId="0" fillId="0" borderId="72" xfId="0" applyFill="1" applyBorder="1"/>
    <xf numFmtId="0" fontId="0" fillId="0" borderId="74" xfId="0" applyFill="1" applyBorder="1"/>
    <xf numFmtId="0" fontId="0" fillId="0" borderId="0" xfId="0" applyFill="1" applyBorder="1" applyAlignment="1">
      <alignment horizontal="left" indent="1"/>
    </xf>
    <xf numFmtId="0" fontId="20" fillId="0" borderId="68" xfId="0" applyFont="1" applyFill="1" applyBorder="1" applyAlignment="1">
      <alignment horizontal="left"/>
    </xf>
    <xf numFmtId="0" fontId="0" fillId="15" borderId="75" xfId="0" applyFill="1" applyBorder="1" applyAlignment="1">
      <alignment horizontal="left" vertical="top" wrapText="1"/>
    </xf>
    <xf numFmtId="0" fontId="0" fillId="8" borderId="75" xfId="0" applyFill="1" applyBorder="1" applyAlignment="1">
      <alignment horizontal="left" vertical="top" wrapText="1"/>
    </xf>
    <xf numFmtId="171" fontId="0" fillId="16" borderId="18" xfId="0" applyNumberFormat="1" applyFont="1" applyFill="1" applyBorder="1"/>
    <xf numFmtId="3" fontId="0" fillId="16" borderId="10" xfId="0" applyNumberFormat="1" applyFont="1" applyFill="1" applyBorder="1"/>
    <xf numFmtId="3" fontId="0" fillId="16" borderId="13" xfId="0" applyNumberFormat="1" applyFont="1" applyFill="1" applyBorder="1"/>
    <xf numFmtId="3" fontId="0" fillId="16" borderId="15" xfId="0" applyNumberFormat="1" applyFont="1" applyFill="1" applyBorder="1"/>
    <xf numFmtId="3" fontId="0" fillId="16" borderId="18" xfId="0" applyNumberFormat="1" applyFont="1" applyFill="1" applyBorder="1"/>
    <xf numFmtId="0" fontId="0" fillId="0" borderId="77" xfId="0" applyBorder="1" applyAlignment="1">
      <alignment horizontal="left"/>
    </xf>
    <xf numFmtId="0" fontId="18" fillId="14" borderId="76" xfId="0" applyFont="1" applyFill="1" applyBorder="1" applyAlignment="1">
      <alignment horizontal="center"/>
    </xf>
    <xf numFmtId="0" fontId="0" fillId="0" borderId="1" xfId="0" applyFont="1" applyBorder="1"/>
    <xf numFmtId="0" fontId="0" fillId="6" borderId="0" xfId="0" applyFill="1" applyProtection="1">
      <protection hidden="1"/>
    </xf>
    <xf numFmtId="0" fontId="0" fillId="0" borderId="0" xfId="0" applyProtection="1">
      <protection hidden="1"/>
    </xf>
    <xf numFmtId="0" fontId="0" fillId="0" borderId="0" xfId="0" applyFill="1" applyProtection="1">
      <protection hidden="1"/>
    </xf>
    <xf numFmtId="0" fontId="23" fillId="0" borderId="0" xfId="0" applyFont="1" applyAlignment="1" applyProtection="1">
      <alignment horizontal="right"/>
      <protection hidden="1"/>
    </xf>
    <xf numFmtId="0" fontId="1" fillId="13" borderId="76" xfId="0" applyFont="1" applyFill="1" applyBorder="1" applyAlignment="1" applyProtection="1">
      <alignment horizontal="center"/>
      <protection locked="0" hidden="1"/>
    </xf>
    <xf numFmtId="0" fontId="22" fillId="0" borderId="0" xfId="0" applyFont="1" applyProtection="1">
      <protection hidden="1"/>
    </xf>
    <xf numFmtId="0" fontId="21" fillId="0" borderId="66" xfId="0" applyFont="1" applyBorder="1" applyProtection="1">
      <protection hidden="1"/>
    </xf>
    <xf numFmtId="0" fontId="0" fillId="0" borderId="66" xfId="0" applyBorder="1" applyProtection="1">
      <protection hidden="1"/>
    </xf>
    <xf numFmtId="0" fontId="1" fillId="0" borderId="0" xfId="0" applyFont="1" applyAlignment="1" applyProtection="1">
      <alignment horizontal="right"/>
      <protection hidden="1"/>
    </xf>
    <xf numFmtId="0" fontId="0" fillId="13" borderId="9" xfId="0" applyFill="1" applyBorder="1"/>
    <xf numFmtId="0" fontId="0" fillId="13" borderId="8" xfId="0" applyFill="1" applyBorder="1"/>
    <xf numFmtId="0" fontId="0" fillId="13" borderId="35" xfId="0" applyFill="1" applyBorder="1"/>
    <xf numFmtId="0" fontId="0" fillId="13" borderId="0" xfId="0" applyFill="1" applyBorder="1"/>
    <xf numFmtId="0" fontId="0" fillId="13" borderId="52" xfId="0" applyFill="1" applyBorder="1"/>
    <xf numFmtId="0" fontId="0" fillId="13" borderId="53" xfId="0" applyFill="1" applyBorder="1"/>
    <xf numFmtId="0" fontId="6" fillId="13" borderId="53" xfId="0" applyFont="1" applyFill="1" applyBorder="1"/>
    <xf numFmtId="0" fontId="0" fillId="13" borderId="48" xfId="0" applyFill="1" applyBorder="1"/>
    <xf numFmtId="0" fontId="18" fillId="13" borderId="0" xfId="0" applyFont="1" applyFill="1" applyBorder="1" applyAlignment="1">
      <alignment horizontal="center"/>
    </xf>
    <xf numFmtId="0" fontId="0" fillId="13" borderId="51" xfId="0" applyFill="1" applyBorder="1"/>
    <xf numFmtId="171" fontId="6" fillId="13" borderId="0" xfId="0" applyNumberFormat="1" applyFont="1" applyFill="1" applyBorder="1"/>
    <xf numFmtId="0" fontId="24" fillId="13" borderId="5" xfId="0" applyFont="1" applyFill="1" applyBorder="1"/>
    <xf numFmtId="0" fontId="1" fillId="13" borderId="0" xfId="0" applyFont="1" applyFill="1" applyBorder="1" applyAlignment="1">
      <alignment horizontal="left"/>
    </xf>
    <xf numFmtId="0" fontId="1" fillId="13" borderId="45" xfId="0" applyFont="1" applyFill="1" applyBorder="1" applyAlignment="1">
      <alignment horizontal="left"/>
    </xf>
    <xf numFmtId="0" fontId="2" fillId="13" borderId="45" xfId="0" applyFont="1" applyFill="1" applyBorder="1"/>
    <xf numFmtId="0" fontId="2" fillId="13" borderId="0" xfId="0" applyFont="1" applyFill="1" applyBorder="1"/>
    <xf numFmtId="167" fontId="0" fillId="0" borderId="10" xfId="0" applyNumberFormat="1" applyFont="1" applyFill="1" applyBorder="1" applyProtection="1">
      <protection hidden="1"/>
    </xf>
    <xf numFmtId="167" fontId="0" fillId="0" borderId="11" xfId="0" applyNumberFormat="1" applyFont="1" applyFill="1" applyBorder="1" applyProtection="1">
      <protection hidden="1"/>
    </xf>
    <xf numFmtId="167" fontId="0" fillId="0" borderId="42" xfId="0" applyNumberFormat="1" applyFont="1" applyFill="1" applyBorder="1" applyProtection="1">
      <protection hidden="1"/>
    </xf>
    <xf numFmtId="167" fontId="0" fillId="0" borderId="12" xfId="0" applyNumberFormat="1" applyFont="1" applyFill="1" applyBorder="1" applyProtection="1">
      <protection hidden="1"/>
    </xf>
    <xf numFmtId="167" fontId="0" fillId="0" borderId="13" xfId="0" applyNumberFormat="1" applyFont="1" applyFill="1" applyBorder="1" applyProtection="1">
      <protection hidden="1"/>
    </xf>
    <xf numFmtId="167" fontId="0" fillId="0" borderId="3" xfId="0" applyNumberFormat="1" applyFont="1" applyFill="1" applyBorder="1" applyProtection="1">
      <protection hidden="1"/>
    </xf>
    <xf numFmtId="167" fontId="0" fillId="0" borderId="24" xfId="0" applyNumberFormat="1" applyFont="1" applyFill="1" applyBorder="1" applyProtection="1">
      <protection hidden="1"/>
    </xf>
    <xf numFmtId="167" fontId="0" fillId="0" borderId="14" xfId="0" applyNumberFormat="1" applyFont="1" applyFill="1" applyBorder="1" applyProtection="1">
      <protection hidden="1"/>
    </xf>
    <xf numFmtId="167" fontId="0" fillId="0" borderId="15" xfId="0" applyNumberFormat="1" applyFont="1" applyFill="1" applyBorder="1" applyProtection="1">
      <protection hidden="1"/>
    </xf>
    <xf numFmtId="167" fontId="0" fillId="0" borderId="16" xfId="0" applyNumberFormat="1" applyFont="1" applyFill="1" applyBorder="1" applyProtection="1">
      <protection hidden="1"/>
    </xf>
    <xf numFmtId="167" fontId="0" fillId="0" borderId="43" xfId="0" applyNumberFormat="1" applyFont="1" applyFill="1" applyBorder="1" applyProtection="1">
      <protection hidden="1"/>
    </xf>
    <xf numFmtId="167" fontId="0" fillId="0" borderId="17" xfId="0" applyNumberFormat="1" applyFont="1" applyFill="1" applyBorder="1" applyProtection="1">
      <protection hidden="1"/>
    </xf>
    <xf numFmtId="167" fontId="0" fillId="0" borderId="18" xfId="0" applyNumberFormat="1" applyFont="1" applyFill="1" applyBorder="1" applyProtection="1">
      <protection hidden="1"/>
    </xf>
    <xf numFmtId="167" fontId="0" fillId="0" borderId="19" xfId="0" applyNumberFormat="1" applyFont="1" applyFill="1" applyBorder="1" applyProtection="1">
      <protection hidden="1"/>
    </xf>
    <xf numFmtId="167" fontId="0" fillId="0" borderId="44" xfId="0" applyNumberFormat="1" applyFont="1" applyFill="1" applyBorder="1" applyProtection="1">
      <protection hidden="1"/>
    </xf>
    <xf numFmtId="167" fontId="0" fillId="0" borderId="20" xfId="0" applyNumberFormat="1" applyFont="1" applyFill="1" applyBorder="1" applyProtection="1">
      <protection hidden="1"/>
    </xf>
    <xf numFmtId="0" fontId="1" fillId="0" borderId="0" xfId="0" applyFont="1" applyBorder="1" applyAlignment="1">
      <alignment horizontal="left" vertical="top"/>
    </xf>
    <xf numFmtId="0" fontId="0" fillId="8" borderId="78" xfId="0" applyFill="1" applyBorder="1" applyAlignment="1">
      <alignment horizontal="left" vertical="top" wrapText="1"/>
    </xf>
    <xf numFmtId="0" fontId="0" fillId="0" borderId="79" xfId="0" applyBorder="1"/>
    <xf numFmtId="0" fontId="0" fillId="15" borderId="78" xfId="0" applyFill="1" applyBorder="1" applyAlignment="1">
      <alignment horizontal="left" vertical="top" wrapText="1"/>
    </xf>
    <xf numFmtId="0" fontId="0" fillId="8" borderId="80" xfId="0" applyFill="1" applyBorder="1" applyAlignment="1">
      <alignment horizontal="left" vertical="top" wrapText="1"/>
    </xf>
    <xf numFmtId="0" fontId="0" fillId="15" borderId="80" xfId="0" applyFill="1" applyBorder="1" applyAlignment="1">
      <alignment horizontal="left" vertical="top" wrapText="1"/>
    </xf>
    <xf numFmtId="0" fontId="0" fillId="8" borderId="27" xfId="0" applyFill="1" applyBorder="1" applyAlignment="1">
      <alignment horizontal="left" vertical="top" wrapText="1"/>
    </xf>
    <xf numFmtId="0" fontId="1" fillId="8" borderId="80" xfId="0" applyFont="1" applyFill="1" applyBorder="1"/>
    <xf numFmtId="0" fontId="1" fillId="15" borderId="80" xfId="0" applyFont="1" applyFill="1" applyBorder="1"/>
    <xf numFmtId="0" fontId="25" fillId="0" borderId="0" xfId="0" applyFont="1" applyProtection="1">
      <protection hidden="1"/>
    </xf>
    <xf numFmtId="14" fontId="23" fillId="0" borderId="0" xfId="0" applyNumberFormat="1" applyFont="1" applyAlignment="1" applyProtection="1">
      <alignment horizontal="center"/>
      <protection hidden="1"/>
    </xf>
    <xf numFmtId="0" fontId="1" fillId="0" borderId="0" xfId="0" applyFont="1" applyAlignment="1" applyProtection="1">
      <alignment horizontal="right" indent="1"/>
      <protection hidden="1"/>
    </xf>
    <xf numFmtId="167" fontId="0" fillId="17" borderId="11" xfId="0" applyNumberFormat="1" applyFont="1" applyFill="1" applyBorder="1" applyProtection="1">
      <protection hidden="1"/>
    </xf>
    <xf numFmtId="167" fontId="0" fillId="17" borderId="42" xfId="0" applyNumberFormat="1" applyFont="1" applyFill="1" applyBorder="1" applyProtection="1">
      <protection hidden="1"/>
    </xf>
    <xf numFmtId="167" fontId="0" fillId="17" borderId="12" xfId="0" applyNumberFormat="1" applyFont="1" applyFill="1" applyBorder="1" applyProtection="1">
      <protection hidden="1"/>
    </xf>
    <xf numFmtId="167" fontId="0" fillId="17" borderId="3" xfId="0" applyNumberFormat="1" applyFont="1" applyFill="1" applyBorder="1" applyProtection="1">
      <protection hidden="1"/>
    </xf>
    <xf numFmtId="167" fontId="0" fillId="17" borderId="24" xfId="0" applyNumberFormat="1" applyFont="1" applyFill="1" applyBorder="1" applyProtection="1">
      <protection hidden="1"/>
    </xf>
    <xf numFmtId="167" fontId="0" fillId="17" borderId="14" xfId="0" applyNumberFormat="1" applyFont="1" applyFill="1" applyBorder="1" applyProtection="1">
      <protection hidden="1"/>
    </xf>
    <xf numFmtId="167" fontId="0" fillId="17" borderId="16" xfId="0" applyNumberFormat="1" applyFont="1" applyFill="1" applyBorder="1" applyProtection="1">
      <protection hidden="1"/>
    </xf>
    <xf numFmtId="167" fontId="0" fillId="17" borderId="43" xfId="0" applyNumberFormat="1" applyFont="1" applyFill="1" applyBorder="1" applyProtection="1">
      <protection hidden="1"/>
    </xf>
    <xf numFmtId="167" fontId="0" fillId="17" borderId="17" xfId="0" applyNumberFormat="1" applyFont="1" applyFill="1" applyBorder="1" applyProtection="1">
      <protection hidden="1"/>
    </xf>
    <xf numFmtId="167" fontId="0" fillId="17" borderId="19" xfId="0" applyNumberFormat="1" applyFont="1" applyFill="1" applyBorder="1" applyProtection="1">
      <protection hidden="1"/>
    </xf>
    <xf numFmtId="167" fontId="0" fillId="17" borderId="44" xfId="0" applyNumberFormat="1" applyFont="1" applyFill="1" applyBorder="1" applyProtection="1">
      <protection hidden="1"/>
    </xf>
    <xf numFmtId="167" fontId="0" fillId="17" borderId="20" xfId="0" applyNumberFormat="1" applyFont="1" applyFill="1" applyBorder="1" applyProtection="1">
      <protection hidden="1"/>
    </xf>
    <xf numFmtId="0" fontId="0" fillId="17" borderId="0" xfId="0" applyFill="1" applyBorder="1"/>
    <xf numFmtId="0" fontId="0" fillId="5" borderId="0" xfId="0" applyFill="1" applyProtection="1">
      <protection hidden="1"/>
    </xf>
    <xf numFmtId="0" fontId="0" fillId="17" borderId="0" xfId="0" applyFill="1" applyProtection="1">
      <protection hidden="1"/>
    </xf>
    <xf numFmtId="0" fontId="0" fillId="0" borderId="0" xfId="0" applyAlignment="1" applyProtection="1">
      <alignment horizontal="left" indent="1"/>
      <protection hidden="1"/>
    </xf>
    <xf numFmtId="0" fontId="0" fillId="15" borderId="81" xfId="0" applyFill="1" applyBorder="1" applyAlignment="1">
      <alignment horizontal="left" vertical="top" wrapText="1"/>
    </xf>
    <xf numFmtId="171" fontId="0" fillId="5" borderId="19" xfId="0" applyNumberFormat="1" applyFont="1" applyFill="1" applyBorder="1" applyProtection="1">
      <protection locked="0"/>
    </xf>
    <xf numFmtId="171" fontId="0" fillId="5" borderId="44" xfId="0" applyNumberFormat="1" applyFont="1" applyFill="1" applyBorder="1" applyProtection="1">
      <protection locked="0"/>
    </xf>
    <xf numFmtId="171" fontId="0" fillId="5" borderId="20" xfId="0" applyNumberFormat="1" applyFont="1" applyFill="1" applyBorder="1" applyProtection="1">
      <protection locked="0"/>
    </xf>
    <xf numFmtId="3" fontId="0" fillId="5" borderId="11" xfId="0" applyNumberFormat="1" applyFont="1" applyFill="1" applyBorder="1" applyProtection="1">
      <protection locked="0"/>
    </xf>
    <xf numFmtId="3" fontId="0" fillId="5" borderId="42" xfId="0" applyNumberFormat="1" applyFont="1" applyFill="1" applyBorder="1" applyProtection="1">
      <protection locked="0"/>
    </xf>
    <xf numFmtId="3" fontId="0" fillId="5" borderId="12" xfId="0" applyNumberFormat="1" applyFont="1" applyFill="1" applyBorder="1" applyProtection="1">
      <protection locked="0"/>
    </xf>
    <xf numFmtId="3" fontId="0" fillId="5" borderId="3" xfId="0" applyNumberFormat="1" applyFont="1" applyFill="1" applyBorder="1" applyProtection="1">
      <protection locked="0"/>
    </xf>
    <xf numFmtId="3" fontId="0" fillId="5" borderId="24" xfId="0" applyNumberFormat="1" applyFont="1" applyFill="1" applyBorder="1" applyProtection="1">
      <protection locked="0"/>
    </xf>
    <xf numFmtId="3" fontId="0" fillId="5" borderId="14" xfId="0" applyNumberFormat="1" applyFont="1" applyFill="1" applyBorder="1" applyProtection="1">
      <protection locked="0"/>
    </xf>
    <xf numFmtId="3" fontId="0" fillId="5" borderId="16" xfId="0" applyNumberFormat="1" applyFont="1" applyFill="1" applyBorder="1" applyProtection="1">
      <protection locked="0"/>
    </xf>
    <xf numFmtId="3" fontId="0" fillId="5" borderId="43" xfId="0" applyNumberFormat="1" applyFont="1" applyFill="1" applyBorder="1" applyProtection="1">
      <protection locked="0"/>
    </xf>
    <xf numFmtId="3" fontId="0" fillId="5" borderId="17" xfId="0" applyNumberFormat="1" applyFont="1" applyFill="1" applyBorder="1" applyProtection="1">
      <protection locked="0"/>
    </xf>
    <xf numFmtId="3" fontId="0" fillId="5" borderId="19" xfId="0" applyNumberFormat="1" applyFont="1" applyFill="1" applyBorder="1" applyProtection="1">
      <protection locked="0"/>
    </xf>
    <xf numFmtId="3" fontId="0" fillId="5" borderId="44" xfId="0" applyNumberFormat="1" applyFont="1" applyFill="1" applyBorder="1" applyProtection="1">
      <protection locked="0"/>
    </xf>
    <xf numFmtId="3" fontId="0" fillId="5" borderId="20" xfId="0" applyNumberFormat="1" applyFont="1" applyFill="1" applyBorder="1" applyProtection="1">
      <protection locked="0"/>
    </xf>
    <xf numFmtId="167" fontId="0" fillId="0" borderId="58" xfId="0" applyNumberFormat="1" applyFont="1" applyFill="1" applyBorder="1" applyProtection="1">
      <protection hidden="1"/>
    </xf>
    <xf numFmtId="167" fontId="0" fillId="0" borderId="26" xfId="0" applyNumberFormat="1" applyFont="1" applyFill="1" applyBorder="1" applyProtection="1">
      <protection hidden="1"/>
    </xf>
    <xf numFmtId="167" fontId="0" fillId="0" borderId="60" xfId="0" applyNumberFormat="1" applyFont="1" applyFill="1" applyBorder="1" applyProtection="1">
      <protection hidden="1"/>
    </xf>
    <xf numFmtId="167" fontId="0" fillId="0" borderId="59" xfId="0" applyNumberFormat="1" applyFont="1" applyFill="1" applyBorder="1" applyProtection="1">
      <protection hidden="1"/>
    </xf>
    <xf numFmtId="0" fontId="0" fillId="0" borderId="0" xfId="0" applyFill="1" applyBorder="1"/>
    <xf numFmtId="0" fontId="0" fillId="0" borderId="51" xfId="0" applyFill="1" applyBorder="1"/>
    <xf numFmtId="0" fontId="1" fillId="0" borderId="45" xfId="0" applyFont="1" applyFill="1" applyBorder="1" applyAlignment="1">
      <alignment horizontal="left"/>
    </xf>
    <xf numFmtId="0" fontId="2" fillId="0" borderId="45" xfId="0" applyFont="1" applyFill="1" applyBorder="1"/>
    <xf numFmtId="0" fontId="1" fillId="0" borderId="0" xfId="0" applyFont="1" applyFill="1" applyBorder="1" applyAlignment="1">
      <alignment horizontal="left"/>
    </xf>
    <xf numFmtId="0" fontId="0" fillId="6" borderId="0" xfId="0" applyFill="1" applyBorder="1"/>
    <xf numFmtId="0" fontId="26" fillId="0" borderId="0" xfId="0" applyFont="1" applyFill="1" applyBorder="1"/>
    <xf numFmtId="0" fontId="0" fillId="13" borderId="1" xfId="0" applyFill="1" applyBorder="1"/>
    <xf numFmtId="4" fontId="0" fillId="0" borderId="11" xfId="0" applyNumberFormat="1" applyBorder="1" applyAlignment="1">
      <alignment horizontal="right"/>
    </xf>
    <xf numFmtId="4" fontId="0" fillId="0" borderId="12" xfId="0" applyNumberFormat="1" applyBorder="1" applyAlignment="1">
      <alignment horizontal="right"/>
    </xf>
    <xf numFmtId="4" fontId="0" fillId="0" borderId="27" xfId="0" applyNumberFormat="1" applyBorder="1" applyAlignment="1">
      <alignment horizontal="right"/>
    </xf>
    <xf numFmtId="4" fontId="0" fillId="0" borderId="50" xfId="0" applyNumberFormat="1" applyBorder="1" applyAlignment="1">
      <alignment horizontal="right"/>
    </xf>
    <xf numFmtId="4" fontId="0" fillId="0" borderId="3" xfId="0" applyNumberFormat="1" applyBorder="1" applyAlignment="1">
      <alignment horizontal="right"/>
    </xf>
    <xf numFmtId="4" fontId="0" fillId="0" borderId="14" xfId="0" applyNumberFormat="1" applyBorder="1" applyAlignment="1">
      <alignment horizontal="right"/>
    </xf>
    <xf numFmtId="4" fontId="0" fillId="0" borderId="16" xfId="0" applyNumberFormat="1" applyBorder="1" applyAlignment="1">
      <alignment horizontal="right"/>
    </xf>
    <xf numFmtId="4" fontId="0" fillId="0" borderId="17" xfId="0" applyNumberFormat="1" applyBorder="1" applyAlignment="1">
      <alignment horizontal="right"/>
    </xf>
    <xf numFmtId="0" fontId="18" fillId="13" borderId="5" xfId="0" applyFont="1" applyFill="1" applyBorder="1" applyAlignment="1">
      <alignment horizontal="center"/>
    </xf>
    <xf numFmtId="0" fontId="18" fillId="13" borderId="6" xfId="0" applyFont="1" applyFill="1" applyBorder="1" applyAlignment="1">
      <alignment horizontal="center"/>
    </xf>
    <xf numFmtId="0" fontId="18" fillId="13" borderId="7" xfId="0" applyFont="1" applyFill="1" applyBorder="1" applyAlignment="1">
      <alignment horizontal="center"/>
    </xf>
    <xf numFmtId="0" fontId="19" fillId="13" borderId="6" xfId="0" applyFont="1" applyFill="1" applyBorder="1"/>
    <xf numFmtId="0" fontId="19" fillId="13" borderId="7" xfId="0" applyFont="1" applyFill="1" applyBorder="1"/>
    <xf numFmtId="0" fontId="18" fillId="13" borderId="1" xfId="0" applyFont="1" applyFill="1" applyBorder="1"/>
    <xf numFmtId="0" fontId="18" fillId="13" borderId="33" xfId="0" applyFont="1" applyFill="1" applyBorder="1"/>
    <xf numFmtId="0" fontId="18" fillId="13" borderId="2" xfId="0" applyFont="1" applyFill="1" applyBorder="1" applyAlignment="1">
      <alignment horizontal="center"/>
    </xf>
    <xf numFmtId="3" fontId="0" fillId="16" borderId="30" xfId="0" applyNumberFormat="1" applyFont="1" applyFill="1" applyBorder="1"/>
    <xf numFmtId="3" fontId="0" fillId="16" borderId="31" xfId="0" applyNumberFormat="1" applyFont="1" applyFill="1" applyBorder="1"/>
    <xf numFmtId="3" fontId="0" fillId="16" borderId="32" xfId="0" applyNumberFormat="1" applyFont="1" applyFill="1" applyBorder="1"/>
    <xf numFmtId="3" fontId="0" fillId="16" borderId="2" xfId="0" applyNumberFormat="1" applyFont="1" applyFill="1" applyBorder="1"/>
    <xf numFmtId="0" fontId="18" fillId="13" borderId="76" xfId="0" applyFont="1" applyFill="1" applyBorder="1" applyAlignment="1">
      <alignment horizontal="center"/>
    </xf>
    <xf numFmtId="0" fontId="1" fillId="13" borderId="6" xfId="0" applyFont="1" applyFill="1" applyBorder="1" applyAlignment="1">
      <alignment horizontal="center"/>
    </xf>
    <xf numFmtId="0" fontId="1" fillId="13" borderId="7" xfId="0" applyFont="1" applyFill="1" applyBorder="1" applyAlignment="1">
      <alignment horizontal="center"/>
    </xf>
    <xf numFmtId="0" fontId="0" fillId="13" borderId="6" xfId="0" applyFill="1" applyBorder="1"/>
    <xf numFmtId="0" fontId="0" fillId="13" borderId="7" xfId="0" applyFill="1" applyBorder="1"/>
    <xf numFmtId="0" fontId="0" fillId="0" borderId="0" xfId="0" applyAlignment="1">
      <alignment horizontal="center"/>
    </xf>
    <xf numFmtId="3" fontId="0" fillId="0" borderId="10" xfId="0" applyNumberFormat="1" applyBorder="1"/>
    <xf numFmtId="165" fontId="0" fillId="0" borderId="30" xfId="1" applyNumberFormat="1" applyFont="1" applyBorder="1" applyAlignment="1">
      <alignment horizontal="center"/>
    </xf>
    <xf numFmtId="165" fontId="0" fillId="0" borderId="31" xfId="1" applyNumberFormat="1" applyFont="1" applyBorder="1" applyAlignment="1">
      <alignment horizontal="center"/>
    </xf>
    <xf numFmtId="165" fontId="0" fillId="0" borderId="32" xfId="1" applyNumberFormat="1" applyFont="1" applyBorder="1" applyAlignment="1">
      <alignment horizontal="center"/>
    </xf>
    <xf numFmtId="3" fontId="0" fillId="0" borderId="13" xfId="0" applyNumberFormat="1" applyBorder="1"/>
    <xf numFmtId="3" fontId="0" fillId="0" borderId="15" xfId="0" applyNumberFormat="1" applyBorder="1"/>
    <xf numFmtId="0" fontId="0" fillId="13" borderId="25" xfId="0" applyFill="1" applyBorder="1"/>
    <xf numFmtId="0" fontId="0" fillId="13" borderId="26" xfId="0" applyFill="1" applyBorder="1"/>
    <xf numFmtId="14" fontId="18" fillId="13" borderId="24" xfId="0" applyNumberFormat="1" applyFont="1" applyFill="1" applyBorder="1"/>
    <xf numFmtId="0" fontId="18" fillId="13" borderId="24" xfId="0" applyFont="1" applyFill="1" applyBorder="1"/>
    <xf numFmtId="165" fontId="1" fillId="0" borderId="2" xfId="0" applyNumberFormat="1" applyFont="1" applyBorder="1"/>
    <xf numFmtId="0" fontId="27" fillId="6" borderId="55" xfId="0" applyFont="1" applyFill="1" applyBorder="1" applyAlignment="1">
      <alignment horizontal="left" vertical="top"/>
    </xf>
    <xf numFmtId="0" fontId="28" fillId="6" borderId="27" xfId="0" applyFont="1" applyFill="1" applyBorder="1" applyAlignment="1">
      <alignment horizontal="left" vertical="top" wrapText="1"/>
    </xf>
    <xf numFmtId="0" fontId="28" fillId="0" borderId="27" xfId="0" applyFont="1" applyBorder="1" applyAlignment="1">
      <alignment horizontal="left" vertical="top" wrapText="1"/>
    </xf>
    <xf numFmtId="0" fontId="28" fillId="0" borderId="27" xfId="0" applyFont="1" applyFill="1" applyBorder="1" applyAlignment="1">
      <alignment horizontal="left" vertical="top" wrapText="1"/>
    </xf>
    <xf numFmtId="0" fontId="27" fillId="6" borderId="82" xfId="0" applyFont="1" applyFill="1" applyBorder="1" applyAlignment="1">
      <alignment horizontal="left" vertical="top"/>
    </xf>
    <xf numFmtId="0" fontId="27" fillId="0" borderId="55" xfId="0" applyFont="1" applyBorder="1" applyAlignment="1">
      <alignment horizontal="center"/>
    </xf>
    <xf numFmtId="0" fontId="27" fillId="0" borderId="55" xfId="0" applyFont="1" applyFill="1" applyBorder="1" applyAlignment="1">
      <alignment horizontal="center" vertical="top"/>
    </xf>
    <xf numFmtId="9" fontId="27" fillId="0" borderId="82" xfId="0" applyNumberFormat="1" applyFont="1" applyFill="1" applyBorder="1" applyAlignment="1">
      <alignment horizontal="center" vertical="top"/>
    </xf>
    <xf numFmtId="9" fontId="27" fillId="0" borderId="82" xfId="0" applyNumberFormat="1" applyFont="1" applyBorder="1" applyAlignment="1">
      <alignment horizontal="center"/>
    </xf>
    <xf numFmtId="165" fontId="27" fillId="0" borderId="82" xfId="1" applyNumberFormat="1" applyFont="1" applyFill="1" applyBorder="1" applyAlignment="1">
      <alignment horizontal="center" vertical="top"/>
    </xf>
    <xf numFmtId="165" fontId="27" fillId="0" borderId="82" xfId="1" applyNumberFormat="1" applyFont="1" applyBorder="1" applyAlignment="1">
      <alignment horizontal="center"/>
    </xf>
    <xf numFmtId="0" fontId="0" fillId="0" borderId="58" xfId="0" applyBorder="1"/>
    <xf numFmtId="0" fontId="0" fillId="0" borderId="83" xfId="0" applyBorder="1"/>
    <xf numFmtId="0" fontId="0" fillId="0" borderId="60" xfId="0" applyBorder="1"/>
    <xf numFmtId="0" fontId="18" fillId="13" borderId="34" xfId="0" applyFont="1" applyFill="1" applyBorder="1" applyAlignment="1">
      <alignment horizontal="center"/>
    </xf>
    <xf numFmtId="0" fontId="18" fillId="13" borderId="33" xfId="0" applyFont="1" applyFill="1" applyBorder="1" applyAlignment="1">
      <alignment horizontal="center"/>
    </xf>
    <xf numFmtId="4" fontId="29" fillId="0" borderId="11" xfId="0" applyNumberFormat="1" applyFont="1" applyBorder="1" applyAlignment="1">
      <alignment horizontal="center"/>
    </xf>
    <xf numFmtId="0" fontId="0" fillId="0" borderId="54" xfId="0" applyBorder="1"/>
    <xf numFmtId="0" fontId="0" fillId="0" borderId="84" xfId="0" applyBorder="1"/>
    <xf numFmtId="4" fontId="29" fillId="0" borderId="12" xfId="0" applyNumberFormat="1" applyFont="1" applyBorder="1" applyAlignment="1">
      <alignment horizontal="center"/>
    </xf>
    <xf numFmtId="4" fontId="29" fillId="0" borderId="27" xfId="0" applyNumberFormat="1" applyFont="1" applyBorder="1" applyAlignment="1">
      <alignment horizontal="center"/>
    </xf>
    <xf numFmtId="4" fontId="29" fillId="0" borderId="50" xfId="0" applyNumberFormat="1" applyFont="1" applyBorder="1" applyAlignment="1">
      <alignment horizontal="center"/>
    </xf>
    <xf numFmtId="4" fontId="29" fillId="0" borderId="3" xfId="0" applyNumberFormat="1" applyFont="1" applyBorder="1" applyAlignment="1">
      <alignment horizontal="center"/>
    </xf>
    <xf numFmtId="4" fontId="29" fillId="0" borderId="14" xfId="0" applyNumberFormat="1" applyFont="1" applyBorder="1" applyAlignment="1">
      <alignment horizontal="center"/>
    </xf>
    <xf numFmtId="4" fontId="29" fillId="0" borderId="55" xfId="0" applyNumberFormat="1" applyFont="1" applyBorder="1" applyAlignment="1">
      <alignment horizontal="center"/>
    </xf>
    <xf numFmtId="4" fontId="29" fillId="0" borderId="57" xfId="0" applyNumberFormat="1" applyFont="1" applyBorder="1" applyAlignment="1">
      <alignment horizontal="center"/>
    </xf>
    <xf numFmtId="4" fontId="0" fillId="0" borderId="55" xfId="0" applyNumberFormat="1" applyBorder="1" applyAlignment="1">
      <alignment horizontal="center"/>
    </xf>
    <xf numFmtId="4" fontId="0" fillId="0" borderId="16" xfId="0" applyNumberFormat="1" applyBorder="1" applyAlignment="1">
      <alignment horizontal="center"/>
    </xf>
    <xf numFmtId="4" fontId="29" fillId="0" borderId="17" xfId="0" applyNumberFormat="1" applyFont="1" applyBorder="1" applyAlignment="1">
      <alignment horizontal="center"/>
    </xf>
    <xf numFmtId="0" fontId="18" fillId="13" borderId="34" xfId="0" applyFont="1" applyFill="1" applyBorder="1" applyAlignment="1">
      <alignment horizontal="left"/>
    </xf>
    <xf numFmtId="165" fontId="0" fillId="0" borderId="10" xfId="1" applyNumberFormat="1" applyFont="1" applyFill="1" applyBorder="1" applyAlignment="1" applyProtection="1">
      <alignment horizontal="center"/>
      <protection hidden="1"/>
    </xf>
    <xf numFmtId="165" fontId="0" fillId="0" borderId="11" xfId="1" applyNumberFormat="1" applyFont="1" applyFill="1" applyBorder="1" applyAlignment="1" applyProtection="1">
      <alignment horizontal="center"/>
      <protection hidden="1"/>
    </xf>
    <xf numFmtId="165" fontId="0" fillId="0" borderId="42" xfId="1" applyNumberFormat="1" applyFont="1" applyFill="1" applyBorder="1" applyAlignment="1" applyProtection="1">
      <alignment horizontal="center"/>
      <protection hidden="1"/>
    </xf>
    <xf numFmtId="165" fontId="0" fillId="0" borderId="12" xfId="1" applyNumberFormat="1" applyFont="1" applyFill="1" applyBorder="1" applyAlignment="1" applyProtection="1">
      <alignment horizontal="center"/>
      <protection hidden="1"/>
    </xf>
    <xf numFmtId="165" fontId="0" fillId="0" borderId="13" xfId="1" applyNumberFormat="1" applyFont="1" applyFill="1" applyBorder="1" applyAlignment="1" applyProtection="1">
      <alignment horizontal="center"/>
      <protection hidden="1"/>
    </xf>
    <xf numFmtId="165" fontId="0" fillId="0" borderId="3" xfId="1" applyNumberFormat="1" applyFont="1" applyFill="1" applyBorder="1" applyAlignment="1" applyProtection="1">
      <alignment horizontal="center"/>
      <protection hidden="1"/>
    </xf>
    <xf numFmtId="165" fontId="0" fillId="0" borderId="24" xfId="1" applyNumberFormat="1" applyFont="1" applyFill="1" applyBorder="1" applyAlignment="1" applyProtection="1">
      <alignment horizontal="center"/>
      <protection hidden="1"/>
    </xf>
    <xf numFmtId="165" fontId="0" fillId="0" borderId="14" xfId="1" applyNumberFormat="1" applyFont="1" applyFill="1" applyBorder="1" applyAlignment="1" applyProtection="1">
      <alignment horizontal="center"/>
      <protection hidden="1"/>
    </xf>
    <xf numFmtId="165" fontId="0" fillId="0" borderId="15" xfId="1" applyNumberFormat="1" applyFont="1" applyFill="1" applyBorder="1" applyAlignment="1" applyProtection="1">
      <alignment horizontal="center"/>
      <protection hidden="1"/>
    </xf>
    <xf numFmtId="165" fontId="0" fillId="0" borderId="16" xfId="1" applyNumberFormat="1" applyFont="1" applyFill="1" applyBorder="1" applyAlignment="1" applyProtection="1">
      <alignment horizontal="center"/>
      <protection hidden="1"/>
    </xf>
    <xf numFmtId="165" fontId="0" fillId="0" borderId="43" xfId="1" applyNumberFormat="1" applyFont="1" applyFill="1" applyBorder="1" applyAlignment="1" applyProtection="1">
      <alignment horizontal="center"/>
      <protection hidden="1"/>
    </xf>
    <xf numFmtId="165" fontId="0" fillId="0" borderId="17" xfId="1" applyNumberFormat="1" applyFont="1" applyFill="1" applyBorder="1" applyAlignment="1" applyProtection="1">
      <alignment horizontal="center"/>
      <protection hidden="1"/>
    </xf>
    <xf numFmtId="165" fontId="0" fillId="0" borderId="18" xfId="1" applyNumberFormat="1" applyFont="1" applyFill="1" applyBorder="1" applyAlignment="1" applyProtection="1">
      <alignment horizontal="center"/>
      <protection hidden="1"/>
    </xf>
    <xf numFmtId="165" fontId="0" fillId="0" borderId="19" xfId="1" applyNumberFormat="1" applyFont="1" applyFill="1" applyBorder="1" applyAlignment="1" applyProtection="1">
      <alignment horizontal="center"/>
      <protection hidden="1"/>
    </xf>
    <xf numFmtId="165" fontId="0" fillId="0" borderId="44" xfId="1" applyNumberFormat="1" applyFont="1" applyFill="1" applyBorder="1" applyAlignment="1" applyProtection="1">
      <alignment horizontal="center"/>
      <protection hidden="1"/>
    </xf>
    <xf numFmtId="165" fontId="0" fillId="0" borderId="20" xfId="1" applyNumberFormat="1" applyFont="1" applyFill="1" applyBorder="1" applyAlignment="1" applyProtection="1">
      <alignment horizontal="center"/>
      <protection hidden="1"/>
    </xf>
    <xf numFmtId="0" fontId="1" fillId="12" borderId="0" xfId="0" applyFont="1" applyFill="1" applyAlignment="1">
      <alignment horizontal="left" indent="1"/>
    </xf>
    <xf numFmtId="0" fontId="0" fillId="0" borderId="0" xfId="0" applyFont="1" applyAlignment="1">
      <alignment horizontal="left" vertical="top" wrapText="1" indent="1"/>
    </xf>
    <xf numFmtId="0" fontId="1" fillId="9" borderId="1" xfId="0" applyFont="1" applyFill="1" applyBorder="1" applyAlignment="1">
      <alignment horizontal="center" wrapText="1"/>
    </xf>
    <xf numFmtId="0" fontId="1" fillId="9" borderId="34" xfId="0" applyFont="1" applyFill="1" applyBorder="1" applyAlignment="1">
      <alignment horizontal="center" wrapText="1"/>
    </xf>
    <xf numFmtId="0" fontId="1" fillId="9" borderId="33" xfId="0" applyFont="1" applyFill="1" applyBorder="1" applyAlignment="1">
      <alignment horizontal="center" wrapText="1"/>
    </xf>
    <xf numFmtId="0" fontId="0" fillId="0" borderId="62" xfId="0" applyBorder="1" applyAlignment="1">
      <alignment horizontal="left" vertical="top" wrapText="1" indent="1"/>
    </xf>
    <xf numFmtId="0" fontId="0" fillId="0" borderId="63" xfId="0" applyBorder="1" applyAlignment="1">
      <alignment horizontal="left" vertical="top" wrapText="1" indent="1"/>
    </xf>
  </cellXfs>
  <cellStyles count="3">
    <cellStyle name="Hiperligação" xfId="2" builtinId="8"/>
    <cellStyle name="Normal" xfId="0" builtinId="0"/>
    <cellStyle name="Percentagem" xfId="1" builtinId="5"/>
  </cellStyles>
  <dxfs count="5">
    <dxf>
      <fill>
        <patternFill>
          <bgColor theme="6"/>
        </patternFill>
      </fill>
    </dxf>
    <dxf>
      <fill>
        <patternFill>
          <bgColor theme="6"/>
        </patternFill>
      </fill>
    </dxf>
    <dxf>
      <fill>
        <patternFill>
          <bgColor theme="6"/>
        </patternFill>
      </fill>
    </dxf>
    <dxf>
      <fill>
        <patternFill>
          <bgColor theme="6"/>
        </patternFill>
      </fill>
    </dxf>
    <dxf>
      <fill>
        <patternFill>
          <bgColor theme="6"/>
        </patternFill>
      </fill>
    </dxf>
  </dxfs>
  <tableStyles count="0" defaultTableStyle="TableStyleMedium2" defaultPivotStyle="PivotStyleLight16"/>
  <colors>
    <mruColors>
      <color rgb="FFCC99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'Pre-scaling RPM'!$A$4:$B$10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'Pre-scaling RPM'!$C$4:$C$10</c:f>
              <c:numCache>
                <c:formatCode>0.000</c:formatCode>
                <c:ptCount val="7"/>
                <c:pt idx="0">
                  <c:v>0.1084282440194906</c:v>
                </c:pt>
                <c:pt idx="1">
                  <c:v>9.9866876586772735E-2</c:v>
                </c:pt>
                <c:pt idx="2">
                  <c:v>2.9366698353950633E-2</c:v>
                </c:pt>
                <c:pt idx="3">
                  <c:v>2.3800136129670614E-2</c:v>
                </c:pt>
                <c:pt idx="4">
                  <c:v>0</c:v>
                </c:pt>
                <c:pt idx="5">
                  <c:v>5.6912160700480677E-2</c:v>
                </c:pt>
                <c:pt idx="6">
                  <c:v>0.19139463625988049</c:v>
                </c:pt>
              </c:numCache>
            </c:numRef>
          </c:val>
          <c:extLst>
            <c:ext xmlns:c16="http://schemas.microsoft.com/office/drawing/2014/chart" uri="{C3380CC4-5D6E-409C-BE32-E72D297353CC}">
              <c16:uniqueId val="{00000000-1985-40C0-8C5B-35DDAAA8E478}"/>
            </c:ext>
          </c:extLst>
        </c:ser>
        <c:dLbls>
          <c:showLegendKey val="0"/>
          <c:showVal val="0"/>
          <c:showCatName val="0"/>
          <c:showSerName val="0"/>
          <c:showPercent val="0"/>
          <c:showBubbleSize val="0"/>
        </c:dLbls>
        <c:gapWidth val="58"/>
        <c:axId val="628709368"/>
        <c:axId val="628699528"/>
      </c:barChart>
      <c:catAx>
        <c:axId val="62870936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 / (kWh/dia)</a:t>
                </a:r>
                <a:r>
                  <a:rPr lang="pt-PT" baseline="0"/>
                  <a:t> por ano</a:t>
                </a:r>
              </a:p>
              <a:p>
                <a:pPr>
                  <a:defRPr/>
                </a:pPr>
                <a:endParaRPr lang="pt-PT"/>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PT"/>
          </a:p>
        </c:txPr>
        <c:crossAx val="628699528"/>
        <c:crosses val="autoZero"/>
        <c:auto val="1"/>
        <c:lblAlgn val="ctr"/>
        <c:lblOffset val="100"/>
        <c:noMultiLvlLbl val="0"/>
      </c:catAx>
      <c:valAx>
        <c:axId val="628699528"/>
        <c:scaling>
          <c:orientation val="minMax"/>
        </c:scaling>
        <c:delete val="0"/>
        <c:axPos val="t"/>
        <c:numFmt formatCode="0.0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628709368"/>
        <c:crosses val="autoZero"/>
        <c:crossBetween val="between"/>
      </c:valAx>
      <c:spPr>
        <a:noFill/>
        <a:ln w="12700">
          <a:solidFill>
            <a:schemeClr val="tx1"/>
          </a:solidFill>
        </a:ln>
        <a:effectLst/>
      </c:spPr>
    </c:plotArea>
    <c:plotVisOnly val="1"/>
    <c:dispBlanksAs val="gap"/>
    <c:showDLblsOverMax val="0"/>
  </c:chart>
  <c:spPr>
    <a:noFill/>
    <a:ln w="9525" cap="flat" cmpd="sng" algn="ctr">
      <a:noFill/>
      <a:round/>
    </a:ln>
    <a:effectLst/>
  </c:spPr>
  <c:txPr>
    <a:bodyPr/>
    <a:lstStyle/>
    <a:p>
      <a:pPr>
        <a:defRPr/>
      </a:pPr>
      <a:endParaRPr lang="pt-P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CWDvsRPM!$C$3</c:f>
              <c:strCache>
                <c:ptCount val="1"/>
                <c:pt idx="0">
                  <c:v>CWD</c:v>
                </c:pt>
              </c:strCache>
            </c:strRef>
          </c:tx>
          <c:spPr>
            <a:solidFill>
              <a:schemeClr val="tx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CWDvsRPM!$A$4:$B$10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CWDvsRPM!$C$4:$C$10</c:f>
              <c:numCache>
                <c:formatCode>0.000</c:formatCode>
                <c:ptCount val="7"/>
                <c:pt idx="0">
                  <c:v>0.17158722898701539</c:v>
                </c:pt>
                <c:pt idx="1">
                  <c:v>0.16040705633001673</c:v>
                </c:pt>
                <c:pt idx="2">
                  <c:v>0</c:v>
                </c:pt>
                <c:pt idx="3">
                  <c:v>0.16988159849688919</c:v>
                </c:pt>
                <c:pt idx="4">
                  <c:v>0</c:v>
                </c:pt>
                <c:pt idx="5">
                  <c:v>0</c:v>
                </c:pt>
                <c:pt idx="6">
                  <c:v>0.11844408425808933</c:v>
                </c:pt>
              </c:numCache>
            </c:numRef>
          </c:val>
          <c:extLst>
            <c:ext xmlns:c16="http://schemas.microsoft.com/office/drawing/2014/chart" uri="{C3380CC4-5D6E-409C-BE32-E72D297353CC}">
              <c16:uniqueId val="{00000000-5314-4F9D-AC67-52D0D71CCFB3}"/>
            </c:ext>
          </c:extLst>
        </c:ser>
        <c:ser>
          <c:idx val="1"/>
          <c:order val="1"/>
          <c:tx>
            <c:strRef>
              <c:f>CWDvsRPM!$D$3</c:f>
              <c:strCache>
                <c:ptCount val="1"/>
                <c:pt idx="0">
                  <c:v>CWD 28/72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CWDvsRPM!$A$4:$B$10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CWDvsRPM!$D$4:$D$10</c:f>
              <c:numCache>
                <c:formatCode>0.000</c:formatCode>
                <c:ptCount val="7"/>
                <c:pt idx="0">
                  <c:v>9.6088848232728619E-2</c:v>
                </c:pt>
                <c:pt idx="1">
                  <c:v>8.9827951544809354E-2</c:v>
                </c:pt>
                <c:pt idx="2">
                  <c:v>0</c:v>
                </c:pt>
                <c:pt idx="3">
                  <c:v>0.2446295018355204</c:v>
                </c:pt>
                <c:pt idx="4">
                  <c:v>0</c:v>
                </c:pt>
                <c:pt idx="5">
                  <c:v>0</c:v>
                </c:pt>
                <c:pt idx="6">
                  <c:v>0.17055948133164864</c:v>
                </c:pt>
              </c:numCache>
            </c:numRef>
          </c:val>
          <c:extLst>
            <c:ext xmlns:c16="http://schemas.microsoft.com/office/drawing/2014/chart" uri="{C3380CC4-5D6E-409C-BE32-E72D297353CC}">
              <c16:uniqueId val="{00000001-5314-4F9D-AC67-52D0D71CCFB3}"/>
            </c:ext>
          </c:extLst>
        </c:ser>
        <c:ser>
          <c:idx val="2"/>
          <c:order val="2"/>
          <c:tx>
            <c:strRef>
              <c:f>CWDvsRPM!$E$3</c:f>
              <c:strCache>
                <c:ptCount val="1"/>
                <c:pt idx="0">
                  <c:v>CWD modificada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CWDvsRPM!$A$4:$B$10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CWDvsRPM!$E$4:$E$10</c:f>
              <c:numCache>
                <c:formatCode>0.000</c:formatCode>
                <c:ptCount val="7"/>
                <c:pt idx="0">
                  <c:v>9.6909950304880865E-2</c:v>
                </c:pt>
                <c:pt idx="1">
                  <c:v>8.925805388297281E-2</c:v>
                </c:pt>
                <c:pt idx="2">
                  <c:v>0</c:v>
                </c:pt>
                <c:pt idx="3">
                  <c:v>2.1283016643045313E-2</c:v>
                </c:pt>
                <c:pt idx="4">
                  <c:v>0</c:v>
                </c:pt>
                <c:pt idx="5">
                  <c:v>0</c:v>
                </c:pt>
                <c:pt idx="6">
                  <c:v>0.17115260209921396</c:v>
                </c:pt>
              </c:numCache>
            </c:numRef>
          </c:val>
          <c:extLst>
            <c:ext xmlns:c16="http://schemas.microsoft.com/office/drawing/2014/chart" uri="{C3380CC4-5D6E-409C-BE32-E72D297353CC}">
              <c16:uniqueId val="{00000000-AFCE-49EB-ABDA-A4F199BB5267}"/>
            </c:ext>
          </c:extLst>
        </c:ser>
        <c:dLbls>
          <c:showLegendKey val="0"/>
          <c:showVal val="0"/>
          <c:showCatName val="0"/>
          <c:showSerName val="0"/>
          <c:showPercent val="0"/>
          <c:showBubbleSize val="0"/>
        </c:dLbls>
        <c:gapWidth val="38"/>
        <c:overlap val="-25"/>
        <c:axId val="672456288"/>
        <c:axId val="672453008"/>
      </c:barChart>
      <c:catAx>
        <c:axId val="672456288"/>
        <c:scaling>
          <c:orientation val="maxMin"/>
        </c:scaling>
        <c:delete val="0"/>
        <c:axPos val="l"/>
        <c:majorGridlines>
          <c:spPr>
            <a:ln w="6350" cap="flat" cmpd="sng" algn="ctr">
              <a:solidFill>
                <a:schemeClr val="tx1"/>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 / (kWh/dia) por ano</a:t>
                </a:r>
              </a:p>
              <a:p>
                <a:pPr>
                  <a:defRPr/>
                </a:pPr>
                <a:endParaRPr lang="pt-PT"/>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pt-PT"/>
          </a:p>
        </c:txPr>
        <c:crossAx val="672453008"/>
        <c:crosses val="autoZero"/>
        <c:auto val="1"/>
        <c:lblAlgn val="ctr"/>
        <c:lblOffset val="100"/>
        <c:noMultiLvlLbl val="0"/>
      </c:catAx>
      <c:valAx>
        <c:axId val="672453008"/>
        <c:scaling>
          <c:orientation val="minMax"/>
          <c:max val="0.30000000000000004"/>
        </c:scaling>
        <c:delete val="0"/>
        <c:axPos val="t"/>
        <c:numFmt formatCode="0.00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672456288"/>
        <c:crosses val="autoZero"/>
        <c:crossBetween val="between"/>
        <c:majorUnit val="1.0000000000000002E-2"/>
      </c:valAx>
      <c:spPr>
        <a:noFill/>
        <a:ln w="12700">
          <a:solidFill>
            <a:schemeClr val="tx1"/>
          </a:solid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noFill/>
      <a:round/>
    </a:ln>
    <a:effectLst/>
  </c:spPr>
  <c:txPr>
    <a:bodyPr/>
    <a:lstStyle/>
    <a:p>
      <a:pPr>
        <a:defRPr/>
      </a:pPr>
      <a:endParaRPr lang="pt-P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'Pre-scaling CWD'!$A$4:$B$10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'Pre-scaling CWD'!$C$4:$C$10</c:f>
              <c:numCache>
                <c:formatCode>0.0000</c:formatCode>
                <c:ptCount val="7"/>
                <c:pt idx="0">
                  <c:v>0.19003886616354931</c:v>
                </c:pt>
                <c:pt idx="1">
                  <c:v>0.17765643334618897</c:v>
                </c:pt>
                <c:pt idx="2">
                  <c:v>9.4707117410709168E-2</c:v>
                </c:pt>
                <c:pt idx="3">
                  <c:v>0.18716032906119306</c:v>
                </c:pt>
                <c:pt idx="4" formatCode="#\ ##0.0000">
                  <c:v>0</c:v>
                </c:pt>
                <c:pt idx="5" formatCode="#\ ##0.0000">
                  <c:v>0.10796151620890762</c:v>
                </c:pt>
                <c:pt idx="6">
                  <c:v>0.13049108309103655</c:v>
                </c:pt>
              </c:numCache>
            </c:numRef>
          </c:val>
          <c:extLst>
            <c:ext xmlns:c16="http://schemas.microsoft.com/office/drawing/2014/chart" uri="{C3380CC4-5D6E-409C-BE32-E72D297353CC}">
              <c16:uniqueId val="{00000000-B671-4D88-BA29-8CF0488E51B0}"/>
            </c:ext>
          </c:extLst>
        </c:ser>
        <c:dLbls>
          <c:showLegendKey val="0"/>
          <c:showVal val="0"/>
          <c:showCatName val="0"/>
          <c:showSerName val="0"/>
          <c:showPercent val="0"/>
          <c:showBubbleSize val="0"/>
        </c:dLbls>
        <c:gapWidth val="58"/>
        <c:axId val="628709368"/>
        <c:axId val="628699528"/>
      </c:barChart>
      <c:catAx>
        <c:axId val="62870936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 / (kWh/dia) por ano</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pt-PT"/>
          </a:p>
        </c:txPr>
        <c:crossAx val="628699528"/>
        <c:crosses val="autoZero"/>
        <c:auto val="1"/>
        <c:lblAlgn val="ctr"/>
        <c:lblOffset val="100"/>
        <c:noMultiLvlLbl val="0"/>
      </c:catAx>
      <c:valAx>
        <c:axId val="628699528"/>
        <c:scaling>
          <c:orientation val="minMax"/>
        </c:scaling>
        <c:delete val="0"/>
        <c:axPos val="t"/>
        <c:numFmt formatCode="0.00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628709368"/>
        <c:crosses val="autoZero"/>
        <c:crossBetween val="between"/>
      </c:valAx>
      <c:spPr>
        <a:noFill/>
        <a:ln w="12700">
          <a:solidFill>
            <a:schemeClr val="tx1"/>
          </a:solidFill>
        </a:ln>
        <a:effectLst/>
      </c:spPr>
    </c:plotArea>
    <c:plotVisOnly val="1"/>
    <c:dispBlanksAs val="gap"/>
    <c:showDLblsOverMax val="0"/>
  </c:chart>
  <c:spPr>
    <a:solidFill>
      <a:schemeClr val="bg2"/>
    </a:solidFill>
    <a:ln w="9525" cap="flat" cmpd="sng" algn="ctr">
      <a:noFill/>
      <a:round/>
    </a:ln>
    <a:effectLst/>
  </c:spPr>
  <c:txPr>
    <a:bodyPr/>
    <a:lstStyle/>
    <a:p>
      <a:pPr>
        <a:defRPr/>
      </a:pPr>
      <a:endParaRPr lang="pt-P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'Pre-scaling CWD 28-72'!$A$4:$B$10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'Pre-scaling CWD 28-72'!$C$4:$C$10</c:f>
              <c:numCache>
                <c:formatCode>0.0000</c:formatCode>
                <c:ptCount val="7"/>
                <c:pt idx="0">
                  <c:v>0.10642176505158764</c:v>
                </c:pt>
                <c:pt idx="1">
                  <c:v>9.9487602673865833E-2</c:v>
                </c:pt>
                <c:pt idx="2">
                  <c:v>5.3035985749997142E-2</c:v>
                </c:pt>
                <c:pt idx="3">
                  <c:v>0.269510873848118</c:v>
                </c:pt>
                <c:pt idx="4" formatCode="#\ ##0.0000">
                  <c:v>0</c:v>
                </c:pt>
                <c:pt idx="5" formatCode="#\ ##0.0000">
                  <c:v>0.15546458334082697</c:v>
                </c:pt>
                <c:pt idx="6">
                  <c:v>0.18790715965109264</c:v>
                </c:pt>
              </c:numCache>
            </c:numRef>
          </c:val>
          <c:extLst>
            <c:ext xmlns:c16="http://schemas.microsoft.com/office/drawing/2014/chart" uri="{C3380CC4-5D6E-409C-BE32-E72D297353CC}">
              <c16:uniqueId val="{00000000-F7F8-44EE-A95D-85B396BD9E4A}"/>
            </c:ext>
          </c:extLst>
        </c:ser>
        <c:dLbls>
          <c:showLegendKey val="0"/>
          <c:showVal val="0"/>
          <c:showCatName val="0"/>
          <c:showSerName val="0"/>
          <c:showPercent val="0"/>
          <c:showBubbleSize val="0"/>
        </c:dLbls>
        <c:gapWidth val="58"/>
        <c:axId val="628709368"/>
        <c:axId val="628699528"/>
      </c:barChart>
      <c:catAx>
        <c:axId val="62870936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 / (kWh/dia) por ano</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pt-PT"/>
          </a:p>
        </c:txPr>
        <c:crossAx val="628699528"/>
        <c:crosses val="autoZero"/>
        <c:auto val="1"/>
        <c:lblAlgn val="ctr"/>
        <c:lblOffset val="100"/>
        <c:noMultiLvlLbl val="0"/>
      </c:catAx>
      <c:valAx>
        <c:axId val="628699528"/>
        <c:scaling>
          <c:orientation val="minMax"/>
        </c:scaling>
        <c:delete val="0"/>
        <c:axPos val="t"/>
        <c:numFmt formatCode="0.00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628709368"/>
        <c:crosses val="autoZero"/>
        <c:crossBetween val="between"/>
      </c:valAx>
      <c:spPr>
        <a:noFill/>
        <a:ln w="12700">
          <a:solidFill>
            <a:schemeClr val="tx1"/>
          </a:solidFill>
        </a:ln>
        <a:effectLst/>
      </c:spPr>
    </c:plotArea>
    <c:plotVisOnly val="1"/>
    <c:dispBlanksAs val="gap"/>
    <c:showDLblsOverMax val="0"/>
  </c:chart>
  <c:spPr>
    <a:solidFill>
      <a:schemeClr val="bg2"/>
    </a:solidFill>
    <a:ln w="9525" cap="flat" cmpd="sng" algn="ctr">
      <a:noFill/>
      <a:round/>
    </a:ln>
    <a:effectLst/>
  </c:spPr>
  <c:txPr>
    <a:bodyPr/>
    <a:lstStyle/>
    <a:p>
      <a:pPr>
        <a:defRPr/>
      </a:pPr>
      <a:endParaRPr lang="pt-P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Quadros!$P$29:$P$30</c:f>
              <c:strCache>
                <c:ptCount val="2"/>
                <c:pt idx="0">
                  <c:v>Preços pré-equalização</c:v>
                </c:pt>
                <c:pt idx="1">
                  <c:v>€/(kWh/d)/year</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Quadros!$N$31:$O$45</c:f>
              <c:multiLvlStrCache>
                <c:ptCount val="15"/>
                <c:lvl>
                  <c:pt idx="0">
                    <c:v>A</c:v>
                  </c:pt>
                  <c:pt idx="1">
                    <c:v>B</c:v>
                  </c:pt>
                  <c:pt idx="2">
                    <c:v>C</c:v>
                  </c:pt>
                  <c:pt idx="3">
                    <c:v>D</c:v>
                  </c:pt>
                  <c:pt idx="4">
                    <c:v>A</c:v>
                  </c:pt>
                  <c:pt idx="5">
                    <c:v>B</c:v>
                  </c:pt>
                  <c:pt idx="6">
                    <c:v>C</c:v>
                  </c:pt>
                  <c:pt idx="7">
                    <c:v>D</c:v>
                  </c:pt>
                  <c:pt idx="8">
                    <c:v>E</c:v>
                  </c:pt>
                  <c:pt idx="9">
                    <c:v>F</c:v>
                  </c:pt>
                  <c:pt idx="10">
                    <c:v>G</c:v>
                  </c:pt>
                  <c:pt idx="11">
                    <c:v>H</c:v>
                  </c:pt>
                  <c:pt idx="12">
                    <c:v>I</c:v>
                  </c:pt>
                  <c:pt idx="13">
                    <c:v>J</c:v>
                  </c:pt>
                  <c:pt idx="14">
                    <c:v>K</c:v>
                  </c:pt>
                </c:lvl>
                <c:lvl>
                  <c:pt idx="0">
                    <c:v>Entrada</c:v>
                  </c:pt>
                  <c:pt idx="4">
                    <c:v>Saída</c:v>
                  </c:pt>
                </c:lvl>
              </c:multiLvlStrCache>
            </c:multiLvlStrRef>
          </c:cat>
          <c:val>
            <c:numRef>
              <c:f>Quadros!$P$31:$P$45</c:f>
              <c:numCache>
                <c:formatCode>0.000</c:formatCode>
                <c:ptCount val="15"/>
                <c:pt idx="0">
                  <c:v>0.10858149088434246</c:v>
                </c:pt>
                <c:pt idx="1">
                  <c:v>0.10637473603047552</c:v>
                </c:pt>
                <c:pt idx="2">
                  <c:v>9.9866876586772735E-2</c:v>
                </c:pt>
                <c:pt idx="3">
                  <c:v>2.9366698353950633E-2</c:v>
                </c:pt>
                <c:pt idx="4">
                  <c:v>2.2983737208252857E-2</c:v>
                </c:pt>
                <c:pt idx="5">
                  <c:v>2.5596213756789683E-2</c:v>
                </c:pt>
                <c:pt idx="6">
                  <c:v>0</c:v>
                </c:pt>
                <c:pt idx="7">
                  <c:v>5.6912160700480677E-2</c:v>
                </c:pt>
                <c:pt idx="8">
                  <c:v>0.18692251933810602</c:v>
                </c:pt>
                <c:pt idx="9">
                  <c:v>0.24982827063876509</c:v>
                </c:pt>
                <c:pt idx="10">
                  <c:v>0.17326513648862091</c:v>
                </c:pt>
                <c:pt idx="11">
                  <c:v>0.14906056473719115</c:v>
                </c:pt>
                <c:pt idx="12">
                  <c:v>0.27181378114459387</c:v>
                </c:pt>
                <c:pt idx="13">
                  <c:v>0.1199328833813148</c:v>
                </c:pt>
                <c:pt idx="14">
                  <c:v>0.21488661136967985</c:v>
                </c:pt>
              </c:numCache>
            </c:numRef>
          </c:val>
          <c:extLst>
            <c:ext xmlns:c16="http://schemas.microsoft.com/office/drawing/2014/chart" uri="{C3380CC4-5D6E-409C-BE32-E72D297353CC}">
              <c16:uniqueId val="{00000000-E3B5-43C4-972A-F1057CD7217E}"/>
            </c:ext>
          </c:extLst>
        </c:ser>
        <c:dLbls>
          <c:showLegendKey val="0"/>
          <c:showVal val="0"/>
          <c:showCatName val="0"/>
          <c:showSerName val="0"/>
          <c:showPercent val="0"/>
          <c:showBubbleSize val="0"/>
        </c:dLbls>
        <c:gapWidth val="58"/>
        <c:axId val="628709368"/>
        <c:axId val="628699528"/>
      </c:barChart>
      <c:catAx>
        <c:axId val="62870936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 / (kWh/dia)</a:t>
                </a:r>
                <a:r>
                  <a:rPr lang="pt-PT" baseline="0"/>
                  <a:t> por ano</a:t>
                </a:r>
              </a:p>
              <a:p>
                <a:pPr>
                  <a:defRPr/>
                </a:pPr>
                <a:endParaRPr lang="pt-PT"/>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pt-PT"/>
          </a:p>
        </c:txPr>
        <c:crossAx val="628699528"/>
        <c:crosses val="autoZero"/>
        <c:auto val="1"/>
        <c:lblAlgn val="ctr"/>
        <c:lblOffset val="100"/>
        <c:noMultiLvlLbl val="0"/>
      </c:catAx>
      <c:valAx>
        <c:axId val="628699528"/>
        <c:scaling>
          <c:orientation val="minMax"/>
        </c:scaling>
        <c:delete val="0"/>
        <c:axPos val="t"/>
        <c:numFmt formatCode="0.0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628709368"/>
        <c:crosses val="autoZero"/>
        <c:crossBetween val="between"/>
      </c:valAx>
      <c:spPr>
        <a:noFill/>
        <a:ln w="12700">
          <a:solidFill>
            <a:schemeClr val="tx1"/>
          </a:solidFill>
        </a:ln>
        <a:effectLst/>
      </c:spPr>
    </c:plotArea>
    <c:plotVisOnly val="1"/>
    <c:dispBlanksAs val="gap"/>
    <c:showDLblsOverMax val="0"/>
  </c:chart>
  <c:spPr>
    <a:noFill/>
    <a:ln w="9525" cap="flat" cmpd="sng" algn="ctr">
      <a:noFill/>
      <a:round/>
    </a:ln>
    <a:effectLst/>
  </c:spPr>
  <c:txPr>
    <a:bodyPr/>
    <a:lstStyle/>
    <a:p>
      <a:pPr>
        <a:defRPr/>
      </a:pPr>
      <a:endParaRPr lang="pt-P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Quadros!$Y$48</c:f>
              <c:strCache>
                <c:ptCount val="1"/>
                <c:pt idx="0">
                  <c:v>Preços pós-equalização</c:v>
                </c:pt>
              </c:strCache>
            </c:strRef>
          </c:tx>
          <c:spPr>
            <a:solidFill>
              <a:schemeClr val="tx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CWDvsRPM!$A$4:$B$10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'Pre-scaling RPM'!$C$4:$C$10</c:f>
              <c:numCache>
                <c:formatCode>0.000</c:formatCode>
                <c:ptCount val="7"/>
                <c:pt idx="0">
                  <c:v>0.1084282440194906</c:v>
                </c:pt>
                <c:pt idx="1">
                  <c:v>9.9866876586772735E-2</c:v>
                </c:pt>
                <c:pt idx="2">
                  <c:v>2.9366698353950633E-2</c:v>
                </c:pt>
                <c:pt idx="3">
                  <c:v>2.3800136129670614E-2</c:v>
                </c:pt>
                <c:pt idx="4">
                  <c:v>0</c:v>
                </c:pt>
                <c:pt idx="5">
                  <c:v>5.6912160700480677E-2</c:v>
                </c:pt>
                <c:pt idx="6">
                  <c:v>0.19139463625988049</c:v>
                </c:pt>
              </c:numCache>
            </c:numRef>
          </c:val>
          <c:extLst>
            <c:ext xmlns:c16="http://schemas.microsoft.com/office/drawing/2014/chart" uri="{C3380CC4-5D6E-409C-BE32-E72D297353CC}">
              <c16:uniqueId val="{00000000-F90B-4292-BBA3-3642B4EA2C1F}"/>
            </c:ext>
          </c:extLst>
        </c:ser>
        <c:ser>
          <c:idx val="2"/>
          <c:order val="1"/>
          <c:tx>
            <c:strRef>
              <c:f>Quadros!$Y$49</c:f>
              <c:strCache>
                <c:ptCount val="1"/>
                <c:pt idx="0">
                  <c:v>Preços de referência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CWDvsRPM!$A$4:$B$10</c:f>
              <c:multiLvlStrCache>
                <c:ptCount val="7"/>
                <c:lvl>
                  <c:pt idx="0">
                    <c:v>VIP [A+B]</c:v>
                  </c:pt>
                  <c:pt idx="1">
                    <c:v>Terminal GNL [C]</c:v>
                  </c:pt>
                  <c:pt idx="2">
                    <c:v>Armazenamento [D]</c:v>
                  </c:pt>
                  <c:pt idx="3">
                    <c:v>VIP [A+B]</c:v>
                  </c:pt>
                  <c:pt idx="4">
                    <c:v>Terminal GNL [C]</c:v>
                  </c:pt>
                  <c:pt idx="5">
                    <c:v>Armazenamento [D]</c:v>
                  </c:pt>
                  <c:pt idx="6">
                    <c:v>Consumo [E - K]</c:v>
                  </c:pt>
                </c:lvl>
                <c:lvl>
                  <c:pt idx="0">
                    <c:v>Entrada</c:v>
                  </c:pt>
                  <c:pt idx="3">
                    <c:v>Saída</c:v>
                  </c:pt>
                </c:lvl>
              </c:multiLvlStrCache>
            </c:multiLvlStrRef>
          </c:cat>
          <c:val>
            <c:numRef>
              <c:f>CWDvsRPM!$E$4:$E$10</c:f>
              <c:numCache>
                <c:formatCode>0.000</c:formatCode>
                <c:ptCount val="7"/>
                <c:pt idx="0">
                  <c:v>9.6909950304880865E-2</c:v>
                </c:pt>
                <c:pt idx="1">
                  <c:v>8.925805388297281E-2</c:v>
                </c:pt>
                <c:pt idx="2">
                  <c:v>0</c:v>
                </c:pt>
                <c:pt idx="3">
                  <c:v>2.1283016643045313E-2</c:v>
                </c:pt>
                <c:pt idx="4">
                  <c:v>0</c:v>
                </c:pt>
                <c:pt idx="5">
                  <c:v>0</c:v>
                </c:pt>
                <c:pt idx="6">
                  <c:v>0.17115260209921396</c:v>
                </c:pt>
              </c:numCache>
            </c:numRef>
          </c:val>
          <c:extLst>
            <c:ext xmlns:c16="http://schemas.microsoft.com/office/drawing/2014/chart" uri="{C3380CC4-5D6E-409C-BE32-E72D297353CC}">
              <c16:uniqueId val="{00000002-F90B-4292-BBA3-3642B4EA2C1F}"/>
            </c:ext>
          </c:extLst>
        </c:ser>
        <c:dLbls>
          <c:showLegendKey val="0"/>
          <c:showVal val="0"/>
          <c:showCatName val="0"/>
          <c:showSerName val="0"/>
          <c:showPercent val="0"/>
          <c:showBubbleSize val="0"/>
        </c:dLbls>
        <c:gapWidth val="38"/>
        <c:overlap val="-25"/>
        <c:axId val="672456288"/>
        <c:axId val="672453008"/>
      </c:barChart>
      <c:catAx>
        <c:axId val="672456288"/>
        <c:scaling>
          <c:orientation val="maxMin"/>
        </c:scaling>
        <c:delete val="0"/>
        <c:axPos val="l"/>
        <c:majorGridlines>
          <c:spPr>
            <a:ln w="6350" cap="flat" cmpd="sng" algn="ctr">
              <a:solidFill>
                <a:schemeClr val="tx1"/>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 / (kWh/dia) por ano</a:t>
                </a:r>
              </a:p>
              <a:p>
                <a:pPr>
                  <a:defRPr/>
                </a:pPr>
                <a:endParaRPr lang="pt-PT"/>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PT"/>
          </a:p>
        </c:txPr>
        <c:crossAx val="672453008"/>
        <c:crosses val="autoZero"/>
        <c:auto val="1"/>
        <c:lblAlgn val="ctr"/>
        <c:lblOffset val="100"/>
        <c:noMultiLvlLbl val="0"/>
      </c:catAx>
      <c:valAx>
        <c:axId val="672453008"/>
        <c:scaling>
          <c:orientation val="minMax"/>
        </c:scaling>
        <c:delete val="0"/>
        <c:axPos val="t"/>
        <c:numFmt formatCode="0.00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672456288"/>
        <c:crosses val="autoZero"/>
        <c:crossBetween val="between"/>
      </c:valAx>
      <c:spPr>
        <a:noFill/>
        <a:ln w="12700">
          <a:solidFill>
            <a:schemeClr val="tx1"/>
          </a:solid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noFill/>
    <a:ln w="9525" cap="flat" cmpd="sng" algn="ctr">
      <a:noFill/>
      <a:round/>
    </a:ln>
    <a:effectLst/>
  </c:spPr>
  <c:txPr>
    <a:bodyPr/>
    <a:lstStyle/>
    <a:p>
      <a:pPr>
        <a:defRPr/>
      </a:pPr>
      <a:endParaRPr lang="pt-P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2</xdr:col>
      <xdr:colOff>85725</xdr:colOff>
      <xdr:row>2</xdr:row>
      <xdr:rowOff>57149</xdr:rowOff>
    </xdr:from>
    <xdr:to>
      <xdr:col>6</xdr:col>
      <xdr:colOff>380121</xdr:colOff>
      <xdr:row>6</xdr:row>
      <xdr:rowOff>104556</xdr:rowOff>
    </xdr:to>
    <xdr:pic>
      <xdr:nvPicPr>
        <xdr:cNvPr id="2" name="Image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5325" y="438149"/>
          <a:ext cx="2880000" cy="8180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10583</xdr:colOff>
      <xdr:row>0</xdr:row>
      <xdr:rowOff>88900</xdr:rowOff>
    </xdr:from>
    <xdr:to>
      <xdr:col>6</xdr:col>
      <xdr:colOff>2243666</xdr:colOff>
      <xdr:row>11</xdr:row>
      <xdr:rowOff>21167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95250</xdr:colOff>
      <xdr:row>10</xdr:row>
      <xdr:rowOff>85725</xdr:rowOff>
    </xdr:from>
    <xdr:to>
      <xdr:col>5</xdr:col>
      <xdr:colOff>606109</xdr:colOff>
      <xdr:row>25</xdr:row>
      <xdr:rowOff>108225</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10583</xdr:colOff>
      <xdr:row>0</xdr:row>
      <xdr:rowOff>88900</xdr:rowOff>
    </xdr:from>
    <xdr:to>
      <xdr:col>6</xdr:col>
      <xdr:colOff>2243666</xdr:colOff>
      <xdr:row>11</xdr:row>
      <xdr:rowOff>21167</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10583</xdr:colOff>
      <xdr:row>0</xdr:row>
      <xdr:rowOff>88900</xdr:rowOff>
    </xdr:from>
    <xdr:to>
      <xdr:col>6</xdr:col>
      <xdr:colOff>2243666</xdr:colOff>
      <xdr:row>11</xdr:row>
      <xdr:rowOff>21167</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16</xdr:col>
      <xdr:colOff>114300</xdr:colOff>
      <xdr:row>27</xdr:row>
      <xdr:rowOff>190498</xdr:rowOff>
    </xdr:from>
    <xdr:to>
      <xdr:col>23</xdr:col>
      <xdr:colOff>419100</xdr:colOff>
      <xdr:row>41</xdr:row>
      <xdr:rowOff>185398</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23813</xdr:colOff>
      <xdr:row>49</xdr:row>
      <xdr:rowOff>107157</xdr:rowOff>
    </xdr:from>
    <xdr:to>
      <xdr:col>32</xdr:col>
      <xdr:colOff>27991</xdr:colOff>
      <xdr:row>62</xdr:row>
      <xdr:rowOff>150657</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25"/>
  </sheetPr>
  <dimension ref="A1:U37"/>
  <sheetViews>
    <sheetView showGridLines="0" showRowColHeaders="0" tabSelected="1" zoomScale="110" zoomScaleNormal="110" workbookViewId="0">
      <selection activeCell="R3" sqref="R3"/>
    </sheetView>
  </sheetViews>
  <sheetFormatPr defaultColWidth="0" defaultRowHeight="15" zeroHeight="1" x14ac:dyDescent="0.25"/>
  <cols>
    <col min="1" max="2" width="3.7109375" style="481" customWidth="1"/>
    <col min="3" max="3" width="9.42578125" style="481" customWidth="1"/>
    <col min="4" max="4" width="10.85546875" style="481" bestFit="1" customWidth="1"/>
    <col min="5" max="10" width="9.140625" style="481" customWidth="1"/>
    <col min="11" max="11" width="17.85546875" style="481" customWidth="1"/>
    <col min="12" max="17" width="9.140625" style="481" customWidth="1"/>
    <col min="18" max="18" width="13.28515625" style="481" customWidth="1"/>
    <col min="19" max="19" width="9.140625" style="481" customWidth="1"/>
    <col min="20" max="20" width="3.7109375" style="481" customWidth="1"/>
    <col min="21" max="21" width="9.140625" style="481" customWidth="1"/>
    <col min="22" max="16384" width="9.140625" style="481" hidden="1"/>
  </cols>
  <sheetData>
    <row r="1" spans="1:21" s="482" customFormat="1" x14ac:dyDescent="0.25">
      <c r="A1" s="481"/>
      <c r="B1" s="481"/>
      <c r="C1" s="481"/>
      <c r="D1" s="481"/>
      <c r="E1" s="481"/>
      <c r="F1" s="481"/>
      <c r="G1" s="481"/>
      <c r="H1" s="481"/>
      <c r="I1" s="481"/>
      <c r="J1" s="481"/>
      <c r="K1" s="481"/>
      <c r="L1" s="481"/>
      <c r="M1" s="481"/>
      <c r="N1" s="481"/>
      <c r="O1" s="481"/>
      <c r="P1" s="481"/>
      <c r="Q1" s="481"/>
      <c r="R1" s="481"/>
      <c r="S1" s="481"/>
      <c r="T1" s="481"/>
      <c r="U1" s="481"/>
    </row>
    <row r="2" spans="1:21" s="482" customFormat="1" ht="15.75" thickBot="1" x14ac:dyDescent="0.3">
      <c r="A2" s="481"/>
      <c r="B2" s="483"/>
      <c r="T2" s="483"/>
      <c r="U2" s="481"/>
    </row>
    <row r="3" spans="1:21" s="482" customFormat="1" ht="15.75" thickBot="1" x14ac:dyDescent="0.3">
      <c r="A3" s="481"/>
      <c r="B3" s="483"/>
      <c r="Q3" s="533" t="s">
        <v>402</v>
      </c>
      <c r="R3" s="485" t="s">
        <v>364</v>
      </c>
      <c r="T3" s="483"/>
      <c r="U3" s="481"/>
    </row>
    <row r="4" spans="1:21" s="482" customFormat="1" x14ac:dyDescent="0.25">
      <c r="A4" s="481"/>
      <c r="B4" s="483"/>
      <c r="T4" s="483"/>
      <c r="U4" s="481"/>
    </row>
    <row r="5" spans="1:21" s="482" customFormat="1" x14ac:dyDescent="0.25">
      <c r="A5" s="481"/>
      <c r="B5" s="483"/>
      <c r="Q5" s="484" t="str">
        <f>+Labels!B18</f>
        <v>Last update:</v>
      </c>
      <c r="R5" s="532">
        <v>43707</v>
      </c>
      <c r="T5" s="483"/>
      <c r="U5" s="481"/>
    </row>
    <row r="6" spans="1:21" s="482" customFormat="1" x14ac:dyDescent="0.25">
      <c r="A6" s="481"/>
      <c r="B6" s="483"/>
      <c r="T6" s="483"/>
      <c r="U6" s="481"/>
    </row>
    <row r="7" spans="1:21" s="482" customFormat="1" x14ac:dyDescent="0.25">
      <c r="A7" s="481"/>
      <c r="B7" s="483"/>
      <c r="T7" s="483"/>
      <c r="U7" s="481"/>
    </row>
    <row r="8" spans="1:21" s="482" customFormat="1" x14ac:dyDescent="0.25">
      <c r="A8" s="481"/>
      <c r="B8" s="483"/>
      <c r="T8" s="483"/>
      <c r="U8" s="481"/>
    </row>
    <row r="9" spans="1:21" s="482" customFormat="1" ht="23.25" x14ac:dyDescent="0.35">
      <c r="A9" s="481"/>
      <c r="B9" s="483"/>
      <c r="C9" s="486" t="str">
        <f>+Labels!B3</f>
        <v>Transmission tariffs for natural gas</v>
      </c>
      <c r="T9" s="483"/>
      <c r="U9" s="481"/>
    </row>
    <row r="10" spans="1:21" s="482" customFormat="1" ht="23.25" x14ac:dyDescent="0.35">
      <c r="A10" s="481"/>
      <c r="B10" s="483"/>
      <c r="C10" s="531" t="str">
        <f>+Labels!B4</f>
        <v>Simplified tariff model</v>
      </c>
      <c r="T10" s="483"/>
      <c r="U10" s="481"/>
    </row>
    <row r="11" spans="1:21" s="482" customFormat="1" x14ac:dyDescent="0.25">
      <c r="A11" s="481"/>
      <c r="B11" s="483"/>
      <c r="T11" s="483"/>
      <c r="U11" s="481"/>
    </row>
    <row r="12" spans="1:21" s="482" customFormat="1" x14ac:dyDescent="0.25">
      <c r="A12" s="481"/>
      <c r="B12" s="483"/>
      <c r="C12" s="482" t="str">
        <f>+Labels!B5</f>
        <v>This simplified tariff model presents the transmission tariffs for natural gas for the gas year 2019-2020 and allows the estimation of these tariffs until the gas year 2022-2023.</v>
      </c>
      <c r="T12" s="483"/>
      <c r="U12" s="481"/>
    </row>
    <row r="13" spans="1:21" s="482" customFormat="1" x14ac:dyDescent="0.25">
      <c r="A13" s="481"/>
      <c r="B13" s="483"/>
      <c r="C13" s="482" t="str">
        <f>+Labels!B6</f>
        <v>All calculated data are for information purposes only.</v>
      </c>
      <c r="T13" s="483"/>
      <c r="U13" s="481"/>
    </row>
    <row r="14" spans="1:21" s="482" customFormat="1" x14ac:dyDescent="0.25">
      <c r="A14" s="481"/>
      <c r="B14" s="483"/>
      <c r="C14" s="482" t="str">
        <f>+Labels!B7</f>
        <v>The calculated prices do not include value-added tax (VAT).</v>
      </c>
      <c r="T14" s="483"/>
      <c r="U14" s="481"/>
    </row>
    <row r="15" spans="1:21" s="482" customFormat="1" x14ac:dyDescent="0.25">
      <c r="A15" s="481"/>
      <c r="B15" s="483"/>
      <c r="T15" s="483"/>
      <c r="U15" s="481"/>
    </row>
    <row r="16" spans="1:21" s="482" customFormat="1" x14ac:dyDescent="0.25">
      <c r="A16" s="481"/>
      <c r="B16" s="483"/>
      <c r="T16" s="483"/>
      <c r="U16" s="481"/>
    </row>
    <row r="17" spans="1:21" s="482" customFormat="1" ht="19.5" thickBot="1" x14ac:dyDescent="0.35">
      <c r="A17" s="481"/>
      <c r="B17" s="483"/>
      <c r="C17" s="487" t="str">
        <f>+Labels!B8</f>
        <v>Description of the simplified tariff model</v>
      </c>
      <c r="D17" s="488"/>
      <c r="E17" s="488"/>
      <c r="F17" s="488"/>
      <c r="G17" s="488"/>
      <c r="H17" s="488"/>
      <c r="I17" s="488"/>
      <c r="J17" s="488"/>
      <c r="K17" s="488"/>
      <c r="L17" s="488"/>
      <c r="M17" s="488"/>
      <c r="N17" s="488"/>
      <c r="O17" s="488"/>
      <c r="P17" s="488"/>
      <c r="Q17" s="488"/>
      <c r="R17" s="488"/>
      <c r="S17" s="488"/>
      <c r="T17" s="483"/>
      <c r="U17" s="481"/>
    </row>
    <row r="18" spans="1:21" s="482" customFormat="1" ht="15.75" thickTop="1" x14ac:dyDescent="0.25">
      <c r="A18" s="481"/>
      <c r="B18" s="483"/>
      <c r="C18" s="482" t="str">
        <f>+Labels!B9</f>
        <v>This model includes two additional worksheets, with the following purposes:</v>
      </c>
      <c r="T18" s="483"/>
      <c r="U18" s="481"/>
    </row>
    <row r="19" spans="1:21" s="482" customFormat="1" x14ac:dyDescent="0.25">
      <c r="A19" s="481"/>
      <c r="B19" s="483"/>
      <c r="T19" s="483"/>
      <c r="U19" s="481"/>
    </row>
    <row r="20" spans="1:21" s="482" customFormat="1" x14ac:dyDescent="0.25">
      <c r="A20" s="481"/>
      <c r="B20" s="483"/>
      <c r="C20" s="489" t="str">
        <f>+Labels!B10</f>
        <v xml:space="preserve">Input - </v>
      </c>
      <c r="D20" s="482" t="str">
        <f>+Labels!B12</f>
        <v>This worksheet includes the allowed revenues of the transmission system operator and the forecasted capacity demand.</v>
      </c>
      <c r="T20" s="483"/>
      <c r="U20" s="481"/>
    </row>
    <row r="21" spans="1:21" s="482" customFormat="1" x14ac:dyDescent="0.25">
      <c r="A21" s="481"/>
      <c r="B21" s="483"/>
      <c r="C21" s="489" t="str">
        <f>+Labels!B11</f>
        <v xml:space="preserve">Output - </v>
      </c>
      <c r="D21" s="482" t="str">
        <f>+Labels!B13</f>
        <v>This worksheet computes the transmission tariffs applicable for the use of the transmission system based on the values from the 'Input' worksheet.</v>
      </c>
      <c r="T21" s="483"/>
      <c r="U21" s="481"/>
    </row>
    <row r="22" spans="1:21" s="482" customFormat="1" x14ac:dyDescent="0.25">
      <c r="A22" s="481"/>
      <c r="B22" s="483"/>
      <c r="T22" s="483"/>
      <c r="U22" s="481"/>
    </row>
    <row r="23" spans="1:21" s="482" customFormat="1" x14ac:dyDescent="0.25">
      <c r="A23" s="481"/>
      <c r="B23" s="483"/>
      <c r="C23" s="482" t="str">
        <f>+Labels!B14</f>
        <v>The values that can be changed by the user are the yellow cells included in the 'Input' worksheet.</v>
      </c>
      <c r="T23" s="483"/>
      <c r="U23" s="481"/>
    </row>
    <row r="24" spans="1:21" s="482" customFormat="1" x14ac:dyDescent="0.25">
      <c r="A24" s="481"/>
      <c r="B24" s="483"/>
      <c r="T24" s="483"/>
      <c r="U24" s="481"/>
    </row>
    <row r="25" spans="1:21" s="482" customFormat="1" x14ac:dyDescent="0.25">
      <c r="A25" s="481"/>
      <c r="B25" s="483"/>
      <c r="T25" s="483"/>
      <c r="U25" s="481"/>
    </row>
    <row r="26" spans="1:21" s="482" customFormat="1" ht="19.5" thickBot="1" x14ac:dyDescent="0.35">
      <c r="A26" s="481"/>
      <c r="B26" s="483"/>
      <c r="C26" s="487" t="str">
        <f>+Labels!B15</f>
        <v>Color legend</v>
      </c>
      <c r="D26" s="488"/>
      <c r="E26" s="488"/>
      <c r="F26" s="488"/>
      <c r="G26" s="488"/>
      <c r="H26" s="488"/>
      <c r="I26" s="488"/>
      <c r="J26" s="488"/>
      <c r="K26" s="488"/>
      <c r="L26" s="488"/>
      <c r="M26" s="488"/>
      <c r="N26" s="488"/>
      <c r="O26" s="488"/>
      <c r="P26" s="488"/>
      <c r="Q26" s="488"/>
      <c r="R26" s="488"/>
      <c r="S26" s="488"/>
      <c r="T26" s="483"/>
      <c r="U26" s="481"/>
    </row>
    <row r="27" spans="1:21" s="482" customFormat="1" ht="15.75" thickTop="1" x14ac:dyDescent="0.25">
      <c r="A27" s="481"/>
      <c r="B27" s="483"/>
      <c r="T27" s="483"/>
      <c r="U27" s="481"/>
    </row>
    <row r="28" spans="1:21" s="482" customFormat="1" x14ac:dyDescent="0.25">
      <c r="A28" s="481"/>
      <c r="B28" s="483"/>
      <c r="C28" s="547"/>
      <c r="D28" s="549" t="str">
        <f>+Labels!B16</f>
        <v>Yellow cells in the worksheet 'Input' can be changed by the user.</v>
      </c>
      <c r="T28" s="483"/>
      <c r="U28" s="481"/>
    </row>
    <row r="29" spans="1:21" s="482" customFormat="1" x14ac:dyDescent="0.25">
      <c r="A29" s="481"/>
      <c r="B29" s="483"/>
      <c r="T29" s="483"/>
      <c r="U29" s="481"/>
    </row>
    <row r="30" spans="1:21" s="482" customFormat="1" x14ac:dyDescent="0.25">
      <c r="A30" s="481"/>
      <c r="B30" s="483"/>
      <c r="C30" s="548"/>
      <c r="D30" s="549" t="str">
        <f>+Labels!B17</f>
        <v>Green cells in the worksheet 'Output' are estimated values based on the values entered in the yellow cells in the 'Input' worksheet.</v>
      </c>
      <c r="T30" s="483"/>
      <c r="U30" s="481"/>
    </row>
    <row r="31" spans="1:21" s="482" customFormat="1" x14ac:dyDescent="0.25">
      <c r="A31" s="481"/>
      <c r="B31" s="483"/>
      <c r="T31" s="483"/>
      <c r="U31" s="481"/>
    </row>
    <row r="32" spans="1:21" s="482" customFormat="1" x14ac:dyDescent="0.25">
      <c r="A32" s="481"/>
      <c r="B32" s="483"/>
      <c r="T32" s="483"/>
      <c r="U32" s="481"/>
    </row>
    <row r="33" spans="1:21" s="482" customFormat="1" x14ac:dyDescent="0.25">
      <c r="A33" s="481"/>
      <c r="B33" s="483"/>
      <c r="T33" s="483"/>
      <c r="U33" s="481"/>
    </row>
    <row r="34" spans="1:21" s="482" customFormat="1" x14ac:dyDescent="0.25">
      <c r="A34" s="481"/>
      <c r="B34" s="483"/>
      <c r="T34" s="483"/>
      <c r="U34" s="481"/>
    </row>
    <row r="35" spans="1:21" s="482" customFormat="1" x14ac:dyDescent="0.25">
      <c r="A35" s="481"/>
      <c r="B35" s="481"/>
      <c r="C35" s="481"/>
      <c r="D35" s="481"/>
      <c r="E35" s="481"/>
      <c r="F35" s="481"/>
      <c r="G35" s="481"/>
      <c r="H35" s="481"/>
      <c r="I35" s="481"/>
      <c r="J35" s="481"/>
      <c r="K35" s="481"/>
      <c r="L35" s="481"/>
      <c r="M35" s="481"/>
      <c r="N35" s="481"/>
      <c r="O35" s="481"/>
      <c r="P35" s="481"/>
      <c r="Q35" s="481"/>
      <c r="R35" s="481"/>
      <c r="S35" s="481"/>
      <c r="T35" s="481"/>
      <c r="U35" s="481"/>
    </row>
    <row r="36" spans="1:21" x14ac:dyDescent="0.25"/>
    <row r="37" spans="1:21" x14ac:dyDescent="0.25"/>
  </sheetData>
  <sheetProtection algorithmName="SHA-512" hashValue="V43Eo5XPJmWNiKxUJTMD0ZE8ODoiwIGRPcA3n9BMOnBWpDqzMUhtzmgOCF55SLwkt6xzv/gtK2Bi9crGNXuvZA==" saltValue="BC/onbS58wUm/WRcqXTcBg==" spinCount="100000" sheet="1" selectLockedCells="1"/>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Labels!$D$2:$E$2</xm:f>
          </x14:formula1>
          <xm:sqref>R3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N37"/>
  <sheetViews>
    <sheetView showGridLines="0" zoomScale="90" zoomScaleNormal="90" workbookViewId="0">
      <selection activeCell="G6" sqref="G6"/>
    </sheetView>
  </sheetViews>
  <sheetFormatPr defaultColWidth="0" defaultRowHeight="15" zeroHeight="1" x14ac:dyDescent="0.25"/>
  <cols>
    <col min="1" max="1" width="4.7109375" customWidth="1"/>
    <col min="2" max="2" width="7.7109375" bestFit="1" customWidth="1"/>
    <col min="3" max="3" width="34.42578125" customWidth="1"/>
    <col min="4" max="4" width="61" customWidth="1"/>
    <col min="5" max="5" width="16.140625" customWidth="1"/>
    <col min="6" max="6" width="10.5703125" bestFit="1" customWidth="1"/>
    <col min="7" max="9" width="10.5703125" customWidth="1"/>
    <col min="10" max="10" width="2.7109375" customWidth="1"/>
    <col min="11" max="13" width="11" customWidth="1"/>
    <col min="14" max="14" width="4.42578125" customWidth="1"/>
    <col min="15" max="16384" width="9.140625" hidden="1"/>
  </cols>
  <sheetData>
    <row r="1" spans="2:13" x14ac:dyDescent="0.25">
      <c r="B1" s="1" t="s">
        <v>308</v>
      </c>
      <c r="C1" s="272"/>
    </row>
    <row r="2" spans="2:13" ht="15.75" thickBot="1" x14ac:dyDescent="0.3">
      <c r="B2" s="1"/>
      <c r="C2" s="272"/>
    </row>
    <row r="3" spans="2:13" ht="32.25" customHeight="1" thickBot="1" x14ac:dyDescent="0.3">
      <c r="G3" s="663" t="s">
        <v>170</v>
      </c>
      <c r="H3" s="664"/>
      <c r="I3" s="665"/>
      <c r="K3" s="663" t="s">
        <v>169</v>
      </c>
      <c r="L3" s="664"/>
      <c r="M3" s="665"/>
    </row>
    <row r="4" spans="2:13" ht="15.75" thickBot="1" x14ac:dyDescent="0.3">
      <c r="F4" s="24" t="s">
        <v>129</v>
      </c>
      <c r="G4" s="24" t="s">
        <v>6</v>
      </c>
      <c r="H4" s="24" t="s">
        <v>7</v>
      </c>
      <c r="I4" s="24" t="s">
        <v>8</v>
      </c>
      <c r="K4" s="24" t="s">
        <v>6</v>
      </c>
      <c r="L4" s="24" t="s">
        <v>7</v>
      </c>
      <c r="M4" s="24" t="s">
        <v>8</v>
      </c>
    </row>
    <row r="5" spans="2:13" ht="15.75" thickBot="1" x14ac:dyDescent="0.3">
      <c r="C5" s="8" t="e">
        <f>+'Pre-scaling RPM'!F13</f>
        <v>#REF!</v>
      </c>
      <c r="D5" s="8" t="e">
        <f>+'Pre-scaling RPM'!G13</f>
        <v>#REF!</v>
      </c>
      <c r="E5" s="50" t="e">
        <f>+'Pre-scaling RPM'!H13</f>
        <v>#REF!</v>
      </c>
      <c r="F5" s="332"/>
      <c r="G5" s="332"/>
      <c r="H5" s="332"/>
      <c r="I5" s="9"/>
      <c r="K5" s="334"/>
      <c r="L5" s="332"/>
      <c r="M5" s="9"/>
    </row>
    <row r="6" spans="2:13" x14ac:dyDescent="0.25">
      <c r="B6" s="5" t="str">
        <f>+'Pre-scaling RPM'!E14</f>
        <v>Entry</v>
      </c>
      <c r="C6" s="21" t="str">
        <f>+'Pre-scaling RPM'!F14</f>
        <v>Interconnection points (VIP)</v>
      </c>
      <c r="D6" s="12" t="str">
        <f>+'Pre-scaling RPM'!G14</f>
        <v>Yearly</v>
      </c>
      <c r="E6" s="46" t="str">
        <f>+'Pre-scaling RPM'!H14</f>
        <v>€/(kWh/dia)/ano</v>
      </c>
      <c r="F6" s="335">
        <f>+Data_c!F5</f>
        <v>0.12179685</v>
      </c>
      <c r="G6" s="335">
        <v>0.12105867385712639</v>
      </c>
      <c r="H6" s="335">
        <v>0.12105867385712639</v>
      </c>
      <c r="I6" s="338">
        <v>0.12105867385712639</v>
      </c>
      <c r="K6" s="342">
        <f>IF(F6=0,"-",G6/F6-1)</f>
        <v>-6.0607162079611143E-3</v>
      </c>
      <c r="L6" s="343">
        <f t="shared" ref="L6:L36" si="0">IF(G6=0,"-",H6/G6-1)</f>
        <v>0</v>
      </c>
      <c r="M6" s="344">
        <f t="shared" ref="M6:M36" si="1">IF(H6=0,"-",I6/H6-1)</f>
        <v>0</v>
      </c>
    </row>
    <row r="7" spans="2:13" x14ac:dyDescent="0.25">
      <c r="B7" s="6"/>
      <c r="C7" s="22"/>
      <c r="D7" s="10" t="str">
        <f>+'Pre-scaling RPM'!G15</f>
        <v>Quarterly</v>
      </c>
      <c r="E7" s="14" t="str">
        <f>+'Pre-scaling RPM'!H15</f>
        <v>€/(kWh/dia)/ano</v>
      </c>
      <c r="F7" s="333">
        <f>+Data_c!F6</f>
        <v>0.15833334999999998</v>
      </c>
      <c r="G7" s="333">
        <v>0.15737627601426432</v>
      </c>
      <c r="H7" s="333">
        <v>0.15737627601426432</v>
      </c>
      <c r="I7" s="339">
        <v>0.15737627601426432</v>
      </c>
      <c r="K7" s="345">
        <f t="shared" ref="K7:K36" si="2">IF(F7=0,"-",G7/F7-1)</f>
        <v>-6.0446771683644318E-3</v>
      </c>
      <c r="L7" s="281">
        <f t="shared" si="0"/>
        <v>0</v>
      </c>
      <c r="M7" s="282">
        <f t="shared" si="1"/>
        <v>0</v>
      </c>
    </row>
    <row r="8" spans="2:13" x14ac:dyDescent="0.25">
      <c r="B8" s="6"/>
      <c r="C8" s="22"/>
      <c r="D8" s="10" t="str">
        <f>+'Pre-scaling RPM'!G16</f>
        <v>Monthly</v>
      </c>
      <c r="E8" s="14" t="str">
        <f>+'Pre-scaling RPM'!H16</f>
        <v>€/(kWh/dia)/ano</v>
      </c>
      <c r="F8" s="333">
        <f>+Data_c!F7</f>
        <v>0.18269345000000001</v>
      </c>
      <c r="G8" s="333">
        <v>0.18158801078568959</v>
      </c>
      <c r="H8" s="333">
        <v>0.18158801078568959</v>
      </c>
      <c r="I8" s="339">
        <v>0.18158801078568959</v>
      </c>
      <c r="K8" s="345">
        <f t="shared" si="2"/>
        <v>-6.050787339723529E-3</v>
      </c>
      <c r="L8" s="281">
        <f t="shared" si="0"/>
        <v>0</v>
      </c>
      <c r="M8" s="282">
        <f t="shared" si="1"/>
        <v>0</v>
      </c>
    </row>
    <row r="9" spans="2:13" x14ac:dyDescent="0.25">
      <c r="B9" s="6"/>
      <c r="C9" s="22"/>
      <c r="D9" s="10" t="str">
        <f>+'Pre-scaling RPM'!G17</f>
        <v>Daily</v>
      </c>
      <c r="E9" s="14" t="str">
        <f>+'Pre-scaling RPM'!H17</f>
        <v>€/(kWh/dia)/ano</v>
      </c>
      <c r="F9" s="333">
        <f>+Data_c!F8</f>
        <v>0.2435937</v>
      </c>
      <c r="G9" s="333">
        <v>0.24211734771425278</v>
      </c>
      <c r="H9" s="333">
        <v>0.24211734771425278</v>
      </c>
      <c r="I9" s="339">
        <v>0.24211734771425278</v>
      </c>
      <c r="K9" s="345">
        <f t="shared" si="2"/>
        <v>-6.0607162079611143E-3</v>
      </c>
      <c r="L9" s="281">
        <f t="shared" si="0"/>
        <v>0</v>
      </c>
      <c r="M9" s="282">
        <f t="shared" si="1"/>
        <v>0</v>
      </c>
    </row>
    <row r="10" spans="2:13" ht="15.75" thickBot="1" x14ac:dyDescent="0.3">
      <c r="B10" s="6"/>
      <c r="C10" s="23"/>
      <c r="D10" s="17" t="str">
        <f>+'Pre-scaling RPM'!G18</f>
        <v>Intraday</v>
      </c>
      <c r="E10" s="16" t="str">
        <f>+'Pre-scaling RPM'!H18</f>
        <v>€/(kWh/h)/ano</v>
      </c>
      <c r="F10" s="336">
        <f>+Data_c!F9</f>
        <v>6.4308036</v>
      </c>
      <c r="G10" s="336">
        <v>6.3918979796562745</v>
      </c>
      <c r="H10" s="336">
        <v>6.3918979796562745</v>
      </c>
      <c r="I10" s="340">
        <v>6.3918979796562745</v>
      </c>
      <c r="K10" s="346">
        <f t="shared" si="2"/>
        <v>-6.049884705501718E-3</v>
      </c>
      <c r="L10" s="283">
        <f t="shared" si="0"/>
        <v>0</v>
      </c>
      <c r="M10" s="284">
        <f t="shared" si="1"/>
        <v>0</v>
      </c>
    </row>
    <row r="11" spans="2:13" x14ac:dyDescent="0.25">
      <c r="B11" s="6"/>
      <c r="C11" s="21" t="str">
        <f>+'Pre-scaling RPM'!F19</f>
        <v>LNG terminal</v>
      </c>
      <c r="D11" s="12" t="str">
        <f>+'Pre-scaling RPM'!G19</f>
        <v>Yearly</v>
      </c>
      <c r="E11" s="46" t="str">
        <f>+'Pre-scaling RPM'!H19</f>
        <v>€/(kWh/dia)/ano</v>
      </c>
      <c r="F11" s="335">
        <f>+Data_c!F10</f>
        <v>0.12179685</v>
      </c>
      <c r="G11" s="335">
        <v>0.11140452204426336</v>
      </c>
      <c r="H11" s="335">
        <v>0.11140452204426336</v>
      </c>
      <c r="I11" s="338">
        <v>0.11140452204426336</v>
      </c>
      <c r="K11" s="342">
        <f t="shared" si="2"/>
        <v>-8.5325096303694559E-2</v>
      </c>
      <c r="L11" s="343">
        <f t="shared" si="0"/>
        <v>0</v>
      </c>
      <c r="M11" s="344">
        <f t="shared" si="1"/>
        <v>0</v>
      </c>
    </row>
    <row r="12" spans="2:13" x14ac:dyDescent="0.25">
      <c r="B12" s="6"/>
      <c r="C12" s="22"/>
      <c r="D12" s="10" t="str">
        <f>+'Pre-scaling RPM'!G20</f>
        <v>Quarterly</v>
      </c>
      <c r="E12" s="14" t="str">
        <f>+'Pre-scaling RPM'!H20</f>
        <v>€/(kWh/dia)/ano</v>
      </c>
      <c r="F12" s="333">
        <f>+Data_c!F11</f>
        <v>0.15833334999999998</v>
      </c>
      <c r="G12" s="333">
        <v>0.14482587865754237</v>
      </c>
      <c r="H12" s="333">
        <v>0.14482587865754237</v>
      </c>
      <c r="I12" s="339">
        <v>0.14482587865754237</v>
      </c>
      <c r="K12" s="345">
        <f t="shared" si="2"/>
        <v>-8.5310336340749471E-2</v>
      </c>
      <c r="L12" s="281">
        <f t="shared" si="0"/>
        <v>0</v>
      </c>
      <c r="M12" s="282">
        <f t="shared" si="1"/>
        <v>0</v>
      </c>
    </row>
    <row r="13" spans="2:13" x14ac:dyDescent="0.25">
      <c r="B13" s="6"/>
      <c r="C13" s="22"/>
      <c r="D13" s="10" t="str">
        <f>+'Pre-scaling RPM'!G21</f>
        <v>Monthly</v>
      </c>
      <c r="E13" s="14" t="str">
        <f>+'Pre-scaling RPM'!H21</f>
        <v>€/(kWh/dia)/ano</v>
      </c>
      <c r="F13" s="333">
        <f>+Data_c!F12</f>
        <v>0.18269345000000001</v>
      </c>
      <c r="G13" s="333">
        <v>0.16710678306639504</v>
      </c>
      <c r="H13" s="333">
        <v>0.16710678306639504</v>
      </c>
      <c r="I13" s="339">
        <v>0.16710678306639504</v>
      </c>
      <c r="K13" s="345">
        <f t="shared" si="2"/>
        <v>-8.5315959239945172E-2</v>
      </c>
      <c r="L13" s="281">
        <f t="shared" si="0"/>
        <v>0</v>
      </c>
      <c r="M13" s="282">
        <f t="shared" si="1"/>
        <v>0</v>
      </c>
    </row>
    <row r="14" spans="2:13" x14ac:dyDescent="0.25">
      <c r="B14" s="6"/>
      <c r="C14" s="22"/>
      <c r="D14" s="10" t="str">
        <f>+'Pre-scaling RPM'!G22</f>
        <v>Daily</v>
      </c>
      <c r="E14" s="14" t="str">
        <f>+'Pre-scaling RPM'!H22</f>
        <v>€/(kWh/dia)/ano</v>
      </c>
      <c r="F14" s="333">
        <f>+Data_c!F13</f>
        <v>0.2435937</v>
      </c>
      <c r="G14" s="333">
        <v>0.22280904408852673</v>
      </c>
      <c r="H14" s="333">
        <v>0.22280904408852673</v>
      </c>
      <c r="I14" s="339">
        <v>0.22280904408852673</v>
      </c>
      <c r="K14" s="345">
        <f t="shared" si="2"/>
        <v>-8.5325096303694559E-2</v>
      </c>
      <c r="L14" s="281">
        <f t="shared" si="0"/>
        <v>0</v>
      </c>
      <c r="M14" s="282">
        <f t="shared" si="1"/>
        <v>0</v>
      </c>
    </row>
    <row r="15" spans="2:13" ht="15.75" thickBot="1" x14ac:dyDescent="0.3">
      <c r="B15" s="6"/>
      <c r="C15" s="23"/>
      <c r="D15" s="17" t="str">
        <f>+'Pre-scaling RPM'!G23</f>
        <v>Intraday</v>
      </c>
      <c r="E15" s="16" t="str">
        <f>+'Pre-scaling RPM'!H23</f>
        <v>€/(kWh/h)/ano</v>
      </c>
      <c r="F15" s="336">
        <f>+Data_c!F14</f>
        <v>6.4308036</v>
      </c>
      <c r="G15" s="336">
        <v>5.882158763937106</v>
      </c>
      <c r="H15" s="336">
        <v>5.882158763937106</v>
      </c>
      <c r="I15" s="340">
        <v>5.882158763937106</v>
      </c>
      <c r="K15" s="346">
        <f t="shared" si="2"/>
        <v>-8.5315128588734024E-2</v>
      </c>
      <c r="L15" s="283">
        <f t="shared" si="0"/>
        <v>0</v>
      </c>
      <c r="M15" s="284">
        <f t="shared" si="1"/>
        <v>0</v>
      </c>
    </row>
    <row r="16" spans="2:13" x14ac:dyDescent="0.25">
      <c r="B16" s="6"/>
      <c r="C16" s="21" t="str">
        <f>+'Pre-scaling RPM'!F24</f>
        <v>Underground Storage</v>
      </c>
      <c r="D16" s="12" t="str">
        <f>+'Pre-scaling RPM'!G24</f>
        <v>Daily</v>
      </c>
      <c r="E16" s="46" t="str">
        <f>+'Pre-scaling RPM'!H24</f>
        <v>€/(kWh/dia)/ano</v>
      </c>
      <c r="F16" s="335">
        <f>+Data_c!F15</f>
        <v>3.4164E-3</v>
      </c>
      <c r="G16" s="335">
        <v>0</v>
      </c>
      <c r="H16" s="335">
        <v>0</v>
      </c>
      <c r="I16" s="338">
        <v>0</v>
      </c>
      <c r="K16" s="342">
        <f t="shared" si="2"/>
        <v>-1</v>
      </c>
      <c r="L16" s="343" t="str">
        <f t="shared" si="0"/>
        <v>-</v>
      </c>
      <c r="M16" s="344" t="str">
        <f t="shared" si="1"/>
        <v>-</v>
      </c>
    </row>
    <row r="17" spans="2:13" ht="15.75" thickBot="1" x14ac:dyDescent="0.3">
      <c r="B17" s="7"/>
      <c r="C17" s="23"/>
      <c r="D17" s="17" t="str">
        <f>+'Pre-scaling RPM'!G25</f>
        <v>Intraday</v>
      </c>
      <c r="E17" s="16" t="str">
        <f>+'Pre-scaling RPM'!H25</f>
        <v>€/(kWh/h)/ano</v>
      </c>
      <c r="F17" s="336">
        <f>+Data_c!F16</f>
        <v>9.0228000000000003E-2</v>
      </c>
      <c r="G17" s="336">
        <v>0</v>
      </c>
      <c r="H17" s="336">
        <v>0</v>
      </c>
      <c r="I17" s="340">
        <v>0</v>
      </c>
      <c r="K17" s="346">
        <f t="shared" si="2"/>
        <v>-1</v>
      </c>
      <c r="L17" s="283" t="str">
        <f t="shared" si="0"/>
        <v>-</v>
      </c>
      <c r="M17" s="284" t="str">
        <f t="shared" si="1"/>
        <v>-</v>
      </c>
    </row>
    <row r="18" spans="2:13" x14ac:dyDescent="0.25">
      <c r="B18" s="5" t="str">
        <f>+'Pre-scaling RPM'!E26</f>
        <v>Exit</v>
      </c>
      <c r="C18" s="21" t="str">
        <f>+'Pre-scaling RPM'!F26</f>
        <v>Interconnection points (VIP)</v>
      </c>
      <c r="D18" s="12" t="str">
        <f>+'Pre-scaling RPM'!G26</f>
        <v>Yearly</v>
      </c>
      <c r="E18" s="46" t="str">
        <f>+'Pre-scaling RPM'!H26</f>
        <v>€/(kWh/dia)/ano</v>
      </c>
      <c r="F18" s="335">
        <f>+Data_c!F17</f>
        <v>0</v>
      </c>
      <c r="G18" s="335">
        <v>2.3958713237221051E-2</v>
      </c>
      <c r="H18" s="335">
        <v>2.3958713237221051E-2</v>
      </c>
      <c r="I18" s="338">
        <v>2.3958713237221051E-2</v>
      </c>
      <c r="K18" s="342" t="str">
        <f t="shared" si="2"/>
        <v>-</v>
      </c>
      <c r="L18" s="343">
        <f t="shared" si="0"/>
        <v>0</v>
      </c>
      <c r="M18" s="344">
        <f t="shared" si="1"/>
        <v>0</v>
      </c>
    </row>
    <row r="19" spans="2:13" x14ac:dyDescent="0.25">
      <c r="B19" s="3"/>
      <c r="C19" s="22"/>
      <c r="D19" s="10" t="str">
        <f>+'Pre-scaling RPM'!G27</f>
        <v>Quarterly</v>
      </c>
      <c r="E19" s="14" t="str">
        <f>+'Pre-scaling RPM'!H27</f>
        <v>€/(kWh/dia)/ano</v>
      </c>
      <c r="F19" s="333">
        <f>+Data_c!F18</f>
        <v>0</v>
      </c>
      <c r="G19" s="333">
        <v>3.1146327208387364E-2</v>
      </c>
      <c r="H19" s="333">
        <v>3.1146327208387364E-2</v>
      </c>
      <c r="I19" s="339">
        <v>3.1146327208387364E-2</v>
      </c>
      <c r="K19" s="345" t="str">
        <f t="shared" si="2"/>
        <v>-</v>
      </c>
      <c r="L19" s="281">
        <f t="shared" si="0"/>
        <v>0</v>
      </c>
      <c r="M19" s="282">
        <f t="shared" si="1"/>
        <v>0</v>
      </c>
    </row>
    <row r="20" spans="2:13" x14ac:dyDescent="0.25">
      <c r="B20" s="3"/>
      <c r="C20" s="22"/>
      <c r="D20" s="10" t="str">
        <f>+'Pre-scaling RPM'!G28</f>
        <v>Monthly</v>
      </c>
      <c r="E20" s="14" t="str">
        <f>+'Pre-scaling RPM'!H28</f>
        <v>€/(kWh/dia)/ano</v>
      </c>
      <c r="F20" s="333">
        <f>+Data_c!F19</f>
        <v>0</v>
      </c>
      <c r="G20" s="333">
        <v>3.5938069855831582E-2</v>
      </c>
      <c r="H20" s="333">
        <v>3.5938069855831582E-2</v>
      </c>
      <c r="I20" s="339">
        <v>3.5938069855831582E-2</v>
      </c>
      <c r="K20" s="345" t="str">
        <f t="shared" si="2"/>
        <v>-</v>
      </c>
      <c r="L20" s="281">
        <f t="shared" si="0"/>
        <v>0</v>
      </c>
      <c r="M20" s="282">
        <f t="shared" si="1"/>
        <v>0</v>
      </c>
    </row>
    <row r="21" spans="2:13" x14ac:dyDescent="0.25">
      <c r="B21" s="3"/>
      <c r="C21" s="22"/>
      <c r="D21" s="10" t="str">
        <f>+'Pre-scaling RPM'!G29</f>
        <v>Daily</v>
      </c>
      <c r="E21" s="14" t="str">
        <f>+'Pre-scaling RPM'!H29</f>
        <v>€/(kWh/dia)/ano</v>
      </c>
      <c r="F21" s="333">
        <f>+Data_c!F20</f>
        <v>0</v>
      </c>
      <c r="G21" s="333">
        <v>4.7917426474442103E-2</v>
      </c>
      <c r="H21" s="333">
        <v>4.7917426474442103E-2</v>
      </c>
      <c r="I21" s="339">
        <v>4.7917426474442103E-2</v>
      </c>
      <c r="K21" s="345" t="str">
        <f t="shared" si="2"/>
        <v>-</v>
      </c>
      <c r="L21" s="281">
        <f t="shared" si="0"/>
        <v>0</v>
      </c>
      <c r="M21" s="282">
        <f t="shared" si="1"/>
        <v>0</v>
      </c>
    </row>
    <row r="22" spans="2:13" ht="15.75" thickBot="1" x14ac:dyDescent="0.3">
      <c r="B22" s="3"/>
      <c r="C22" s="23"/>
      <c r="D22" s="17" t="str">
        <f>+'Pre-scaling RPM'!G30</f>
        <v>Intraday</v>
      </c>
      <c r="E22" s="16" t="str">
        <f>+'Pre-scaling RPM'!H30</f>
        <v>€/(kWh/h)/ano</v>
      </c>
      <c r="F22" s="336">
        <f>+Data_c!F21</f>
        <v>0</v>
      </c>
      <c r="G22" s="336">
        <v>1.2650200589252718</v>
      </c>
      <c r="H22" s="336">
        <v>1.2650200589252718</v>
      </c>
      <c r="I22" s="340">
        <v>1.2650200589252718</v>
      </c>
      <c r="K22" s="346" t="str">
        <f t="shared" si="2"/>
        <v>-</v>
      </c>
      <c r="L22" s="283">
        <f t="shared" si="0"/>
        <v>0</v>
      </c>
      <c r="M22" s="284">
        <f t="shared" si="1"/>
        <v>0</v>
      </c>
    </row>
    <row r="23" spans="2:13" x14ac:dyDescent="0.25">
      <c r="B23" s="3"/>
      <c r="C23" s="21" t="str">
        <f>+'Pre-scaling RPM'!F31</f>
        <v>LNG terminal</v>
      </c>
      <c r="D23" s="12" t="str">
        <f>+'Pre-scaling RPM'!G31</f>
        <v>Yearly</v>
      </c>
      <c r="E23" s="46" t="str">
        <f>+'Pre-scaling RPM'!H31</f>
        <v>€/(kWh/dia)/ano</v>
      </c>
      <c r="F23" s="335">
        <f>+Data_c!F22</f>
        <v>0</v>
      </c>
      <c r="G23" s="335">
        <v>0</v>
      </c>
      <c r="H23" s="335">
        <v>0</v>
      </c>
      <c r="I23" s="338">
        <v>0</v>
      </c>
      <c r="K23" s="342" t="str">
        <f t="shared" si="2"/>
        <v>-</v>
      </c>
      <c r="L23" s="343" t="str">
        <f t="shared" si="0"/>
        <v>-</v>
      </c>
      <c r="M23" s="344" t="str">
        <f t="shared" si="1"/>
        <v>-</v>
      </c>
    </row>
    <row r="24" spans="2:13" x14ac:dyDescent="0.25">
      <c r="B24" s="3"/>
      <c r="C24" s="22"/>
      <c r="D24" s="10" t="str">
        <f>+'Pre-scaling RPM'!G32</f>
        <v>Quarterly</v>
      </c>
      <c r="E24" s="14" t="str">
        <f>+'Pre-scaling RPM'!H32</f>
        <v>€/(kWh/dia)/ano</v>
      </c>
      <c r="F24" s="333">
        <f>+Data_c!F23</f>
        <v>0</v>
      </c>
      <c r="G24" s="333">
        <v>0</v>
      </c>
      <c r="H24" s="333">
        <v>0</v>
      </c>
      <c r="I24" s="339">
        <v>0</v>
      </c>
      <c r="K24" s="345" t="str">
        <f t="shared" si="2"/>
        <v>-</v>
      </c>
      <c r="L24" s="281" t="str">
        <f t="shared" si="0"/>
        <v>-</v>
      </c>
      <c r="M24" s="282" t="str">
        <f t="shared" si="1"/>
        <v>-</v>
      </c>
    </row>
    <row r="25" spans="2:13" x14ac:dyDescent="0.25">
      <c r="B25" s="3"/>
      <c r="C25" s="22"/>
      <c r="D25" s="10" t="str">
        <f>+'Pre-scaling RPM'!G33</f>
        <v>Monthly</v>
      </c>
      <c r="E25" s="14" t="str">
        <f>+'Pre-scaling RPM'!H33</f>
        <v>€/(kWh/dia)/ano</v>
      </c>
      <c r="F25" s="333">
        <f>+Data_c!F24</f>
        <v>0</v>
      </c>
      <c r="G25" s="333">
        <v>0</v>
      </c>
      <c r="H25" s="333">
        <v>0</v>
      </c>
      <c r="I25" s="339">
        <v>0</v>
      </c>
      <c r="K25" s="345" t="str">
        <f t="shared" si="2"/>
        <v>-</v>
      </c>
      <c r="L25" s="281" t="str">
        <f t="shared" si="0"/>
        <v>-</v>
      </c>
      <c r="M25" s="282" t="str">
        <f t="shared" si="1"/>
        <v>-</v>
      </c>
    </row>
    <row r="26" spans="2:13" x14ac:dyDescent="0.25">
      <c r="B26" s="3"/>
      <c r="C26" s="22"/>
      <c r="D26" s="10" t="str">
        <f>+'Pre-scaling RPM'!G34</f>
        <v>Daily</v>
      </c>
      <c r="E26" s="14" t="str">
        <f>+'Pre-scaling RPM'!H34</f>
        <v>€/(kWh/dia)/ano</v>
      </c>
      <c r="F26" s="333">
        <f>+Data_c!F25</f>
        <v>0</v>
      </c>
      <c r="G26" s="333">
        <v>0</v>
      </c>
      <c r="H26" s="333">
        <v>0</v>
      </c>
      <c r="I26" s="339">
        <v>0</v>
      </c>
      <c r="K26" s="345" t="str">
        <f t="shared" si="2"/>
        <v>-</v>
      </c>
      <c r="L26" s="281" t="str">
        <f t="shared" si="0"/>
        <v>-</v>
      </c>
      <c r="M26" s="282" t="str">
        <f t="shared" si="1"/>
        <v>-</v>
      </c>
    </row>
    <row r="27" spans="2:13" ht="15.75" thickBot="1" x14ac:dyDescent="0.3">
      <c r="B27" s="3"/>
      <c r="C27" s="23"/>
      <c r="D27" s="17" t="str">
        <f>+'Pre-scaling RPM'!G35</f>
        <v>Intraday</v>
      </c>
      <c r="E27" s="16" t="str">
        <f>+'Pre-scaling RPM'!H35</f>
        <v>€/(kWh/h)/ano</v>
      </c>
      <c r="F27" s="336">
        <f>+Data_c!F26</f>
        <v>0</v>
      </c>
      <c r="G27" s="336">
        <v>0</v>
      </c>
      <c r="H27" s="336">
        <v>0</v>
      </c>
      <c r="I27" s="340">
        <v>0</v>
      </c>
      <c r="K27" s="346" t="str">
        <f t="shared" si="2"/>
        <v>-</v>
      </c>
      <c r="L27" s="283" t="str">
        <f t="shared" si="0"/>
        <v>-</v>
      </c>
      <c r="M27" s="284" t="str">
        <f t="shared" si="1"/>
        <v>-</v>
      </c>
    </row>
    <row r="28" spans="2:13" x14ac:dyDescent="0.25">
      <c r="B28" s="3"/>
      <c r="C28" s="21" t="str">
        <f>+'Pre-scaling RPM'!F36</f>
        <v>Underground Storage</v>
      </c>
      <c r="D28" s="12" t="str">
        <f>+'Pre-scaling RPM'!G36</f>
        <v>Daily</v>
      </c>
      <c r="E28" s="46" t="str">
        <f>+'Pre-scaling RPM'!H36</f>
        <v>€/(kWh/dia)/ano</v>
      </c>
      <c r="F28" s="335">
        <f>+Data_c!F27</f>
        <v>0</v>
      </c>
      <c r="G28" s="335">
        <v>0</v>
      </c>
      <c r="H28" s="335">
        <v>0</v>
      </c>
      <c r="I28" s="338">
        <v>0</v>
      </c>
      <c r="K28" s="342" t="str">
        <f t="shared" si="2"/>
        <v>-</v>
      </c>
      <c r="L28" s="343" t="str">
        <f t="shared" si="0"/>
        <v>-</v>
      </c>
      <c r="M28" s="344" t="str">
        <f t="shared" si="1"/>
        <v>-</v>
      </c>
    </row>
    <row r="29" spans="2:13" ht="15.75" thickBot="1" x14ac:dyDescent="0.3">
      <c r="B29" s="3"/>
      <c r="C29" s="23"/>
      <c r="D29" s="17" t="str">
        <f>+'Pre-scaling RPM'!G37</f>
        <v>Intraday</v>
      </c>
      <c r="E29" s="16" t="str">
        <f>+'Pre-scaling RPM'!H37</f>
        <v>€/(kWh/h)/ano</v>
      </c>
      <c r="F29" s="336">
        <f>+Data_c!F28</f>
        <v>0</v>
      </c>
      <c r="G29" s="336">
        <v>0</v>
      </c>
      <c r="H29" s="336">
        <v>0</v>
      </c>
      <c r="I29" s="340">
        <v>0</v>
      </c>
      <c r="K29" s="346" t="str">
        <f t="shared" si="2"/>
        <v>-</v>
      </c>
      <c r="L29" s="283" t="str">
        <f t="shared" si="0"/>
        <v>-</v>
      </c>
      <c r="M29" s="284" t="str">
        <f t="shared" si="1"/>
        <v>-</v>
      </c>
    </row>
    <row r="30" spans="2:13" ht="15.75" thickBot="1" x14ac:dyDescent="0.3">
      <c r="B30" s="3"/>
      <c r="C30" s="19" t="str">
        <f>+'Pre-scaling RPM'!F38</f>
        <v>Distribution networks and HP Customers</v>
      </c>
      <c r="D30" s="20" t="str">
        <f>+'Pre-scaling RPM'!G38</f>
        <v>Long Uses</v>
      </c>
      <c r="E30" s="19" t="str">
        <f>+'Pre-scaling RPM'!H38</f>
        <v>€/(kWh/dia)/ano</v>
      </c>
      <c r="F30" s="337">
        <f>+Data_c!F29</f>
        <v>0.21097199999999999</v>
      </c>
      <c r="G30" s="337">
        <v>0.19645630588742741</v>
      </c>
      <c r="H30" s="337">
        <v>0.19645630588742741</v>
      </c>
      <c r="I30" s="341">
        <v>0.19645630588742741</v>
      </c>
      <c r="K30" s="347">
        <f t="shared" si="2"/>
        <v>-6.8803889201280666E-2</v>
      </c>
      <c r="L30" s="348">
        <f t="shared" si="0"/>
        <v>0</v>
      </c>
      <c r="M30" s="349">
        <f t="shared" si="1"/>
        <v>0</v>
      </c>
    </row>
    <row r="31" spans="2:13" x14ac:dyDescent="0.25">
      <c r="B31" s="3"/>
      <c r="C31" s="21" t="str">
        <f>+'Pre-scaling RPM'!F39</f>
        <v>HP Customers</v>
      </c>
      <c r="D31" s="12" t="str">
        <f>+'Pre-scaling RPM'!G39</f>
        <v>Annual Flexible Rate - Annual Base Capacity</v>
      </c>
      <c r="E31" s="11" t="str">
        <f>+'Pre-scaling RPM'!H39</f>
        <v>€/(kWh/dia)/ano</v>
      </c>
      <c r="F31" s="335">
        <f>+Data_c!F30</f>
        <v>0.21097199999999999</v>
      </c>
      <c r="G31" s="335">
        <v>0.19645630588742741</v>
      </c>
      <c r="H31" s="335">
        <v>0.19645630588742741</v>
      </c>
      <c r="I31" s="338">
        <v>0.19645630588742741</v>
      </c>
      <c r="K31" s="342">
        <f t="shared" si="2"/>
        <v>-6.8803889201280666E-2</v>
      </c>
      <c r="L31" s="343">
        <f t="shared" si="0"/>
        <v>0</v>
      </c>
      <c r="M31" s="344">
        <f t="shared" si="1"/>
        <v>0</v>
      </c>
    </row>
    <row r="32" spans="2:13" x14ac:dyDescent="0.25">
      <c r="B32" s="3"/>
      <c r="C32" s="22"/>
      <c r="D32" s="10" t="str">
        <f>+'Pre-scaling RPM'!G40</f>
        <v>Annual Flexible Rate - Additional Monthly Capacity (April to September)</v>
      </c>
      <c r="E32" s="14" t="str">
        <f>+'Pre-scaling RPM'!H40</f>
        <v>€/(kWh/dia)/ano</v>
      </c>
      <c r="F32" s="333">
        <f>+Data_c!F31</f>
        <v>0.31645199999999996</v>
      </c>
      <c r="G32" s="333">
        <v>0.29468445883114114</v>
      </c>
      <c r="H32" s="333">
        <v>0.29468445883114114</v>
      </c>
      <c r="I32" s="339">
        <v>0.29468445883114114</v>
      </c>
      <c r="K32" s="345">
        <f t="shared" si="2"/>
        <v>-6.8786233516801354E-2</v>
      </c>
      <c r="L32" s="281">
        <f t="shared" si="0"/>
        <v>0</v>
      </c>
      <c r="M32" s="282">
        <f t="shared" si="1"/>
        <v>0</v>
      </c>
    </row>
    <row r="33" spans="2:13" x14ac:dyDescent="0.25">
      <c r="B33" s="3"/>
      <c r="C33" s="22"/>
      <c r="D33" s="10" t="str">
        <f>+'Pre-scaling RPM'!G41</f>
        <v>Flexible Monthly Rate - Monthly Capacity (October to March)</v>
      </c>
      <c r="E33" s="14" t="str">
        <f>+'Pre-scaling RPM'!H41</f>
        <v>€/(kWh/dia)/ano</v>
      </c>
      <c r="F33" s="333">
        <f>+Data_c!F32</f>
        <v>0.63290399999999991</v>
      </c>
      <c r="G33" s="333">
        <v>0.58936891766228228</v>
      </c>
      <c r="H33" s="333">
        <v>0.58936891766228228</v>
      </c>
      <c r="I33" s="339">
        <v>0.58936891766228228</v>
      </c>
      <c r="K33" s="345">
        <f t="shared" si="2"/>
        <v>-6.8786233516801354E-2</v>
      </c>
      <c r="L33" s="281">
        <f t="shared" si="0"/>
        <v>0</v>
      </c>
      <c r="M33" s="282">
        <f t="shared" si="1"/>
        <v>0</v>
      </c>
    </row>
    <row r="34" spans="2:13" x14ac:dyDescent="0.25">
      <c r="B34" s="3"/>
      <c r="C34" s="22"/>
      <c r="D34" s="10" t="str">
        <f>+'Pre-scaling RPM'!G42</f>
        <v>Flexible Monthly Rate - Monthly Capacity (April to September)</v>
      </c>
      <c r="E34" s="14" t="str">
        <f>+'Pre-scaling RPM'!H42</f>
        <v>€/(kWh/dia)/ano</v>
      </c>
      <c r="F34" s="333">
        <f>+Data_c!F33</f>
        <v>0.31645199999999996</v>
      </c>
      <c r="G34" s="333">
        <v>0.29468445883114114</v>
      </c>
      <c r="H34" s="333">
        <v>0.29468445883114114</v>
      </c>
      <c r="I34" s="339">
        <v>0.29468445883114114</v>
      </c>
      <c r="K34" s="345">
        <f t="shared" si="2"/>
        <v>-6.8786233516801354E-2</v>
      </c>
      <c r="L34" s="281">
        <f t="shared" si="0"/>
        <v>0</v>
      </c>
      <c r="M34" s="282">
        <f t="shared" si="1"/>
        <v>0</v>
      </c>
    </row>
    <row r="35" spans="2:13" x14ac:dyDescent="0.25">
      <c r="B35" s="3"/>
      <c r="C35" s="22"/>
      <c r="D35" s="10" t="str">
        <f>+'Pre-scaling RPM'!G43</f>
        <v>Daily Flexible Rate - Daily Capacity (October to March)</v>
      </c>
      <c r="E35" s="14" t="str">
        <f>+'Pre-scaling RPM'!H43</f>
        <v>€/(kWh/dia)/ano</v>
      </c>
      <c r="F35" s="333">
        <f>+Data_c!F34</f>
        <v>2.1097000000000001</v>
      </c>
      <c r="G35" s="333">
        <v>1.964563058874274</v>
      </c>
      <c r="H35" s="333">
        <v>1.964563058874274</v>
      </c>
      <c r="I35" s="339">
        <v>1.964563058874274</v>
      </c>
      <c r="K35" s="345">
        <f t="shared" si="2"/>
        <v>-6.8795061442729399E-2</v>
      </c>
      <c r="L35" s="281">
        <f t="shared" si="0"/>
        <v>0</v>
      </c>
      <c r="M35" s="282">
        <f t="shared" si="1"/>
        <v>0</v>
      </c>
    </row>
    <row r="36" spans="2:13" ht="15.75" thickBot="1" x14ac:dyDescent="0.3">
      <c r="B36" s="4"/>
      <c r="C36" s="23"/>
      <c r="D36" s="17" t="str">
        <f>+'Pre-scaling RPM'!G44</f>
        <v>Daily Flexible Rate - Daily Capacity (April to September)</v>
      </c>
      <c r="E36" s="16" t="str">
        <f>+'Pre-scaling RPM'!H44</f>
        <v>€/(kWh/dia)/ano</v>
      </c>
      <c r="F36" s="336">
        <f>+Data_c!F35</f>
        <v>1.2658200000000002</v>
      </c>
      <c r="G36" s="336">
        <v>1.1787378353245646</v>
      </c>
      <c r="H36" s="336">
        <v>1.1787378353245646</v>
      </c>
      <c r="I36" s="340">
        <v>1.1787378353245646</v>
      </c>
      <c r="K36" s="346">
        <f t="shared" si="2"/>
        <v>-6.8795061442729288E-2</v>
      </c>
      <c r="L36" s="283">
        <f t="shared" si="0"/>
        <v>0</v>
      </c>
      <c r="M36" s="284">
        <f t="shared" si="1"/>
        <v>0</v>
      </c>
    </row>
    <row r="37" spans="2:13" x14ac:dyDescent="0.25"/>
  </sheetData>
  <mergeCells count="2">
    <mergeCell ref="G3:I3"/>
    <mergeCell ref="K3:M3"/>
  </mergeCells>
  <pageMargins left="0.25" right="0.25" top="0.75" bottom="0.75" header="0.3" footer="0.3"/>
  <pageSetup paperSize="9" scale="7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G78"/>
  <sheetViews>
    <sheetView showGridLines="0" zoomScaleNormal="100" workbookViewId="0">
      <selection activeCell="B22" sqref="B22"/>
    </sheetView>
  </sheetViews>
  <sheetFormatPr defaultColWidth="0" defaultRowHeight="15" zeroHeight="1" x14ac:dyDescent="0.25"/>
  <cols>
    <col min="1" max="1" width="9.140625" customWidth="1"/>
    <col min="2" max="2" width="34.85546875" customWidth="1"/>
    <col min="3" max="3" width="21.28515625" customWidth="1"/>
    <col min="4" max="5" width="14.5703125" customWidth="1"/>
    <col min="6" max="6" width="15.85546875" bestFit="1" customWidth="1"/>
    <col min="7" max="7" width="10.42578125" customWidth="1"/>
    <col min="8" max="16384" width="9.140625" hidden="1"/>
  </cols>
  <sheetData>
    <row r="1" spans="1:7" x14ac:dyDescent="0.25">
      <c r="A1" s="272" t="s">
        <v>146</v>
      </c>
    </row>
    <row r="2" spans="1:7" x14ac:dyDescent="0.25">
      <c r="A2" s="288" t="s">
        <v>147</v>
      </c>
    </row>
    <row r="3" spans="1:7" x14ac:dyDescent="0.25">
      <c r="D3" s="237"/>
      <c r="F3" s="237"/>
    </row>
    <row r="4" spans="1:7" ht="15.75" thickBot="1" x14ac:dyDescent="0.3">
      <c r="A4" s="272" t="s">
        <v>285</v>
      </c>
    </row>
    <row r="5" spans="1:7" ht="15.75" thickBot="1" x14ac:dyDescent="0.3">
      <c r="B5" s="260"/>
      <c r="C5" s="261"/>
      <c r="D5" s="262" t="str">
        <f>+CWDvsRPM!C3</f>
        <v>CWD</v>
      </c>
      <c r="E5" s="262" t="str">
        <f>+CWDvsRPM!D3</f>
        <v>CWD 28/72</v>
      </c>
      <c r="F5" s="263" t="str">
        <f>+CWDvsRPM!E3</f>
        <v>CWD modificada</v>
      </c>
    </row>
    <row r="6" spans="1:7" x14ac:dyDescent="0.25">
      <c r="B6" s="264" t="s">
        <v>175</v>
      </c>
      <c r="C6" s="265"/>
      <c r="D6" s="265"/>
      <c r="E6" s="265"/>
      <c r="F6" s="266"/>
    </row>
    <row r="7" spans="1:7" x14ac:dyDescent="0.25">
      <c r="B7" s="14" t="s">
        <v>177</v>
      </c>
      <c r="C7" s="10" t="s">
        <v>179</v>
      </c>
      <c r="D7" s="295">
        <f>'RPM inputs'!$E$22/1000000-D8</f>
        <v>72.921289043515486</v>
      </c>
      <c r="E7" s="295">
        <f>'RPM inputs'!$E$22/1000000-E8</f>
        <v>72.917881512956313</v>
      </c>
      <c r="F7" s="296">
        <f>'RPM inputs'!$E$22/1000000-F8</f>
        <v>73.100908326916539</v>
      </c>
      <c r="G7" s="287"/>
    </row>
    <row r="8" spans="1:7" ht="15.75" thickBot="1" x14ac:dyDescent="0.3">
      <c r="B8" s="16" t="s">
        <v>176</v>
      </c>
      <c r="C8" s="17" t="str">
        <f>+C7</f>
        <v>milhões €</v>
      </c>
      <c r="D8" s="297">
        <f>(SUMPRODUCT('Reference prices CWD'!$F$17:$F$21,'Reference prices CWD'!$G$17:$G$21,'Reference prices CWD'!$R$17:$R$21)/12+SUMPRODUCT('Reference prices CWD'!$F$17:$F$21,'Reference prices CWD'!$G$17:$G$21,'Reference prices CWD'!$R$10:$R$14)/12)/1000000</f>
        <v>0.26997435118228652</v>
      </c>
      <c r="E8" s="297">
        <f>(SUMPRODUCT('Reference prices CWD 28-72'!$F$17:$F$21,'Reference prices CWD 28-72'!$G$17:$G$21,'Reference prices CWD 28-72'!$R$17:$R$21)/12+SUMPRODUCT('Reference prices CWD 28-72'!$F$17:$F$21,'Reference prices CWD 28-72'!$G$17:$G$21,'Reference prices CWD 28-72'!$R$10:$R$14)/12)/1000000</f>
        <v>0.27338188174145778</v>
      </c>
      <c r="F8" s="298">
        <f>(SUMPRODUCT('Reference prices RPM'!$F$17:$F$21,'Reference prices RPM'!$J$17:$J$21,'Reference prices RPM'!$AH$17:$AH$21)/12+SUMPRODUCT('Reference prices RPM'!$F$17:$F$21,'Reference prices RPM'!$J$17:$J$21,'Reference prices RPM'!$AH$10:$AH$14)/12)/1000000</f>
        <v>9.0355067781232284E-2</v>
      </c>
      <c r="G8" s="287"/>
    </row>
    <row r="9" spans="1:7" x14ac:dyDescent="0.25">
      <c r="B9" s="264" t="s">
        <v>297</v>
      </c>
      <c r="C9" s="265"/>
      <c r="D9" s="265"/>
      <c r="E9" s="265"/>
      <c r="F9" s="266"/>
    </row>
    <row r="10" spans="1:7" x14ac:dyDescent="0.25">
      <c r="B10" s="14" t="s">
        <v>177</v>
      </c>
      <c r="C10" s="10" t="s">
        <v>180</v>
      </c>
      <c r="D10" s="278">
        <f>AVERAGE(SUMPRODUCT('Reference prices RPM'!$F$5:$F$16,'Reference prices RPM'!$J$5:$J$16)/12,SUMPRODUCT('Reference prices RPM'!$F$17:$F$35,'Reference prices RPM'!$J$17:$J$35)/12)/1000000-D11</f>
        <v>242.69608895869928</v>
      </c>
      <c r="E10" s="278">
        <f>+$D10</f>
        <v>242.69608895869928</v>
      </c>
      <c r="F10" s="279">
        <f t="shared" ref="F10:F11" si="0">+$D10</f>
        <v>242.69608895869928</v>
      </c>
      <c r="G10" s="287"/>
    </row>
    <row r="11" spans="1:7" ht="15.75" thickBot="1" x14ac:dyDescent="0.3">
      <c r="B11" s="16" t="s">
        <v>176</v>
      </c>
      <c r="C11" s="17" t="str">
        <f>+C10</f>
        <v>GWh/dia</v>
      </c>
      <c r="D11" s="277">
        <f>'Reference prices RPM'!$J$20/1000000</f>
        <v>0.40869455737704913</v>
      </c>
      <c r="E11" s="277">
        <f t="shared" ref="E11" si="1">+$D11</f>
        <v>0.40869455737704913</v>
      </c>
      <c r="F11" s="280">
        <f t="shared" si="0"/>
        <v>0.40869455737704913</v>
      </c>
      <c r="G11" s="287"/>
    </row>
    <row r="12" spans="1:7" x14ac:dyDescent="0.25">
      <c r="B12" s="264" t="s">
        <v>298</v>
      </c>
      <c r="C12" s="265"/>
      <c r="D12" s="265"/>
      <c r="E12" s="265"/>
      <c r="F12" s="266"/>
    </row>
    <row r="13" spans="1:7" x14ac:dyDescent="0.25">
      <c r="B13" s="14" t="s">
        <v>177</v>
      </c>
      <c r="C13" s="10" t="s">
        <v>296</v>
      </c>
      <c r="D13" s="273">
        <f>D7/D10</f>
        <v>0.30046338759057978</v>
      </c>
      <c r="E13" s="273">
        <f t="shared" ref="E13:F13" si="2">E7/E10</f>
        <v>0.30044934727137318</v>
      </c>
      <c r="F13" s="274">
        <f t="shared" si="2"/>
        <v>0.30120348721135121</v>
      </c>
    </row>
    <row r="14" spans="1:7" ht="15.75" thickBot="1" x14ac:dyDescent="0.3">
      <c r="B14" s="16" t="s">
        <v>176</v>
      </c>
      <c r="C14" s="17" t="str">
        <f>+C13</f>
        <v>milhões € ÷ (GWh/dia)</v>
      </c>
      <c r="D14" s="275">
        <f>IFERROR(D8/D11,"-")</f>
        <v>0.66057730965381178</v>
      </c>
      <c r="E14" s="275">
        <f t="shared" ref="E14:F14" si="3">IFERROR(E8/E11,"-")</f>
        <v>0.66891490676065934</v>
      </c>
      <c r="F14" s="285">
        <f t="shared" si="3"/>
        <v>0.22108214105203622</v>
      </c>
    </row>
    <row r="15" spans="1:7" x14ac:dyDescent="0.25">
      <c r="B15" s="267"/>
      <c r="C15" s="268"/>
      <c r="D15" s="268"/>
      <c r="E15" s="268"/>
      <c r="F15" s="271"/>
    </row>
    <row r="16" spans="1:7" x14ac:dyDescent="0.25">
      <c r="B16" s="269" t="s">
        <v>178</v>
      </c>
      <c r="C16" s="270"/>
      <c r="D16" s="289">
        <f>IF(D14="-",0,2*(D13-D14)/(D13+D14))</f>
        <v>-0.74942491633453778</v>
      </c>
      <c r="E16" s="289">
        <f>IF(E14="-",0,2*(E13-E14)/(E13+E14))</f>
        <v>-0.76022105819699493</v>
      </c>
      <c r="F16" s="290">
        <f>IF(F14="-",0,2*(F13-F14)/(F13+F14))</f>
        <v>0.30681045705094523</v>
      </c>
    </row>
    <row r="17" spans="1:7" ht="15.75" thickBot="1" x14ac:dyDescent="0.3">
      <c r="B17" s="291"/>
      <c r="C17" s="292"/>
      <c r="D17" s="293"/>
      <c r="E17" s="293"/>
      <c r="F17" s="294"/>
    </row>
    <row r="18" spans="1:7" x14ac:dyDescent="0.25"/>
    <row r="19" spans="1:7" ht="15.75" thickBot="1" x14ac:dyDescent="0.3">
      <c r="A19" s="272" t="s">
        <v>286</v>
      </c>
    </row>
    <row r="20" spans="1:7" ht="15.75" thickBot="1" x14ac:dyDescent="0.3">
      <c r="B20" s="260"/>
      <c r="C20" s="261"/>
      <c r="D20" s="262" t="str">
        <f>+D5</f>
        <v>CWD</v>
      </c>
      <c r="E20" s="262" t="str">
        <f>+E5</f>
        <v>CWD 28/72</v>
      </c>
      <c r="F20" s="263" t="str">
        <f>+F5</f>
        <v>CWD modificada</v>
      </c>
    </row>
    <row r="21" spans="1:7" x14ac:dyDescent="0.25">
      <c r="B21" s="264" t="str">
        <f>+B6</f>
        <v>Receitas</v>
      </c>
      <c r="C21" s="265"/>
      <c r="D21" s="265"/>
      <c r="E21" s="265"/>
      <c r="F21" s="266"/>
    </row>
    <row r="22" spans="1:7" x14ac:dyDescent="0.25">
      <c r="B22" s="14" t="str">
        <f t="shared" ref="B22:C22" si="4">+B7</f>
        <v>Intrasistema</v>
      </c>
      <c r="C22" s="10" t="str">
        <f t="shared" si="4"/>
        <v>milhões €</v>
      </c>
      <c r="D22" s="295">
        <f t="shared" ref="D22:F22" si="5">+D7</f>
        <v>72.921289043515486</v>
      </c>
      <c r="E22" s="295">
        <f t="shared" si="5"/>
        <v>72.917881512956313</v>
      </c>
      <c r="F22" s="296">
        <f t="shared" si="5"/>
        <v>73.100908326916539</v>
      </c>
    </row>
    <row r="23" spans="1:7" ht="15.75" thickBot="1" x14ac:dyDescent="0.3">
      <c r="B23" s="16" t="str">
        <f t="shared" ref="B23:F23" si="6">+B8</f>
        <v>Intersistema</v>
      </c>
      <c r="C23" s="17" t="str">
        <f t="shared" si="6"/>
        <v>milhões €</v>
      </c>
      <c r="D23" s="297">
        <f t="shared" si="6"/>
        <v>0.26997435118228652</v>
      </c>
      <c r="E23" s="297">
        <f t="shared" si="6"/>
        <v>0.27338188174145778</v>
      </c>
      <c r="F23" s="298">
        <f t="shared" si="6"/>
        <v>9.0355067781232284E-2</v>
      </c>
    </row>
    <row r="24" spans="1:7" x14ac:dyDescent="0.25">
      <c r="B24" s="264" t="s">
        <v>299</v>
      </c>
      <c r="C24" s="265"/>
      <c r="D24" s="265"/>
      <c r="E24" s="265"/>
      <c r="F24" s="266"/>
    </row>
    <row r="25" spans="1:7" x14ac:dyDescent="0.25">
      <c r="B25" s="14" t="str">
        <f t="shared" ref="B25:C25" si="7">+B10</f>
        <v>Intrasistema</v>
      </c>
      <c r="C25" s="10" t="str">
        <f t="shared" si="7"/>
        <v>GWh/dia</v>
      </c>
      <c r="D25" s="278">
        <f>AVERAGE(SUMPRODUCT('RPM inputs'!$E$4:$E$7,'RPM inputs'!$F$4:$F$7),SUMPRODUCT('RPM inputs'!$E$8:$E$18,'RPM inputs'!$F$8:$F$18))/1000000-D26</f>
        <v>171.36652234541287</v>
      </c>
      <c r="E25" s="278">
        <f>+$D25</f>
        <v>171.36652234541287</v>
      </c>
      <c r="F25" s="279">
        <f t="shared" ref="F25:F26" si="8">+$D25</f>
        <v>171.36652234541287</v>
      </c>
      <c r="G25" s="287"/>
    </row>
    <row r="26" spans="1:7" ht="15.75" thickBot="1" x14ac:dyDescent="0.3">
      <c r="B26" s="16" t="str">
        <f t="shared" ref="B26:C26" si="9">+B11</f>
        <v>Intersistema</v>
      </c>
      <c r="C26" s="17" t="str">
        <f t="shared" si="9"/>
        <v>GWh/dia</v>
      </c>
      <c r="D26" s="276">
        <f>AVERAGE(SUMPRODUCT('RPM inputs'!$E$8:$E$9,'RPM inputs'!$F$8:$F$9),SUM('RPM inputs'!$E$8:$E$9)*'RPM inputs'!F6)/1000000</f>
        <v>0.19639501976389631</v>
      </c>
      <c r="E26" s="276">
        <f t="shared" ref="E26" si="10">+$D26</f>
        <v>0.19639501976389631</v>
      </c>
      <c r="F26" s="286">
        <f t="shared" si="8"/>
        <v>0.19639501976389631</v>
      </c>
      <c r="G26" s="287"/>
    </row>
    <row r="27" spans="1:7" x14ac:dyDescent="0.25">
      <c r="B27" s="264" t="str">
        <f>+B12</f>
        <v>Rácio = Receitas ÷ Fator de custo</v>
      </c>
      <c r="C27" s="265"/>
      <c r="D27" s="265"/>
      <c r="E27" s="265"/>
      <c r="F27" s="266"/>
    </row>
    <row r="28" spans="1:7" x14ac:dyDescent="0.25">
      <c r="B28" s="14" t="str">
        <f t="shared" ref="B28:C28" si="11">+B13</f>
        <v>Intrasistema</v>
      </c>
      <c r="C28" s="10" t="str">
        <f t="shared" si="11"/>
        <v>milhões € ÷ (GWh/dia)</v>
      </c>
      <c r="D28" s="273">
        <f>D22/D25</f>
        <v>0.42552820729204366</v>
      </c>
      <c r="E28" s="273">
        <f t="shared" ref="E28:F28" si="12">E22/E25</f>
        <v>0.42550832283320927</v>
      </c>
      <c r="F28" s="274">
        <f t="shared" si="12"/>
        <v>0.4265763658293279</v>
      </c>
    </row>
    <row r="29" spans="1:7" ht="15.75" thickBot="1" x14ac:dyDescent="0.3">
      <c r="B29" s="16" t="str">
        <f t="shared" ref="B29:C31" si="13">+B14</f>
        <v>Intersistema</v>
      </c>
      <c r="C29" s="17" t="str">
        <f t="shared" si="13"/>
        <v>milhões € ÷ (GWh/dia)</v>
      </c>
      <c r="D29" s="275">
        <f>IFERROR(D23/D26,"-")</f>
        <v>1.3746496805613828</v>
      </c>
      <c r="E29" s="275">
        <f t="shared" ref="E29:F29" si="14">IFERROR(E23/E26,"-")</f>
        <v>1.3920000724565935</v>
      </c>
      <c r="F29" s="285">
        <f t="shared" si="14"/>
        <v>0.46006801949385501</v>
      </c>
    </row>
    <row r="30" spans="1:7" x14ac:dyDescent="0.25">
      <c r="B30" s="267"/>
      <c r="C30" s="268"/>
      <c r="D30" s="268"/>
      <c r="E30" s="268"/>
      <c r="F30" s="271"/>
    </row>
    <row r="31" spans="1:7" x14ac:dyDescent="0.25">
      <c r="B31" s="269" t="str">
        <f t="shared" si="13"/>
        <v>Índice de comparação da imputação de custos de capacidade</v>
      </c>
      <c r="C31" s="270"/>
      <c r="D31" s="289">
        <f>IF(D29="-",0,2*(D28-D29)/(D28+D29))</f>
        <v>-1.0544752045600265</v>
      </c>
      <c r="E31" s="289">
        <f>IF(E29="-",0,2*(E28-E29)/(E28+E29))</f>
        <v>-1.0635348393747326</v>
      </c>
      <c r="F31" s="290">
        <f>IF(F29="-",0,2*(F28-F29)/(F28+F29))</f>
        <v>-7.5546981899218504E-2</v>
      </c>
    </row>
    <row r="32" spans="1:7" ht="15.75" thickBot="1" x14ac:dyDescent="0.3">
      <c r="B32" s="291"/>
      <c r="C32" s="292"/>
      <c r="D32" s="293"/>
      <c r="E32" s="293"/>
      <c r="F32" s="294"/>
    </row>
    <row r="33" x14ac:dyDescent="0.25"/>
    <row r="34"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sheetData>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W26"/>
  <sheetViews>
    <sheetView showGridLines="0" zoomScale="90" zoomScaleNormal="90" workbookViewId="0">
      <selection activeCell="B22" sqref="B22"/>
    </sheetView>
  </sheetViews>
  <sheetFormatPr defaultColWidth="0" defaultRowHeight="15" customHeight="1" zeroHeight="1" x14ac:dyDescent="0.25"/>
  <cols>
    <col min="1" max="1" width="3.42578125" customWidth="1"/>
    <col min="2" max="2" width="9.140625" customWidth="1"/>
    <col min="3" max="13" width="11.28515625" customWidth="1"/>
    <col min="14" max="14" width="2.85546875" customWidth="1"/>
    <col min="15" max="15" width="4" customWidth="1"/>
    <col min="16" max="16" width="12.28515625" customWidth="1"/>
    <col min="17" max="19" width="11" customWidth="1"/>
    <col min="20" max="20" width="4.140625" customWidth="1"/>
    <col min="21" max="21" width="9.140625" customWidth="1"/>
    <col min="22" max="22" width="1.7109375" bestFit="1" customWidth="1"/>
    <col min="23" max="23" width="90.85546875" bestFit="1" customWidth="1"/>
    <col min="24" max="16384" width="9.140625" hidden="1"/>
  </cols>
  <sheetData>
    <row r="1" spans="2:23" ht="15" customHeight="1" x14ac:dyDescent="0.25"/>
    <row r="2" spans="2:23" x14ac:dyDescent="0.25">
      <c r="B2" s="99" t="str">
        <f>+RPM!B2</f>
        <v>Matriz de distâncias</v>
      </c>
      <c r="C2" s="100"/>
      <c r="D2" s="100"/>
      <c r="E2" s="100"/>
      <c r="F2" s="100"/>
      <c r="G2" s="100"/>
      <c r="H2" s="100"/>
      <c r="I2" s="100"/>
      <c r="J2" s="100"/>
      <c r="K2" s="100"/>
      <c r="L2" s="100"/>
      <c r="M2" s="101"/>
      <c r="N2" s="51"/>
      <c r="O2" s="51"/>
      <c r="P2" s="180" t="str">
        <f>+RPM!P16</f>
        <v>Preços pré-equalização por ponto de entrada</v>
      </c>
      <c r="Q2" s="100"/>
      <c r="R2" s="100"/>
      <c r="S2" s="101"/>
    </row>
    <row r="3" spans="2:23" ht="18" x14ac:dyDescent="0.35">
      <c r="B3" s="102" t="s">
        <v>29</v>
      </c>
      <c r="C3" s="28" t="s">
        <v>30</v>
      </c>
      <c r="D3" s="28" t="s">
        <v>31</v>
      </c>
      <c r="E3" s="28" t="s">
        <v>32</v>
      </c>
      <c r="F3" s="28" t="s">
        <v>33</v>
      </c>
      <c r="G3" s="28" t="s">
        <v>34</v>
      </c>
      <c r="H3" s="28" t="s">
        <v>35</v>
      </c>
      <c r="I3" s="28" t="s">
        <v>36</v>
      </c>
      <c r="J3" s="28" t="s">
        <v>37</v>
      </c>
      <c r="K3" s="28" t="s">
        <v>38</v>
      </c>
      <c r="L3" s="28" t="s">
        <v>39</v>
      </c>
      <c r="M3" s="28" t="s">
        <v>40</v>
      </c>
      <c r="N3" s="51"/>
      <c r="O3" s="51"/>
      <c r="P3" s="387" t="s">
        <v>233</v>
      </c>
      <c r="Q3" s="387" t="s">
        <v>236</v>
      </c>
      <c r="R3" s="387" t="s">
        <v>237</v>
      </c>
      <c r="S3" s="387" t="s">
        <v>238</v>
      </c>
    </row>
    <row r="4" spans="2:23" x14ac:dyDescent="0.25">
      <c r="B4" s="26" t="s">
        <v>30</v>
      </c>
      <c r="C4" s="30">
        <f>INDEX(Data_d!$F$27:$F$70,MATCH($B4&amp;C$3,Data_d!$E$27:$E$70,0))</f>
        <v>0</v>
      </c>
      <c r="D4" s="30">
        <f>INDEX(Data_d!$F$27:$F$70,MATCH($B4&amp;D$3,Data_d!$E$27:$E$70,0))</f>
        <v>509.03899999999999</v>
      </c>
      <c r="E4" s="30">
        <f>INDEX(Data_d!$F$27:$F$70,MATCH($B4&amp;E$3,Data_d!$E$27:$E$70,0))</f>
        <v>481.84000000000003</v>
      </c>
      <c r="F4" s="30">
        <f>INDEX(Data_d!$F$27:$F$70,MATCH($B4&amp;F$3,Data_d!$E$27:$E$70,0))</f>
        <v>254.26299999999998</v>
      </c>
      <c r="G4" s="30">
        <f>INDEX(Data_d!$F$27:$F$70,MATCH($B4&amp;G$3,Data_d!$E$27:$E$70,0))</f>
        <v>416.85699999999997</v>
      </c>
      <c r="H4" s="30">
        <f>INDEX(Data_d!$F$27:$F$70,MATCH($B4&amp;H$3,Data_d!$E$27:$E$70,0))</f>
        <v>434.01900000000001</v>
      </c>
      <c r="I4" s="30">
        <f>INDEX(Data_d!$F$27:$F$70,MATCH($B4&amp;I$3,Data_d!$E$27:$E$70,0))</f>
        <v>290.23699999999997</v>
      </c>
      <c r="J4" s="30">
        <f>INDEX(Data_d!$F$27:$F$70,MATCH($B4&amp;J$3,Data_d!$E$27:$E$70,0))</f>
        <v>148.19899999999998</v>
      </c>
      <c r="K4" s="30">
        <f>INDEX(Data_d!$F$27:$F$70,MATCH($B4&amp;K$3,Data_d!$E$27:$E$70,0))</f>
        <v>477.80899999999997</v>
      </c>
      <c r="L4" s="30">
        <f>INDEX(Data_d!$F$27:$F$70,MATCH($B4&amp;L$3,Data_d!$E$27:$E$70,0))</f>
        <v>441.00900000000001</v>
      </c>
      <c r="M4" s="30">
        <f>INDEX(Data_d!$F$27:$F$70,MATCH($B4&amp;M$3,Data_d!$E$27:$E$70,0))</f>
        <v>274.86</v>
      </c>
      <c r="N4" s="51"/>
      <c r="O4" s="26" t="s">
        <v>30</v>
      </c>
      <c r="P4" s="134">
        <f>+'RPM inputs'!E4</f>
        <v>74364888.60000585</v>
      </c>
      <c r="Q4" s="32">
        <f>SUMPRODUCT(C$11:M$11,C4:M4)/SUMIFS(C$11:M$11,C4:M4,"&gt;0")</f>
        <v>357.98268865542974</v>
      </c>
      <c r="R4" s="33">
        <f>P4*Q4/SUMPRODUCT(P$4:P$7,Q$4:Q$7)</f>
        <v>0.38660473414594759</v>
      </c>
      <c r="S4" s="36">
        <f>IF(P4=0,0,0.5*R4*'RPM inputs'!$E$22/P4)</f>
        <v>0.19025167292801493</v>
      </c>
    </row>
    <row r="5" spans="2:23" x14ac:dyDescent="0.25">
      <c r="B5" s="26" t="s">
        <v>31</v>
      </c>
      <c r="C5" s="30">
        <f>INDEX(Data_d!$F$27:$F$70,MATCH($B5&amp;C$3,Data_d!$E$27:$E$70,0))</f>
        <v>509.03899999999999</v>
      </c>
      <c r="D5" s="30">
        <f>INDEX(Data_d!$F$27:$F$70,MATCH($B5&amp;D$3,Data_d!$E$27:$E$70,0))</f>
        <v>0</v>
      </c>
      <c r="E5" s="30">
        <f>INDEX(Data_d!$F$27:$F$70,MATCH($B5&amp;E$3,Data_d!$E$27:$E$70,0))</f>
        <v>549.45300000000009</v>
      </c>
      <c r="F5" s="30">
        <f>INDEX(Data_d!$F$27:$F$70,MATCH($B5&amp;F$3,Data_d!$E$27:$E$70,0))</f>
        <v>321.87600000000003</v>
      </c>
      <c r="G5" s="30">
        <f>INDEX(Data_d!$F$27:$F$70,MATCH($B5&amp;G$3,Data_d!$E$27:$E$70,0))</f>
        <v>484.47</v>
      </c>
      <c r="H5" s="30">
        <f>INDEX(Data_d!$F$27:$F$70,MATCH($B5&amp;H$3,Data_d!$E$27:$E$70,0))</f>
        <v>190.702</v>
      </c>
      <c r="I5" s="30">
        <f>INDEX(Data_d!$F$27:$F$70,MATCH($B5&amp;I$3,Data_d!$E$27:$E$70,0))</f>
        <v>357.85</v>
      </c>
      <c r="J5" s="30">
        <f>INDEX(Data_d!$F$27:$F$70,MATCH($B5&amp;J$3,Data_d!$E$27:$E$70,0))</f>
        <v>370.96000000000004</v>
      </c>
      <c r="K5" s="30">
        <f>INDEX(Data_d!$F$27:$F$70,MATCH($B5&amp;K$3,Data_d!$E$27:$E$70,0))</f>
        <v>71.706000000000003</v>
      </c>
      <c r="L5" s="30">
        <f>INDEX(Data_d!$F$27:$F$70,MATCH($B5&amp;L$3,Data_d!$E$27:$E$70,0))</f>
        <v>508.62200000000007</v>
      </c>
      <c r="M5" s="30">
        <f>INDEX(Data_d!$F$27:$F$70,MATCH($B5&amp;M$3,Data_d!$E$27:$E$70,0))</f>
        <v>334.01</v>
      </c>
      <c r="N5" s="51"/>
      <c r="O5" s="26" t="s">
        <v>31</v>
      </c>
      <c r="P5" s="134">
        <f>+'RPM inputs'!E5</f>
        <v>5549618.552239242</v>
      </c>
      <c r="Q5" s="32">
        <f>SUMPRODUCT(C$11:M$11,C5:M5)/SUMIFS(C$11:M$11,C5:M5,"&gt;0")</f>
        <v>352.21659805499405</v>
      </c>
      <c r="R5" s="33">
        <f>P5*Q5/SUMPRODUCT(P$4:P$7,Q$4:Q$7)</f>
        <v>2.8386389790073973E-2</v>
      </c>
      <c r="S5" s="36">
        <f>IF(P5=0,0,0.5*R5*'RPM inputs'!$E$22/P5)</f>
        <v>0.18718725551971033</v>
      </c>
    </row>
    <row r="6" spans="2:23" x14ac:dyDescent="0.25">
      <c r="B6" s="26" t="s">
        <v>32</v>
      </c>
      <c r="C6" s="30">
        <f>INDEX(Data_d!$F$27:$F$70,MATCH($B6&amp;C$3,Data_d!$E$27:$E$70,0))</f>
        <v>481.84000000000003</v>
      </c>
      <c r="D6" s="30">
        <f>INDEX(Data_d!$F$27:$F$70,MATCH($B6&amp;D$3,Data_d!$E$27:$E$70,0))</f>
        <v>549.45300000000009</v>
      </c>
      <c r="E6" s="30">
        <f>INDEX(Data_d!$F$27:$F$70,MATCH($B6&amp;E$3,Data_d!$E$27:$E$70,0))</f>
        <v>0</v>
      </c>
      <c r="F6" s="30">
        <f>INDEX(Data_d!$F$27:$F$70,MATCH($B6&amp;F$3,Data_d!$E$27:$E$70,0))</f>
        <v>294.67700000000002</v>
      </c>
      <c r="G6" s="30">
        <f>INDEX(Data_d!$F$27:$F$70,MATCH($B6&amp;G$3,Data_d!$E$27:$E$70,0))</f>
        <v>276.803</v>
      </c>
      <c r="H6" s="30">
        <f>INDEX(Data_d!$F$27:$F$70,MATCH($B6&amp;H$3,Data_d!$E$27:$E$70,0))</f>
        <v>474.43299999999999</v>
      </c>
      <c r="I6" s="30">
        <f>INDEX(Data_d!$F$27:$F$70,MATCH($B6&amp;I$3,Data_d!$E$27:$E$70,0))</f>
        <v>330.65100000000001</v>
      </c>
      <c r="J6" s="30">
        <f>INDEX(Data_d!$F$27:$F$70,MATCH($B6&amp;J$3,Data_d!$E$27:$E$70,0))</f>
        <v>343.76099999999997</v>
      </c>
      <c r="K6" s="30">
        <f>INDEX(Data_d!$F$27:$F$70,MATCH($B6&amp;K$3,Data_d!$E$27:$E$70,0))</f>
        <v>518.22300000000007</v>
      </c>
      <c r="L6" s="30">
        <f>INDEX(Data_d!$F$27:$F$70,MATCH($B6&amp;L$3,Data_d!$E$27:$E$70,0))</f>
        <v>51.051000000000002</v>
      </c>
      <c r="M6" s="30">
        <f>INDEX(Data_d!$F$27:$F$70,MATCH($B6&amp;M$3,Data_d!$E$27:$E$70,0))</f>
        <v>462.79100000000005</v>
      </c>
      <c r="N6" s="51"/>
      <c r="O6" s="26" t="s">
        <v>32</v>
      </c>
      <c r="P6" s="134">
        <f>+'RPM inputs'!E6</f>
        <v>115905087.64993787</v>
      </c>
      <c r="Q6" s="32">
        <f>SUMPRODUCT(C$11:M$11,C6:M6)/SUMIFS(C$11:M$11,C6:M6,"&gt;0")</f>
        <v>334.28314551676112</v>
      </c>
      <c r="R6" s="33">
        <f>P6*Q6/SUMPRODUCT(P$4:P$7,Q$4:Q$7)</f>
        <v>0.56267055720907477</v>
      </c>
      <c r="S6" s="36">
        <f>IF(P6=0,0,0.5*R6*'RPM inputs'!$E$22/P6)</f>
        <v>0.17765643334618897</v>
      </c>
    </row>
    <row r="7" spans="2:23" x14ac:dyDescent="0.25">
      <c r="B7" s="26" t="s">
        <v>33</v>
      </c>
      <c r="C7" s="30">
        <f>INDEX(Data_d!$F$27:$F$70,MATCH($B7&amp;C$3,Data_d!$E$27:$E$70,0))</f>
        <v>254.26299999999998</v>
      </c>
      <c r="D7" s="30">
        <f>INDEX(Data_d!$F$27:$F$70,MATCH($B7&amp;D$3,Data_d!$E$27:$E$70,0))</f>
        <v>321.87600000000003</v>
      </c>
      <c r="E7" s="30">
        <f>INDEX(Data_d!$F$27:$F$70,MATCH($B7&amp;E$3,Data_d!$E$27:$E$70,0))</f>
        <v>294.67700000000002</v>
      </c>
      <c r="F7" s="30">
        <f>INDEX(Data_d!$F$27:$F$70,MATCH($B7&amp;F$3,Data_d!$E$27:$E$70,0))</f>
        <v>0</v>
      </c>
      <c r="G7" s="30">
        <f>INDEX(Data_d!$F$27:$F$70,MATCH($B7&amp;G$3,Data_d!$E$27:$E$70,0))</f>
        <v>229.69400000000002</v>
      </c>
      <c r="H7" s="30">
        <f>INDEX(Data_d!$F$27:$F$70,MATCH($B7&amp;H$3,Data_d!$E$27:$E$70,0))</f>
        <v>246.85599999999999</v>
      </c>
      <c r="I7" s="30">
        <f>INDEX(Data_d!$F$27:$F$70,MATCH($B7&amp;I$3,Data_d!$E$27:$E$70,0))</f>
        <v>35.974000000000004</v>
      </c>
      <c r="J7" s="30">
        <f>INDEX(Data_d!$F$27:$F$70,MATCH($B7&amp;J$3,Data_d!$E$27:$E$70,0))</f>
        <v>116.184</v>
      </c>
      <c r="K7" s="30">
        <f>INDEX(Data_d!$F$27:$F$70,MATCH($B7&amp;K$3,Data_d!$E$27:$E$70,0))</f>
        <v>290.64600000000002</v>
      </c>
      <c r="L7" s="30">
        <f>INDEX(Data_d!$F$27:$F$70,MATCH($B7&amp;L$3,Data_d!$E$27:$E$70,0))</f>
        <v>253.846</v>
      </c>
      <c r="M7" s="30">
        <f>INDEX(Data_d!$F$27:$F$70,MATCH($B7&amp;M$3,Data_d!$E$27:$E$70,0))</f>
        <v>235.214</v>
      </c>
      <c r="N7" s="51"/>
      <c r="O7" s="26" t="s">
        <v>33</v>
      </c>
      <c r="P7" s="134">
        <f>+'RPM inputs'!E7</f>
        <v>8631715.4602739699</v>
      </c>
      <c r="Q7" s="32">
        <f>SUMPRODUCT(C$11:M$11,C7:M7)/SUMIFS(C$11:M$11,C7:M7,"&gt;0")</f>
        <v>178.20347124263719</v>
      </c>
      <c r="R7" s="33">
        <f>P7*Q7/SUMPRODUCT(P$4:P$7,Q$4:Q$7)</f>
        <v>2.233831885490371E-2</v>
      </c>
      <c r="S7" s="36">
        <f>IF(P7=0,0,0.5*R7*'RPM inputs'!$E$22/P7)</f>
        <v>9.4707117410709168E-2</v>
      </c>
    </row>
    <row r="8" spans="2:23" x14ac:dyDescent="0.25">
      <c r="N8" s="51"/>
      <c r="O8" s="51"/>
      <c r="P8" s="51"/>
      <c r="Q8" s="51"/>
      <c r="R8" s="51"/>
      <c r="S8" s="51"/>
    </row>
    <row r="9" spans="2:23" x14ac:dyDescent="0.25">
      <c r="B9" s="99" t="str">
        <f>+RPM!B23</f>
        <v>Preços pré-equalização por ponto de saída</v>
      </c>
      <c r="C9" s="100"/>
      <c r="D9" s="100"/>
      <c r="E9" s="100"/>
      <c r="F9" s="100"/>
      <c r="G9" s="100"/>
      <c r="H9" s="100"/>
      <c r="I9" s="100"/>
      <c r="J9" s="100"/>
      <c r="K9" s="100"/>
      <c r="L9" s="100"/>
      <c r="M9" s="101"/>
      <c r="N9" s="51"/>
      <c r="O9" s="51"/>
      <c r="P9" s="51"/>
      <c r="Q9" s="51"/>
      <c r="R9" s="51"/>
      <c r="S9" s="51"/>
    </row>
    <row r="10" spans="2:23" x14ac:dyDescent="0.25">
      <c r="B10" s="102"/>
      <c r="C10" s="28" t="s">
        <v>30</v>
      </c>
      <c r="D10" s="28" t="s">
        <v>31</v>
      </c>
      <c r="E10" s="28" t="s">
        <v>32</v>
      </c>
      <c r="F10" s="28" t="s">
        <v>33</v>
      </c>
      <c r="G10" s="28" t="s">
        <v>34</v>
      </c>
      <c r="H10" s="28" t="s">
        <v>35</v>
      </c>
      <c r="I10" s="28" t="s">
        <v>36</v>
      </c>
      <c r="J10" s="28" t="s">
        <v>37</v>
      </c>
      <c r="K10" s="28" t="s">
        <v>38</v>
      </c>
      <c r="L10" s="28" t="s">
        <v>39</v>
      </c>
      <c r="M10" s="28" t="s">
        <v>40</v>
      </c>
      <c r="N10" s="51"/>
      <c r="O10" s="51"/>
      <c r="P10" s="51"/>
      <c r="Q10" s="51"/>
      <c r="R10" s="51"/>
      <c r="S10" s="51"/>
    </row>
    <row r="11" spans="2:23" ht="18" x14ac:dyDescent="0.35">
      <c r="B11" s="388" t="s">
        <v>239</v>
      </c>
      <c r="C11" s="134">
        <f t="array" ref="C11:M11">TRANSPOSE('RPM inputs'!$E$8:$E$18)</f>
        <v>280977.50819672126</v>
      </c>
      <c r="D11" s="134">
        <v>127717.04918032786</v>
      </c>
      <c r="E11" s="134">
        <v>0</v>
      </c>
      <c r="F11" s="134">
        <v>8631715.4602739699</v>
      </c>
      <c r="G11" s="134">
        <v>63163802.957976975</v>
      </c>
      <c r="H11" s="134">
        <v>75549719.636263147</v>
      </c>
      <c r="I11" s="134">
        <v>65554137.757273704</v>
      </c>
      <c r="J11" s="134">
        <v>32233256.928010706</v>
      </c>
      <c r="K11" s="134">
        <v>4542292.6721454207</v>
      </c>
      <c r="L11" s="134">
        <v>28314076.568865161</v>
      </c>
      <c r="M11" s="134">
        <v>3360560.23150955</v>
      </c>
      <c r="N11" s="51"/>
      <c r="O11" s="51"/>
      <c r="P11" s="51"/>
      <c r="Q11" s="51"/>
      <c r="R11" s="51"/>
      <c r="S11" s="51"/>
    </row>
    <row r="12" spans="2:23" ht="18" x14ac:dyDescent="0.35">
      <c r="B12" s="387" t="s">
        <v>242</v>
      </c>
      <c r="C12" s="32">
        <f t="shared" ref="C12:M12" si="0">SUMPRODUCT($P4:$P7,C4:C7)/SUMIFS($P4:$P7,C4:C7,"&gt;0")</f>
        <v>467.89976080266143</v>
      </c>
      <c r="D12" s="32">
        <f t="shared" si="0"/>
        <v>524.46697562558745</v>
      </c>
      <c r="E12" s="32">
        <f t="shared" si="0"/>
        <v>467.83249787372262</v>
      </c>
      <c r="F12" s="32">
        <f t="shared" si="0"/>
        <v>280.10012103259209</v>
      </c>
      <c r="G12" s="32">
        <f t="shared" si="0"/>
        <v>331.39272723592512</v>
      </c>
      <c r="H12" s="32">
        <f t="shared" si="0"/>
        <v>442.4236118956747</v>
      </c>
      <c r="I12" s="32">
        <f t="shared" si="0"/>
        <v>304.24859376139017</v>
      </c>
      <c r="J12" s="32">
        <f t="shared" si="0"/>
        <v>263.7596434046431</v>
      </c>
      <c r="K12" s="32">
        <f t="shared" si="0"/>
        <v>481.79495493287465</v>
      </c>
      <c r="L12" s="32">
        <f t="shared" si="0"/>
        <v>213.87214520704447</v>
      </c>
      <c r="M12" s="32">
        <f t="shared" si="0"/>
        <v>381.33134491543859</v>
      </c>
      <c r="N12" s="51"/>
      <c r="O12" s="51"/>
      <c r="P12" s="51"/>
      <c r="Q12" s="51"/>
      <c r="R12" s="51"/>
      <c r="S12" s="51"/>
    </row>
    <row r="13" spans="2:23" ht="18" x14ac:dyDescent="0.35">
      <c r="B13" s="387" t="s">
        <v>243</v>
      </c>
      <c r="C13" s="33">
        <f t="shared" ref="C13:M13" si="1">C11*C12/SUMPRODUCT($C11:$M11,$C12:$M12)</f>
        <v>1.384684434983267E-3</v>
      </c>
      <c r="D13" s="33">
        <f t="shared" si="1"/>
        <v>7.0549420920033553E-4</v>
      </c>
      <c r="E13" s="33">
        <f t="shared" si="1"/>
        <v>0</v>
      </c>
      <c r="F13" s="33">
        <f t="shared" si="1"/>
        <v>2.5464599061492805E-2</v>
      </c>
      <c r="G13" s="33">
        <f t="shared" si="1"/>
        <v>0.22046399539075875</v>
      </c>
      <c r="H13" s="33">
        <f t="shared" si="1"/>
        <v>0.35204451684260363</v>
      </c>
      <c r="I13" s="33">
        <f t="shared" si="1"/>
        <v>0.21006568738365389</v>
      </c>
      <c r="J13" s="33">
        <f t="shared" si="1"/>
        <v>8.9544510645187494E-2</v>
      </c>
      <c r="K13" s="33">
        <f t="shared" si="1"/>
        <v>2.3049621175116324E-2</v>
      </c>
      <c r="L13" s="33">
        <f t="shared" si="1"/>
        <v>6.3779786078126399E-2</v>
      </c>
      <c r="M13" s="33">
        <f t="shared" si="1"/>
        <v>1.3497104778877092E-2</v>
      </c>
      <c r="N13" s="51"/>
      <c r="O13" s="51"/>
      <c r="P13" s="51"/>
      <c r="Q13" s="51"/>
      <c r="R13" s="51"/>
      <c r="S13" s="51"/>
    </row>
    <row r="14" spans="2:23" ht="18" x14ac:dyDescent="0.35">
      <c r="B14" s="387" t="s">
        <v>244</v>
      </c>
      <c r="C14" s="35">
        <f>IF(C11=0,0,0.5*C13*'RPM inputs'!$E$22/C11)</f>
        <v>0.18034682535593285</v>
      </c>
      <c r="D14" s="35">
        <f>IF(D11=0,0,0.5*D13*'RPM inputs'!$E$22/D11)</f>
        <v>0.20215003721276556</v>
      </c>
      <c r="E14" s="35">
        <f>IF(E11=0,0,0.5*E13*'RPM inputs'!$E$22/E11)</f>
        <v>0</v>
      </c>
      <c r="F14" s="35">
        <f>IF(F11=0,0,0.5*F13*'RPM inputs'!$E$22/F11)</f>
        <v>0.10796151620890762</v>
      </c>
      <c r="G14" s="35">
        <f>IF(G11=0,0,0.5*G13*'RPM inputs'!$E$22/G11)</f>
        <v>0.12773168808746208</v>
      </c>
      <c r="H14" s="35">
        <f>IF(H11=0,0,0.5*H13*'RPM inputs'!$E$22/H11)</f>
        <v>0.170527323482736</v>
      </c>
      <c r="I14" s="35">
        <f>IF(I11=0,0,0.5*I13*'RPM inputs'!$E$22/I11)</f>
        <v>0.11726927987683956</v>
      </c>
      <c r="J14" s="35">
        <f>IF(J11=0,0,0.5*J13*'RPM inputs'!$E$22/J11)</f>
        <v>0.10166325852237906</v>
      </c>
      <c r="K14" s="35">
        <f>IF(K11=0,0,0.5*K13*'RPM inputs'!$E$22/K11)</f>
        <v>0.18570257536698112</v>
      </c>
      <c r="L14" s="35">
        <f>IF(L11=0,0,0.5*L13*'RPM inputs'!$E$22/L11)</f>
        <v>8.2434670096831045E-2</v>
      </c>
      <c r="M14" s="35">
        <f>IF(M11=0,0,0.5*M13*'RPM inputs'!$E$22/M11)</f>
        <v>0.14697997995603251</v>
      </c>
      <c r="N14" s="51"/>
      <c r="O14" s="51"/>
      <c r="P14" s="51"/>
      <c r="Q14" s="51"/>
      <c r="R14" s="51"/>
      <c r="S14" s="51"/>
    </row>
    <row r="15" spans="2:23" x14ac:dyDescent="0.25">
      <c r="N15" s="51"/>
      <c r="O15" s="51"/>
      <c r="P15" s="51"/>
      <c r="Q15" s="51"/>
      <c r="R15" s="51"/>
      <c r="S15" s="51"/>
      <c r="U15" s="384" t="str">
        <f>+RPM!W31</f>
        <v>Siglas</v>
      </c>
    </row>
    <row r="16" spans="2:23" ht="18" x14ac:dyDescent="0.35">
      <c r="N16" s="51"/>
      <c r="O16" s="51"/>
      <c r="P16" s="51"/>
      <c r="Q16" s="51"/>
      <c r="R16" s="51"/>
      <c r="U16" s="385" t="s">
        <v>245</v>
      </c>
      <c r="V16" s="386" t="s">
        <v>199</v>
      </c>
      <c r="W16" t="str">
        <f>+RPM!Y32</f>
        <v>capacidade prevista, medida em kWh/dia, no ponto de entrada i</v>
      </c>
    </row>
    <row r="17" spans="14:23" ht="18" x14ac:dyDescent="0.35">
      <c r="N17" s="51"/>
      <c r="O17" s="51"/>
      <c r="P17" s="51"/>
      <c r="Q17" s="51"/>
      <c r="R17" s="51"/>
      <c r="U17" s="385" t="s">
        <v>248</v>
      </c>
      <c r="V17" t="s">
        <v>199</v>
      </c>
      <c r="W17" t="str">
        <f>+RPM!Y35</f>
        <v>distância média ponderada, medida em km, no ponto de entrada i</v>
      </c>
    </row>
    <row r="18" spans="14:23" ht="18" x14ac:dyDescent="0.35">
      <c r="N18" s="51"/>
      <c r="O18" s="51"/>
      <c r="P18" s="51"/>
      <c r="Q18" s="51"/>
      <c r="R18" s="51"/>
      <c r="U18" s="385" t="s">
        <v>249</v>
      </c>
      <c r="V18" t="s">
        <v>199</v>
      </c>
      <c r="W18" t="str">
        <f>+RPM!Y36</f>
        <v>ponderação do custo para o ponto de entrada i</v>
      </c>
    </row>
    <row r="19" spans="14:23" ht="18" x14ac:dyDescent="0.35">
      <c r="N19" s="51"/>
      <c r="O19" s="51"/>
      <c r="P19" s="51"/>
      <c r="Q19" s="51"/>
      <c r="R19" s="51"/>
      <c r="U19" s="385" t="s">
        <v>250</v>
      </c>
      <c r="V19" t="s">
        <v>199</v>
      </c>
      <c r="W19" t="str">
        <f>+RPM!Y37</f>
        <v>preço pré-equalização decorrente da metodologia de preço de referência para o ponto de entrada i</v>
      </c>
    </row>
    <row r="20" spans="14:23" ht="18" x14ac:dyDescent="0.35">
      <c r="N20" s="51"/>
      <c r="O20" s="51"/>
      <c r="P20" s="51"/>
      <c r="Q20" s="51"/>
      <c r="R20" s="51"/>
      <c r="U20" s="385" t="s">
        <v>257</v>
      </c>
      <c r="V20" s="386" t="s">
        <v>199</v>
      </c>
      <c r="W20" t="str">
        <f>+RPM!Y38</f>
        <v>capacidade prevista, medida em kWh/dia, no ponto de saída j</v>
      </c>
    </row>
    <row r="21" spans="14:23" ht="18" x14ac:dyDescent="0.35">
      <c r="N21" s="51"/>
      <c r="O21" s="51"/>
      <c r="P21" s="51"/>
      <c r="Q21" s="51"/>
      <c r="R21" s="51"/>
      <c r="U21" s="385" t="s">
        <v>260</v>
      </c>
      <c r="V21" t="s">
        <v>199</v>
      </c>
      <c r="W21" t="str">
        <f>+RPM!Y41</f>
        <v>distância média ponderada, medida em km, no ponto de saída j</v>
      </c>
    </row>
    <row r="22" spans="14:23" ht="18" x14ac:dyDescent="0.35">
      <c r="N22" s="51"/>
      <c r="O22" s="51"/>
      <c r="P22" s="51"/>
      <c r="Q22" s="51"/>
      <c r="R22" s="51"/>
      <c r="U22" s="385" t="s">
        <v>261</v>
      </c>
      <c r="V22" t="s">
        <v>199</v>
      </c>
      <c r="W22" t="str">
        <f>+RPM!Y42</f>
        <v>ponderação do custo para o ponto de saída j</v>
      </c>
    </row>
    <row r="23" spans="14:23" ht="15" customHeight="1" x14ac:dyDescent="0.35">
      <c r="U23" s="385" t="s">
        <v>262</v>
      </c>
      <c r="V23" t="s">
        <v>199</v>
      </c>
      <c r="W23" t="str">
        <f>+RPM!Y43</f>
        <v>preço pré-equalização decorrente da metodologia de preço de referência para o ponto de saída j</v>
      </c>
    </row>
    <row r="24" spans="14:23" ht="15" hidden="1" customHeight="1" x14ac:dyDescent="0.25">
      <c r="U24" s="385"/>
    </row>
    <row r="25" spans="14:23" ht="15" hidden="1" customHeight="1" x14ac:dyDescent="0.25">
      <c r="U25" s="385"/>
    </row>
    <row r="26" spans="14:23" ht="15" hidden="1" customHeight="1" x14ac:dyDescent="0.25">
      <c r="U26" s="385"/>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T53"/>
  <sheetViews>
    <sheetView showGridLines="0" zoomScale="90" zoomScaleNormal="90" workbookViewId="0">
      <selection activeCell="B22" sqref="B22"/>
    </sheetView>
  </sheetViews>
  <sheetFormatPr defaultColWidth="0" defaultRowHeight="0" customHeight="1" zeroHeight="1" x14ac:dyDescent="0.25"/>
  <cols>
    <col min="1" max="1" width="9.140625" customWidth="1"/>
    <col min="2" max="2" width="20" bestFit="1" customWidth="1"/>
    <col min="3" max="3" width="16.28515625" bestFit="1" customWidth="1"/>
    <col min="4" max="4" width="2.7109375" customWidth="1"/>
    <col min="5" max="5" width="11" customWidth="1"/>
    <col min="6" max="6" width="35.140625" bestFit="1" customWidth="1"/>
    <col min="7" max="7" width="44.85546875" bestFit="1" customWidth="1"/>
    <col min="8" max="8" width="32.140625" customWidth="1"/>
    <col min="9" max="9" width="13.85546875" customWidth="1"/>
    <col min="10" max="10" width="2.7109375" customWidth="1"/>
    <col min="11" max="11" width="13.140625" bestFit="1" customWidth="1"/>
    <col min="12" max="12" width="2.7109375" customWidth="1"/>
    <col min="13" max="13" width="9.28515625" bestFit="1" customWidth="1"/>
    <col min="14" max="14" width="2.7109375" customWidth="1"/>
    <col min="15" max="15" width="22.7109375" bestFit="1" customWidth="1"/>
    <col min="16" max="16" width="13.85546875" customWidth="1"/>
    <col min="17" max="17" width="9.140625" customWidth="1"/>
    <col min="18" max="19" width="9.140625" hidden="1" customWidth="1"/>
    <col min="20" max="20" width="11.7109375" hidden="1" customWidth="1"/>
    <col min="21" max="16384" width="9.140625" hidden="1"/>
  </cols>
  <sheetData>
    <row r="1" spans="1:16" ht="15.75" thickBot="1" x14ac:dyDescent="0.3"/>
    <row r="2" spans="1:16" ht="15.75" thickBot="1" x14ac:dyDescent="0.3">
      <c r="A2" s="2" t="str">
        <f>+'Pre-scaling RPM'!A2</f>
        <v>Preços pós-equalização</v>
      </c>
      <c r="B2" s="79"/>
      <c r="C2" s="80"/>
      <c r="H2" s="177"/>
    </row>
    <row r="3" spans="1:16" ht="15.75" thickBot="1" x14ac:dyDescent="0.3">
      <c r="A3" s="81"/>
      <c r="B3" s="44" t="str">
        <f>+'Pre-scaling RPM'!B3</f>
        <v>Ponto</v>
      </c>
      <c r="C3" s="76" t="str">
        <f>+'Pre-scaling RPM'!C3</f>
        <v>€/(kWh/dia)/ano</v>
      </c>
    </row>
    <row r="4" spans="1:16" ht="15" x14ac:dyDescent="0.25">
      <c r="A4" s="37" t="str">
        <f>+'Pre-scaling RPM'!A4</f>
        <v>Entrada</v>
      </c>
      <c r="B4" s="11" t="str">
        <f>+'Pre-scaling RPM'!B4</f>
        <v>VIP [A+B]</v>
      </c>
      <c r="C4" s="43">
        <f>0.5*(CWD!$R$4+CWD!$R$5)*'RPM inputs'!$E$22/(CWD!$P$4+CWD!$P$5)</f>
        <v>0.19003886616354931</v>
      </c>
      <c r="E4" s="233"/>
    </row>
    <row r="5" spans="1:16" ht="15" x14ac:dyDescent="0.25">
      <c r="A5" s="38"/>
      <c r="B5" s="14" t="str">
        <f>+'Pre-scaling RPM'!B5</f>
        <v>Terminal GNL [C]</v>
      </c>
      <c r="C5" s="40">
        <f>+CWD!$S$6</f>
        <v>0.17765643334618897</v>
      </c>
    </row>
    <row r="6" spans="1:16" ht="15.75" thickBot="1" x14ac:dyDescent="0.3">
      <c r="A6" s="39"/>
      <c r="B6" s="16" t="str">
        <f>+'Pre-scaling RPM'!B6</f>
        <v>Armazenamento [D]</v>
      </c>
      <c r="C6" s="41">
        <f>+CWD!$S$7</f>
        <v>9.4707117410709168E-2</v>
      </c>
    </row>
    <row r="7" spans="1:16" ht="15" x14ac:dyDescent="0.25">
      <c r="A7" s="37" t="str">
        <f>+'Pre-scaling RPM'!A7</f>
        <v>Saída</v>
      </c>
      <c r="B7" s="11" t="str">
        <f>+'Pre-scaling RPM'!B7</f>
        <v>VIP [A+B]</v>
      </c>
      <c r="C7" s="43">
        <f>IF((CWD!$C$11+CWD!$D$11)=0,0,(1-0.5)*(CWD!$C$13+CWD!$D$13)*'RPM inputs'!$E$22/(CWD!$C$11+CWD!$D$11))</f>
        <v>0.18716032906119306</v>
      </c>
    </row>
    <row r="8" spans="1:16" ht="15" x14ac:dyDescent="0.25">
      <c r="A8" s="38"/>
      <c r="B8" s="14" t="str">
        <f>+'Pre-scaling RPM'!B8</f>
        <v>Terminal GNL [C]</v>
      </c>
      <c r="C8" s="42">
        <f>+CWD!$E$14</f>
        <v>0</v>
      </c>
    </row>
    <row r="9" spans="1:16" ht="15" x14ac:dyDescent="0.25">
      <c r="A9" s="38"/>
      <c r="B9" s="14" t="str">
        <f>+'Pre-scaling RPM'!B9</f>
        <v>Armazenamento [D]</v>
      </c>
      <c r="C9" s="42">
        <f>+CWD!$F$14</f>
        <v>0.10796151620890762</v>
      </c>
    </row>
    <row r="10" spans="1:16" ht="15.75" thickBot="1" x14ac:dyDescent="0.3">
      <c r="A10" s="39"/>
      <c r="B10" s="16" t="str">
        <f>+'Pre-scaling RPM'!B10</f>
        <v>Consumo [E - K]</v>
      </c>
      <c r="C10" s="41">
        <f>(1-0.5)*SUM(CWD!$G$13:$M$13)*'RPM inputs'!$E$22/SUM(CWD!$G$11:$M$11)</f>
        <v>0.13049108309103655</v>
      </c>
    </row>
    <row r="11" spans="1:16" ht="15.75" thickBot="1" x14ac:dyDescent="0.3"/>
    <row r="12" spans="1:16" ht="15.75" thickBot="1" x14ac:dyDescent="0.3">
      <c r="H12" s="25" t="str">
        <f>+'Pre-scaling RPM'!H12</f>
        <v>Preços pós-equalização</v>
      </c>
      <c r="I12" s="24" t="s">
        <v>6</v>
      </c>
      <c r="K12" s="25" t="str">
        <f>+'Pre-scaling RPM'!K12</f>
        <v>Multiplicador</v>
      </c>
      <c r="M12" s="25" t="str">
        <f>+'Pre-scaling RPM'!M12</f>
        <v>Desconto</v>
      </c>
      <c r="O12" s="25" t="str">
        <f>+'Pre-scaling RPM'!O12</f>
        <v>Preços pré-escalamento</v>
      </c>
      <c r="P12" s="24" t="s">
        <v>6</v>
      </c>
    </row>
    <row r="13" spans="1:16" ht="15.75" thickBot="1" x14ac:dyDescent="0.3">
      <c r="F13" s="8" t="e">
        <f>+'Pre-scaling RPM'!F13</f>
        <v>#REF!</v>
      </c>
      <c r="G13" s="8" t="e">
        <f>+'Pre-scaling RPM'!G13</f>
        <v>#REF!</v>
      </c>
      <c r="H13" s="8" t="e">
        <f>+'Pre-scaling RPM'!H13</f>
        <v>#REF!</v>
      </c>
      <c r="I13" s="45"/>
      <c r="K13" s="50"/>
      <c r="M13" s="50"/>
      <c r="O13" s="8" t="e">
        <f>+'Pre-scaling RPM'!O13</f>
        <v>#REF!</v>
      </c>
      <c r="P13" s="45"/>
    </row>
    <row r="14" spans="1:16" ht="15" x14ac:dyDescent="0.25">
      <c r="E14" s="5" t="str">
        <f>+'Pre-scaling RPM'!E14</f>
        <v>Entry</v>
      </c>
      <c r="F14" s="21" t="str">
        <f>+'Pre-scaling RPM'!F14</f>
        <v>Interconnection points (VIP)</v>
      </c>
      <c r="G14" s="12" t="str">
        <f>+'Pre-scaling RPM'!G14</f>
        <v>Yearly</v>
      </c>
      <c r="H14" s="46" t="str">
        <f>+'Pre-scaling RPM'!H14</f>
        <v>€/(kWh/dia)/ano</v>
      </c>
      <c r="I14" s="43">
        <f>$C$4</f>
        <v>0.19003886616354931</v>
      </c>
      <c r="K14" s="60">
        <f>+Data_b!D18</f>
        <v>1</v>
      </c>
      <c r="M14" s="178">
        <f>+Data_b!$D$13</f>
        <v>0</v>
      </c>
      <c r="O14" s="46" t="str">
        <f>+'Pre-scaling RPM'!O14</f>
        <v>€/(kWh/dia)/ano</v>
      </c>
      <c r="P14" s="43">
        <f>+I14*K14*(1-M14)</f>
        <v>0.19003886616354931</v>
      </c>
    </row>
    <row r="15" spans="1:16" ht="15" x14ac:dyDescent="0.25">
      <c r="E15" s="6"/>
      <c r="F15" s="22"/>
      <c r="G15" s="10" t="str">
        <f>+'Pre-scaling RPM'!G15</f>
        <v>Quarterly</v>
      </c>
      <c r="H15" s="14" t="str">
        <f>+'Pre-scaling RPM'!H15</f>
        <v>€/(kWh/dia)/ano</v>
      </c>
      <c r="I15" s="40">
        <f>$C$4</f>
        <v>0.19003886616354931</v>
      </c>
      <c r="K15" s="61">
        <f>+Data_b!D19</f>
        <v>1.3</v>
      </c>
      <c r="M15" s="228">
        <f>+Data_b!$D$13</f>
        <v>0</v>
      </c>
      <c r="O15" s="14" t="str">
        <f>+'Pre-scaling RPM'!O15</f>
        <v>€/(kWh/dia)/ano</v>
      </c>
      <c r="P15" s="40">
        <f t="shared" ref="P15:P44" si="0">+I15*K15*(1-M15)</f>
        <v>0.24705052601261412</v>
      </c>
    </row>
    <row r="16" spans="1:16" ht="15" x14ac:dyDescent="0.25">
      <c r="E16" s="6"/>
      <c r="F16" s="22"/>
      <c r="G16" s="10" t="str">
        <f>+'Pre-scaling RPM'!G16</f>
        <v>Monthly</v>
      </c>
      <c r="H16" s="14" t="str">
        <f>+'Pre-scaling RPM'!H16</f>
        <v>€/(kWh/dia)/ano</v>
      </c>
      <c r="I16" s="40">
        <f>$C$4</f>
        <v>0.19003886616354931</v>
      </c>
      <c r="K16" s="61">
        <f>+Data_b!D20</f>
        <v>1.5</v>
      </c>
      <c r="M16" s="228">
        <f>+Data_b!$D$13</f>
        <v>0</v>
      </c>
      <c r="O16" s="14" t="str">
        <f>+'Pre-scaling RPM'!O16</f>
        <v>€/(kWh/dia)/ano</v>
      </c>
      <c r="P16" s="40">
        <f t="shared" si="0"/>
        <v>0.285058299245324</v>
      </c>
    </row>
    <row r="17" spans="5:16" ht="15" x14ac:dyDescent="0.25">
      <c r="E17" s="6"/>
      <c r="F17" s="22"/>
      <c r="G17" s="10" t="str">
        <f>+'Pre-scaling RPM'!G17</f>
        <v>Daily</v>
      </c>
      <c r="H17" s="14" t="str">
        <f>+'Pre-scaling RPM'!H17</f>
        <v>€/(kWh/dia)/ano</v>
      </c>
      <c r="I17" s="40">
        <f>$C$4</f>
        <v>0.19003886616354931</v>
      </c>
      <c r="K17" s="61">
        <f>+Data_b!D21</f>
        <v>2</v>
      </c>
      <c r="M17" s="228">
        <f>+Data_b!$D$13</f>
        <v>0</v>
      </c>
      <c r="O17" s="14" t="str">
        <f>+'Pre-scaling RPM'!O17</f>
        <v>€/(kWh/dia)/ano</v>
      </c>
      <c r="P17" s="40">
        <f t="shared" si="0"/>
        <v>0.38007773232709863</v>
      </c>
    </row>
    <row r="18" spans="5:16" ht="15.75" thickBot="1" x14ac:dyDescent="0.3">
      <c r="E18" s="6"/>
      <c r="F18" s="23"/>
      <c r="G18" s="17" t="str">
        <f>+'Pre-scaling RPM'!G18</f>
        <v>Intraday</v>
      </c>
      <c r="H18" s="16" t="str">
        <f>+'Pre-scaling RPM'!H18</f>
        <v>€/(kWh/h)/ano</v>
      </c>
      <c r="I18" s="41">
        <f>$C$4*24</f>
        <v>4.560932787925184</v>
      </c>
      <c r="K18" s="62">
        <f>+Data_b!D22</f>
        <v>2.2000000000000002</v>
      </c>
      <c r="M18" s="179">
        <f>+Data_b!$D$13</f>
        <v>0</v>
      </c>
      <c r="O18" s="16" t="str">
        <f>+'Pre-scaling RPM'!O18</f>
        <v>€/(kWh/h)/ano</v>
      </c>
      <c r="P18" s="41">
        <f t="shared" si="0"/>
        <v>10.034052133435406</v>
      </c>
    </row>
    <row r="19" spans="5:16" ht="15" x14ac:dyDescent="0.25">
      <c r="E19" s="6"/>
      <c r="F19" s="21" t="str">
        <f>+'Pre-scaling RPM'!F19</f>
        <v>LNG terminal</v>
      </c>
      <c r="G19" s="12" t="str">
        <f>+'Pre-scaling RPM'!G19</f>
        <v>Yearly</v>
      </c>
      <c r="H19" s="46" t="str">
        <f>+'Pre-scaling RPM'!H19</f>
        <v>€/(kWh/dia)/ano</v>
      </c>
      <c r="I19" s="43">
        <f>$C$5</f>
        <v>0.17765643334618897</v>
      </c>
      <c r="K19" s="60">
        <f>+Data_b!D23</f>
        <v>1</v>
      </c>
      <c r="M19" s="178">
        <f>+Data_b!$D$13</f>
        <v>0</v>
      </c>
      <c r="O19" s="46" t="str">
        <f>+'Pre-scaling RPM'!O19</f>
        <v>€/(kWh/dia)/ano</v>
      </c>
      <c r="P19" s="43">
        <f t="shared" si="0"/>
        <v>0.17765643334618897</v>
      </c>
    </row>
    <row r="20" spans="5:16" ht="15" x14ac:dyDescent="0.25">
      <c r="E20" s="6"/>
      <c r="F20" s="22"/>
      <c r="G20" s="10" t="str">
        <f>+'Pre-scaling RPM'!G20</f>
        <v>Quarterly</v>
      </c>
      <c r="H20" s="14" t="str">
        <f>+'Pre-scaling RPM'!H20</f>
        <v>€/(kWh/dia)/ano</v>
      </c>
      <c r="I20" s="40">
        <f>$C$5</f>
        <v>0.17765643334618897</v>
      </c>
      <c r="K20" s="61">
        <f>+Data_b!D24</f>
        <v>1.3</v>
      </c>
      <c r="M20" s="228">
        <f>+Data_b!$D$13</f>
        <v>0</v>
      </c>
      <c r="O20" s="14" t="str">
        <f>+'Pre-scaling RPM'!O20</f>
        <v>€/(kWh/dia)/ano</v>
      </c>
      <c r="P20" s="40">
        <f t="shared" si="0"/>
        <v>0.23095336335004565</v>
      </c>
    </row>
    <row r="21" spans="5:16" ht="15" x14ac:dyDescent="0.25">
      <c r="E21" s="6"/>
      <c r="F21" s="22"/>
      <c r="G21" s="10" t="str">
        <f>+'Pre-scaling RPM'!G21</f>
        <v>Monthly</v>
      </c>
      <c r="H21" s="14" t="str">
        <f>+'Pre-scaling RPM'!H21</f>
        <v>€/(kWh/dia)/ano</v>
      </c>
      <c r="I21" s="40">
        <f>$C$5</f>
        <v>0.17765643334618897</v>
      </c>
      <c r="K21" s="61">
        <f>+Data_b!D25</f>
        <v>1.5</v>
      </c>
      <c r="M21" s="228">
        <f>+Data_b!$D$13</f>
        <v>0</v>
      </c>
      <c r="O21" s="14" t="str">
        <f>+'Pre-scaling RPM'!O21</f>
        <v>€/(kWh/dia)/ano</v>
      </c>
      <c r="P21" s="40">
        <f t="shared" si="0"/>
        <v>0.26648465001928345</v>
      </c>
    </row>
    <row r="22" spans="5:16" ht="15" x14ac:dyDescent="0.25">
      <c r="E22" s="6"/>
      <c r="F22" s="22"/>
      <c r="G22" s="10" t="str">
        <f>+'Pre-scaling RPM'!G22</f>
        <v>Daily</v>
      </c>
      <c r="H22" s="14" t="str">
        <f>+'Pre-scaling RPM'!H22</f>
        <v>€/(kWh/dia)/ano</v>
      </c>
      <c r="I22" s="40">
        <f>$C$5</f>
        <v>0.17765643334618897</v>
      </c>
      <c r="K22" s="61">
        <f>+Data_b!D26</f>
        <v>2</v>
      </c>
      <c r="M22" s="228">
        <f>+Data_b!$D$13</f>
        <v>0</v>
      </c>
      <c r="O22" s="14" t="str">
        <f>+'Pre-scaling RPM'!O22</f>
        <v>€/(kWh/dia)/ano</v>
      </c>
      <c r="P22" s="40">
        <f t="shared" si="0"/>
        <v>0.35531286669237794</v>
      </c>
    </row>
    <row r="23" spans="5:16" ht="15.75" thickBot="1" x14ac:dyDescent="0.3">
      <c r="E23" s="6"/>
      <c r="F23" s="23"/>
      <c r="G23" s="17" t="str">
        <f>+'Pre-scaling RPM'!G23</f>
        <v>Intraday</v>
      </c>
      <c r="H23" s="16" t="str">
        <f>+'Pre-scaling RPM'!H23</f>
        <v>€/(kWh/h)/ano</v>
      </c>
      <c r="I23" s="41">
        <f>$C$5*24</f>
        <v>4.2637544003085353</v>
      </c>
      <c r="K23" s="62">
        <f>+Data_b!D27</f>
        <v>2.2000000000000002</v>
      </c>
      <c r="M23" s="179">
        <f>+Data_b!$D$13</f>
        <v>0</v>
      </c>
      <c r="O23" s="16" t="str">
        <f>+'Pre-scaling RPM'!O23</f>
        <v>€/(kWh/h)/ano</v>
      </c>
      <c r="P23" s="41">
        <f t="shared" si="0"/>
        <v>9.3802596806787779</v>
      </c>
    </row>
    <row r="24" spans="5:16" ht="15" x14ac:dyDescent="0.25">
      <c r="E24" s="6"/>
      <c r="F24" s="21" t="str">
        <f>+'Pre-scaling RPM'!F24</f>
        <v>Underground Storage</v>
      </c>
      <c r="G24" s="12" t="str">
        <f>+'Pre-scaling RPM'!G24</f>
        <v>Daily</v>
      </c>
      <c r="H24" s="46" t="str">
        <f>+'Pre-scaling RPM'!H24</f>
        <v>€/(kWh/dia)/ano</v>
      </c>
      <c r="I24" s="43">
        <f>$C$6</f>
        <v>9.4707117410709168E-2</v>
      </c>
      <c r="K24" s="60">
        <f>+Data_b!D28</f>
        <v>1</v>
      </c>
      <c r="M24" s="178">
        <f>+Data_b!$D$11</f>
        <v>1</v>
      </c>
      <c r="O24" s="46" t="str">
        <f>+'Pre-scaling RPM'!O24</f>
        <v>€/(kWh/dia)/ano</v>
      </c>
      <c r="P24" s="43">
        <f t="shared" si="0"/>
        <v>0</v>
      </c>
    </row>
    <row r="25" spans="5:16" ht="15.75" thickBot="1" x14ac:dyDescent="0.3">
      <c r="E25" s="7"/>
      <c r="F25" s="23"/>
      <c r="G25" s="17" t="str">
        <f>+'Pre-scaling RPM'!G25</f>
        <v>Intraday</v>
      </c>
      <c r="H25" s="16" t="str">
        <f>+'Pre-scaling RPM'!H25</f>
        <v>€/(kWh/h)/ano</v>
      </c>
      <c r="I25" s="41">
        <f>$C$6*24</f>
        <v>2.2729708178570203</v>
      </c>
      <c r="K25" s="62">
        <f>+Data_b!D29</f>
        <v>1.1000000000000001</v>
      </c>
      <c r="M25" s="179">
        <f>+Data_b!$D$11</f>
        <v>1</v>
      </c>
      <c r="O25" s="16" t="str">
        <f>+'Pre-scaling RPM'!O25</f>
        <v>€/(kWh/h)/ano</v>
      </c>
      <c r="P25" s="41">
        <f t="shared" si="0"/>
        <v>0</v>
      </c>
    </row>
    <row r="26" spans="5:16" ht="15" x14ac:dyDescent="0.25">
      <c r="E26" s="5" t="str">
        <f>+'Pre-scaling RPM'!E26</f>
        <v>Exit</v>
      </c>
      <c r="F26" s="21" t="str">
        <f>+'Pre-scaling RPM'!F26</f>
        <v>Interconnection points (VIP)</v>
      </c>
      <c r="G26" s="12" t="str">
        <f>+'Pre-scaling RPM'!G26</f>
        <v>Yearly</v>
      </c>
      <c r="H26" s="46" t="str">
        <f>+'Pre-scaling RPM'!H26</f>
        <v>€/(kWh/dia)/ano</v>
      </c>
      <c r="I26" s="43">
        <f>$C$7</f>
        <v>0.18716032906119306</v>
      </c>
      <c r="K26" s="60">
        <f>+Data_b!D30</f>
        <v>1</v>
      </c>
      <c r="M26" s="178">
        <f>+Data_b!$D$13</f>
        <v>0</v>
      </c>
      <c r="O26" s="46" t="str">
        <f>+'Pre-scaling RPM'!O26</f>
        <v>€/(kWh/dia)/ano</v>
      </c>
      <c r="P26" s="43">
        <f t="shared" si="0"/>
        <v>0.18716032906119306</v>
      </c>
    </row>
    <row r="27" spans="5:16" ht="15" x14ac:dyDescent="0.25">
      <c r="E27" s="3"/>
      <c r="F27" s="22"/>
      <c r="G27" s="10" t="str">
        <f>+'Pre-scaling RPM'!G27</f>
        <v>Quarterly</v>
      </c>
      <c r="H27" s="14" t="str">
        <f>+'Pre-scaling RPM'!H27</f>
        <v>€/(kWh/dia)/ano</v>
      </c>
      <c r="I27" s="40">
        <f>$C$7</f>
        <v>0.18716032906119306</v>
      </c>
      <c r="K27" s="61">
        <f>+Data_b!D31</f>
        <v>1.3</v>
      </c>
      <c r="M27" s="228">
        <f>+Data_b!$D$13</f>
        <v>0</v>
      </c>
      <c r="O27" s="14" t="str">
        <f>+'Pre-scaling RPM'!O27</f>
        <v>€/(kWh/dia)/ano</v>
      </c>
      <c r="P27" s="40">
        <f t="shared" si="0"/>
        <v>0.243308427779551</v>
      </c>
    </row>
    <row r="28" spans="5:16" ht="15" x14ac:dyDescent="0.25">
      <c r="E28" s="3"/>
      <c r="F28" s="22"/>
      <c r="G28" s="10" t="str">
        <f>+'Pre-scaling RPM'!G28</f>
        <v>Monthly</v>
      </c>
      <c r="H28" s="14" t="str">
        <f>+'Pre-scaling RPM'!H28</f>
        <v>€/(kWh/dia)/ano</v>
      </c>
      <c r="I28" s="40">
        <f>$C$7</f>
        <v>0.18716032906119306</v>
      </c>
      <c r="K28" s="61">
        <f>+Data_b!D32</f>
        <v>1.5</v>
      </c>
      <c r="M28" s="228">
        <f>+Data_b!$D$13</f>
        <v>0</v>
      </c>
      <c r="O28" s="14" t="str">
        <f>+'Pre-scaling RPM'!O28</f>
        <v>€/(kWh/dia)/ano</v>
      </c>
      <c r="P28" s="40">
        <f t="shared" si="0"/>
        <v>0.2807404935917896</v>
      </c>
    </row>
    <row r="29" spans="5:16" ht="15" x14ac:dyDescent="0.25">
      <c r="E29" s="3"/>
      <c r="F29" s="22"/>
      <c r="G29" s="10" t="str">
        <f>+'Pre-scaling RPM'!G29</f>
        <v>Daily</v>
      </c>
      <c r="H29" s="14" t="str">
        <f>+'Pre-scaling RPM'!H29</f>
        <v>€/(kWh/dia)/ano</v>
      </c>
      <c r="I29" s="40">
        <f>$C$7</f>
        <v>0.18716032906119306</v>
      </c>
      <c r="K29" s="61">
        <f>+Data_b!D33</f>
        <v>2</v>
      </c>
      <c r="M29" s="228">
        <f>+Data_b!$D$13</f>
        <v>0</v>
      </c>
      <c r="O29" s="14" t="str">
        <f>+'Pre-scaling RPM'!O29</f>
        <v>€/(kWh/dia)/ano</v>
      </c>
      <c r="P29" s="40">
        <f t="shared" si="0"/>
        <v>0.37432065812238613</v>
      </c>
    </row>
    <row r="30" spans="5:16" ht="15.75" thickBot="1" x14ac:dyDescent="0.3">
      <c r="E30" s="3"/>
      <c r="F30" s="23"/>
      <c r="G30" s="17" t="str">
        <f>+'Pre-scaling RPM'!G30</f>
        <v>Intraday</v>
      </c>
      <c r="H30" s="16" t="str">
        <f>+'Pre-scaling RPM'!H30</f>
        <v>€/(kWh/h)/ano</v>
      </c>
      <c r="I30" s="41">
        <f>$C$7*24</f>
        <v>4.4918478974686336</v>
      </c>
      <c r="K30" s="62">
        <f>+Data_b!D34</f>
        <v>2.2000000000000002</v>
      </c>
      <c r="M30" s="179">
        <f>+Data_b!$D$13</f>
        <v>0</v>
      </c>
      <c r="O30" s="16" t="str">
        <f>+'Pre-scaling RPM'!O30</f>
        <v>€/(kWh/h)/ano</v>
      </c>
      <c r="P30" s="41">
        <f t="shared" si="0"/>
        <v>9.8820653744309954</v>
      </c>
    </row>
    <row r="31" spans="5:16" ht="15" x14ac:dyDescent="0.25">
      <c r="E31" s="3"/>
      <c r="F31" s="21" t="str">
        <f>+'Pre-scaling RPM'!F31</f>
        <v>LNG terminal</v>
      </c>
      <c r="G31" s="12" t="str">
        <f>+'Pre-scaling RPM'!G31</f>
        <v>Yearly</v>
      </c>
      <c r="H31" s="46" t="str">
        <f>+'Pre-scaling RPM'!H31</f>
        <v>€/(kWh/dia)/ano</v>
      </c>
      <c r="I31" s="43">
        <f>$C$8</f>
        <v>0</v>
      </c>
      <c r="K31" s="60">
        <f>+Data_b!D35</f>
        <v>1</v>
      </c>
      <c r="M31" s="178">
        <f>+Data_b!$D$13</f>
        <v>0</v>
      </c>
      <c r="O31" s="46" t="str">
        <f>+'Pre-scaling RPM'!O31</f>
        <v>€/(kWh/dia)/ano</v>
      </c>
      <c r="P31" s="43">
        <f t="shared" si="0"/>
        <v>0</v>
      </c>
    </row>
    <row r="32" spans="5:16" ht="15" x14ac:dyDescent="0.25">
      <c r="E32" s="3"/>
      <c r="F32" s="22"/>
      <c r="G32" s="10" t="str">
        <f>+'Pre-scaling RPM'!G32</f>
        <v>Quarterly</v>
      </c>
      <c r="H32" s="14" t="str">
        <f>+'Pre-scaling RPM'!H32</f>
        <v>€/(kWh/dia)/ano</v>
      </c>
      <c r="I32" s="40">
        <f>$C$8</f>
        <v>0</v>
      </c>
      <c r="K32" s="61">
        <f>+Data_b!D36</f>
        <v>1.3</v>
      </c>
      <c r="M32" s="228">
        <f>+Data_b!$D$13</f>
        <v>0</v>
      </c>
      <c r="O32" s="14" t="str">
        <f>+'Pre-scaling RPM'!O32</f>
        <v>€/(kWh/dia)/ano</v>
      </c>
      <c r="P32" s="40">
        <f t="shared" si="0"/>
        <v>0</v>
      </c>
    </row>
    <row r="33" spans="5:16" ht="15" x14ac:dyDescent="0.25">
      <c r="E33" s="3"/>
      <c r="F33" s="22"/>
      <c r="G33" s="10" t="str">
        <f>+'Pre-scaling RPM'!G33</f>
        <v>Monthly</v>
      </c>
      <c r="H33" s="14" t="str">
        <f>+'Pre-scaling RPM'!H33</f>
        <v>€/(kWh/dia)/ano</v>
      </c>
      <c r="I33" s="40">
        <f>$C$8</f>
        <v>0</v>
      </c>
      <c r="K33" s="61">
        <f>+Data_b!D37</f>
        <v>1.5</v>
      </c>
      <c r="M33" s="228">
        <f>+Data_b!$D$13</f>
        <v>0</v>
      </c>
      <c r="O33" s="14" t="str">
        <f>+'Pre-scaling RPM'!O33</f>
        <v>€/(kWh/dia)/ano</v>
      </c>
      <c r="P33" s="40">
        <f t="shared" si="0"/>
        <v>0</v>
      </c>
    </row>
    <row r="34" spans="5:16" ht="15" x14ac:dyDescent="0.25">
      <c r="E34" s="3"/>
      <c r="F34" s="22"/>
      <c r="G34" s="10" t="str">
        <f>+'Pre-scaling RPM'!G34</f>
        <v>Daily</v>
      </c>
      <c r="H34" s="14" t="str">
        <f>+'Pre-scaling RPM'!H34</f>
        <v>€/(kWh/dia)/ano</v>
      </c>
      <c r="I34" s="40">
        <f>$C$8</f>
        <v>0</v>
      </c>
      <c r="K34" s="61">
        <f>+Data_b!D38</f>
        <v>2</v>
      </c>
      <c r="M34" s="228">
        <f>+Data_b!$D$13</f>
        <v>0</v>
      </c>
      <c r="O34" s="14" t="str">
        <f>+'Pre-scaling RPM'!O34</f>
        <v>€/(kWh/dia)/ano</v>
      </c>
      <c r="P34" s="40">
        <f t="shared" si="0"/>
        <v>0</v>
      </c>
    </row>
    <row r="35" spans="5:16" ht="15.75" thickBot="1" x14ac:dyDescent="0.3">
      <c r="E35" s="3"/>
      <c r="F35" s="23"/>
      <c r="G35" s="17" t="str">
        <f>+'Pre-scaling RPM'!G35</f>
        <v>Intraday</v>
      </c>
      <c r="H35" s="16" t="str">
        <f>+'Pre-scaling RPM'!H35</f>
        <v>€/(kWh/h)/ano</v>
      </c>
      <c r="I35" s="41">
        <f>$C$8*24</f>
        <v>0</v>
      </c>
      <c r="K35" s="62">
        <f>+Data_b!D39</f>
        <v>2.2000000000000002</v>
      </c>
      <c r="M35" s="179">
        <f>+Data_b!$D$13</f>
        <v>0</v>
      </c>
      <c r="O35" s="16" t="str">
        <f>+'Pre-scaling RPM'!O35</f>
        <v>€/(kWh/h)/ano</v>
      </c>
      <c r="P35" s="41">
        <f t="shared" si="0"/>
        <v>0</v>
      </c>
    </row>
    <row r="36" spans="5:16" ht="15" x14ac:dyDescent="0.25">
      <c r="E36" s="3"/>
      <c r="F36" s="21" t="str">
        <f>+'Pre-scaling RPM'!F36</f>
        <v>Underground Storage</v>
      </c>
      <c r="G36" s="12" t="str">
        <f>+'Pre-scaling RPM'!G36</f>
        <v>Daily</v>
      </c>
      <c r="H36" s="46" t="str">
        <f>+'Pre-scaling RPM'!H36</f>
        <v>€/(kWh/dia)/ano</v>
      </c>
      <c r="I36" s="43">
        <f>$C$9</f>
        <v>0.10796151620890762</v>
      </c>
      <c r="K36" s="60">
        <f>+Data_b!D40</f>
        <v>1</v>
      </c>
      <c r="M36" s="178">
        <f>+Data_b!$D$12</f>
        <v>1</v>
      </c>
      <c r="O36" s="46" t="str">
        <f>+'Pre-scaling RPM'!O36</f>
        <v>€/(kWh/dia)/ano</v>
      </c>
      <c r="P36" s="43">
        <f t="shared" si="0"/>
        <v>0</v>
      </c>
    </row>
    <row r="37" spans="5:16" ht="15.75" thickBot="1" x14ac:dyDescent="0.3">
      <c r="E37" s="3"/>
      <c r="F37" s="23"/>
      <c r="G37" s="17" t="str">
        <f>+'Pre-scaling RPM'!G37</f>
        <v>Intraday</v>
      </c>
      <c r="H37" s="16" t="str">
        <f>+'Pre-scaling RPM'!H37</f>
        <v>€/(kWh/h)/ano</v>
      </c>
      <c r="I37" s="41">
        <f>$C$9*24</f>
        <v>2.5910763890137831</v>
      </c>
      <c r="K37" s="62">
        <f>+Data_b!D41</f>
        <v>1.1000000000000001</v>
      </c>
      <c r="M37" s="179">
        <f>+Data_b!$D$12</f>
        <v>1</v>
      </c>
      <c r="O37" s="16" t="str">
        <f>+'Pre-scaling RPM'!O37</f>
        <v>€/(kWh/h)/ano</v>
      </c>
      <c r="P37" s="41">
        <f t="shared" si="0"/>
        <v>0</v>
      </c>
    </row>
    <row r="38" spans="5:16" ht="15.75" thickBot="1" x14ac:dyDescent="0.3">
      <c r="E38" s="3"/>
      <c r="F38" s="19" t="str">
        <f>+'Pre-scaling RPM'!F38</f>
        <v>Distribution networks and HP Customers</v>
      </c>
      <c r="G38" s="20" t="str">
        <f>+'Pre-scaling RPM'!G38</f>
        <v>Long Uses</v>
      </c>
      <c r="H38" s="19" t="str">
        <f>+'Pre-scaling RPM'!H38</f>
        <v>€/(kWh/dia)/ano</v>
      </c>
      <c r="I38" s="59">
        <f t="shared" ref="I38:I44" si="1">$C$10</f>
        <v>0.13049108309103655</v>
      </c>
      <c r="K38" s="63">
        <f>+Data_b!D42</f>
        <v>1</v>
      </c>
      <c r="M38" s="229">
        <f>+Data_b!$D$13</f>
        <v>0</v>
      </c>
      <c r="O38" s="19" t="str">
        <f>+'Pre-scaling RPM'!O38</f>
        <v>€/(kWh/dia)/ano</v>
      </c>
      <c r="P38" s="59">
        <f t="shared" si="0"/>
        <v>0.13049108309103655</v>
      </c>
    </row>
    <row r="39" spans="5:16" ht="15" x14ac:dyDescent="0.25">
      <c r="E39" s="3"/>
      <c r="F39" s="21" t="str">
        <f>+'Pre-scaling RPM'!F39</f>
        <v>HP Customers</v>
      </c>
      <c r="G39" s="12" t="str">
        <f>+'Pre-scaling RPM'!G39</f>
        <v>Annual Flexible Rate - Annual Base Capacity</v>
      </c>
      <c r="H39" s="11" t="str">
        <f>+'Pre-scaling RPM'!H39</f>
        <v>€/(kWh/dia)/ano</v>
      </c>
      <c r="I39" s="43">
        <f t="shared" si="1"/>
        <v>0.13049108309103655</v>
      </c>
      <c r="K39" s="60">
        <f>+Data_b!D43</f>
        <v>1</v>
      </c>
      <c r="M39" s="178">
        <f>+Data_b!$D$13</f>
        <v>0</v>
      </c>
      <c r="O39" s="11" t="str">
        <f>+'Pre-scaling RPM'!O39</f>
        <v>€/(kWh/dia)/ano</v>
      </c>
      <c r="P39" s="43">
        <f t="shared" si="0"/>
        <v>0.13049108309103655</v>
      </c>
    </row>
    <row r="40" spans="5:16" ht="15" x14ac:dyDescent="0.25">
      <c r="E40" s="3"/>
      <c r="F40" s="22"/>
      <c r="G40" s="10" t="str">
        <f>+'Pre-scaling RPM'!G40</f>
        <v>Annual Flexible Rate - Additional Monthly Capacity (April to September)</v>
      </c>
      <c r="H40" s="14" t="str">
        <f>+'Pre-scaling RPM'!H40</f>
        <v>€/(kWh/dia)/ano</v>
      </c>
      <c r="I40" s="40">
        <f t="shared" si="1"/>
        <v>0.13049108309103655</v>
      </c>
      <c r="K40" s="61">
        <f>+Data_b!D44</f>
        <v>1.5</v>
      </c>
      <c r="M40" s="228">
        <f>+Data_b!$D$13</f>
        <v>0</v>
      </c>
      <c r="O40" s="14" t="str">
        <f>+'Pre-scaling RPM'!O40</f>
        <v>€/(kWh/dia)/ano</v>
      </c>
      <c r="P40" s="40">
        <f t="shared" si="0"/>
        <v>0.19573662463655483</v>
      </c>
    </row>
    <row r="41" spans="5:16" ht="15" x14ac:dyDescent="0.25">
      <c r="E41" s="3"/>
      <c r="F41" s="22"/>
      <c r="G41" s="10" t="str">
        <f>+'Pre-scaling RPM'!G41</f>
        <v>Flexible Monthly Rate - Monthly Capacity (October to March)</v>
      </c>
      <c r="H41" s="14" t="str">
        <f>+'Pre-scaling RPM'!H41</f>
        <v>€/(kWh/dia)/ano</v>
      </c>
      <c r="I41" s="40">
        <f t="shared" si="1"/>
        <v>0.13049108309103655</v>
      </c>
      <c r="K41" s="61">
        <f>+Data_b!D45</f>
        <v>3</v>
      </c>
      <c r="M41" s="228">
        <f>+Data_b!$D$13</f>
        <v>0</v>
      </c>
      <c r="O41" s="14" t="str">
        <f>+'Pre-scaling RPM'!O41</f>
        <v>€/(kWh/dia)/ano</v>
      </c>
      <c r="P41" s="40">
        <f t="shared" si="0"/>
        <v>0.39147324927310967</v>
      </c>
    </row>
    <row r="42" spans="5:16" ht="15" x14ac:dyDescent="0.25">
      <c r="E42" s="3"/>
      <c r="F42" s="22"/>
      <c r="G42" s="10" t="str">
        <f>+'Pre-scaling RPM'!G42</f>
        <v>Flexible Monthly Rate - Monthly Capacity (April to September)</v>
      </c>
      <c r="H42" s="14" t="str">
        <f>+'Pre-scaling RPM'!H42</f>
        <v>€/(kWh/dia)/ano</v>
      </c>
      <c r="I42" s="40">
        <f t="shared" si="1"/>
        <v>0.13049108309103655</v>
      </c>
      <c r="K42" s="61">
        <f>+Data_b!D46</f>
        <v>1.5</v>
      </c>
      <c r="M42" s="228">
        <f>+Data_b!$D$13</f>
        <v>0</v>
      </c>
      <c r="O42" s="14" t="str">
        <f>+'Pre-scaling RPM'!O42</f>
        <v>€/(kWh/dia)/ano</v>
      </c>
      <c r="P42" s="40">
        <f t="shared" si="0"/>
        <v>0.19573662463655483</v>
      </c>
    </row>
    <row r="43" spans="5:16" ht="15" x14ac:dyDescent="0.25">
      <c r="E43" s="3"/>
      <c r="F43" s="22"/>
      <c r="G43" s="10" t="str">
        <f>+'Pre-scaling RPM'!G43</f>
        <v>Daily Flexible Rate - Daily Capacity (October to March)</v>
      </c>
      <c r="H43" s="14" t="str">
        <f>+'Pre-scaling RPM'!H43</f>
        <v>€/(kWh/dia)/ano</v>
      </c>
      <c r="I43" s="40">
        <f t="shared" si="1"/>
        <v>0.13049108309103655</v>
      </c>
      <c r="K43" s="61">
        <f>+Data_b!D47</f>
        <v>10</v>
      </c>
      <c r="M43" s="228">
        <f>+Data_b!$D$13</f>
        <v>0</v>
      </c>
      <c r="O43" s="14" t="str">
        <f>+'Pre-scaling RPM'!O43</f>
        <v>€/(kWh/dia)/ano</v>
      </c>
      <c r="P43" s="40">
        <f t="shared" si="0"/>
        <v>1.3049108309103654</v>
      </c>
    </row>
    <row r="44" spans="5:16" ht="15.75" thickBot="1" x14ac:dyDescent="0.3">
      <c r="E44" s="4"/>
      <c r="F44" s="23"/>
      <c r="G44" s="17" t="str">
        <f>+'Pre-scaling RPM'!G44</f>
        <v>Daily Flexible Rate - Daily Capacity (April to September)</v>
      </c>
      <c r="H44" s="16" t="str">
        <f>+'Pre-scaling RPM'!H44</f>
        <v>€/(kWh/dia)/ano</v>
      </c>
      <c r="I44" s="41">
        <f t="shared" si="1"/>
        <v>0.13049108309103655</v>
      </c>
      <c r="K44" s="62">
        <f>+Data_b!D48</f>
        <v>6</v>
      </c>
      <c r="M44" s="179">
        <f>+Data_b!$D$13</f>
        <v>0</v>
      </c>
      <c r="O44" s="16" t="str">
        <f>+'Pre-scaling RPM'!O44</f>
        <v>€/(kWh/dia)/ano</v>
      </c>
      <c r="P44" s="41">
        <f t="shared" si="0"/>
        <v>0.78294649854621934</v>
      </c>
    </row>
    <row r="45" spans="5:16" ht="15" x14ac:dyDescent="0.25"/>
    <row r="46" spans="5:16" ht="15" hidden="1" x14ac:dyDescent="0.25"/>
    <row r="47" spans="5:16" ht="15" hidden="1" x14ac:dyDescent="0.25"/>
    <row r="48" spans="5:16"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B1:U44"/>
  <sheetViews>
    <sheetView showGridLines="0" topLeftCell="D1" zoomScale="90" zoomScaleNormal="90" workbookViewId="0">
      <selection activeCell="B22" sqref="B22"/>
    </sheetView>
  </sheetViews>
  <sheetFormatPr defaultColWidth="9.140625" defaultRowHeight="0" customHeight="1" zeroHeight="1" x14ac:dyDescent="0.25"/>
  <cols>
    <col min="1" max="1" width="9.140625" customWidth="1"/>
    <col min="2" max="2" width="11" customWidth="1"/>
    <col min="3" max="3" width="35.7109375" customWidth="1"/>
    <col min="4" max="4" width="64" bestFit="1" customWidth="1"/>
    <col min="5" max="5" width="20.140625" bestFit="1" customWidth="1"/>
    <col min="6" max="6" width="9.7109375" bestFit="1" customWidth="1"/>
    <col min="7" max="7" width="13.85546875" customWidth="1"/>
    <col min="8" max="8" width="2.7109375" customWidth="1"/>
    <col min="9" max="9" width="22.7109375" bestFit="1" customWidth="1"/>
    <col min="10" max="10" width="13.85546875" customWidth="1"/>
    <col min="11" max="11" width="2.7109375" customWidth="1"/>
    <col min="12" max="12" width="27.5703125" bestFit="1" customWidth="1"/>
    <col min="13" max="13" width="13.85546875" customWidth="1"/>
    <col min="14" max="14" width="2.7109375" customWidth="1"/>
    <col min="15" max="15" width="22.42578125" bestFit="1" customWidth="1"/>
    <col min="16" max="16" width="2.7109375" customWidth="1"/>
    <col min="17" max="17" width="17.85546875" customWidth="1"/>
    <col min="18" max="18" width="13.85546875" customWidth="1"/>
    <col min="19" max="19" width="9.140625" customWidth="1"/>
    <col min="20" max="20" width="11.7109375" customWidth="1"/>
    <col min="21" max="21" width="13.85546875" customWidth="1"/>
  </cols>
  <sheetData>
    <row r="1" spans="2:21" ht="15" x14ac:dyDescent="0.25"/>
    <row r="2" spans="2:21" ht="15.75" thickBot="1" x14ac:dyDescent="0.3"/>
    <row r="3" spans="2:21" ht="15.75" thickBot="1" x14ac:dyDescent="0.3">
      <c r="E3" s="2">
        <f>+'Reference prices RPM'!E3</f>
        <v>0</v>
      </c>
      <c r="F3" s="145"/>
      <c r="G3" s="68"/>
      <c r="I3" s="2" t="str">
        <f>+'Reference prices RPM'!L3</f>
        <v>Preços pré-escalamento</v>
      </c>
      <c r="J3" s="68"/>
      <c r="L3" s="2" t="str">
        <f>+'Reference prices RPM'!R3</f>
        <v>Receitas, pré-escalamento</v>
      </c>
      <c r="M3" s="68"/>
      <c r="O3" s="25" t="str">
        <f>+'Reference prices RPM'!X3</f>
        <v>Fatores de escalamento</v>
      </c>
      <c r="Q3" s="2" t="str">
        <f>+'Reference prices RPM'!AD3</f>
        <v>Preços de referência</v>
      </c>
      <c r="R3" s="68"/>
      <c r="T3" s="2" t="str">
        <f>+'Reference prices RPM'!AJ3</f>
        <v>Receitas, pós-escalamento</v>
      </c>
      <c r="U3" s="68"/>
    </row>
    <row r="4" spans="2:21" ht="15.75" thickBot="1" x14ac:dyDescent="0.3">
      <c r="C4" s="8" t="e">
        <f>+'Reference prices RPM'!C4</f>
        <v>#REF!</v>
      </c>
      <c r="D4" s="8" t="e">
        <f>+'Reference prices RPM'!D4</f>
        <v>#REF!</v>
      </c>
      <c r="E4" s="8" t="e">
        <f>+'Reference prices RPM'!E4</f>
        <v>#REF!</v>
      </c>
      <c r="F4" s="8" t="str">
        <f>+'Reference prices RPM'!F4</f>
        <v># meses</v>
      </c>
      <c r="G4" s="45"/>
      <c r="I4" s="252">
        <f>+'Reference prices RPM'!L4</f>
        <v>0</v>
      </c>
      <c r="J4" s="253"/>
      <c r="L4" s="252">
        <f>+'Reference prices RPM'!R4</f>
        <v>0</v>
      </c>
      <c r="M4" s="253"/>
      <c r="O4" s="50" t="str">
        <f>+'Reference prices RPM'!X4</f>
        <v>Multiplicativo</v>
      </c>
      <c r="Q4" s="252">
        <f>+'Reference prices RPM'!AD4</f>
        <v>0</v>
      </c>
      <c r="R4" s="253"/>
      <c r="S4" s="256"/>
      <c r="T4" s="252">
        <f>+'Reference prices RPM'!AJ4</f>
        <v>0</v>
      </c>
      <c r="U4" s="253"/>
    </row>
    <row r="5" spans="2:21" ht="15" x14ac:dyDescent="0.25">
      <c r="B5" s="5" t="str">
        <f>+'Reference prices RPM'!B5</f>
        <v>Entry</v>
      </c>
      <c r="C5" s="21" t="str">
        <f>+'Reference prices RPM'!C5</f>
        <v>Interconnection points (VIP)</v>
      </c>
      <c r="D5" s="12" t="str">
        <f>+'Reference prices RPM'!D5</f>
        <v>Yearly</v>
      </c>
      <c r="E5" s="13">
        <f>+'Reference prices RPM'!E5</f>
        <v>0</v>
      </c>
      <c r="F5" s="246">
        <f>Data_b!$D$53</f>
        <v>12</v>
      </c>
      <c r="G5" s="53">
        <f>+Data_a!L6</f>
        <v>65554935.292646319</v>
      </c>
      <c r="I5" s="46" t="str">
        <f>+'Reference prices RPM'!L5</f>
        <v>€/(kWh/dia)/ano</v>
      </c>
      <c r="J5" s="43">
        <f>+'Pre-scaling CWD'!P14</f>
        <v>0.19003886616354931</v>
      </c>
      <c r="L5" s="46" t="s">
        <v>41</v>
      </c>
      <c r="M5" s="53">
        <f>+G5*J5*F5/12</f>
        <v>12457985.574439349</v>
      </c>
      <c r="O5" s="71">
        <f>$O$38</f>
        <v>0.9029059815550875</v>
      </c>
      <c r="Q5" s="46" t="str">
        <f>+'Reference prices RPM'!AD5</f>
        <v>€/(kWh/dia)/ano</v>
      </c>
      <c r="R5" s="43">
        <f>+J5*O5</f>
        <v>0.17158722898701539</v>
      </c>
      <c r="S5" s="257"/>
      <c r="T5" s="46" t="s">
        <v>41</v>
      </c>
      <c r="U5" s="53">
        <f>+G5*R5*F5/12</f>
        <v>11248389.693288282</v>
      </c>
    </row>
    <row r="6" spans="2:21" ht="15" x14ac:dyDescent="0.25">
      <c r="B6" s="6"/>
      <c r="C6" s="22"/>
      <c r="D6" s="10" t="str">
        <f>+'Reference prices RPM'!D6</f>
        <v>Quarterly</v>
      </c>
      <c r="E6" s="10">
        <f>+'Reference prices RPM'!E6</f>
        <v>0</v>
      </c>
      <c r="F6" s="247">
        <f>Data_b!$D$53</f>
        <v>12</v>
      </c>
      <c r="G6" s="55">
        <f>+Data_a!L7</f>
        <v>231556.19844696461</v>
      </c>
      <c r="I6" s="14" t="str">
        <f>+'Reference prices RPM'!L6</f>
        <v>€/(kWh/dia)/ano</v>
      </c>
      <c r="J6" s="40">
        <f>+'Pre-scaling CWD'!P15</f>
        <v>0.24705052601261412</v>
      </c>
      <c r="L6" s="14" t="s">
        <v>41</v>
      </c>
      <c r="M6" s="55">
        <f t="shared" ref="M6:M35" si="0">+G6*J6*F6/12</f>
        <v>57206.080627803873</v>
      </c>
      <c r="O6" s="72">
        <f t="shared" ref="O6:O16" si="1">$O$38</f>
        <v>0.9029059815550875</v>
      </c>
      <c r="Q6" s="14" t="str">
        <f>+'Reference prices RPM'!AD6</f>
        <v>€/(kWh/dia)/ano</v>
      </c>
      <c r="R6" s="40">
        <f t="shared" ref="R6:R35" si="2">+J6*O6</f>
        <v>0.22306339768312003</v>
      </c>
      <c r="S6" s="257"/>
      <c r="T6" s="14" t="s">
        <v>41</v>
      </c>
      <c r="U6" s="55">
        <f t="shared" ref="U6:U35" si="3">+G6*R6*F6/12</f>
        <v>51651.712380166726</v>
      </c>
    </row>
    <row r="7" spans="2:21" ht="15" x14ac:dyDescent="0.25">
      <c r="B7" s="6"/>
      <c r="C7" s="22"/>
      <c r="D7" s="10" t="str">
        <f>+'Reference prices RPM'!D7</f>
        <v>Monthly</v>
      </c>
      <c r="E7" s="10">
        <f>+'Reference prices RPM'!E7</f>
        <v>0</v>
      </c>
      <c r="F7" s="247">
        <f>Data_b!$D$53</f>
        <v>12</v>
      </c>
      <c r="G7" s="55">
        <f>+Data_a!L8</f>
        <v>6472593.694010146</v>
      </c>
      <c r="I7" s="14" t="str">
        <f>+'Reference prices RPM'!L7</f>
        <v>€/(kWh/dia)/ano</v>
      </c>
      <c r="J7" s="40">
        <f>+'Pre-scaling CWD'!P16</f>
        <v>0.285058299245324</v>
      </c>
      <c r="L7" s="14" t="s">
        <v>41</v>
      </c>
      <c r="M7" s="55">
        <f t="shared" si="0"/>
        <v>1845066.5501205411</v>
      </c>
      <c r="O7" s="72">
        <f t="shared" si="1"/>
        <v>0.9029059815550875</v>
      </c>
      <c r="Q7" s="14" t="str">
        <f>+'Reference prices RPM'!AD7</f>
        <v>€/(kWh/dia)/ano</v>
      </c>
      <c r="R7" s="40">
        <f t="shared" si="2"/>
        <v>0.25738084348052315</v>
      </c>
      <c r="S7" s="257"/>
      <c r="T7" s="14" t="s">
        <v>41</v>
      </c>
      <c r="U7" s="55">
        <f t="shared" si="3"/>
        <v>1665921.6244710467</v>
      </c>
    </row>
    <row r="8" spans="2:21" ht="15" x14ac:dyDescent="0.25">
      <c r="B8" s="6"/>
      <c r="C8" s="22"/>
      <c r="D8" s="10" t="str">
        <f>+'Reference prices RPM'!D8</f>
        <v>Daily</v>
      </c>
      <c r="E8" s="10">
        <f>+'Reference prices RPM'!E8</f>
        <v>0</v>
      </c>
      <c r="F8" s="247">
        <f>Data_b!$D$53</f>
        <v>12</v>
      </c>
      <c r="G8" s="55">
        <f>+Data_a!L9</f>
        <v>7655421.9671416637</v>
      </c>
      <c r="I8" s="14" t="str">
        <f>+'Reference prices RPM'!L8</f>
        <v>€/(kWh/dia)/ano</v>
      </c>
      <c r="J8" s="40">
        <f>+'Pre-scaling CWD'!P17</f>
        <v>0.38007773232709863</v>
      </c>
      <c r="L8" s="14" t="s">
        <v>41</v>
      </c>
      <c r="M8" s="55">
        <f t="shared" si="0"/>
        <v>2909655.4212782602</v>
      </c>
      <c r="O8" s="72">
        <f t="shared" si="1"/>
        <v>0.9029059815550875</v>
      </c>
      <c r="Q8" s="14" t="str">
        <f>+'Reference prices RPM'!AD8</f>
        <v>€/(kWh/dia)/ano</v>
      </c>
      <c r="R8" s="40">
        <f t="shared" si="2"/>
        <v>0.34317445797403079</v>
      </c>
      <c r="S8" s="257"/>
      <c r="T8" s="14" t="s">
        <v>41</v>
      </c>
      <c r="U8" s="55">
        <f t="shared" si="3"/>
        <v>2627145.2841363288</v>
      </c>
    </row>
    <row r="9" spans="2:21" ht="15.75" thickBot="1" x14ac:dyDescent="0.3">
      <c r="B9" s="6"/>
      <c r="C9" s="23"/>
      <c r="D9" s="17" t="str">
        <f>+'Reference prices RPM'!D9</f>
        <v>Intraday</v>
      </c>
      <c r="E9" s="17">
        <f>+'Reference prices RPM'!E9</f>
        <v>0</v>
      </c>
      <c r="F9" s="248">
        <f>Data_b!$D$53</f>
        <v>12</v>
      </c>
      <c r="G9" s="57">
        <f>+Data_a!L10</f>
        <v>0</v>
      </c>
      <c r="I9" s="16" t="str">
        <f>+'Reference prices RPM'!L9</f>
        <v>€/(kWh/h)/ano</v>
      </c>
      <c r="J9" s="41">
        <f>+'Pre-scaling CWD'!P18</f>
        <v>10.034052133435406</v>
      </c>
      <c r="L9" s="16" t="s">
        <v>41</v>
      </c>
      <c r="M9" s="57">
        <f t="shared" si="0"/>
        <v>0</v>
      </c>
      <c r="O9" s="73">
        <f t="shared" si="1"/>
        <v>0.9029059815550875</v>
      </c>
      <c r="Q9" s="16" t="str">
        <f>+'Reference prices RPM'!AD9</f>
        <v>€/(kWh/h)/ano</v>
      </c>
      <c r="R9" s="41">
        <f t="shared" si="2"/>
        <v>9.0598056905144144</v>
      </c>
      <c r="S9" s="257"/>
      <c r="T9" s="16" t="s">
        <v>41</v>
      </c>
      <c r="U9" s="57">
        <f t="shared" si="3"/>
        <v>0</v>
      </c>
    </row>
    <row r="10" spans="2:21" ht="15" x14ac:dyDescent="0.25">
      <c r="B10" s="6"/>
      <c r="C10" s="21" t="str">
        <f>+'Reference prices RPM'!C10</f>
        <v>LNG terminal</v>
      </c>
      <c r="D10" s="12" t="str">
        <f>+'Reference prices RPM'!D10</f>
        <v>Yearly</v>
      </c>
      <c r="E10" s="13">
        <f>+'Reference prices RPM'!E10</f>
        <v>0</v>
      </c>
      <c r="F10" s="249">
        <f>Data_b!$D$53</f>
        <v>12</v>
      </c>
      <c r="G10" s="53">
        <f>+Data_a!L11</f>
        <v>95181945.454248399</v>
      </c>
      <c r="I10" s="46" t="str">
        <f>+'Reference prices RPM'!L10</f>
        <v>€/(kWh/dia)/ano</v>
      </c>
      <c r="J10" s="43">
        <f>+'Pre-scaling CWD'!P19</f>
        <v>0.17765643334618897</v>
      </c>
      <c r="L10" s="46" t="s">
        <v>41</v>
      </c>
      <c r="M10" s="53">
        <f t="shared" si="0"/>
        <v>16909684.948353276</v>
      </c>
      <c r="O10" s="71">
        <f t="shared" si="1"/>
        <v>0.9029059815550875</v>
      </c>
      <c r="Q10" s="46" t="str">
        <f>+'Reference prices RPM'!AD10</f>
        <v>€/(kWh/dia)/ano</v>
      </c>
      <c r="R10" s="43">
        <f t="shared" si="2"/>
        <v>0.16040705633001673</v>
      </c>
      <c r="S10" s="257"/>
      <c r="T10" s="46" t="s">
        <v>41</v>
      </c>
      <c r="U10" s="53">
        <f t="shared" si="3"/>
        <v>15267855.686080202</v>
      </c>
    </row>
    <row r="11" spans="2:21" ht="15" x14ac:dyDescent="0.25">
      <c r="B11" s="6"/>
      <c r="C11" s="22"/>
      <c r="D11" s="10" t="str">
        <f>+'Reference prices RPM'!D11</f>
        <v>Quarterly</v>
      </c>
      <c r="E11" s="10">
        <f>+'Reference prices RPM'!E11</f>
        <v>0</v>
      </c>
      <c r="F11" s="247">
        <f>Data_b!$D$53</f>
        <v>12</v>
      </c>
      <c r="G11" s="55">
        <f>+Data_a!L12</f>
        <v>7113057.264897964</v>
      </c>
      <c r="I11" s="14" t="str">
        <f>+'Reference prices RPM'!L11</f>
        <v>€/(kWh/dia)/ano</v>
      </c>
      <c r="J11" s="40">
        <f>+'Pre-scaling CWD'!P20</f>
        <v>0.23095336335004565</v>
      </c>
      <c r="L11" s="14" t="s">
        <v>41</v>
      </c>
      <c r="M11" s="55">
        <f t="shared" si="0"/>
        <v>1642784.4990296613</v>
      </c>
      <c r="O11" s="72">
        <f t="shared" si="1"/>
        <v>0.9029059815550875</v>
      </c>
      <c r="Q11" s="14" t="str">
        <f>+'Reference prices RPM'!AD11</f>
        <v>€/(kWh/dia)/ano</v>
      </c>
      <c r="R11" s="40">
        <f t="shared" si="2"/>
        <v>0.20852917322902173</v>
      </c>
      <c r="S11" s="257"/>
      <c r="T11" s="14" t="s">
        <v>41</v>
      </c>
      <c r="U11" s="55">
        <f t="shared" si="3"/>
        <v>1483279.9505798591</v>
      </c>
    </row>
    <row r="12" spans="2:21" ht="15" x14ac:dyDescent="0.25">
      <c r="B12" s="6"/>
      <c r="C12" s="22"/>
      <c r="D12" s="10" t="str">
        <f>+'Reference prices RPM'!D12</f>
        <v>Monthly</v>
      </c>
      <c r="E12" s="10">
        <f>+'Reference prices RPM'!E12</f>
        <v>0</v>
      </c>
      <c r="F12" s="247">
        <f>Data_b!$D$53</f>
        <v>12</v>
      </c>
      <c r="G12" s="55">
        <f>+Data_a!L13</f>
        <v>1432849.3585735292</v>
      </c>
      <c r="I12" s="14" t="str">
        <f>+'Reference prices RPM'!L12</f>
        <v>€/(kWh/dia)/ano</v>
      </c>
      <c r="J12" s="40">
        <f>+'Pre-scaling CWD'!P21</f>
        <v>0.26648465001928345</v>
      </c>
      <c r="L12" s="14" t="s">
        <v>41</v>
      </c>
      <c r="M12" s="55">
        <f t="shared" si="0"/>
        <v>381832.35984982172</v>
      </c>
      <c r="O12" s="72">
        <f t="shared" si="1"/>
        <v>0.9029059815550875</v>
      </c>
      <c r="Q12" s="14" t="str">
        <f>+'Reference prices RPM'!AD12</f>
        <v>€/(kWh/dia)/ano</v>
      </c>
      <c r="R12" s="40">
        <f t="shared" si="2"/>
        <v>0.24061058449502509</v>
      </c>
      <c r="S12" s="257"/>
      <c r="T12" s="14" t="s">
        <v>41</v>
      </c>
      <c r="U12" s="55">
        <f t="shared" si="3"/>
        <v>344758.72165969864</v>
      </c>
    </row>
    <row r="13" spans="2:21" ht="15" x14ac:dyDescent="0.25">
      <c r="B13" s="6"/>
      <c r="C13" s="22"/>
      <c r="D13" s="10" t="str">
        <f>+'Reference prices RPM'!D13</f>
        <v>Daily</v>
      </c>
      <c r="E13" s="10">
        <f>+'Reference prices RPM'!E13</f>
        <v>0</v>
      </c>
      <c r="F13" s="247">
        <f>Data_b!$D$53</f>
        <v>12</v>
      </c>
      <c r="G13" s="55">
        <f>+Data_a!L14</f>
        <v>12177235.572217982</v>
      </c>
      <c r="I13" s="14" t="str">
        <f>+'Reference prices RPM'!L13</f>
        <v>€/(kWh/dia)/ano</v>
      </c>
      <c r="J13" s="40">
        <f>+'Pre-scaling CWD'!P22</f>
        <v>0.35531286669237794</v>
      </c>
      <c r="L13" s="14" t="s">
        <v>41</v>
      </c>
      <c r="M13" s="55">
        <f t="shared" si="0"/>
        <v>4326728.4795531705</v>
      </c>
      <c r="O13" s="72">
        <f t="shared" si="1"/>
        <v>0.9029059815550875</v>
      </c>
      <c r="Q13" s="14" t="str">
        <f>+'Reference prices RPM'!AD13</f>
        <v>€/(kWh/dia)/ano</v>
      </c>
      <c r="R13" s="40">
        <f t="shared" si="2"/>
        <v>0.32081411266003346</v>
      </c>
      <c r="S13" s="257"/>
      <c r="T13" s="14" t="s">
        <v>41</v>
      </c>
      <c r="U13" s="55">
        <f t="shared" si="3"/>
        <v>3906629.0247533065</v>
      </c>
    </row>
    <row r="14" spans="2:21" ht="15.75" thickBot="1" x14ac:dyDescent="0.3">
      <c r="B14" s="6"/>
      <c r="C14" s="23"/>
      <c r="D14" s="17" t="str">
        <f>+'Reference prices RPM'!D14</f>
        <v>Intraday</v>
      </c>
      <c r="E14" s="17">
        <f>+'Reference prices RPM'!E14</f>
        <v>0</v>
      </c>
      <c r="F14" s="248">
        <f>Data_b!$D$53</f>
        <v>12</v>
      </c>
      <c r="G14" s="57">
        <f>+Data_a!L15</f>
        <v>0</v>
      </c>
      <c r="I14" s="16" t="str">
        <f>+'Reference prices RPM'!L14</f>
        <v>€/(kWh/h)/ano</v>
      </c>
      <c r="J14" s="41">
        <f>+'Pre-scaling CWD'!P23</f>
        <v>9.3802596806787779</v>
      </c>
      <c r="L14" s="16" t="s">
        <v>41</v>
      </c>
      <c r="M14" s="57">
        <f t="shared" si="0"/>
        <v>0</v>
      </c>
      <c r="O14" s="73">
        <f t="shared" si="1"/>
        <v>0.9029059815550875</v>
      </c>
      <c r="Q14" s="16" t="str">
        <f>+'Reference prices RPM'!AD14</f>
        <v>€/(kWh/h)/ano</v>
      </c>
      <c r="R14" s="41">
        <f t="shared" si="2"/>
        <v>8.4694925742248834</v>
      </c>
      <c r="S14" s="257"/>
      <c r="T14" s="16" t="s">
        <v>41</v>
      </c>
      <c r="U14" s="57">
        <f t="shared" si="3"/>
        <v>0</v>
      </c>
    </row>
    <row r="15" spans="2:21" ht="15" x14ac:dyDescent="0.25">
      <c r="B15" s="6"/>
      <c r="C15" s="21" t="str">
        <f>+'Reference prices RPM'!C15</f>
        <v>Underground Storage</v>
      </c>
      <c r="D15" s="12" t="str">
        <f>+'Reference prices RPM'!D15</f>
        <v>Daily</v>
      </c>
      <c r="E15" s="13">
        <f>+'Reference prices RPM'!E15</f>
        <v>0</v>
      </c>
      <c r="F15" s="249">
        <f>Data_b!$D$53</f>
        <v>12</v>
      </c>
      <c r="G15" s="53">
        <f>+Data_a!L16</f>
        <v>8631715.4602739699</v>
      </c>
      <c r="I15" s="46" t="str">
        <f>+'Reference prices RPM'!L15</f>
        <v>€/(kWh/dia)/ano</v>
      </c>
      <c r="J15" s="43">
        <f>+'Pre-scaling CWD'!P24</f>
        <v>0</v>
      </c>
      <c r="L15" s="46" t="s">
        <v>41</v>
      </c>
      <c r="M15" s="53">
        <f t="shared" si="0"/>
        <v>0</v>
      </c>
      <c r="O15" s="71">
        <f t="shared" si="1"/>
        <v>0.9029059815550875</v>
      </c>
      <c r="Q15" s="46" t="str">
        <f>+'Reference prices RPM'!AD15</f>
        <v>€/(kWh/dia)/ano</v>
      </c>
      <c r="R15" s="43">
        <f t="shared" si="2"/>
        <v>0</v>
      </c>
      <c r="S15" s="257"/>
      <c r="T15" s="46" t="s">
        <v>41</v>
      </c>
      <c r="U15" s="53">
        <f t="shared" si="3"/>
        <v>0</v>
      </c>
    </row>
    <row r="16" spans="2:21" ht="15.75" thickBot="1" x14ac:dyDescent="0.3">
      <c r="B16" s="7"/>
      <c r="C16" s="23"/>
      <c r="D16" s="17" t="str">
        <f>+'Reference prices RPM'!D16</f>
        <v>Intraday</v>
      </c>
      <c r="E16" s="17">
        <f>+'Reference prices RPM'!E16</f>
        <v>0</v>
      </c>
      <c r="F16" s="248">
        <f>Data_b!$D$53</f>
        <v>12</v>
      </c>
      <c r="G16" s="57">
        <f>+Data_a!L17</f>
        <v>0</v>
      </c>
      <c r="I16" s="16" t="str">
        <f>+'Reference prices RPM'!L16</f>
        <v>€/(kWh/h)/ano</v>
      </c>
      <c r="J16" s="41">
        <f>+'Pre-scaling CWD'!P25</f>
        <v>0</v>
      </c>
      <c r="L16" s="16" t="s">
        <v>41</v>
      </c>
      <c r="M16" s="57">
        <f t="shared" si="0"/>
        <v>0</v>
      </c>
      <c r="O16" s="73">
        <f t="shared" si="1"/>
        <v>0.9029059815550875</v>
      </c>
      <c r="Q16" s="16" t="str">
        <f>+'Reference prices RPM'!AD16</f>
        <v>€/(kWh/h)/ano</v>
      </c>
      <c r="R16" s="41">
        <f t="shared" si="2"/>
        <v>0</v>
      </c>
      <c r="S16" s="257"/>
      <c r="T16" s="16" t="s">
        <v>41</v>
      </c>
      <c r="U16" s="57">
        <f t="shared" si="3"/>
        <v>0</v>
      </c>
    </row>
    <row r="17" spans="2:21" ht="15" x14ac:dyDescent="0.25">
      <c r="B17" s="5" t="str">
        <f>+'Reference prices RPM'!B17</f>
        <v>Exit</v>
      </c>
      <c r="C17" s="21" t="str">
        <f>+'Reference prices RPM'!C17</f>
        <v>Interconnection points (VIP)</v>
      </c>
      <c r="D17" s="12" t="str">
        <f>+'Reference prices RPM'!D17</f>
        <v>Yearly</v>
      </c>
      <c r="E17" s="13">
        <f>+'Reference prices RPM'!E17</f>
        <v>0</v>
      </c>
      <c r="F17" s="249">
        <f>Data_b!$D$53</f>
        <v>12</v>
      </c>
      <c r="G17" s="53">
        <f>+Data_a!L18</f>
        <v>0</v>
      </c>
      <c r="I17" s="46" t="str">
        <f>+'Reference prices RPM'!L17</f>
        <v>€/(kWh/dia)/ano</v>
      </c>
      <c r="J17" s="43">
        <f>+'Pre-scaling CWD'!P26</f>
        <v>0.18716032906119306</v>
      </c>
      <c r="L17" s="46" t="s">
        <v>41</v>
      </c>
      <c r="M17" s="53">
        <f t="shared" si="0"/>
        <v>0</v>
      </c>
      <c r="O17" s="71">
        <f>$O$39</f>
        <v>0.90767952455002099</v>
      </c>
      <c r="Q17" s="46" t="str">
        <f>+'Reference prices RPM'!AD17</f>
        <v>€/(kWh/dia)/ano</v>
      </c>
      <c r="R17" s="43">
        <f t="shared" si="2"/>
        <v>0.16988159849688919</v>
      </c>
      <c r="S17" s="257"/>
      <c r="T17" s="46" t="s">
        <v>41</v>
      </c>
      <c r="U17" s="53">
        <f t="shared" si="3"/>
        <v>0</v>
      </c>
    </row>
    <row r="18" spans="2:21" ht="15" x14ac:dyDescent="0.25">
      <c r="B18" s="3"/>
      <c r="C18" s="22"/>
      <c r="D18" s="10" t="str">
        <f>+'Reference prices RPM'!D18</f>
        <v>Quarterly</v>
      </c>
      <c r="E18" s="10">
        <f>+'Reference prices RPM'!E18</f>
        <v>0</v>
      </c>
      <c r="F18" s="247">
        <f>Data_b!$D$53</f>
        <v>12</v>
      </c>
      <c r="G18" s="55">
        <f>+Data_a!L19</f>
        <v>0</v>
      </c>
      <c r="I18" s="14" t="str">
        <f>+'Reference prices RPM'!L18</f>
        <v>€/(kWh/dia)/ano</v>
      </c>
      <c r="J18" s="40">
        <f>+'Pre-scaling CWD'!P27</f>
        <v>0.243308427779551</v>
      </c>
      <c r="L18" s="14" t="s">
        <v>41</v>
      </c>
      <c r="M18" s="55">
        <f t="shared" si="0"/>
        <v>0</v>
      </c>
      <c r="O18" s="72">
        <f t="shared" ref="O18:O35" si="4">$O$39</f>
        <v>0.90767952455002099</v>
      </c>
      <c r="Q18" s="14" t="str">
        <f>+'Reference prices RPM'!AD18</f>
        <v>€/(kWh/dia)/ano</v>
      </c>
      <c r="R18" s="40">
        <f t="shared" si="2"/>
        <v>0.22084607804595596</v>
      </c>
      <c r="S18" s="257"/>
      <c r="T18" s="14" t="s">
        <v>41</v>
      </c>
      <c r="U18" s="55">
        <f t="shared" si="3"/>
        <v>0</v>
      </c>
    </row>
    <row r="19" spans="2:21" ht="15" x14ac:dyDescent="0.25">
      <c r="B19" s="3"/>
      <c r="C19" s="22"/>
      <c r="D19" s="10" t="str">
        <f>+'Reference prices RPM'!D19</f>
        <v>Monthly</v>
      </c>
      <c r="E19" s="10">
        <f>+'Reference prices RPM'!E19</f>
        <v>0</v>
      </c>
      <c r="F19" s="247">
        <f>Data_b!$D$53</f>
        <v>12</v>
      </c>
      <c r="G19" s="55">
        <f>+Data_a!L20</f>
        <v>0</v>
      </c>
      <c r="I19" s="14" t="str">
        <f>+'Reference prices RPM'!L19</f>
        <v>€/(kWh/dia)/ano</v>
      </c>
      <c r="J19" s="40">
        <f>+'Pre-scaling CWD'!P28</f>
        <v>0.2807404935917896</v>
      </c>
      <c r="L19" s="14" t="s">
        <v>41</v>
      </c>
      <c r="M19" s="55">
        <f t="shared" si="0"/>
        <v>0</v>
      </c>
      <c r="O19" s="72">
        <f t="shared" si="4"/>
        <v>0.90767952455002099</v>
      </c>
      <c r="Q19" s="14" t="str">
        <f>+'Reference prices RPM'!AD19</f>
        <v>€/(kWh/dia)/ano</v>
      </c>
      <c r="R19" s="40">
        <f t="shared" si="2"/>
        <v>0.25482239774533377</v>
      </c>
      <c r="S19" s="257"/>
      <c r="T19" s="14" t="s">
        <v>41</v>
      </c>
      <c r="U19" s="55">
        <f t="shared" si="3"/>
        <v>0</v>
      </c>
    </row>
    <row r="20" spans="2:21" ht="15" x14ac:dyDescent="0.25">
      <c r="B20" s="3"/>
      <c r="C20" s="22"/>
      <c r="D20" s="10" t="str">
        <f>+'Reference prices RPM'!D20</f>
        <v>Daily</v>
      </c>
      <c r="E20" s="10">
        <f>+'Reference prices RPM'!E20</f>
        <v>0</v>
      </c>
      <c r="F20" s="247">
        <f>Data_b!$D$53</f>
        <v>12</v>
      </c>
      <c r="G20" s="55">
        <f>+Data_a!L21</f>
        <v>408694.55737704912</v>
      </c>
      <c r="I20" s="14" t="str">
        <f>+'Reference prices RPM'!L20</f>
        <v>€/(kWh/dia)/ano</v>
      </c>
      <c r="J20" s="40">
        <f>+'Pre-scaling CWD'!P29</f>
        <v>0.37432065812238613</v>
      </c>
      <c r="L20" s="14" t="s">
        <v>41</v>
      </c>
      <c r="M20" s="55">
        <f t="shared" si="0"/>
        <v>152982.81568841432</v>
      </c>
      <c r="O20" s="72">
        <f t="shared" si="4"/>
        <v>0.90767952455002099</v>
      </c>
      <c r="Q20" s="14" t="str">
        <f>+'Reference prices RPM'!AD20</f>
        <v>€/(kWh/dia)/ano</v>
      </c>
      <c r="R20" s="40">
        <f t="shared" si="2"/>
        <v>0.33976319699377838</v>
      </c>
      <c r="S20" s="257"/>
      <c r="T20" s="14" t="s">
        <v>41</v>
      </c>
      <c r="U20" s="55">
        <f t="shared" si="3"/>
        <v>138859.36940838341</v>
      </c>
    </row>
    <row r="21" spans="2:21" ht="15.75" thickBot="1" x14ac:dyDescent="0.3">
      <c r="B21" s="3"/>
      <c r="C21" s="23"/>
      <c r="D21" s="17" t="str">
        <f>+'Reference prices RPM'!D21</f>
        <v>Intraday</v>
      </c>
      <c r="E21" s="17">
        <f>+'Reference prices RPM'!E21</f>
        <v>0</v>
      </c>
      <c r="F21" s="248">
        <f>Data_b!$D$53</f>
        <v>12</v>
      </c>
      <c r="G21" s="57">
        <f>+Data_a!L22</f>
        <v>0</v>
      </c>
      <c r="I21" s="16" t="str">
        <f>+'Reference prices RPM'!L21</f>
        <v>€/(kWh/h)/ano</v>
      </c>
      <c r="J21" s="41">
        <f>+'Pre-scaling CWD'!P30</f>
        <v>9.8820653744309954</v>
      </c>
      <c r="L21" s="16" t="s">
        <v>41</v>
      </c>
      <c r="M21" s="57">
        <f t="shared" si="0"/>
        <v>0</v>
      </c>
      <c r="O21" s="73">
        <f t="shared" si="4"/>
        <v>0.90767952455002099</v>
      </c>
      <c r="Q21" s="16" t="str">
        <f>+'Reference prices RPM'!AD21</f>
        <v>€/(kWh/h)/ano</v>
      </c>
      <c r="R21" s="41">
        <f t="shared" si="2"/>
        <v>8.9697484006357513</v>
      </c>
      <c r="S21" s="257"/>
      <c r="T21" s="16" t="s">
        <v>41</v>
      </c>
      <c r="U21" s="57">
        <f t="shared" si="3"/>
        <v>0</v>
      </c>
    </row>
    <row r="22" spans="2:21" ht="15" x14ac:dyDescent="0.25">
      <c r="B22" s="3"/>
      <c r="C22" s="21" t="str">
        <f>+'Reference prices RPM'!C22</f>
        <v>LNG terminal</v>
      </c>
      <c r="D22" s="12" t="str">
        <f>+'Reference prices RPM'!D22</f>
        <v>Yearly</v>
      </c>
      <c r="E22" s="13">
        <f>+'Reference prices RPM'!E22</f>
        <v>0</v>
      </c>
      <c r="F22" s="249">
        <f>Data_b!$D$53</f>
        <v>12</v>
      </c>
      <c r="G22" s="53">
        <f>+Data_a!L23</f>
        <v>0</v>
      </c>
      <c r="I22" s="46" t="str">
        <f>+'Reference prices RPM'!L22</f>
        <v>€/(kWh/dia)/ano</v>
      </c>
      <c r="J22" s="43">
        <f>+'Pre-scaling CWD'!P31</f>
        <v>0</v>
      </c>
      <c r="L22" s="46" t="s">
        <v>41</v>
      </c>
      <c r="M22" s="53">
        <f t="shared" si="0"/>
        <v>0</v>
      </c>
      <c r="O22" s="71">
        <f t="shared" si="4"/>
        <v>0.90767952455002099</v>
      </c>
      <c r="Q22" s="46" t="str">
        <f>+'Reference prices RPM'!AD22</f>
        <v>€/(kWh/dia)/ano</v>
      </c>
      <c r="R22" s="43">
        <f t="shared" si="2"/>
        <v>0</v>
      </c>
      <c r="S22" s="257"/>
      <c r="T22" s="46" t="s">
        <v>41</v>
      </c>
      <c r="U22" s="53">
        <f t="shared" si="3"/>
        <v>0</v>
      </c>
    </row>
    <row r="23" spans="2:21" ht="15" x14ac:dyDescent="0.25">
      <c r="B23" s="3"/>
      <c r="C23" s="22"/>
      <c r="D23" s="10" t="str">
        <f>+'Reference prices RPM'!D23</f>
        <v>Quarterly</v>
      </c>
      <c r="E23" s="10">
        <f>+'Reference prices RPM'!E23</f>
        <v>0</v>
      </c>
      <c r="F23" s="247">
        <f>Data_b!$D$53</f>
        <v>12</v>
      </c>
      <c r="G23" s="55">
        <f>+Data_a!L24</f>
        <v>0</v>
      </c>
      <c r="I23" s="14" t="str">
        <f>+'Reference prices RPM'!L23</f>
        <v>€/(kWh/dia)/ano</v>
      </c>
      <c r="J23" s="40">
        <f>+'Pre-scaling CWD'!P32</f>
        <v>0</v>
      </c>
      <c r="L23" s="14" t="s">
        <v>41</v>
      </c>
      <c r="M23" s="55">
        <f t="shared" si="0"/>
        <v>0</v>
      </c>
      <c r="O23" s="72">
        <f t="shared" si="4"/>
        <v>0.90767952455002099</v>
      </c>
      <c r="Q23" s="14" t="str">
        <f>+'Reference prices RPM'!AD23</f>
        <v>€/(kWh/dia)/ano</v>
      </c>
      <c r="R23" s="40">
        <f t="shared" si="2"/>
        <v>0</v>
      </c>
      <c r="S23" s="257"/>
      <c r="T23" s="14" t="s">
        <v>41</v>
      </c>
      <c r="U23" s="55">
        <f t="shared" si="3"/>
        <v>0</v>
      </c>
    </row>
    <row r="24" spans="2:21" ht="15" x14ac:dyDescent="0.25">
      <c r="B24" s="3"/>
      <c r="C24" s="22"/>
      <c r="D24" s="10" t="str">
        <f>+'Reference prices RPM'!D24</f>
        <v>Monthly</v>
      </c>
      <c r="E24" s="10">
        <f>+'Reference prices RPM'!E24</f>
        <v>0</v>
      </c>
      <c r="F24" s="247">
        <f>Data_b!$D$53</f>
        <v>12</v>
      </c>
      <c r="G24" s="55">
        <f>+Data_a!L25</f>
        <v>0</v>
      </c>
      <c r="I24" s="14" t="str">
        <f>+'Reference prices RPM'!L24</f>
        <v>€/(kWh/dia)/ano</v>
      </c>
      <c r="J24" s="40">
        <f>+'Pre-scaling CWD'!P33</f>
        <v>0</v>
      </c>
      <c r="L24" s="14" t="s">
        <v>41</v>
      </c>
      <c r="M24" s="55">
        <f t="shared" si="0"/>
        <v>0</v>
      </c>
      <c r="O24" s="72">
        <f t="shared" si="4"/>
        <v>0.90767952455002099</v>
      </c>
      <c r="Q24" s="14" t="str">
        <f>+'Reference prices RPM'!AD24</f>
        <v>€/(kWh/dia)/ano</v>
      </c>
      <c r="R24" s="40">
        <f t="shared" si="2"/>
        <v>0</v>
      </c>
      <c r="S24" s="257"/>
      <c r="T24" s="14" t="s">
        <v>41</v>
      </c>
      <c r="U24" s="55">
        <f t="shared" si="3"/>
        <v>0</v>
      </c>
    </row>
    <row r="25" spans="2:21" ht="15" x14ac:dyDescent="0.25">
      <c r="B25" s="3"/>
      <c r="C25" s="22"/>
      <c r="D25" s="10" t="str">
        <f>+'Reference prices RPM'!D25</f>
        <v>Daily</v>
      </c>
      <c r="E25" s="10">
        <f>+'Reference prices RPM'!E25</f>
        <v>0</v>
      </c>
      <c r="F25" s="247">
        <f>Data_b!$D$53</f>
        <v>12</v>
      </c>
      <c r="G25" s="55">
        <f>+Data_a!L26</f>
        <v>0</v>
      </c>
      <c r="I25" s="14" t="str">
        <f>+'Reference prices RPM'!L25</f>
        <v>€/(kWh/dia)/ano</v>
      </c>
      <c r="J25" s="40">
        <f>+'Pre-scaling CWD'!P34</f>
        <v>0</v>
      </c>
      <c r="L25" s="14" t="s">
        <v>41</v>
      </c>
      <c r="M25" s="55">
        <f t="shared" si="0"/>
        <v>0</v>
      </c>
      <c r="O25" s="72">
        <f t="shared" si="4"/>
        <v>0.90767952455002099</v>
      </c>
      <c r="Q25" s="14" t="str">
        <f>+'Reference prices RPM'!AD25</f>
        <v>€/(kWh/dia)/ano</v>
      </c>
      <c r="R25" s="40">
        <f t="shared" si="2"/>
        <v>0</v>
      </c>
      <c r="S25" s="257"/>
      <c r="T25" s="14" t="s">
        <v>41</v>
      </c>
      <c r="U25" s="55">
        <f t="shared" si="3"/>
        <v>0</v>
      </c>
    </row>
    <row r="26" spans="2:21" ht="15.75" thickBot="1" x14ac:dyDescent="0.3">
      <c r="B26" s="3"/>
      <c r="C26" s="23"/>
      <c r="D26" s="17" t="str">
        <f>+'Reference prices RPM'!D26</f>
        <v>Intraday</v>
      </c>
      <c r="E26" s="17">
        <f>+'Reference prices RPM'!E26</f>
        <v>0</v>
      </c>
      <c r="F26" s="248">
        <f>Data_b!$D$53</f>
        <v>12</v>
      </c>
      <c r="G26" s="57">
        <f>+Data_a!L27</f>
        <v>0</v>
      </c>
      <c r="I26" s="16" t="str">
        <f>+'Reference prices RPM'!L26</f>
        <v>€/(kWh/h)/ano</v>
      </c>
      <c r="J26" s="41">
        <f>+'Pre-scaling CWD'!P35</f>
        <v>0</v>
      </c>
      <c r="L26" s="16" t="s">
        <v>41</v>
      </c>
      <c r="M26" s="57">
        <f t="shared" si="0"/>
        <v>0</v>
      </c>
      <c r="O26" s="73">
        <f t="shared" si="4"/>
        <v>0.90767952455002099</v>
      </c>
      <c r="Q26" s="16" t="str">
        <f>+'Reference prices RPM'!AD26</f>
        <v>€/(kWh/h)/ano</v>
      </c>
      <c r="R26" s="41">
        <f t="shared" si="2"/>
        <v>0</v>
      </c>
      <c r="S26" s="257"/>
      <c r="T26" s="16" t="s">
        <v>41</v>
      </c>
      <c r="U26" s="57">
        <f t="shared" si="3"/>
        <v>0</v>
      </c>
    </row>
    <row r="27" spans="2:21" ht="15" x14ac:dyDescent="0.25">
      <c r="B27" s="3"/>
      <c r="C27" s="21" t="str">
        <f>+'Reference prices RPM'!C27</f>
        <v>Underground Storage</v>
      </c>
      <c r="D27" s="12" t="str">
        <f>+'Reference prices RPM'!D27</f>
        <v>Daily</v>
      </c>
      <c r="E27" s="13">
        <f>+'Reference prices RPM'!E27</f>
        <v>0</v>
      </c>
      <c r="F27" s="249">
        <f>Data_b!$D$53</f>
        <v>12</v>
      </c>
      <c r="G27" s="53">
        <f>+Data_a!L28</f>
        <v>8631715.4602739699</v>
      </c>
      <c r="I27" s="46" t="str">
        <f>+'Reference prices RPM'!L27</f>
        <v>€/(kWh/dia)/ano</v>
      </c>
      <c r="J27" s="43">
        <f>+'Pre-scaling CWD'!P36</f>
        <v>0</v>
      </c>
      <c r="L27" s="46" t="s">
        <v>41</v>
      </c>
      <c r="M27" s="53">
        <f t="shared" si="0"/>
        <v>0</v>
      </c>
      <c r="O27" s="71">
        <f t="shared" si="4"/>
        <v>0.90767952455002099</v>
      </c>
      <c r="Q27" s="46" t="str">
        <f>+'Reference prices RPM'!AD27</f>
        <v>€/(kWh/dia)/ano</v>
      </c>
      <c r="R27" s="43">
        <f t="shared" si="2"/>
        <v>0</v>
      </c>
      <c r="S27" s="257"/>
      <c r="T27" s="46" t="s">
        <v>41</v>
      </c>
      <c r="U27" s="53">
        <f t="shared" si="3"/>
        <v>0</v>
      </c>
    </row>
    <row r="28" spans="2:21" ht="15.75" thickBot="1" x14ac:dyDescent="0.3">
      <c r="B28" s="3"/>
      <c r="C28" s="23"/>
      <c r="D28" s="17" t="str">
        <f>+'Reference prices RPM'!D28</f>
        <v>Intraday</v>
      </c>
      <c r="E28" s="17">
        <f>+'Reference prices RPM'!E28</f>
        <v>0</v>
      </c>
      <c r="F28" s="248">
        <f>Data_b!$D$53</f>
        <v>12</v>
      </c>
      <c r="G28" s="57">
        <f>+Data_a!L29</f>
        <v>0</v>
      </c>
      <c r="I28" s="16" t="str">
        <f>+'Reference prices RPM'!L28</f>
        <v>€/(kWh/h)/ano</v>
      </c>
      <c r="J28" s="41">
        <f>+'Pre-scaling CWD'!P37</f>
        <v>0</v>
      </c>
      <c r="L28" s="16" t="s">
        <v>41</v>
      </c>
      <c r="M28" s="57">
        <f t="shared" si="0"/>
        <v>0</v>
      </c>
      <c r="O28" s="73">
        <f t="shared" si="4"/>
        <v>0.90767952455002099</v>
      </c>
      <c r="Q28" s="16" t="str">
        <f>+'Reference prices RPM'!AD28</f>
        <v>€/(kWh/h)/ano</v>
      </c>
      <c r="R28" s="41">
        <f t="shared" si="2"/>
        <v>0</v>
      </c>
      <c r="S28" s="257"/>
      <c r="T28" s="16" t="s">
        <v>41</v>
      </c>
      <c r="U28" s="57">
        <f t="shared" si="3"/>
        <v>0</v>
      </c>
    </row>
    <row r="29" spans="2:21" ht="15.75" thickBot="1" x14ac:dyDescent="0.3">
      <c r="B29" s="3"/>
      <c r="C29" s="19" t="str">
        <f>+'Reference prices RPM'!C29</f>
        <v>Distribution networks and HP Customers</v>
      </c>
      <c r="D29" s="20" t="str">
        <f>+'Reference prices RPM'!D29</f>
        <v>Long Uses</v>
      </c>
      <c r="E29" s="20">
        <f>+'Reference prices RPM'!E29</f>
        <v>0</v>
      </c>
      <c r="F29" s="250">
        <f>Data_b!$D$53</f>
        <v>12</v>
      </c>
      <c r="G29" s="58">
        <f>+Data_a!L30</f>
        <v>168207197.95516264</v>
      </c>
      <c r="I29" s="19" t="str">
        <f>+'Reference prices RPM'!L29</f>
        <v>€/(kWh/dia)/ano</v>
      </c>
      <c r="J29" s="59">
        <f>+'Pre-scaling CWD'!P38</f>
        <v>0.13049108309103655</v>
      </c>
      <c r="L29" s="19" t="s">
        <v>41</v>
      </c>
      <c r="M29" s="58">
        <f t="shared" si="0"/>
        <v>21949539.444877561</v>
      </c>
      <c r="O29" s="74">
        <f t="shared" si="4"/>
        <v>0.90767952455002099</v>
      </c>
      <c r="Q29" s="19" t="str">
        <f>+'Reference prices RPM'!AD29</f>
        <v>€/(kWh/dia)/ano</v>
      </c>
      <c r="R29" s="59">
        <f t="shared" si="2"/>
        <v>0.11844408425808933</v>
      </c>
      <c r="S29" s="257"/>
      <c r="T29" s="19" t="s">
        <v>41</v>
      </c>
      <c r="U29" s="58">
        <f t="shared" si="3"/>
        <v>19923147.527418397</v>
      </c>
    </row>
    <row r="30" spans="2:21" ht="15" x14ac:dyDescent="0.25">
      <c r="B30" s="3"/>
      <c r="C30" s="21" t="str">
        <f>+'Reference prices RPM'!C30</f>
        <v>HP Customers</v>
      </c>
      <c r="D30" s="12" t="str">
        <f>+'Reference prices RPM'!D30</f>
        <v>Annual Flexible Rate - Annual Base Capacity</v>
      </c>
      <c r="E30" s="12">
        <f>+'Reference prices RPM'!E30</f>
        <v>0</v>
      </c>
      <c r="F30" s="249">
        <f>Data_b!$D$53</f>
        <v>12</v>
      </c>
      <c r="G30" s="53">
        <f>+Data_a!L31</f>
        <v>74865740.840000004</v>
      </c>
      <c r="I30" s="11" t="str">
        <f>+'Reference prices RPM'!L30</f>
        <v>€/(kWh/dia)/ano</v>
      </c>
      <c r="J30" s="43">
        <f>+'Pre-scaling CWD'!P39</f>
        <v>0.13049108309103655</v>
      </c>
      <c r="L30" s="11" t="s">
        <v>41</v>
      </c>
      <c r="M30" s="53">
        <f t="shared" si="0"/>
        <v>9769311.608624449</v>
      </c>
      <c r="O30" s="71">
        <f t="shared" si="4"/>
        <v>0.90767952455002099</v>
      </c>
      <c r="Q30" s="11" t="str">
        <f>+'Reference prices RPM'!AD30</f>
        <v>€/(kWh/dia)/ano</v>
      </c>
      <c r="R30" s="43">
        <f t="shared" si="2"/>
        <v>0.11844408425808933</v>
      </c>
      <c r="S30" s="257"/>
      <c r="T30" s="11" t="s">
        <v>41</v>
      </c>
      <c r="U30" s="53">
        <f t="shared" si="3"/>
        <v>8867404.1160972398</v>
      </c>
    </row>
    <row r="31" spans="2:21" ht="15.75" thickBot="1" x14ac:dyDescent="0.3">
      <c r="B31" s="3"/>
      <c r="C31" s="23"/>
      <c r="D31" s="17" t="str">
        <f>+'Reference prices RPM'!D31</f>
        <v>Annual Flexible Rate - Additional Monthly Capacity (April to September)</v>
      </c>
      <c r="E31" s="17">
        <f>+'Reference prices RPM'!E31</f>
        <v>0</v>
      </c>
      <c r="F31" s="251">
        <f>+Data_b!$D$52</f>
        <v>6</v>
      </c>
      <c r="G31" s="57">
        <f>+Data_a!L32</f>
        <v>0</v>
      </c>
      <c r="I31" s="16" t="str">
        <f>+'Reference prices RPM'!L31</f>
        <v>€/(kWh/dia)/ano</v>
      </c>
      <c r="J31" s="41">
        <f>+'Pre-scaling CWD'!P40</f>
        <v>0.19573662463655483</v>
      </c>
      <c r="L31" s="16" t="s">
        <v>41</v>
      </c>
      <c r="M31" s="57">
        <f t="shared" si="0"/>
        <v>0</v>
      </c>
      <c r="O31" s="73">
        <f t="shared" si="4"/>
        <v>0.90767952455002099</v>
      </c>
      <c r="Q31" s="16" t="str">
        <f>+'Reference prices RPM'!AD31</f>
        <v>€/(kWh/dia)/ano</v>
      </c>
      <c r="R31" s="41">
        <f t="shared" si="2"/>
        <v>0.17766612638713403</v>
      </c>
      <c r="S31" s="257"/>
      <c r="T31" s="16" t="s">
        <v>41</v>
      </c>
      <c r="U31" s="57">
        <f t="shared" si="3"/>
        <v>0</v>
      </c>
    </row>
    <row r="32" spans="2:21" ht="15" x14ac:dyDescent="0.25">
      <c r="B32" s="3"/>
      <c r="C32" s="21"/>
      <c r="D32" s="12" t="str">
        <f>+'Reference prices RPM'!D32</f>
        <v>Flexible Monthly Rate - Monthly Capacity (October to March)</v>
      </c>
      <c r="E32" s="12">
        <f>+'Reference prices RPM'!E32</f>
        <v>0</v>
      </c>
      <c r="F32" s="246">
        <f>+Data_b!$D$51</f>
        <v>6</v>
      </c>
      <c r="G32" s="53">
        <f>+Data_a!L33</f>
        <v>27009366.044198893</v>
      </c>
      <c r="I32" s="11" t="str">
        <f>+'Reference prices RPM'!L32</f>
        <v>€/(kWh/dia)/ano</v>
      </c>
      <c r="J32" s="43">
        <f>+'Pre-scaling CWD'!P41</f>
        <v>0.39147324927310967</v>
      </c>
      <c r="L32" s="11" t="s">
        <v>41</v>
      </c>
      <c r="M32" s="53">
        <f t="shared" si="0"/>
        <v>5286722.1430646684</v>
      </c>
      <c r="O32" s="71">
        <f t="shared" si="4"/>
        <v>0.90767952455002099</v>
      </c>
      <c r="Q32" s="11" t="str">
        <f>+'Reference prices RPM'!AD32</f>
        <v>€/(kWh/dia)/ano</v>
      </c>
      <c r="R32" s="43">
        <f t="shared" si="2"/>
        <v>0.35533225277426805</v>
      </c>
      <c r="S32" s="257"/>
      <c r="T32" s="11" t="s">
        <v>41</v>
      </c>
      <c r="U32" s="53">
        <f t="shared" si="3"/>
        <v>4798649.4412450064</v>
      </c>
    </row>
    <row r="33" spans="2:21" ht="15.75" thickBot="1" x14ac:dyDescent="0.3">
      <c r="B33" s="3"/>
      <c r="C33" s="23"/>
      <c r="D33" s="17" t="str">
        <f>+'Reference prices RPM'!D33</f>
        <v>Flexible Monthly Rate - Monthly Capacity (April to September)</v>
      </c>
      <c r="E33" s="17">
        <f>+'Reference prices RPM'!E33</f>
        <v>0</v>
      </c>
      <c r="F33" s="251">
        <f>+Data_b!$D$52</f>
        <v>6</v>
      </c>
      <c r="G33" s="57">
        <f>+Data_a!L34</f>
        <v>32280449.869565219</v>
      </c>
      <c r="I33" s="16" t="str">
        <f>+'Reference prices RPM'!L33</f>
        <v>€/(kWh/dia)/ano</v>
      </c>
      <c r="J33" s="41">
        <f>+'Pre-scaling CWD'!P42</f>
        <v>0.19573662463655483</v>
      </c>
      <c r="L33" s="16" t="s">
        <v>41</v>
      </c>
      <c r="M33" s="57">
        <f t="shared" si="0"/>
        <v>3159233.1496091061</v>
      </c>
      <c r="O33" s="73">
        <f t="shared" si="4"/>
        <v>0.90767952455002099</v>
      </c>
      <c r="Q33" s="16" t="str">
        <f>+'Reference prices RPM'!AD33</f>
        <v>€/(kWh/dia)/ano</v>
      </c>
      <c r="R33" s="41">
        <f t="shared" si="2"/>
        <v>0.17766612638713403</v>
      </c>
      <c r="S33" s="257"/>
      <c r="T33" s="16" t="s">
        <v>41</v>
      </c>
      <c r="U33" s="57">
        <f t="shared" si="3"/>
        <v>2867571.2431798591</v>
      </c>
    </row>
    <row r="34" spans="2:21" ht="15" x14ac:dyDescent="0.25">
      <c r="B34" s="3"/>
      <c r="C34" s="21"/>
      <c r="D34" s="12" t="str">
        <f>+'Reference prices RPM'!D34</f>
        <v>Daily Flexible Rate - Daily Capacity (October to March)</v>
      </c>
      <c r="E34" s="12">
        <f>+'Reference prices RPM'!E34</f>
        <v>0</v>
      </c>
      <c r="F34" s="249">
        <f>+Data_b!$D$51</f>
        <v>6</v>
      </c>
      <c r="G34" s="53">
        <f>+Data_a!L35</f>
        <v>0</v>
      </c>
      <c r="I34" s="11" t="str">
        <f>+'Reference prices RPM'!L34</f>
        <v>€/(kWh/dia)/ano</v>
      </c>
      <c r="J34" s="43">
        <f>+'Pre-scaling CWD'!P43</f>
        <v>1.3049108309103654</v>
      </c>
      <c r="L34" s="11" t="s">
        <v>41</v>
      </c>
      <c r="M34" s="53">
        <f t="shared" si="0"/>
        <v>0</v>
      </c>
      <c r="O34" s="71">
        <f t="shared" si="4"/>
        <v>0.90767952455002099</v>
      </c>
      <c r="Q34" s="11" t="str">
        <f>+'Reference prices RPM'!AD34</f>
        <v>€/(kWh/dia)/ano</v>
      </c>
      <c r="R34" s="43">
        <f t="shared" si="2"/>
        <v>1.1844408425808932</v>
      </c>
      <c r="S34" s="257"/>
      <c r="T34" s="11" t="s">
        <v>41</v>
      </c>
      <c r="U34" s="53">
        <f t="shared" si="3"/>
        <v>0</v>
      </c>
    </row>
    <row r="35" spans="2:21" ht="15.75" thickBot="1" x14ac:dyDescent="0.3">
      <c r="B35" s="4"/>
      <c r="C35" s="23"/>
      <c r="D35" s="17" t="str">
        <f>+'Reference prices RPM'!D35</f>
        <v>Daily Flexible Rate - Daily Capacity (April to September)</v>
      </c>
      <c r="E35" s="17">
        <f>+'Reference prices RPM'!E35</f>
        <v>0</v>
      </c>
      <c r="F35" s="251">
        <f>+Data_b!$D$52</f>
        <v>6</v>
      </c>
      <c r="G35" s="57">
        <f>+Data_a!L36</f>
        <v>0</v>
      </c>
      <c r="I35" s="16" t="str">
        <f>+'Reference prices RPM'!L35</f>
        <v>€/(kWh/dia)/ano</v>
      </c>
      <c r="J35" s="41">
        <f>+'Pre-scaling CWD'!P44</f>
        <v>0.78294649854621934</v>
      </c>
      <c r="L35" s="16" t="s">
        <v>41</v>
      </c>
      <c r="M35" s="57">
        <f t="shared" si="0"/>
        <v>0</v>
      </c>
      <c r="O35" s="73">
        <f t="shared" si="4"/>
        <v>0.90767952455002099</v>
      </c>
      <c r="Q35" s="16" t="str">
        <f>+'Reference prices RPM'!AD35</f>
        <v>€/(kWh/dia)/ano</v>
      </c>
      <c r="R35" s="41">
        <f t="shared" si="2"/>
        <v>0.71066450554853611</v>
      </c>
      <c r="S35" s="257"/>
      <c r="T35" s="16" t="s">
        <v>41</v>
      </c>
      <c r="U35" s="57">
        <f t="shared" si="3"/>
        <v>0</v>
      </c>
    </row>
    <row r="36" spans="2:21" ht="15.75" thickBot="1" x14ac:dyDescent="0.3"/>
    <row r="37" spans="2:21" ht="15.75" thickBot="1" x14ac:dyDescent="0.3">
      <c r="L37" s="2" t="str">
        <f>+'Reference prices RPM'!R37</f>
        <v>Divisão de entrada-saída, pré-escalamento</v>
      </c>
      <c r="M37" s="68"/>
      <c r="O37" s="64" t="str">
        <f>+'Reference prices RPM'!X37</f>
        <v>Fatores de escalamento</v>
      </c>
    </row>
    <row r="38" spans="2:21" ht="15" x14ac:dyDescent="0.25">
      <c r="L38" s="11" t="str">
        <f>+'Reference prices RPM'!R38</f>
        <v>Entry</v>
      </c>
      <c r="M38" s="65">
        <f>SUM(M5:M16)/SUM(M5:M35)</f>
        <v>0.50131823185893121</v>
      </c>
      <c r="O38" s="69">
        <f>M42*'RPM inputs'!E22/SUM('Reference prices CWD'!$M$5:$M$16)</f>
        <v>0.9029059815550875</v>
      </c>
    </row>
    <row r="39" spans="2:21" ht="15" customHeight="1" thickBot="1" x14ac:dyDescent="0.3">
      <c r="L39" s="16" t="str">
        <f>+'Reference prices RPM'!R39</f>
        <v>Exit</v>
      </c>
      <c r="M39" s="66">
        <f>SUM(M17:M35)/SUM(M5:M35)</f>
        <v>0.4986817681410689</v>
      </c>
      <c r="O39" s="70">
        <f>M43*'RPM inputs'!E22/SUM('Reference prices CWD'!$M$17:$M$35)</f>
        <v>0.90767952455002099</v>
      </c>
    </row>
    <row r="40" spans="2:21" ht="15" customHeight="1" thickBot="1" x14ac:dyDescent="0.3"/>
    <row r="41" spans="2:21" ht="15" customHeight="1" thickBot="1" x14ac:dyDescent="0.3">
      <c r="L41" s="2" t="str">
        <f>+'Reference prices RPM'!R41</f>
        <v>Divisão de entrada-saída, pós-escalamento</v>
      </c>
      <c r="M41" s="68"/>
    </row>
    <row r="42" spans="2:21" ht="15" customHeight="1" x14ac:dyDescent="0.25">
      <c r="L42" s="11" t="str">
        <f>+'Reference prices RPM'!R42</f>
        <v>Entry</v>
      </c>
      <c r="M42" s="67">
        <v>0.5</v>
      </c>
    </row>
    <row r="43" spans="2:21" ht="15" customHeight="1" thickBot="1" x14ac:dyDescent="0.3">
      <c r="L43" s="16" t="str">
        <f>+'Reference prices RPM'!R43</f>
        <v>Exit</v>
      </c>
      <c r="M43" s="75">
        <v>0.5</v>
      </c>
    </row>
    <row r="44" spans="2:21" ht="15" customHeight="1" x14ac:dyDescent="0.25"/>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W38"/>
  <sheetViews>
    <sheetView showGridLines="0" zoomScaleNormal="100" workbookViewId="0">
      <selection activeCell="B22" sqref="B22"/>
    </sheetView>
  </sheetViews>
  <sheetFormatPr defaultColWidth="0" defaultRowHeight="15" customHeight="1" zeroHeight="1" x14ac:dyDescent="0.25"/>
  <cols>
    <col min="1" max="1" width="3.42578125" customWidth="1"/>
    <col min="2" max="2" width="9.140625" customWidth="1"/>
    <col min="3" max="13" width="9.7109375" customWidth="1"/>
    <col min="14" max="14" width="2.85546875" customWidth="1"/>
    <col min="15" max="15" width="4" customWidth="1"/>
    <col min="16" max="19" width="11" customWidth="1"/>
    <col min="20" max="21" width="9.140625" customWidth="1"/>
    <col min="22" max="22" width="1.7109375" bestFit="1" customWidth="1"/>
    <col min="23" max="23" width="90.85546875" bestFit="1" customWidth="1"/>
    <col min="24" max="16384" width="9.140625" hidden="1"/>
  </cols>
  <sheetData>
    <row r="1" spans="2:23" x14ac:dyDescent="0.25"/>
    <row r="2" spans="2:23" x14ac:dyDescent="0.25">
      <c r="B2" s="99" t="str">
        <f>+CWD!B2</f>
        <v>Matriz de distâncias</v>
      </c>
      <c r="C2" s="100"/>
      <c r="D2" s="100"/>
      <c r="E2" s="100"/>
      <c r="F2" s="100"/>
      <c r="G2" s="100"/>
      <c r="H2" s="100"/>
      <c r="I2" s="100"/>
      <c r="J2" s="100"/>
      <c r="K2" s="100"/>
      <c r="L2" s="100"/>
      <c r="M2" s="101"/>
      <c r="N2" s="51"/>
      <c r="O2" s="51"/>
      <c r="P2" s="180" t="str">
        <f>+CWD!P2</f>
        <v>Preços pré-equalização por ponto de entrada</v>
      </c>
      <c r="Q2" s="100"/>
      <c r="R2" s="100"/>
      <c r="S2" s="101"/>
    </row>
    <row r="3" spans="2:23" ht="18" x14ac:dyDescent="0.35">
      <c r="B3" s="102" t="s">
        <v>29</v>
      </c>
      <c r="C3" s="28" t="s">
        <v>30</v>
      </c>
      <c r="D3" s="28" t="s">
        <v>31</v>
      </c>
      <c r="E3" s="28" t="s">
        <v>32</v>
      </c>
      <c r="F3" s="28" t="s">
        <v>33</v>
      </c>
      <c r="G3" s="28" t="s">
        <v>34</v>
      </c>
      <c r="H3" s="28" t="s">
        <v>35</v>
      </c>
      <c r="I3" s="28" t="s">
        <v>36</v>
      </c>
      <c r="J3" s="28" t="s">
        <v>37</v>
      </c>
      <c r="K3" s="28" t="s">
        <v>38</v>
      </c>
      <c r="L3" s="28" t="s">
        <v>39</v>
      </c>
      <c r="M3" s="28" t="s">
        <v>40</v>
      </c>
      <c r="N3" s="51"/>
      <c r="O3" s="51"/>
      <c r="P3" s="387" t="s">
        <v>233</v>
      </c>
      <c r="Q3" s="387" t="s">
        <v>236</v>
      </c>
      <c r="R3" s="387" t="s">
        <v>237</v>
      </c>
      <c r="S3" s="387" t="s">
        <v>238</v>
      </c>
    </row>
    <row r="4" spans="2:23" x14ac:dyDescent="0.25">
      <c r="B4" s="26" t="s">
        <v>30</v>
      </c>
      <c r="C4" s="30">
        <f>INDEX(Data_d!$F$27:$F$70,MATCH($B4&amp;C$3,Data_d!$E$27:$E$70,0))</f>
        <v>0</v>
      </c>
      <c r="D4" s="30">
        <f>INDEX(Data_d!$F$27:$F$70,MATCH($B4&amp;D$3,Data_d!$E$27:$E$70,0))</f>
        <v>509.03899999999999</v>
      </c>
      <c r="E4" s="30">
        <f>INDEX(Data_d!$F$27:$F$70,MATCH($B4&amp;E$3,Data_d!$E$27:$E$70,0))</f>
        <v>481.84000000000003</v>
      </c>
      <c r="F4" s="30">
        <f>INDEX(Data_d!$F$27:$F$70,MATCH($B4&amp;F$3,Data_d!$E$27:$E$70,0))</f>
        <v>254.26299999999998</v>
      </c>
      <c r="G4" s="30">
        <f>INDEX(Data_d!$F$27:$F$70,MATCH($B4&amp;G$3,Data_d!$E$27:$E$70,0))</f>
        <v>416.85699999999997</v>
      </c>
      <c r="H4" s="30">
        <f>INDEX(Data_d!$F$27:$F$70,MATCH($B4&amp;H$3,Data_d!$E$27:$E$70,0))</f>
        <v>434.01900000000001</v>
      </c>
      <c r="I4" s="30">
        <f>INDEX(Data_d!$F$27:$F$70,MATCH($B4&amp;I$3,Data_d!$E$27:$E$70,0))</f>
        <v>290.23699999999997</v>
      </c>
      <c r="J4" s="30">
        <f>INDEX(Data_d!$F$27:$F$70,MATCH($B4&amp;J$3,Data_d!$E$27:$E$70,0))</f>
        <v>148.19899999999998</v>
      </c>
      <c r="K4" s="30">
        <f>INDEX(Data_d!$F$27:$F$70,MATCH($B4&amp;K$3,Data_d!$E$27:$E$70,0))</f>
        <v>477.80899999999997</v>
      </c>
      <c r="L4" s="30">
        <f>INDEX(Data_d!$F$27:$F$70,MATCH($B4&amp;L$3,Data_d!$E$27:$E$70,0))</f>
        <v>441.00900000000001</v>
      </c>
      <c r="M4" s="30">
        <f>INDEX(Data_d!$F$27:$F$70,MATCH($B4&amp;M$3,Data_d!$E$27:$E$70,0))</f>
        <v>274.86</v>
      </c>
      <c r="N4" s="51"/>
      <c r="O4" s="26" t="s">
        <v>30</v>
      </c>
      <c r="P4" s="134">
        <f>+'RPM inputs'!E4</f>
        <v>74364888.60000585</v>
      </c>
      <c r="Q4" s="32">
        <f>SUMPRODUCT(C$11:M$11,C4:M4)/SUMIFS(C$11:M$11,C4:M4,"&gt;0")</f>
        <v>357.98268865542974</v>
      </c>
      <c r="R4" s="33">
        <f>P4*Q4/SUMPRODUCT(P$4:P$7,Q$4:Q$7)</f>
        <v>0.38660473414594759</v>
      </c>
      <c r="S4" s="36">
        <f>IF(P4=0,0,'RPM inputs'!$E$23*R4*'RPM inputs'!$E$22/P4)</f>
        <v>0.10654093683968836</v>
      </c>
    </row>
    <row r="5" spans="2:23" x14ac:dyDescent="0.25">
      <c r="B5" s="26" t="s">
        <v>31</v>
      </c>
      <c r="C5" s="30">
        <f>INDEX(Data_d!$F$27:$F$70,MATCH($B5&amp;C$3,Data_d!$E$27:$E$70,0))</f>
        <v>509.03899999999999</v>
      </c>
      <c r="D5" s="30">
        <f>INDEX(Data_d!$F$27:$F$70,MATCH($B5&amp;D$3,Data_d!$E$27:$E$70,0))</f>
        <v>0</v>
      </c>
      <c r="E5" s="30">
        <f>INDEX(Data_d!$F$27:$F$70,MATCH($B5&amp;E$3,Data_d!$E$27:$E$70,0))</f>
        <v>549.45300000000009</v>
      </c>
      <c r="F5" s="30">
        <f>INDEX(Data_d!$F$27:$F$70,MATCH($B5&amp;F$3,Data_d!$E$27:$E$70,0))</f>
        <v>321.87600000000003</v>
      </c>
      <c r="G5" s="30">
        <f>INDEX(Data_d!$F$27:$F$70,MATCH($B5&amp;G$3,Data_d!$E$27:$E$70,0))</f>
        <v>484.47</v>
      </c>
      <c r="H5" s="30">
        <f>INDEX(Data_d!$F$27:$F$70,MATCH($B5&amp;H$3,Data_d!$E$27:$E$70,0))</f>
        <v>190.702</v>
      </c>
      <c r="I5" s="30">
        <f>INDEX(Data_d!$F$27:$F$70,MATCH($B5&amp;I$3,Data_d!$E$27:$E$70,0))</f>
        <v>357.85</v>
      </c>
      <c r="J5" s="30">
        <f>INDEX(Data_d!$F$27:$F$70,MATCH($B5&amp;J$3,Data_d!$E$27:$E$70,0))</f>
        <v>370.96000000000004</v>
      </c>
      <c r="K5" s="30">
        <f>INDEX(Data_d!$F$27:$F$70,MATCH($B5&amp;K$3,Data_d!$E$27:$E$70,0))</f>
        <v>71.706000000000003</v>
      </c>
      <c r="L5" s="30">
        <f>INDEX(Data_d!$F$27:$F$70,MATCH($B5&amp;L$3,Data_d!$E$27:$E$70,0))</f>
        <v>508.62200000000007</v>
      </c>
      <c r="M5" s="30">
        <f>INDEX(Data_d!$F$27:$F$70,MATCH($B5&amp;M$3,Data_d!$E$27:$E$70,0))</f>
        <v>334.01</v>
      </c>
      <c r="N5" s="51"/>
      <c r="O5" s="26" t="s">
        <v>31</v>
      </c>
      <c r="P5" s="134">
        <f>+'RPM inputs'!E5</f>
        <v>5549618.552239242</v>
      </c>
      <c r="Q5" s="32">
        <f>SUMPRODUCT(C$11:M$11,C5:M5)/SUMIFS(C$11:M$11,C5:M5,"&gt;0")</f>
        <v>352.21659805499405</v>
      </c>
      <c r="R5" s="33">
        <f>P5*Q5/SUMPRODUCT(P$4:P$7,Q$4:Q$7)</f>
        <v>2.8386389790073973E-2</v>
      </c>
      <c r="S5" s="36">
        <f>IF(P5=0,0,'RPM inputs'!$E$23*R5*'RPM inputs'!$E$22/P5)</f>
        <v>0.10482486309103779</v>
      </c>
    </row>
    <row r="6" spans="2:23" x14ac:dyDescent="0.25">
      <c r="B6" s="26" t="s">
        <v>32</v>
      </c>
      <c r="C6" s="30">
        <f>INDEX(Data_d!$F$27:$F$70,MATCH($B6&amp;C$3,Data_d!$E$27:$E$70,0))</f>
        <v>481.84000000000003</v>
      </c>
      <c r="D6" s="30">
        <f>INDEX(Data_d!$F$27:$F$70,MATCH($B6&amp;D$3,Data_d!$E$27:$E$70,0))</f>
        <v>549.45300000000009</v>
      </c>
      <c r="E6" s="30">
        <f>INDEX(Data_d!$F$27:$F$70,MATCH($B6&amp;E$3,Data_d!$E$27:$E$70,0))</f>
        <v>0</v>
      </c>
      <c r="F6" s="30">
        <f>INDEX(Data_d!$F$27:$F$70,MATCH($B6&amp;F$3,Data_d!$E$27:$E$70,0))</f>
        <v>294.67700000000002</v>
      </c>
      <c r="G6" s="30">
        <f>INDEX(Data_d!$F$27:$F$70,MATCH($B6&amp;G$3,Data_d!$E$27:$E$70,0))</f>
        <v>276.803</v>
      </c>
      <c r="H6" s="30">
        <f>INDEX(Data_d!$F$27:$F$70,MATCH($B6&amp;H$3,Data_d!$E$27:$E$70,0))</f>
        <v>474.43299999999999</v>
      </c>
      <c r="I6" s="30">
        <f>INDEX(Data_d!$F$27:$F$70,MATCH($B6&amp;I$3,Data_d!$E$27:$E$70,0))</f>
        <v>330.65100000000001</v>
      </c>
      <c r="J6" s="30">
        <f>INDEX(Data_d!$F$27:$F$70,MATCH($B6&amp;J$3,Data_d!$E$27:$E$70,0))</f>
        <v>343.76099999999997</v>
      </c>
      <c r="K6" s="30">
        <f>INDEX(Data_d!$F$27:$F$70,MATCH($B6&amp;K$3,Data_d!$E$27:$E$70,0))</f>
        <v>518.22300000000007</v>
      </c>
      <c r="L6" s="30">
        <f>INDEX(Data_d!$F$27:$F$70,MATCH($B6&amp;L$3,Data_d!$E$27:$E$70,0))</f>
        <v>51.051000000000002</v>
      </c>
      <c r="M6" s="30">
        <f>INDEX(Data_d!$F$27:$F$70,MATCH($B6&amp;M$3,Data_d!$E$27:$E$70,0))</f>
        <v>462.79100000000005</v>
      </c>
      <c r="N6" s="51"/>
      <c r="O6" s="26" t="s">
        <v>32</v>
      </c>
      <c r="P6" s="134">
        <f>+'RPM inputs'!E6</f>
        <v>115905087.64993787</v>
      </c>
      <c r="Q6" s="32">
        <f>SUMPRODUCT(C$11:M$11,C6:M6)/SUMIFS(C$11:M$11,C6:M6,"&gt;0")</f>
        <v>334.28314551676112</v>
      </c>
      <c r="R6" s="33">
        <f>P6*Q6/SUMPRODUCT(P$4:P$7,Q$4:Q$7)</f>
        <v>0.56267055720907477</v>
      </c>
      <c r="S6" s="36">
        <f>IF(P6=0,0,'RPM inputs'!$E$23*R6*'RPM inputs'!$E$22/P6)</f>
        <v>9.9487602673865833E-2</v>
      </c>
    </row>
    <row r="7" spans="2:23" x14ac:dyDescent="0.25">
      <c r="B7" s="26" t="s">
        <v>33</v>
      </c>
      <c r="C7" s="30">
        <f>INDEX(Data_d!$F$27:$F$70,MATCH($B7&amp;C$3,Data_d!$E$27:$E$70,0))</f>
        <v>254.26299999999998</v>
      </c>
      <c r="D7" s="30">
        <f>INDEX(Data_d!$F$27:$F$70,MATCH($B7&amp;D$3,Data_d!$E$27:$E$70,0))</f>
        <v>321.87600000000003</v>
      </c>
      <c r="E7" s="30">
        <f>INDEX(Data_d!$F$27:$F$70,MATCH($B7&amp;E$3,Data_d!$E$27:$E$70,0))</f>
        <v>294.67700000000002</v>
      </c>
      <c r="F7" s="30">
        <f>INDEX(Data_d!$F$27:$F$70,MATCH($B7&amp;F$3,Data_d!$E$27:$E$70,0))</f>
        <v>0</v>
      </c>
      <c r="G7" s="30">
        <f>INDEX(Data_d!$F$27:$F$70,MATCH($B7&amp;G$3,Data_d!$E$27:$E$70,0))</f>
        <v>229.69400000000002</v>
      </c>
      <c r="H7" s="30">
        <f>INDEX(Data_d!$F$27:$F$70,MATCH($B7&amp;H$3,Data_d!$E$27:$E$70,0))</f>
        <v>246.85599999999999</v>
      </c>
      <c r="I7" s="30">
        <f>INDEX(Data_d!$F$27:$F$70,MATCH($B7&amp;I$3,Data_d!$E$27:$E$70,0))</f>
        <v>35.974000000000004</v>
      </c>
      <c r="J7" s="30">
        <f>INDEX(Data_d!$F$27:$F$70,MATCH($B7&amp;J$3,Data_d!$E$27:$E$70,0))</f>
        <v>116.184</v>
      </c>
      <c r="K7" s="30">
        <f>INDEX(Data_d!$F$27:$F$70,MATCH($B7&amp;K$3,Data_d!$E$27:$E$70,0))</f>
        <v>290.64600000000002</v>
      </c>
      <c r="L7" s="30">
        <f>INDEX(Data_d!$F$27:$F$70,MATCH($B7&amp;L$3,Data_d!$E$27:$E$70,0))</f>
        <v>253.846</v>
      </c>
      <c r="M7" s="30">
        <f>INDEX(Data_d!$F$27:$F$70,MATCH($B7&amp;M$3,Data_d!$E$27:$E$70,0))</f>
        <v>235.214</v>
      </c>
      <c r="N7" s="51"/>
      <c r="O7" s="26" t="s">
        <v>33</v>
      </c>
      <c r="P7" s="134">
        <f>+'RPM inputs'!E7</f>
        <v>8631715.4602739699</v>
      </c>
      <c r="Q7" s="32">
        <f>SUMPRODUCT(C$11:M$11,C7:M7)/SUMIFS(C$11:M$11,C7:M7,"&gt;0")</f>
        <v>178.20347124263719</v>
      </c>
      <c r="R7" s="33">
        <f>P7*Q7/SUMPRODUCT(P$4:P$7,Q$4:Q$7)</f>
        <v>2.233831885490371E-2</v>
      </c>
      <c r="S7" s="36">
        <f>IF(P7=0,0,'RPM inputs'!$E$23*R7*'RPM inputs'!$E$22/P7)</f>
        <v>5.3035985749997142E-2</v>
      </c>
    </row>
    <row r="8" spans="2:23" x14ac:dyDescent="0.25">
      <c r="N8" s="51"/>
      <c r="O8" s="51"/>
      <c r="P8" s="51"/>
      <c r="Q8" s="51"/>
      <c r="R8" s="51"/>
      <c r="S8" s="51"/>
    </row>
    <row r="9" spans="2:23" x14ac:dyDescent="0.25">
      <c r="B9" s="99" t="str">
        <f>+CWD!B9</f>
        <v>Preços pré-equalização por ponto de saída</v>
      </c>
      <c r="C9" s="100"/>
      <c r="D9" s="100"/>
      <c r="E9" s="100"/>
      <c r="F9" s="100"/>
      <c r="G9" s="100"/>
      <c r="H9" s="100"/>
      <c r="I9" s="100"/>
      <c r="J9" s="100"/>
      <c r="K9" s="100"/>
      <c r="L9" s="100"/>
      <c r="M9" s="101"/>
      <c r="N9" s="51"/>
      <c r="O9" s="51"/>
      <c r="P9" s="51"/>
      <c r="Q9" s="51"/>
      <c r="R9" s="51"/>
      <c r="S9" s="51"/>
    </row>
    <row r="10" spans="2:23" x14ac:dyDescent="0.25">
      <c r="B10" s="102"/>
      <c r="C10" s="28" t="s">
        <v>30</v>
      </c>
      <c r="D10" s="28" t="s">
        <v>31</v>
      </c>
      <c r="E10" s="28" t="s">
        <v>32</v>
      </c>
      <c r="F10" s="28" t="s">
        <v>33</v>
      </c>
      <c r="G10" s="28" t="s">
        <v>34</v>
      </c>
      <c r="H10" s="28" t="s">
        <v>35</v>
      </c>
      <c r="I10" s="28" t="s">
        <v>36</v>
      </c>
      <c r="J10" s="28" t="s">
        <v>37</v>
      </c>
      <c r="K10" s="28" t="s">
        <v>38</v>
      </c>
      <c r="L10" s="28" t="s">
        <v>39</v>
      </c>
      <c r="M10" s="28" t="s">
        <v>40</v>
      </c>
      <c r="N10" s="51"/>
      <c r="O10" s="51"/>
      <c r="P10" s="51"/>
      <c r="Q10" s="51"/>
      <c r="R10" s="51"/>
      <c r="S10" s="51"/>
    </row>
    <row r="11" spans="2:23" ht="18" x14ac:dyDescent="0.35">
      <c r="B11" s="388" t="s">
        <v>239</v>
      </c>
      <c r="C11" s="134">
        <f t="array" ref="C11:M11">TRANSPOSE('RPM inputs'!$E$8:$E$18)</f>
        <v>280977.50819672126</v>
      </c>
      <c r="D11" s="134">
        <v>127717.04918032786</v>
      </c>
      <c r="E11" s="134">
        <v>0</v>
      </c>
      <c r="F11" s="134">
        <v>8631715.4602739699</v>
      </c>
      <c r="G11" s="134">
        <v>63163802.957976975</v>
      </c>
      <c r="H11" s="134">
        <v>75549719.636263147</v>
      </c>
      <c r="I11" s="134">
        <v>65554137.757273704</v>
      </c>
      <c r="J11" s="134">
        <v>32233256.928010706</v>
      </c>
      <c r="K11" s="134">
        <v>4542292.6721454207</v>
      </c>
      <c r="L11" s="134">
        <v>28314076.568865161</v>
      </c>
      <c r="M11" s="134">
        <v>3360560.23150955</v>
      </c>
      <c r="N11" s="51"/>
      <c r="O11" s="51"/>
      <c r="P11" s="51"/>
      <c r="Q11" s="51"/>
      <c r="R11" s="51"/>
      <c r="S11" s="51"/>
    </row>
    <row r="12" spans="2:23" ht="18" x14ac:dyDescent="0.35">
      <c r="B12" s="387" t="s">
        <v>242</v>
      </c>
      <c r="C12" s="32">
        <f t="shared" ref="C12:M12" si="0">SUMPRODUCT($P4:$P7,C4:C7)/SUMIFS($P4:$P7,C4:C7,"&gt;0")</f>
        <v>467.89976080266143</v>
      </c>
      <c r="D12" s="32">
        <f t="shared" si="0"/>
        <v>524.46697562558745</v>
      </c>
      <c r="E12" s="32">
        <f t="shared" si="0"/>
        <v>467.83249787372262</v>
      </c>
      <c r="F12" s="32">
        <f t="shared" si="0"/>
        <v>280.10012103259209</v>
      </c>
      <c r="G12" s="32">
        <f t="shared" si="0"/>
        <v>331.39272723592512</v>
      </c>
      <c r="H12" s="32">
        <f t="shared" si="0"/>
        <v>442.4236118956747</v>
      </c>
      <c r="I12" s="32">
        <f t="shared" si="0"/>
        <v>304.24859376139017</v>
      </c>
      <c r="J12" s="32">
        <f t="shared" si="0"/>
        <v>263.7596434046431</v>
      </c>
      <c r="K12" s="32">
        <f t="shared" si="0"/>
        <v>481.79495493287465</v>
      </c>
      <c r="L12" s="32">
        <f t="shared" si="0"/>
        <v>213.87214520704447</v>
      </c>
      <c r="M12" s="32">
        <f t="shared" si="0"/>
        <v>381.33134491543859</v>
      </c>
      <c r="N12" s="51"/>
      <c r="O12" s="51"/>
      <c r="P12" s="51"/>
      <c r="Q12" s="51"/>
      <c r="R12" s="51"/>
      <c r="S12" s="51"/>
    </row>
    <row r="13" spans="2:23" ht="18" x14ac:dyDescent="0.35">
      <c r="B13" s="387" t="s">
        <v>243</v>
      </c>
      <c r="C13" s="33">
        <f t="shared" ref="C13:M13" si="1">C11*C12/SUMPRODUCT($C11:$M11,$C12:$M12)</f>
        <v>1.384684434983267E-3</v>
      </c>
      <c r="D13" s="33">
        <f t="shared" si="1"/>
        <v>7.0549420920033553E-4</v>
      </c>
      <c r="E13" s="33">
        <f t="shared" si="1"/>
        <v>0</v>
      </c>
      <c r="F13" s="33">
        <f t="shared" si="1"/>
        <v>2.5464599061492805E-2</v>
      </c>
      <c r="G13" s="33">
        <f t="shared" si="1"/>
        <v>0.22046399539075875</v>
      </c>
      <c r="H13" s="33">
        <f t="shared" si="1"/>
        <v>0.35204451684260363</v>
      </c>
      <c r="I13" s="33">
        <f t="shared" si="1"/>
        <v>0.21006568738365389</v>
      </c>
      <c r="J13" s="33">
        <f t="shared" si="1"/>
        <v>8.9544510645187494E-2</v>
      </c>
      <c r="K13" s="33">
        <f t="shared" si="1"/>
        <v>2.3049621175116324E-2</v>
      </c>
      <c r="L13" s="33">
        <f t="shared" si="1"/>
        <v>6.3779786078126399E-2</v>
      </c>
      <c r="M13" s="33">
        <f t="shared" si="1"/>
        <v>1.3497104778877092E-2</v>
      </c>
      <c r="N13" s="51"/>
      <c r="O13" s="51"/>
      <c r="P13" s="51"/>
      <c r="Q13" s="51"/>
      <c r="R13" s="51"/>
      <c r="S13" s="51"/>
    </row>
    <row r="14" spans="2:23" ht="18" x14ac:dyDescent="0.35">
      <c r="B14" s="387" t="s">
        <v>244</v>
      </c>
      <c r="C14" s="35">
        <f>IF(C11=0,0,(1-'RPM inputs'!$E$23)*C13*'RPM inputs'!$E$22/C11)</f>
        <v>0.2596994285125433</v>
      </c>
      <c r="D14" s="35">
        <f>IF(D11=0,0,(1-'RPM inputs'!$E$23)*D13*'RPM inputs'!$E$22/D11)</f>
        <v>0.29109605358638235</v>
      </c>
      <c r="E14" s="35">
        <f>IF(E11=0,0,(1-'RPM inputs'!$E$23)*E13*'RPM inputs'!$E$22/E11)</f>
        <v>0</v>
      </c>
      <c r="F14" s="35">
        <f>IF(F11=0,0,(1-'RPM inputs'!$E$23)*F13*'RPM inputs'!$E$22/F11)</f>
        <v>0.15546458334082697</v>
      </c>
      <c r="G14" s="35">
        <f>IF(G11=0,0,(1-'RPM inputs'!$E$23)*G13*'RPM inputs'!$E$22/G11)</f>
        <v>0.18393363084594538</v>
      </c>
      <c r="H14" s="35">
        <f>IF(H11=0,0,(1-'RPM inputs'!$E$23)*H13*'RPM inputs'!$E$22/H11)</f>
        <v>0.24555934581513988</v>
      </c>
      <c r="I14" s="35">
        <f>IF(I11=0,0,(1-'RPM inputs'!$E$23)*I13*'RPM inputs'!$E$22/I11)</f>
        <v>0.16886776302264897</v>
      </c>
      <c r="J14" s="35">
        <f>IF(J11=0,0,(1-'RPM inputs'!$E$23)*J13*'RPM inputs'!$E$22/J11)</f>
        <v>0.14639509227222583</v>
      </c>
      <c r="K14" s="35">
        <f>IF(K11=0,0,(1-'RPM inputs'!$E$23)*K13*'RPM inputs'!$E$22/K11)</f>
        <v>0.26741170852845281</v>
      </c>
      <c r="L14" s="35">
        <f>IF(L11=0,0,(1-'RPM inputs'!$E$23)*L13*'RPM inputs'!$E$22/L11)</f>
        <v>0.11870592493943673</v>
      </c>
      <c r="M14" s="35">
        <f>IF(M11=0,0,(1-'RPM inputs'!$E$23)*M13*'RPM inputs'!$E$22/M11)</f>
        <v>0.21165117113668683</v>
      </c>
      <c r="N14" s="51"/>
      <c r="O14" s="51"/>
      <c r="P14" s="51"/>
      <c r="Q14" s="51"/>
      <c r="R14" s="51"/>
      <c r="S14" s="51"/>
    </row>
    <row r="15" spans="2:23" x14ac:dyDescent="0.25">
      <c r="N15" s="51"/>
      <c r="O15" s="51"/>
      <c r="P15" s="51"/>
      <c r="Q15" s="51"/>
      <c r="R15" s="51"/>
      <c r="S15" s="51"/>
      <c r="U15" s="384" t="str">
        <f>+CWD!U15</f>
        <v>Siglas</v>
      </c>
    </row>
    <row r="16" spans="2:23" ht="18" x14ac:dyDescent="0.35">
      <c r="N16" s="51"/>
      <c r="O16" s="51"/>
      <c r="P16" s="51"/>
      <c r="Q16" s="51"/>
      <c r="R16" s="51"/>
      <c r="U16" s="385" t="s">
        <v>245</v>
      </c>
      <c r="V16" s="386" t="s">
        <v>199</v>
      </c>
      <c r="W16" t="str">
        <f>+CWD!W16</f>
        <v>capacidade prevista, medida em kWh/dia, no ponto de entrada i</v>
      </c>
    </row>
    <row r="17" spans="14:23" ht="18" x14ac:dyDescent="0.35">
      <c r="N17" s="51"/>
      <c r="O17" s="51"/>
      <c r="P17" s="51"/>
      <c r="Q17" s="51"/>
      <c r="R17" s="51"/>
      <c r="U17" s="385" t="s">
        <v>248</v>
      </c>
      <c r="V17" t="s">
        <v>199</v>
      </c>
      <c r="W17" t="str">
        <f>+CWD!W17</f>
        <v>distância média ponderada, medida em km, no ponto de entrada i</v>
      </c>
    </row>
    <row r="18" spans="14:23" ht="18" x14ac:dyDescent="0.35">
      <c r="N18" s="51"/>
      <c r="O18" s="51"/>
      <c r="P18" s="51"/>
      <c r="Q18" s="51"/>
      <c r="R18" s="51"/>
      <c r="U18" s="385" t="s">
        <v>249</v>
      </c>
      <c r="V18" t="s">
        <v>199</v>
      </c>
      <c r="W18" t="str">
        <f>+CWD!W18</f>
        <v>ponderação do custo para o ponto de entrada i</v>
      </c>
    </row>
    <row r="19" spans="14:23" ht="18" x14ac:dyDescent="0.35">
      <c r="N19" s="51"/>
      <c r="O19" s="51"/>
      <c r="P19" s="51"/>
      <c r="Q19" s="51"/>
      <c r="R19" s="51"/>
      <c r="U19" s="385" t="s">
        <v>250</v>
      </c>
      <c r="V19" t="s">
        <v>199</v>
      </c>
      <c r="W19" t="str">
        <f>+CWD!W19</f>
        <v>preço pré-equalização decorrente da metodologia de preço de referência para o ponto de entrada i</v>
      </c>
    </row>
    <row r="20" spans="14:23" ht="18" x14ac:dyDescent="0.35">
      <c r="N20" s="51"/>
      <c r="O20" s="51"/>
      <c r="P20" s="51"/>
      <c r="Q20" s="51"/>
      <c r="R20" s="51"/>
      <c r="U20" s="385" t="s">
        <v>257</v>
      </c>
      <c r="V20" s="386" t="s">
        <v>199</v>
      </c>
      <c r="W20" t="str">
        <f>+CWD!W20</f>
        <v>capacidade prevista, medida em kWh/dia, no ponto de saída j</v>
      </c>
    </row>
    <row r="21" spans="14:23" ht="18" x14ac:dyDescent="0.35">
      <c r="N21" s="51"/>
      <c r="O21" s="51"/>
      <c r="P21" s="51"/>
      <c r="Q21" s="51"/>
      <c r="R21" s="51"/>
      <c r="U21" s="385" t="s">
        <v>260</v>
      </c>
      <c r="V21" t="s">
        <v>199</v>
      </c>
      <c r="W21" t="str">
        <f>+CWD!W21</f>
        <v>distância média ponderada, medida em km, no ponto de saída j</v>
      </c>
    </row>
    <row r="22" spans="14:23" ht="18" x14ac:dyDescent="0.35">
      <c r="N22" s="51"/>
      <c r="O22" s="51"/>
      <c r="P22" s="51"/>
      <c r="Q22" s="51"/>
      <c r="R22" s="51"/>
      <c r="U22" s="385" t="s">
        <v>261</v>
      </c>
      <c r="V22" t="s">
        <v>199</v>
      </c>
      <c r="W22" t="str">
        <f>+CWD!W22</f>
        <v>ponderação do custo para o ponto de saída j</v>
      </c>
    </row>
    <row r="23" spans="14:23" ht="15" customHeight="1" x14ac:dyDescent="0.35">
      <c r="U23" s="385" t="s">
        <v>262</v>
      </c>
      <c r="V23" t="s">
        <v>199</v>
      </c>
      <c r="W23" t="str">
        <f>+CWD!W23</f>
        <v>preço pré-equalização decorrente da metodologia de preço de referência para o ponto de saída j</v>
      </c>
    </row>
    <row r="24" spans="14:23" ht="15" hidden="1" customHeight="1" x14ac:dyDescent="0.25"/>
    <row r="25" spans="14:23" ht="15" hidden="1" customHeight="1" x14ac:dyDescent="0.25"/>
    <row r="26" spans="14:23" ht="15" hidden="1" customHeight="1" x14ac:dyDescent="0.25"/>
    <row r="27" spans="14:23" ht="15" hidden="1" customHeight="1" x14ac:dyDescent="0.25"/>
    <row r="28" spans="14:23" ht="15" hidden="1" customHeight="1" x14ac:dyDescent="0.25"/>
    <row r="29" spans="14:23" ht="15" hidden="1" customHeight="1" x14ac:dyDescent="0.25"/>
    <row r="30" spans="14:23" ht="15" hidden="1" customHeight="1" x14ac:dyDescent="0.25"/>
    <row r="31" spans="14:23" ht="15" hidden="1" customHeight="1" x14ac:dyDescent="0.25"/>
    <row r="32" spans="14:23"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T53"/>
  <sheetViews>
    <sheetView showGridLines="0" topLeftCell="A7" zoomScale="90" zoomScaleNormal="90" workbookViewId="0">
      <selection activeCell="B22" sqref="B22"/>
    </sheetView>
  </sheetViews>
  <sheetFormatPr defaultColWidth="0" defaultRowHeight="0" customHeight="1" zeroHeight="1" x14ac:dyDescent="0.25"/>
  <cols>
    <col min="1" max="1" width="9.140625" customWidth="1"/>
    <col min="2" max="2" width="20" bestFit="1" customWidth="1"/>
    <col min="3" max="3" width="15.42578125" bestFit="1" customWidth="1"/>
    <col min="4" max="4" width="2.7109375" customWidth="1"/>
    <col min="5" max="5" width="11" customWidth="1"/>
    <col min="6" max="6" width="35.140625" bestFit="1" customWidth="1"/>
    <col min="7" max="7" width="44.85546875" bestFit="1" customWidth="1"/>
    <col min="8" max="8" width="32.140625" customWidth="1"/>
    <col min="9" max="9" width="13.85546875" customWidth="1"/>
    <col min="10" max="10" width="2.7109375" customWidth="1"/>
    <col min="11" max="11" width="13.140625" bestFit="1" customWidth="1"/>
    <col min="12" max="12" width="2.7109375" customWidth="1"/>
    <col min="13" max="13" width="9.28515625" bestFit="1" customWidth="1"/>
    <col min="14" max="14" width="2.7109375" customWidth="1"/>
    <col min="15" max="15" width="22.7109375" bestFit="1" customWidth="1"/>
    <col min="16" max="16" width="13.85546875" customWidth="1"/>
    <col min="17" max="17" width="9.140625" customWidth="1"/>
    <col min="18" max="19" width="9.140625" hidden="1" customWidth="1"/>
    <col min="20" max="20" width="11.7109375" hidden="1" customWidth="1"/>
    <col min="21" max="16384" width="9.140625" hidden="1"/>
  </cols>
  <sheetData>
    <row r="1" spans="1:16" ht="15.75" thickBot="1" x14ac:dyDescent="0.3"/>
    <row r="2" spans="1:16" ht="15.75" thickBot="1" x14ac:dyDescent="0.3">
      <c r="A2" s="2" t="str">
        <f>+'Pre-scaling RPM'!A2</f>
        <v>Preços pós-equalização</v>
      </c>
      <c r="B2" s="79"/>
      <c r="C2" s="80"/>
      <c r="H2" s="177"/>
    </row>
    <row r="3" spans="1:16" ht="15.75" thickBot="1" x14ac:dyDescent="0.3">
      <c r="A3" s="81"/>
      <c r="B3" s="44" t="str">
        <f>+'Pre-scaling RPM'!B3</f>
        <v>Ponto</v>
      </c>
      <c r="C3" s="76" t="str">
        <f>+'Pre-scaling RPM'!C3</f>
        <v>€/(kWh/dia)/ano</v>
      </c>
    </row>
    <row r="4" spans="1:16" ht="15" x14ac:dyDescent="0.25">
      <c r="A4" s="37" t="str">
        <f>+'Pre-scaling RPM'!A4</f>
        <v>Entrada</v>
      </c>
      <c r="B4" s="11" t="str">
        <f>+'Pre-scaling RPM'!B4</f>
        <v>VIP [A+B]</v>
      </c>
      <c r="C4" s="43">
        <f>'RPM inputs'!$E$23*('CWD 28-72'!$R$4+'CWD 28-72'!$R$5)*'RPM inputs'!$E$22/('CWD 28-72'!$P$4+'CWD 28-72'!$P$5)</f>
        <v>0.10642176505158764</v>
      </c>
      <c r="E4" s="233"/>
    </row>
    <row r="5" spans="1:16" ht="15" x14ac:dyDescent="0.25">
      <c r="A5" s="38"/>
      <c r="B5" s="14" t="str">
        <f>+'Pre-scaling RPM'!B5</f>
        <v>Terminal GNL [C]</v>
      </c>
      <c r="C5" s="40">
        <f>+'CWD 28-72'!$S$6</f>
        <v>9.9487602673865833E-2</v>
      </c>
    </row>
    <row r="6" spans="1:16" ht="15.75" thickBot="1" x14ac:dyDescent="0.3">
      <c r="A6" s="39"/>
      <c r="B6" s="16" t="str">
        <f>+'Pre-scaling RPM'!B6</f>
        <v>Armazenamento [D]</v>
      </c>
      <c r="C6" s="41">
        <f>+'CWD 28-72'!$S$7</f>
        <v>5.3035985749997142E-2</v>
      </c>
    </row>
    <row r="7" spans="1:16" ht="15" x14ac:dyDescent="0.25">
      <c r="A7" s="37" t="str">
        <f>+'Pre-scaling RPM'!A7</f>
        <v>Saída</v>
      </c>
      <c r="B7" s="11" t="str">
        <f>+'Pre-scaling RPM'!B7</f>
        <v>VIP [A+B]</v>
      </c>
      <c r="C7" s="43">
        <f>IF(('CWD 28-72'!$C$11+'CWD 28-72'!$D$11)=0,0,(1-'RPM inputs'!$E$23)*('CWD 28-72'!$C$13+'CWD 28-72'!$D$13)*'RPM inputs'!$E$22/('CWD 28-72'!$C$11+'CWD 28-72'!$D$11))</f>
        <v>0.269510873848118</v>
      </c>
    </row>
    <row r="8" spans="1:16" ht="15" x14ac:dyDescent="0.25">
      <c r="A8" s="38"/>
      <c r="B8" s="14" t="str">
        <f>+'Pre-scaling RPM'!B8</f>
        <v>Terminal GNL [C]</v>
      </c>
      <c r="C8" s="42">
        <f>+'CWD 28-72'!$E$14</f>
        <v>0</v>
      </c>
    </row>
    <row r="9" spans="1:16" ht="15" x14ac:dyDescent="0.25">
      <c r="A9" s="38"/>
      <c r="B9" s="14" t="str">
        <f>+'Pre-scaling RPM'!B9</f>
        <v>Armazenamento [D]</v>
      </c>
      <c r="C9" s="42">
        <f>+'CWD 28-72'!$F$14</f>
        <v>0.15546458334082697</v>
      </c>
    </row>
    <row r="10" spans="1:16" ht="15.75" thickBot="1" x14ac:dyDescent="0.3">
      <c r="A10" s="39"/>
      <c r="B10" s="16" t="str">
        <f>+'Pre-scaling RPM'!B10</f>
        <v>Consumo [E - K]</v>
      </c>
      <c r="C10" s="41">
        <f>(1-'RPM inputs'!$E$23)*SUM('CWD 28-72'!$G$13:$M$13)*'RPM inputs'!$E$22/SUM('CWD 28-72'!$G$11:$M$11)</f>
        <v>0.18790715965109264</v>
      </c>
    </row>
    <row r="11" spans="1:16" ht="15.75" thickBot="1" x14ac:dyDescent="0.3"/>
    <row r="12" spans="1:16" ht="15.75" thickBot="1" x14ac:dyDescent="0.3">
      <c r="H12" s="25" t="str">
        <f>+'Pre-scaling RPM'!H12</f>
        <v>Preços pós-equalização</v>
      </c>
      <c r="I12" s="24" t="s">
        <v>6</v>
      </c>
      <c r="K12" s="25" t="str">
        <f>+'Pre-scaling RPM'!K12</f>
        <v>Multiplicador</v>
      </c>
      <c r="M12" s="25" t="str">
        <f>+'Pre-scaling RPM'!M12</f>
        <v>Desconto</v>
      </c>
      <c r="O12" s="25" t="str">
        <f>+'Pre-scaling RPM'!O12</f>
        <v>Preços pré-escalamento</v>
      </c>
      <c r="P12" s="24" t="s">
        <v>6</v>
      </c>
    </row>
    <row r="13" spans="1:16" ht="15.75" thickBot="1" x14ac:dyDescent="0.3">
      <c r="F13" s="8" t="e">
        <f>+'Pre-scaling RPM'!F13</f>
        <v>#REF!</v>
      </c>
      <c r="G13" s="8" t="e">
        <f>+'Pre-scaling RPM'!G13</f>
        <v>#REF!</v>
      </c>
      <c r="H13" s="8" t="e">
        <f>+'Pre-scaling RPM'!H13</f>
        <v>#REF!</v>
      </c>
      <c r="I13" s="45"/>
      <c r="K13" s="50"/>
      <c r="M13" s="50"/>
      <c r="O13" s="8" t="e">
        <f>+'Pre-scaling RPM'!O13</f>
        <v>#REF!</v>
      </c>
      <c r="P13" s="45"/>
    </row>
    <row r="14" spans="1:16" ht="15" x14ac:dyDescent="0.25">
      <c r="E14" s="5" t="str">
        <f>+'Pre-scaling RPM'!E14</f>
        <v>Entry</v>
      </c>
      <c r="F14" s="21" t="str">
        <f>+'Pre-scaling RPM'!F14</f>
        <v>Interconnection points (VIP)</v>
      </c>
      <c r="G14" s="12" t="str">
        <f>+'Pre-scaling RPM'!G14</f>
        <v>Yearly</v>
      </c>
      <c r="H14" s="46" t="str">
        <f>+'Pre-scaling RPM'!H14</f>
        <v>€/(kWh/dia)/ano</v>
      </c>
      <c r="I14" s="43">
        <f>$C$4</f>
        <v>0.10642176505158764</v>
      </c>
      <c r="K14" s="60">
        <f>+Data_b!D18</f>
        <v>1</v>
      </c>
      <c r="M14" s="178">
        <f>+Data_b!$D$13</f>
        <v>0</v>
      </c>
      <c r="O14" s="46" t="str">
        <f>+'Pre-scaling RPM'!O14</f>
        <v>€/(kWh/dia)/ano</v>
      </c>
      <c r="P14" s="43">
        <f>+I14*K14*(1-M14)</f>
        <v>0.10642176505158764</v>
      </c>
    </row>
    <row r="15" spans="1:16" ht="15" x14ac:dyDescent="0.25">
      <c r="E15" s="6"/>
      <c r="F15" s="22"/>
      <c r="G15" s="10" t="str">
        <f>+'Pre-scaling RPM'!G15</f>
        <v>Quarterly</v>
      </c>
      <c r="H15" s="14" t="str">
        <f>+'Pre-scaling RPM'!H15</f>
        <v>€/(kWh/dia)/ano</v>
      </c>
      <c r="I15" s="40">
        <f>$C$4</f>
        <v>0.10642176505158764</v>
      </c>
      <c r="K15" s="61">
        <f>+Data_b!D19</f>
        <v>1.3</v>
      </c>
      <c r="M15" s="228">
        <f>+Data_b!$D$13</f>
        <v>0</v>
      </c>
      <c r="O15" s="14" t="str">
        <f>+'Pre-scaling RPM'!O15</f>
        <v>€/(kWh/dia)/ano</v>
      </c>
      <c r="P15" s="40">
        <f t="shared" ref="P15:P44" si="0">+I15*K15*(1-M15)</f>
        <v>0.13834829456706393</v>
      </c>
    </row>
    <row r="16" spans="1:16" ht="15" x14ac:dyDescent="0.25">
      <c r="E16" s="6"/>
      <c r="F16" s="22"/>
      <c r="G16" s="10" t="str">
        <f>+'Pre-scaling RPM'!G16</f>
        <v>Monthly</v>
      </c>
      <c r="H16" s="14" t="str">
        <f>+'Pre-scaling RPM'!H16</f>
        <v>€/(kWh/dia)/ano</v>
      </c>
      <c r="I16" s="40">
        <f>$C$4</f>
        <v>0.10642176505158764</v>
      </c>
      <c r="K16" s="61">
        <f>+Data_b!D20</f>
        <v>1.5</v>
      </c>
      <c r="M16" s="228">
        <f>+Data_b!$D$13</f>
        <v>0</v>
      </c>
      <c r="O16" s="14" t="str">
        <f>+'Pre-scaling RPM'!O16</f>
        <v>€/(kWh/dia)/ano</v>
      </c>
      <c r="P16" s="40">
        <f t="shared" si="0"/>
        <v>0.15963264757738146</v>
      </c>
    </row>
    <row r="17" spans="5:16" ht="15" x14ac:dyDescent="0.25">
      <c r="E17" s="6"/>
      <c r="F17" s="22"/>
      <c r="G17" s="10" t="str">
        <f>+'Pre-scaling RPM'!G17</f>
        <v>Daily</v>
      </c>
      <c r="H17" s="14" t="str">
        <f>+'Pre-scaling RPM'!H17</f>
        <v>€/(kWh/dia)/ano</v>
      </c>
      <c r="I17" s="40">
        <f>$C$4</f>
        <v>0.10642176505158764</v>
      </c>
      <c r="K17" s="61">
        <f>+Data_b!D21</f>
        <v>2</v>
      </c>
      <c r="M17" s="228">
        <f>+Data_b!$D$13</f>
        <v>0</v>
      </c>
      <c r="O17" s="14" t="str">
        <f>+'Pre-scaling RPM'!O17</f>
        <v>€/(kWh/dia)/ano</v>
      </c>
      <c r="P17" s="40">
        <f t="shared" si="0"/>
        <v>0.21284353010317528</v>
      </c>
    </row>
    <row r="18" spans="5:16" ht="15.75" thickBot="1" x14ac:dyDescent="0.3">
      <c r="E18" s="6"/>
      <c r="F18" s="23"/>
      <c r="G18" s="17" t="str">
        <f>+'Pre-scaling RPM'!G18</f>
        <v>Intraday</v>
      </c>
      <c r="H18" s="16" t="str">
        <f>+'Pre-scaling RPM'!H18</f>
        <v>€/(kWh/h)/ano</v>
      </c>
      <c r="I18" s="41">
        <f>$C$4*24</f>
        <v>2.5541223612381034</v>
      </c>
      <c r="K18" s="62">
        <f>+Data_b!D22</f>
        <v>2.2000000000000002</v>
      </c>
      <c r="M18" s="179">
        <f>+Data_b!$D$13</f>
        <v>0</v>
      </c>
      <c r="O18" s="16" t="str">
        <f>+'Pre-scaling RPM'!O18</f>
        <v>€/(kWh/h)/ano</v>
      </c>
      <c r="P18" s="41">
        <f t="shared" si="0"/>
        <v>5.6190691947238278</v>
      </c>
    </row>
    <row r="19" spans="5:16" ht="15" x14ac:dyDescent="0.25">
      <c r="E19" s="6"/>
      <c r="F19" s="21" t="str">
        <f>+'Pre-scaling RPM'!F19</f>
        <v>LNG terminal</v>
      </c>
      <c r="G19" s="12" t="str">
        <f>+'Pre-scaling RPM'!G19</f>
        <v>Yearly</v>
      </c>
      <c r="H19" s="46" t="str">
        <f>+'Pre-scaling RPM'!H19</f>
        <v>€/(kWh/dia)/ano</v>
      </c>
      <c r="I19" s="43">
        <f>$C$5</f>
        <v>9.9487602673865833E-2</v>
      </c>
      <c r="K19" s="60">
        <f>+Data_b!D23</f>
        <v>1</v>
      </c>
      <c r="M19" s="178">
        <f>+Data_b!$D$13</f>
        <v>0</v>
      </c>
      <c r="O19" s="46" t="str">
        <f>+'Pre-scaling RPM'!O19</f>
        <v>€/(kWh/dia)/ano</v>
      </c>
      <c r="P19" s="43">
        <f t="shared" si="0"/>
        <v>9.9487602673865833E-2</v>
      </c>
    </row>
    <row r="20" spans="5:16" ht="15" x14ac:dyDescent="0.25">
      <c r="E20" s="6"/>
      <c r="F20" s="22"/>
      <c r="G20" s="10" t="str">
        <f>+'Pre-scaling RPM'!G20</f>
        <v>Quarterly</v>
      </c>
      <c r="H20" s="14" t="str">
        <f>+'Pre-scaling RPM'!H20</f>
        <v>€/(kWh/dia)/ano</v>
      </c>
      <c r="I20" s="40">
        <f>$C$5</f>
        <v>9.9487602673865833E-2</v>
      </c>
      <c r="K20" s="61">
        <f>+Data_b!D24</f>
        <v>1.3</v>
      </c>
      <c r="M20" s="228">
        <f>+Data_b!$D$13</f>
        <v>0</v>
      </c>
      <c r="O20" s="14" t="str">
        <f>+'Pre-scaling RPM'!O20</f>
        <v>€/(kWh/dia)/ano</v>
      </c>
      <c r="P20" s="40">
        <f t="shared" si="0"/>
        <v>0.12933388347602559</v>
      </c>
    </row>
    <row r="21" spans="5:16" ht="15" x14ac:dyDescent="0.25">
      <c r="E21" s="6"/>
      <c r="F21" s="22"/>
      <c r="G21" s="10" t="str">
        <f>+'Pre-scaling RPM'!G21</f>
        <v>Monthly</v>
      </c>
      <c r="H21" s="14" t="str">
        <f>+'Pre-scaling RPM'!H21</f>
        <v>€/(kWh/dia)/ano</v>
      </c>
      <c r="I21" s="40">
        <f>$C$5</f>
        <v>9.9487602673865833E-2</v>
      </c>
      <c r="K21" s="61">
        <f>+Data_b!D25</f>
        <v>1.5</v>
      </c>
      <c r="M21" s="228">
        <f>+Data_b!$D$13</f>
        <v>0</v>
      </c>
      <c r="O21" s="14" t="str">
        <f>+'Pre-scaling RPM'!O21</f>
        <v>€/(kWh/dia)/ano</v>
      </c>
      <c r="P21" s="40">
        <f t="shared" si="0"/>
        <v>0.14923140401079876</v>
      </c>
    </row>
    <row r="22" spans="5:16" ht="15" x14ac:dyDescent="0.25">
      <c r="E22" s="6"/>
      <c r="F22" s="22"/>
      <c r="G22" s="10" t="str">
        <f>+'Pre-scaling RPM'!G22</f>
        <v>Daily</v>
      </c>
      <c r="H22" s="14" t="str">
        <f>+'Pre-scaling RPM'!H22</f>
        <v>€/(kWh/dia)/ano</v>
      </c>
      <c r="I22" s="40">
        <f>$C$5</f>
        <v>9.9487602673865833E-2</v>
      </c>
      <c r="K22" s="61">
        <f>+Data_b!D26</f>
        <v>2</v>
      </c>
      <c r="M22" s="228">
        <f>+Data_b!$D$13</f>
        <v>0</v>
      </c>
      <c r="O22" s="14" t="str">
        <f>+'Pre-scaling RPM'!O22</f>
        <v>€/(kWh/dia)/ano</v>
      </c>
      <c r="P22" s="40">
        <f t="shared" si="0"/>
        <v>0.19897520534773167</v>
      </c>
    </row>
    <row r="23" spans="5:16" ht="15.75" thickBot="1" x14ac:dyDescent="0.3">
      <c r="E23" s="6"/>
      <c r="F23" s="23"/>
      <c r="G23" s="17" t="str">
        <f>+'Pre-scaling RPM'!G23</f>
        <v>Intraday</v>
      </c>
      <c r="H23" s="16" t="str">
        <f>+'Pre-scaling RPM'!H23</f>
        <v>€/(kWh/h)/ano</v>
      </c>
      <c r="I23" s="41">
        <f>$C$5*24</f>
        <v>2.3877024641727802</v>
      </c>
      <c r="K23" s="62">
        <f>+Data_b!D27</f>
        <v>2.2000000000000002</v>
      </c>
      <c r="M23" s="179">
        <f>+Data_b!$D$13</f>
        <v>0</v>
      </c>
      <c r="O23" s="16" t="str">
        <f>+'Pre-scaling RPM'!O23</f>
        <v>€/(kWh/h)/ano</v>
      </c>
      <c r="P23" s="41">
        <f t="shared" si="0"/>
        <v>5.252945421180117</v>
      </c>
    </row>
    <row r="24" spans="5:16" ht="15" x14ac:dyDescent="0.25">
      <c r="E24" s="6"/>
      <c r="F24" s="21" t="str">
        <f>+'Pre-scaling RPM'!F24</f>
        <v>Underground Storage</v>
      </c>
      <c r="G24" s="12" t="str">
        <f>+'Pre-scaling RPM'!G24</f>
        <v>Daily</v>
      </c>
      <c r="H24" s="46" t="str">
        <f>+'Pre-scaling RPM'!H24</f>
        <v>€/(kWh/dia)/ano</v>
      </c>
      <c r="I24" s="43">
        <f>$C$6</f>
        <v>5.3035985749997142E-2</v>
      </c>
      <c r="K24" s="60">
        <f>+Data_b!D28</f>
        <v>1</v>
      </c>
      <c r="M24" s="178">
        <f>+Data_b!$D$11</f>
        <v>1</v>
      </c>
      <c r="O24" s="46" t="str">
        <f>+'Pre-scaling RPM'!O24</f>
        <v>€/(kWh/dia)/ano</v>
      </c>
      <c r="P24" s="43">
        <f t="shared" si="0"/>
        <v>0</v>
      </c>
    </row>
    <row r="25" spans="5:16" ht="15.75" thickBot="1" x14ac:dyDescent="0.3">
      <c r="E25" s="7"/>
      <c r="F25" s="23"/>
      <c r="G25" s="17" t="str">
        <f>+'Pre-scaling RPM'!G25</f>
        <v>Intraday</v>
      </c>
      <c r="H25" s="16" t="str">
        <f>+'Pre-scaling RPM'!H25</f>
        <v>€/(kWh/h)/ano</v>
      </c>
      <c r="I25" s="41">
        <f>$C$6*24</f>
        <v>1.2728636579999315</v>
      </c>
      <c r="K25" s="62">
        <f>+Data_b!D29</f>
        <v>1.1000000000000001</v>
      </c>
      <c r="M25" s="179">
        <f>+Data_b!$D$11</f>
        <v>1</v>
      </c>
      <c r="O25" s="16" t="str">
        <f>+'Pre-scaling RPM'!O25</f>
        <v>€/(kWh/h)/ano</v>
      </c>
      <c r="P25" s="41">
        <f t="shared" si="0"/>
        <v>0</v>
      </c>
    </row>
    <row r="26" spans="5:16" ht="15" x14ac:dyDescent="0.25">
      <c r="E26" s="5" t="str">
        <f>+'Pre-scaling RPM'!E26</f>
        <v>Exit</v>
      </c>
      <c r="F26" s="21" t="str">
        <f>+'Pre-scaling RPM'!F26</f>
        <v>Interconnection points (VIP)</v>
      </c>
      <c r="G26" s="12" t="str">
        <f>+'Pre-scaling RPM'!G26</f>
        <v>Yearly</v>
      </c>
      <c r="H26" s="46" t="str">
        <f>+'Pre-scaling RPM'!H26</f>
        <v>€/(kWh/dia)/ano</v>
      </c>
      <c r="I26" s="43">
        <f>$C$7</f>
        <v>0.269510873848118</v>
      </c>
      <c r="K26" s="60">
        <f>+Data_b!D30</f>
        <v>1</v>
      </c>
      <c r="M26" s="178">
        <f>+Data_b!$D$13</f>
        <v>0</v>
      </c>
      <c r="O26" s="46" t="str">
        <f>+'Pre-scaling RPM'!O26</f>
        <v>€/(kWh/dia)/ano</v>
      </c>
      <c r="P26" s="43">
        <f t="shared" si="0"/>
        <v>0.269510873848118</v>
      </c>
    </row>
    <row r="27" spans="5:16" ht="15" x14ac:dyDescent="0.25">
      <c r="E27" s="3"/>
      <c r="F27" s="22"/>
      <c r="G27" s="10" t="str">
        <f>+'Pre-scaling RPM'!G27</f>
        <v>Quarterly</v>
      </c>
      <c r="H27" s="14" t="str">
        <f>+'Pre-scaling RPM'!H27</f>
        <v>€/(kWh/dia)/ano</v>
      </c>
      <c r="I27" s="40">
        <f>$C$7</f>
        <v>0.269510873848118</v>
      </c>
      <c r="K27" s="61">
        <f>+Data_b!D31</f>
        <v>1.3</v>
      </c>
      <c r="M27" s="228">
        <f>+Data_b!$D$13</f>
        <v>0</v>
      </c>
      <c r="O27" s="14" t="str">
        <f>+'Pre-scaling RPM'!O27</f>
        <v>€/(kWh/dia)/ano</v>
      </c>
      <c r="P27" s="40">
        <f t="shared" si="0"/>
        <v>0.35036413600255339</v>
      </c>
    </row>
    <row r="28" spans="5:16" ht="15" x14ac:dyDescent="0.25">
      <c r="E28" s="3"/>
      <c r="F28" s="22"/>
      <c r="G28" s="10" t="str">
        <f>+'Pre-scaling RPM'!G28</f>
        <v>Monthly</v>
      </c>
      <c r="H28" s="14" t="str">
        <f>+'Pre-scaling RPM'!H28</f>
        <v>€/(kWh/dia)/ano</v>
      </c>
      <c r="I28" s="40">
        <f>$C$7</f>
        <v>0.269510873848118</v>
      </c>
      <c r="K28" s="61">
        <f>+Data_b!D32</f>
        <v>1.5</v>
      </c>
      <c r="M28" s="228">
        <f>+Data_b!$D$13</f>
        <v>0</v>
      </c>
      <c r="O28" s="14" t="str">
        <f>+'Pre-scaling RPM'!O28</f>
        <v>€/(kWh/dia)/ano</v>
      </c>
      <c r="P28" s="40">
        <f t="shared" si="0"/>
        <v>0.40426631077217701</v>
      </c>
    </row>
    <row r="29" spans="5:16" ht="15" x14ac:dyDescent="0.25">
      <c r="E29" s="3"/>
      <c r="F29" s="22"/>
      <c r="G29" s="10" t="str">
        <f>+'Pre-scaling RPM'!G29</f>
        <v>Daily</v>
      </c>
      <c r="H29" s="14" t="str">
        <f>+'Pre-scaling RPM'!H29</f>
        <v>€/(kWh/dia)/ano</v>
      </c>
      <c r="I29" s="40">
        <f>$C$7</f>
        <v>0.269510873848118</v>
      </c>
      <c r="K29" s="61">
        <f>+Data_b!D33</f>
        <v>2</v>
      </c>
      <c r="M29" s="228">
        <f>+Data_b!$D$13</f>
        <v>0</v>
      </c>
      <c r="O29" s="14" t="str">
        <f>+'Pre-scaling RPM'!O29</f>
        <v>€/(kWh/dia)/ano</v>
      </c>
      <c r="P29" s="40">
        <f t="shared" si="0"/>
        <v>0.53902174769623601</v>
      </c>
    </row>
    <row r="30" spans="5:16" ht="15.75" thickBot="1" x14ac:dyDescent="0.3">
      <c r="E30" s="3"/>
      <c r="F30" s="23"/>
      <c r="G30" s="17" t="str">
        <f>+'Pre-scaling RPM'!G30</f>
        <v>Intraday</v>
      </c>
      <c r="H30" s="16" t="str">
        <f>+'Pre-scaling RPM'!H30</f>
        <v>€/(kWh/h)/ano</v>
      </c>
      <c r="I30" s="41">
        <f>$C$7*24</f>
        <v>6.4682609723548321</v>
      </c>
      <c r="K30" s="62">
        <f>+Data_b!D34</f>
        <v>2.2000000000000002</v>
      </c>
      <c r="M30" s="179">
        <f>+Data_b!$D$13</f>
        <v>0</v>
      </c>
      <c r="O30" s="16" t="str">
        <f>+'Pre-scaling RPM'!O30</f>
        <v>€/(kWh/h)/ano</v>
      </c>
      <c r="P30" s="41">
        <f t="shared" si="0"/>
        <v>14.230174139180631</v>
      </c>
    </row>
    <row r="31" spans="5:16" ht="15" x14ac:dyDescent="0.25">
      <c r="E31" s="3"/>
      <c r="F31" s="21" t="str">
        <f>+'Pre-scaling RPM'!F31</f>
        <v>LNG terminal</v>
      </c>
      <c r="G31" s="12" t="str">
        <f>+'Pre-scaling RPM'!G31</f>
        <v>Yearly</v>
      </c>
      <c r="H31" s="46" t="str">
        <f>+'Pre-scaling RPM'!H31</f>
        <v>€/(kWh/dia)/ano</v>
      </c>
      <c r="I31" s="43">
        <f>$C$8</f>
        <v>0</v>
      </c>
      <c r="K31" s="60">
        <f>+Data_b!D35</f>
        <v>1</v>
      </c>
      <c r="M31" s="178">
        <f>+Data_b!$D$13</f>
        <v>0</v>
      </c>
      <c r="O31" s="46" t="str">
        <f>+'Pre-scaling RPM'!O31</f>
        <v>€/(kWh/dia)/ano</v>
      </c>
      <c r="P31" s="43">
        <f t="shared" si="0"/>
        <v>0</v>
      </c>
    </row>
    <row r="32" spans="5:16" ht="15" x14ac:dyDescent="0.25">
      <c r="E32" s="3"/>
      <c r="F32" s="22"/>
      <c r="G32" s="10" t="str">
        <f>+'Pre-scaling RPM'!G32</f>
        <v>Quarterly</v>
      </c>
      <c r="H32" s="14" t="str">
        <f>+'Pre-scaling RPM'!H32</f>
        <v>€/(kWh/dia)/ano</v>
      </c>
      <c r="I32" s="40">
        <f>$C$8</f>
        <v>0</v>
      </c>
      <c r="K32" s="61">
        <f>+Data_b!D36</f>
        <v>1.3</v>
      </c>
      <c r="M32" s="228">
        <f>+Data_b!$D$13</f>
        <v>0</v>
      </c>
      <c r="O32" s="14" t="str">
        <f>+'Pre-scaling RPM'!O32</f>
        <v>€/(kWh/dia)/ano</v>
      </c>
      <c r="P32" s="40">
        <f t="shared" si="0"/>
        <v>0</v>
      </c>
    </row>
    <row r="33" spans="5:16" ht="15" x14ac:dyDescent="0.25">
      <c r="E33" s="3"/>
      <c r="F33" s="22"/>
      <c r="G33" s="10" t="str">
        <f>+'Pre-scaling RPM'!G33</f>
        <v>Monthly</v>
      </c>
      <c r="H33" s="14" t="str">
        <f>+'Pre-scaling RPM'!H33</f>
        <v>€/(kWh/dia)/ano</v>
      </c>
      <c r="I33" s="40">
        <f>$C$8</f>
        <v>0</v>
      </c>
      <c r="K33" s="61">
        <f>+Data_b!D37</f>
        <v>1.5</v>
      </c>
      <c r="M33" s="228">
        <f>+Data_b!$D$13</f>
        <v>0</v>
      </c>
      <c r="O33" s="14" t="str">
        <f>+'Pre-scaling RPM'!O33</f>
        <v>€/(kWh/dia)/ano</v>
      </c>
      <c r="P33" s="40">
        <f t="shared" si="0"/>
        <v>0</v>
      </c>
    </row>
    <row r="34" spans="5:16" ht="15" x14ac:dyDescent="0.25">
      <c r="E34" s="3"/>
      <c r="F34" s="22"/>
      <c r="G34" s="10" t="str">
        <f>+'Pre-scaling RPM'!G34</f>
        <v>Daily</v>
      </c>
      <c r="H34" s="14" t="str">
        <f>+'Pre-scaling RPM'!H34</f>
        <v>€/(kWh/dia)/ano</v>
      </c>
      <c r="I34" s="40">
        <f>$C$8</f>
        <v>0</v>
      </c>
      <c r="K34" s="61">
        <f>+Data_b!D38</f>
        <v>2</v>
      </c>
      <c r="M34" s="228">
        <f>+Data_b!$D$13</f>
        <v>0</v>
      </c>
      <c r="O34" s="14" t="str">
        <f>+'Pre-scaling RPM'!O34</f>
        <v>€/(kWh/dia)/ano</v>
      </c>
      <c r="P34" s="40">
        <f t="shared" si="0"/>
        <v>0</v>
      </c>
    </row>
    <row r="35" spans="5:16" ht="15.75" thickBot="1" x14ac:dyDescent="0.3">
      <c r="E35" s="3"/>
      <c r="F35" s="23"/>
      <c r="G35" s="17" t="str">
        <f>+'Pre-scaling RPM'!G35</f>
        <v>Intraday</v>
      </c>
      <c r="H35" s="16" t="str">
        <f>+'Pre-scaling RPM'!H35</f>
        <v>€/(kWh/h)/ano</v>
      </c>
      <c r="I35" s="41">
        <f>$C$8*24</f>
        <v>0</v>
      </c>
      <c r="K35" s="62">
        <f>+Data_b!D39</f>
        <v>2.2000000000000002</v>
      </c>
      <c r="M35" s="179">
        <f>+Data_b!$D$13</f>
        <v>0</v>
      </c>
      <c r="O35" s="16" t="str">
        <f>+'Pre-scaling RPM'!O35</f>
        <v>€/(kWh/h)/ano</v>
      </c>
      <c r="P35" s="41">
        <f t="shared" si="0"/>
        <v>0</v>
      </c>
    </row>
    <row r="36" spans="5:16" ht="15" x14ac:dyDescent="0.25">
      <c r="E36" s="3"/>
      <c r="F36" s="21" t="str">
        <f>+'Pre-scaling RPM'!F36</f>
        <v>Underground Storage</v>
      </c>
      <c r="G36" s="12" t="str">
        <f>+'Pre-scaling RPM'!G36</f>
        <v>Daily</v>
      </c>
      <c r="H36" s="46" t="str">
        <f>+'Pre-scaling RPM'!H36</f>
        <v>€/(kWh/dia)/ano</v>
      </c>
      <c r="I36" s="43">
        <f>$C$9</f>
        <v>0.15546458334082697</v>
      </c>
      <c r="K36" s="60">
        <f>+Data_b!D40</f>
        <v>1</v>
      </c>
      <c r="M36" s="178">
        <f>+Data_b!$D$12</f>
        <v>1</v>
      </c>
      <c r="O36" s="46" t="str">
        <f>+'Pre-scaling RPM'!O36</f>
        <v>€/(kWh/dia)/ano</v>
      </c>
      <c r="P36" s="43">
        <f t="shared" si="0"/>
        <v>0</v>
      </c>
    </row>
    <row r="37" spans="5:16" ht="15.75" thickBot="1" x14ac:dyDescent="0.3">
      <c r="E37" s="3"/>
      <c r="F37" s="23"/>
      <c r="G37" s="17" t="str">
        <f>+'Pre-scaling RPM'!G37</f>
        <v>Intraday</v>
      </c>
      <c r="H37" s="16" t="str">
        <f>+'Pre-scaling RPM'!H37</f>
        <v>€/(kWh/h)/ano</v>
      </c>
      <c r="I37" s="41">
        <f>$C$9*24</f>
        <v>3.7311500001798472</v>
      </c>
      <c r="K37" s="62">
        <f>+Data_b!D41</f>
        <v>1.1000000000000001</v>
      </c>
      <c r="M37" s="179">
        <f>+Data_b!$D$12</f>
        <v>1</v>
      </c>
      <c r="O37" s="16" t="str">
        <f>+'Pre-scaling RPM'!O37</f>
        <v>€/(kWh/h)/ano</v>
      </c>
      <c r="P37" s="41">
        <f t="shared" si="0"/>
        <v>0</v>
      </c>
    </row>
    <row r="38" spans="5:16" ht="15.75" thickBot="1" x14ac:dyDescent="0.3">
      <c r="E38" s="3"/>
      <c r="F38" s="19" t="str">
        <f>+'Pre-scaling RPM'!F38</f>
        <v>Distribution networks and HP Customers</v>
      </c>
      <c r="G38" s="20" t="str">
        <f>+'Pre-scaling RPM'!G38</f>
        <v>Long Uses</v>
      </c>
      <c r="H38" s="19" t="str">
        <f>+'Pre-scaling RPM'!H38</f>
        <v>€/(kWh/dia)/ano</v>
      </c>
      <c r="I38" s="59">
        <f t="shared" ref="I38:I44" si="1">$C$10</f>
        <v>0.18790715965109264</v>
      </c>
      <c r="K38" s="63">
        <f>+Data_b!D42</f>
        <v>1</v>
      </c>
      <c r="M38" s="229">
        <f>+Data_b!$D$13</f>
        <v>0</v>
      </c>
      <c r="O38" s="19" t="str">
        <f>+'Pre-scaling RPM'!O38</f>
        <v>€/(kWh/dia)/ano</v>
      </c>
      <c r="P38" s="59">
        <f t="shared" si="0"/>
        <v>0.18790715965109264</v>
      </c>
    </row>
    <row r="39" spans="5:16" ht="15" x14ac:dyDescent="0.25">
      <c r="E39" s="3"/>
      <c r="F39" s="21" t="str">
        <f>+'Pre-scaling RPM'!F39</f>
        <v>HP Customers</v>
      </c>
      <c r="G39" s="12" t="str">
        <f>+'Pre-scaling RPM'!G39</f>
        <v>Annual Flexible Rate - Annual Base Capacity</v>
      </c>
      <c r="H39" s="11" t="str">
        <f>+'Pre-scaling RPM'!H39</f>
        <v>€/(kWh/dia)/ano</v>
      </c>
      <c r="I39" s="43">
        <f t="shared" si="1"/>
        <v>0.18790715965109264</v>
      </c>
      <c r="K39" s="390">
        <f>+Data_b!D43</f>
        <v>1</v>
      </c>
      <c r="M39" s="393">
        <f>+Data_b!$D$13</f>
        <v>0</v>
      </c>
      <c r="O39" s="12" t="str">
        <f>+'Pre-scaling RPM'!O39</f>
        <v>€/(kWh/dia)/ano</v>
      </c>
      <c r="P39" s="43">
        <f t="shared" si="0"/>
        <v>0.18790715965109264</v>
      </c>
    </row>
    <row r="40" spans="5:16" ht="15" x14ac:dyDescent="0.25">
      <c r="E40" s="3"/>
      <c r="F40" s="22"/>
      <c r="G40" s="10" t="str">
        <f>+'Pre-scaling RPM'!G40</f>
        <v>Annual Flexible Rate - Additional Monthly Capacity (April to September)</v>
      </c>
      <c r="H40" s="14" t="str">
        <f>+'Pre-scaling RPM'!H40</f>
        <v>€/(kWh/dia)/ano</v>
      </c>
      <c r="I40" s="40">
        <f t="shared" si="1"/>
        <v>0.18790715965109264</v>
      </c>
      <c r="K40" s="391">
        <f>+Data_b!D44</f>
        <v>1.5</v>
      </c>
      <c r="M40" s="394">
        <f>+Data_b!$D$13</f>
        <v>0</v>
      </c>
      <c r="O40" s="10" t="str">
        <f>+'Pre-scaling RPM'!O40</f>
        <v>€/(kWh/dia)/ano</v>
      </c>
      <c r="P40" s="40">
        <f t="shared" si="0"/>
        <v>0.28186073947663898</v>
      </c>
    </row>
    <row r="41" spans="5:16" ht="15" x14ac:dyDescent="0.25">
      <c r="E41" s="3"/>
      <c r="F41" s="22"/>
      <c r="G41" s="10" t="str">
        <f>+'Pre-scaling RPM'!G41</f>
        <v>Flexible Monthly Rate - Monthly Capacity (October to March)</v>
      </c>
      <c r="H41" s="14" t="str">
        <f>+'Pre-scaling RPM'!H41</f>
        <v>€/(kWh/dia)/ano</v>
      </c>
      <c r="I41" s="40">
        <f t="shared" si="1"/>
        <v>0.18790715965109264</v>
      </c>
      <c r="K41" s="391">
        <f>+Data_b!D45</f>
        <v>3</v>
      </c>
      <c r="M41" s="394">
        <f>+Data_b!$D$13</f>
        <v>0</v>
      </c>
      <c r="O41" s="10" t="str">
        <f>+'Pre-scaling RPM'!O41</f>
        <v>€/(kWh/dia)/ano</v>
      </c>
      <c r="P41" s="40">
        <f t="shared" si="0"/>
        <v>0.56372147895327795</v>
      </c>
    </row>
    <row r="42" spans="5:16" ht="15" x14ac:dyDescent="0.25">
      <c r="E42" s="3"/>
      <c r="F42" s="22"/>
      <c r="G42" s="10" t="str">
        <f>+'Pre-scaling RPM'!G42</f>
        <v>Flexible Monthly Rate - Monthly Capacity (April to September)</v>
      </c>
      <c r="H42" s="14" t="str">
        <f>+'Pre-scaling RPM'!H42</f>
        <v>€/(kWh/dia)/ano</v>
      </c>
      <c r="I42" s="40">
        <f t="shared" si="1"/>
        <v>0.18790715965109264</v>
      </c>
      <c r="K42" s="391">
        <f>+Data_b!D46</f>
        <v>1.5</v>
      </c>
      <c r="M42" s="394">
        <f>+Data_b!$D$13</f>
        <v>0</v>
      </c>
      <c r="O42" s="10" t="str">
        <f>+'Pre-scaling RPM'!O42</f>
        <v>€/(kWh/dia)/ano</v>
      </c>
      <c r="P42" s="40">
        <f t="shared" si="0"/>
        <v>0.28186073947663898</v>
      </c>
    </row>
    <row r="43" spans="5:16" ht="15" x14ac:dyDescent="0.25">
      <c r="E43" s="3"/>
      <c r="F43" s="22"/>
      <c r="G43" s="10" t="str">
        <f>+'Pre-scaling RPM'!G43</f>
        <v>Daily Flexible Rate - Daily Capacity (October to March)</v>
      </c>
      <c r="H43" s="14" t="str">
        <f>+'Pre-scaling RPM'!H43</f>
        <v>€/(kWh/dia)/ano</v>
      </c>
      <c r="I43" s="40">
        <f t="shared" si="1"/>
        <v>0.18790715965109264</v>
      </c>
      <c r="K43" s="391">
        <f>+Data_b!D47</f>
        <v>10</v>
      </c>
      <c r="M43" s="394">
        <f>+Data_b!$D$13</f>
        <v>0</v>
      </c>
      <c r="O43" s="10" t="str">
        <f>+'Pre-scaling RPM'!O43</f>
        <v>€/(kWh/dia)/ano</v>
      </c>
      <c r="P43" s="40">
        <f t="shared" si="0"/>
        <v>1.8790715965109264</v>
      </c>
    </row>
    <row r="44" spans="5:16" ht="15.75" thickBot="1" x14ac:dyDescent="0.3">
      <c r="E44" s="4"/>
      <c r="F44" s="23"/>
      <c r="G44" s="17" t="str">
        <f>+'Pre-scaling RPM'!G44</f>
        <v>Daily Flexible Rate - Daily Capacity (April to September)</v>
      </c>
      <c r="H44" s="16" t="str">
        <f>+'Pre-scaling RPM'!H44</f>
        <v>€/(kWh/dia)/ano</v>
      </c>
      <c r="I44" s="41">
        <f t="shared" si="1"/>
        <v>0.18790715965109264</v>
      </c>
      <c r="K44" s="392">
        <f>+Data_b!D48</f>
        <v>6</v>
      </c>
      <c r="M44" s="395">
        <f>+Data_b!$D$13</f>
        <v>0</v>
      </c>
      <c r="O44" s="17" t="str">
        <f>+'Pre-scaling RPM'!O44</f>
        <v>€/(kWh/dia)/ano</v>
      </c>
      <c r="P44" s="41">
        <f t="shared" si="0"/>
        <v>1.1274429579065559</v>
      </c>
    </row>
    <row r="45" spans="5:16" ht="15" x14ac:dyDescent="0.25"/>
    <row r="46" spans="5:16" ht="15" hidden="1" x14ac:dyDescent="0.25"/>
    <row r="47" spans="5:16" ht="15" hidden="1" x14ac:dyDescent="0.25"/>
    <row r="48" spans="5:16"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sheetData>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B1:U44"/>
  <sheetViews>
    <sheetView showGridLines="0" topLeftCell="D1" zoomScale="80" zoomScaleNormal="80" workbookViewId="0">
      <selection activeCell="B22" sqref="B22"/>
    </sheetView>
  </sheetViews>
  <sheetFormatPr defaultColWidth="9.140625" defaultRowHeight="0" customHeight="1" zeroHeight="1" x14ac:dyDescent="0.25"/>
  <cols>
    <col min="1" max="1" width="9.140625" customWidth="1"/>
    <col min="2" max="2" width="11" customWidth="1"/>
    <col min="3" max="3" width="40.5703125" bestFit="1" customWidth="1"/>
    <col min="4" max="4" width="72" bestFit="1" customWidth="1"/>
    <col min="5" max="5" width="20.140625" bestFit="1" customWidth="1"/>
    <col min="6" max="6" width="9.7109375" bestFit="1" customWidth="1"/>
    <col min="7" max="7" width="13.85546875" customWidth="1"/>
    <col min="8" max="8" width="2.7109375" customWidth="1"/>
    <col min="9" max="9" width="26.140625" bestFit="1" customWidth="1"/>
    <col min="10" max="10" width="13.85546875" customWidth="1"/>
    <col min="11" max="11" width="2.7109375" customWidth="1"/>
    <col min="12" max="12" width="27.5703125" bestFit="1" customWidth="1"/>
    <col min="13" max="13" width="13.85546875" customWidth="1"/>
    <col min="14" max="14" width="2.7109375" customWidth="1"/>
    <col min="15" max="15" width="22.7109375" bestFit="1" customWidth="1"/>
    <col min="16" max="16" width="2.7109375" customWidth="1"/>
    <col min="17" max="17" width="17.85546875" customWidth="1"/>
    <col min="18" max="18" width="13.85546875" customWidth="1"/>
    <col min="19" max="19" width="9.140625" customWidth="1"/>
    <col min="20" max="20" width="11.7109375" customWidth="1"/>
    <col min="21" max="21" width="11.5703125" customWidth="1"/>
  </cols>
  <sheetData>
    <row r="1" spans="2:21" ht="15" x14ac:dyDescent="0.25"/>
    <row r="2" spans="2:21" ht="15.75" thickBot="1" x14ac:dyDescent="0.3"/>
    <row r="3" spans="2:21" ht="15.75" thickBot="1" x14ac:dyDescent="0.3">
      <c r="E3" s="2">
        <f>+'Reference prices RPM'!E3</f>
        <v>0</v>
      </c>
      <c r="F3" s="145"/>
      <c r="G3" s="68"/>
      <c r="I3" s="2" t="str">
        <f>+'Reference prices RPM'!L3</f>
        <v>Preços pré-escalamento</v>
      </c>
      <c r="J3" s="68"/>
      <c r="L3" s="2" t="str">
        <f>+'Reference prices RPM'!R3</f>
        <v>Receitas, pré-escalamento</v>
      </c>
      <c r="M3" s="68"/>
      <c r="O3" s="25" t="str">
        <f>+'Reference prices RPM'!X3</f>
        <v>Fatores de escalamento</v>
      </c>
      <c r="Q3" s="2" t="str">
        <f>+'Reference prices RPM'!AD3</f>
        <v>Preços de referência</v>
      </c>
      <c r="R3" s="68"/>
      <c r="T3" s="2" t="str">
        <f>+'Reference prices RPM'!AJ3</f>
        <v>Receitas, pós-escalamento</v>
      </c>
      <c r="U3" s="68"/>
    </row>
    <row r="4" spans="2:21" ht="15.75" thickBot="1" x14ac:dyDescent="0.3">
      <c r="C4" s="8" t="e">
        <f>+'Reference prices RPM'!C4</f>
        <v>#REF!</v>
      </c>
      <c r="D4" s="8" t="e">
        <f>+'Reference prices RPM'!D4</f>
        <v>#REF!</v>
      </c>
      <c r="E4" s="8" t="e">
        <f>+'Reference prices RPM'!E4</f>
        <v>#REF!</v>
      </c>
      <c r="F4" s="8" t="str">
        <f>+'Reference prices RPM'!F4</f>
        <v># meses</v>
      </c>
      <c r="G4" s="45"/>
      <c r="I4" s="252">
        <f>+'Reference prices RPM'!L4</f>
        <v>0</v>
      </c>
      <c r="J4" s="253"/>
      <c r="L4" s="252">
        <f>+'Reference prices RPM'!R4</f>
        <v>0</v>
      </c>
      <c r="M4" s="253"/>
      <c r="O4" s="50" t="str">
        <f>+'Reference prices RPM'!X4</f>
        <v>Multiplicativo</v>
      </c>
      <c r="Q4" s="252">
        <f>+'Reference prices RPM'!AD4</f>
        <v>0</v>
      </c>
      <c r="R4" s="253"/>
      <c r="S4" s="256"/>
      <c r="T4" s="252">
        <f>+'Reference prices RPM'!AJ4</f>
        <v>0</v>
      </c>
      <c r="U4" s="253"/>
    </row>
    <row r="5" spans="2:21" ht="15" x14ac:dyDescent="0.25">
      <c r="B5" s="5" t="str">
        <f>+'Reference prices RPM'!B5</f>
        <v>Entry</v>
      </c>
      <c r="C5" s="21" t="str">
        <f>+'Reference prices RPM'!C5</f>
        <v>Interconnection points (VIP)</v>
      </c>
      <c r="D5" s="12" t="str">
        <f>+'Reference prices RPM'!D5</f>
        <v>Yearly</v>
      </c>
      <c r="E5" s="13">
        <f>+'Reference prices RPM'!E5</f>
        <v>0</v>
      </c>
      <c r="F5" s="246">
        <f>Data_b!$D$53</f>
        <v>12</v>
      </c>
      <c r="G5" s="53">
        <f>+Data_a!L6</f>
        <v>65554935.292646319</v>
      </c>
      <c r="I5" s="46" t="str">
        <f>+'Reference prices RPM'!L5</f>
        <v>€/(kWh/dia)/ano</v>
      </c>
      <c r="J5" s="43">
        <f>+'Pre-scaling CWD 28-72'!P14</f>
        <v>0.10642176505158764</v>
      </c>
      <c r="L5" s="46" t="s">
        <v>41</v>
      </c>
      <c r="M5" s="53">
        <f>+G5*J5*F5/12</f>
        <v>6976471.9216860374</v>
      </c>
      <c r="O5" s="71">
        <f>$O$38</f>
        <v>0.90290598155508728</v>
      </c>
      <c r="Q5" s="46" t="str">
        <f>+'Reference prices RPM'!AD5</f>
        <v>€/(kWh/dia)/ano</v>
      </c>
      <c r="R5" s="43">
        <f>+J5*O5</f>
        <v>9.6088848232728619E-2</v>
      </c>
      <c r="S5" s="257"/>
      <c r="T5" s="46" t="s">
        <v>41</v>
      </c>
      <c r="U5" s="53">
        <f>+G5*R5*F5/12</f>
        <v>6299098.2282414371</v>
      </c>
    </row>
    <row r="6" spans="2:21" ht="15" x14ac:dyDescent="0.25">
      <c r="B6" s="6"/>
      <c r="C6" s="22"/>
      <c r="D6" s="10" t="str">
        <f>+'Reference prices RPM'!D6</f>
        <v>Quarterly</v>
      </c>
      <c r="E6" s="10">
        <f>+'Reference prices RPM'!E6</f>
        <v>0</v>
      </c>
      <c r="F6" s="247">
        <f>Data_b!$D$53</f>
        <v>12</v>
      </c>
      <c r="G6" s="55">
        <f>+Data_a!L7</f>
        <v>231556.19844696461</v>
      </c>
      <c r="I6" s="14" t="str">
        <f>+'Reference prices RPM'!L6</f>
        <v>€/(kWh/dia)/ano</v>
      </c>
      <c r="J6" s="40">
        <f>+'Pre-scaling CWD 28-72'!P15</f>
        <v>0.13834829456706393</v>
      </c>
      <c r="L6" s="14" t="s">
        <v>41</v>
      </c>
      <c r="M6" s="55">
        <f t="shared" ref="M6:M35" si="0">+G6*J6*F6/12</f>
        <v>32035.405151570172</v>
      </c>
      <c r="O6" s="72">
        <f t="shared" ref="O6:O16" si="1">$O$38</f>
        <v>0.90290598155508728</v>
      </c>
      <c r="Q6" s="14" t="str">
        <f>+'Reference prices RPM'!AD6</f>
        <v>€/(kWh/dia)/ano</v>
      </c>
      <c r="R6" s="40">
        <f t="shared" ref="R6:R35" si="2">+J6*O6</f>
        <v>0.12491550270254721</v>
      </c>
      <c r="S6" s="257"/>
      <c r="T6" s="14" t="s">
        <v>41</v>
      </c>
      <c r="U6" s="55">
        <f t="shared" ref="U6:U35" si="3">+G6*R6*F6/12</f>
        <v>28924.958932893365</v>
      </c>
    </row>
    <row r="7" spans="2:21" ht="15" x14ac:dyDescent="0.25">
      <c r="B7" s="6"/>
      <c r="C7" s="22"/>
      <c r="D7" s="10" t="str">
        <f>+'Reference prices RPM'!D7</f>
        <v>Monthly</v>
      </c>
      <c r="E7" s="10">
        <f>+'Reference prices RPM'!E7</f>
        <v>0</v>
      </c>
      <c r="F7" s="247">
        <f>Data_b!$D$53</f>
        <v>12</v>
      </c>
      <c r="G7" s="55">
        <f>+Data_a!L8</f>
        <v>6472593.694010146</v>
      </c>
      <c r="I7" s="14" t="str">
        <f>+'Reference prices RPM'!L7</f>
        <v>€/(kWh/dia)/ano</v>
      </c>
      <c r="J7" s="40">
        <f>+'Pre-scaling CWD 28-72'!P16</f>
        <v>0.15963264757738146</v>
      </c>
      <c r="L7" s="14" t="s">
        <v>41</v>
      </c>
      <c r="M7" s="55">
        <f t="shared" si="0"/>
        <v>1033237.2680675032</v>
      </c>
      <c r="O7" s="72">
        <f t="shared" si="1"/>
        <v>0.90290598155508728</v>
      </c>
      <c r="Q7" s="14" t="str">
        <f>+'Reference prices RPM'!AD7</f>
        <v>€/(kWh/dia)/ano</v>
      </c>
      <c r="R7" s="40">
        <f t="shared" si="2"/>
        <v>0.14413327234909293</v>
      </c>
      <c r="S7" s="257"/>
      <c r="T7" s="14" t="s">
        <v>41</v>
      </c>
      <c r="U7" s="55">
        <f t="shared" si="3"/>
        <v>932916.10970378586</v>
      </c>
    </row>
    <row r="8" spans="2:21" ht="15" x14ac:dyDescent="0.25">
      <c r="B8" s="6"/>
      <c r="C8" s="22"/>
      <c r="D8" s="10" t="str">
        <f>+'Reference prices RPM'!D8</f>
        <v>Daily</v>
      </c>
      <c r="E8" s="10">
        <f>+'Reference prices RPM'!E8</f>
        <v>0</v>
      </c>
      <c r="F8" s="247">
        <f>Data_b!$D$53</f>
        <v>12</v>
      </c>
      <c r="G8" s="55">
        <f>+Data_a!L9</f>
        <v>7655421.9671416637</v>
      </c>
      <c r="I8" s="14" t="str">
        <f>+'Reference prices RPM'!L8</f>
        <v>€/(kWh/dia)/ano</v>
      </c>
      <c r="J8" s="40">
        <f>+'Pre-scaling CWD 28-72'!P17</f>
        <v>0.21284353010317528</v>
      </c>
      <c r="L8" s="14" t="s">
        <v>41</v>
      </c>
      <c r="M8" s="55">
        <f t="shared" si="0"/>
        <v>1629407.0359158262</v>
      </c>
      <c r="O8" s="72">
        <f t="shared" si="1"/>
        <v>0.90290598155508728</v>
      </c>
      <c r="Q8" s="14" t="str">
        <f>+'Reference prices RPM'!AD8</f>
        <v>€/(kWh/dia)/ano</v>
      </c>
      <c r="R8" s="40">
        <f t="shared" si="2"/>
        <v>0.19217769646545724</v>
      </c>
      <c r="S8" s="257"/>
      <c r="T8" s="14" t="s">
        <v>41</v>
      </c>
      <c r="U8" s="55">
        <f t="shared" si="3"/>
        <v>1471201.3591163445</v>
      </c>
    </row>
    <row r="9" spans="2:21" ht="15.75" thickBot="1" x14ac:dyDescent="0.3">
      <c r="B9" s="6"/>
      <c r="C9" s="23"/>
      <c r="D9" s="17" t="str">
        <f>+'Reference prices RPM'!D9</f>
        <v>Intraday</v>
      </c>
      <c r="E9" s="17">
        <f>+'Reference prices RPM'!E9</f>
        <v>0</v>
      </c>
      <c r="F9" s="248">
        <f>Data_b!$D$53</f>
        <v>12</v>
      </c>
      <c r="G9" s="57">
        <f>+Data_a!L10</f>
        <v>0</v>
      </c>
      <c r="I9" s="16" t="str">
        <f>+'Reference prices RPM'!L9</f>
        <v>€/(kWh/h)/ano</v>
      </c>
      <c r="J9" s="41">
        <f>+'Pre-scaling CWD 28-72'!P18</f>
        <v>5.6190691947238278</v>
      </c>
      <c r="L9" s="16" t="s">
        <v>41</v>
      </c>
      <c r="M9" s="57">
        <f t="shared" si="0"/>
        <v>0</v>
      </c>
      <c r="O9" s="73">
        <f t="shared" si="1"/>
        <v>0.90290598155508728</v>
      </c>
      <c r="Q9" s="16" t="str">
        <f>+'Reference prices RPM'!AD9</f>
        <v>€/(kWh/h)/ano</v>
      </c>
      <c r="R9" s="41">
        <f t="shared" si="2"/>
        <v>5.0734911866880719</v>
      </c>
      <c r="S9" s="257"/>
      <c r="T9" s="16" t="s">
        <v>41</v>
      </c>
      <c r="U9" s="57">
        <f t="shared" si="3"/>
        <v>0</v>
      </c>
    </row>
    <row r="10" spans="2:21" ht="15" x14ac:dyDescent="0.25">
      <c r="B10" s="6"/>
      <c r="C10" s="21" t="str">
        <f>+'Reference prices RPM'!C10</f>
        <v>LNG terminal</v>
      </c>
      <c r="D10" s="12" t="str">
        <f>+'Reference prices RPM'!D10</f>
        <v>Yearly</v>
      </c>
      <c r="E10" s="13">
        <f>+'Reference prices RPM'!E10</f>
        <v>0</v>
      </c>
      <c r="F10" s="249">
        <f>Data_b!$D$53</f>
        <v>12</v>
      </c>
      <c r="G10" s="53">
        <f>+Data_a!L11</f>
        <v>95181945.454248399</v>
      </c>
      <c r="I10" s="46" t="str">
        <f>+'Reference prices RPM'!L10</f>
        <v>€/(kWh/dia)/ano</v>
      </c>
      <c r="J10" s="43">
        <f>+'Pre-scaling CWD 28-72'!P19</f>
        <v>9.9487602673865833E-2</v>
      </c>
      <c r="L10" s="46" t="s">
        <v>41</v>
      </c>
      <c r="M10" s="53">
        <f t="shared" si="0"/>
        <v>9469423.5710778348</v>
      </c>
      <c r="O10" s="71">
        <f t="shared" si="1"/>
        <v>0.90290598155508728</v>
      </c>
      <c r="Q10" s="46" t="str">
        <f>+'Reference prices RPM'!AD10</f>
        <v>€/(kWh/dia)/ano</v>
      </c>
      <c r="R10" s="43">
        <f t="shared" si="2"/>
        <v>8.9827951544809354E-2</v>
      </c>
      <c r="S10" s="257"/>
      <c r="T10" s="46" t="s">
        <v>41</v>
      </c>
      <c r="U10" s="53">
        <f t="shared" si="3"/>
        <v>8549999.1842049118</v>
      </c>
    </row>
    <row r="11" spans="2:21" ht="15" x14ac:dyDescent="0.25">
      <c r="B11" s="6"/>
      <c r="C11" s="22"/>
      <c r="D11" s="10" t="str">
        <f>+'Reference prices RPM'!D11</f>
        <v>Quarterly</v>
      </c>
      <c r="E11" s="10">
        <f>+'Reference prices RPM'!E11</f>
        <v>0</v>
      </c>
      <c r="F11" s="247">
        <f>Data_b!$D$53</f>
        <v>12</v>
      </c>
      <c r="G11" s="55">
        <f>+Data_a!L12</f>
        <v>7113057.264897964</v>
      </c>
      <c r="I11" s="14" t="str">
        <f>+'Reference prices RPM'!L11</f>
        <v>€/(kWh/dia)/ano</v>
      </c>
      <c r="J11" s="40">
        <f>+'Pre-scaling CWD 28-72'!P20</f>
        <v>0.12933388347602559</v>
      </c>
      <c r="L11" s="14" t="s">
        <v>41</v>
      </c>
      <c r="M11" s="55">
        <f t="shared" si="0"/>
        <v>919959.31945661048</v>
      </c>
      <c r="O11" s="72">
        <f t="shared" si="1"/>
        <v>0.90290598155508728</v>
      </c>
      <c r="Q11" s="14" t="str">
        <f>+'Reference prices RPM'!AD11</f>
        <v>€/(kWh/dia)/ano</v>
      </c>
      <c r="R11" s="40">
        <f t="shared" si="2"/>
        <v>0.11677633700825217</v>
      </c>
      <c r="S11" s="257"/>
      <c r="T11" s="14" t="s">
        <v>41</v>
      </c>
      <c r="U11" s="55">
        <f t="shared" si="3"/>
        <v>830636.77232472098</v>
      </c>
    </row>
    <row r="12" spans="2:21" ht="15" x14ac:dyDescent="0.25">
      <c r="B12" s="6"/>
      <c r="C12" s="22"/>
      <c r="D12" s="10" t="str">
        <f>+'Reference prices RPM'!D12</f>
        <v>Monthly</v>
      </c>
      <c r="E12" s="10">
        <f>+'Reference prices RPM'!E12</f>
        <v>0</v>
      </c>
      <c r="F12" s="247">
        <f>Data_b!$D$53</f>
        <v>12</v>
      </c>
      <c r="G12" s="55">
        <f>+Data_a!L13</f>
        <v>1432849.3585735292</v>
      </c>
      <c r="I12" s="14" t="str">
        <f>+'Reference prices RPM'!L12</f>
        <v>€/(kWh/dia)/ano</v>
      </c>
      <c r="J12" s="40">
        <f>+'Pre-scaling CWD 28-72'!P21</f>
        <v>0.14923140401079876</v>
      </c>
      <c r="L12" s="14" t="s">
        <v>41</v>
      </c>
      <c r="M12" s="55">
        <f t="shared" si="0"/>
        <v>213826.12151590022</v>
      </c>
      <c r="O12" s="72">
        <f t="shared" si="1"/>
        <v>0.90290598155508728</v>
      </c>
      <c r="Q12" s="14" t="str">
        <f>+'Reference prices RPM'!AD12</f>
        <v>€/(kWh/dia)/ano</v>
      </c>
      <c r="R12" s="40">
        <f t="shared" si="2"/>
        <v>0.13474192731721404</v>
      </c>
      <c r="S12" s="257"/>
      <c r="T12" s="14" t="s">
        <v>41</v>
      </c>
      <c r="U12" s="55">
        <f t="shared" si="3"/>
        <v>193064.88412943124</v>
      </c>
    </row>
    <row r="13" spans="2:21" ht="15" x14ac:dyDescent="0.25">
      <c r="B13" s="6"/>
      <c r="C13" s="22"/>
      <c r="D13" s="10" t="str">
        <f>+'Reference prices RPM'!D13</f>
        <v>Daily</v>
      </c>
      <c r="E13" s="10">
        <f>+'Reference prices RPM'!E13</f>
        <v>0</v>
      </c>
      <c r="F13" s="247">
        <f>Data_b!$D$53</f>
        <v>12</v>
      </c>
      <c r="G13" s="55">
        <f>+Data_a!L14</f>
        <v>12177235.572217982</v>
      </c>
      <c r="I13" s="14" t="str">
        <f>+'Reference prices RPM'!L13</f>
        <v>€/(kWh/dia)/ano</v>
      </c>
      <c r="J13" s="40">
        <f>+'Pre-scaling CWD 28-72'!P22</f>
        <v>0.19897520534773167</v>
      </c>
      <c r="L13" s="14" t="s">
        <v>41</v>
      </c>
      <c r="M13" s="55">
        <f t="shared" si="0"/>
        <v>2422967.9485497759</v>
      </c>
      <c r="O13" s="72">
        <f t="shared" si="1"/>
        <v>0.90290598155508728</v>
      </c>
      <c r="Q13" s="14" t="str">
        <f>+'Reference prices RPM'!AD13</f>
        <v>€/(kWh/dia)/ano</v>
      </c>
      <c r="R13" s="40">
        <f t="shared" si="2"/>
        <v>0.17965590308961871</v>
      </c>
      <c r="S13" s="257"/>
      <c r="T13" s="14" t="s">
        <v>41</v>
      </c>
      <c r="U13" s="55">
        <f t="shared" si="3"/>
        <v>2187712.2538618515</v>
      </c>
    </row>
    <row r="14" spans="2:21" ht="15.75" thickBot="1" x14ac:dyDescent="0.3">
      <c r="B14" s="6"/>
      <c r="C14" s="23"/>
      <c r="D14" s="17" t="str">
        <f>+'Reference prices RPM'!D14</f>
        <v>Intraday</v>
      </c>
      <c r="E14" s="17">
        <f>+'Reference prices RPM'!E14</f>
        <v>0</v>
      </c>
      <c r="F14" s="248">
        <f>Data_b!$D$53</f>
        <v>12</v>
      </c>
      <c r="G14" s="57">
        <f>+Data_a!L15</f>
        <v>0</v>
      </c>
      <c r="I14" s="16" t="str">
        <f>+'Reference prices RPM'!L14</f>
        <v>€/(kWh/h)/ano</v>
      </c>
      <c r="J14" s="41">
        <f>+'Pre-scaling CWD 28-72'!P23</f>
        <v>5.252945421180117</v>
      </c>
      <c r="L14" s="16" t="s">
        <v>41</v>
      </c>
      <c r="M14" s="57">
        <f t="shared" si="0"/>
        <v>0</v>
      </c>
      <c r="O14" s="73">
        <f t="shared" si="1"/>
        <v>0.90290598155508728</v>
      </c>
      <c r="Q14" s="16" t="str">
        <f>+'Reference prices RPM'!AD14</f>
        <v>€/(kWh/h)/ano</v>
      </c>
      <c r="R14" s="41">
        <f t="shared" si="2"/>
        <v>4.7429158415659352</v>
      </c>
      <c r="S14" s="257"/>
      <c r="T14" s="16" t="s">
        <v>41</v>
      </c>
      <c r="U14" s="57">
        <f t="shared" si="3"/>
        <v>0</v>
      </c>
    </row>
    <row r="15" spans="2:21" ht="15" x14ac:dyDescent="0.25">
      <c r="B15" s="6"/>
      <c r="C15" s="21" t="str">
        <f>+'Reference prices RPM'!C15</f>
        <v>Underground Storage</v>
      </c>
      <c r="D15" s="12" t="str">
        <f>+'Reference prices RPM'!D15</f>
        <v>Daily</v>
      </c>
      <c r="E15" s="13">
        <f>+'Reference prices RPM'!E15</f>
        <v>0</v>
      </c>
      <c r="F15" s="249">
        <f>Data_b!$D$53</f>
        <v>12</v>
      </c>
      <c r="G15" s="53">
        <f>+Data_a!L16</f>
        <v>8631715.4602739699</v>
      </c>
      <c r="I15" s="46" t="str">
        <f>+'Reference prices RPM'!L15</f>
        <v>€/(kWh/dia)/ano</v>
      </c>
      <c r="J15" s="43">
        <f>+'Pre-scaling CWD 28-72'!P24</f>
        <v>0</v>
      </c>
      <c r="L15" s="46" t="s">
        <v>41</v>
      </c>
      <c r="M15" s="53">
        <f t="shared" si="0"/>
        <v>0</v>
      </c>
      <c r="O15" s="71">
        <f t="shared" si="1"/>
        <v>0.90290598155508728</v>
      </c>
      <c r="Q15" s="46" t="str">
        <f>+'Reference prices RPM'!AD15</f>
        <v>€/(kWh/dia)/ano</v>
      </c>
      <c r="R15" s="43">
        <f t="shared" si="2"/>
        <v>0</v>
      </c>
      <c r="S15" s="257"/>
      <c r="T15" s="46" t="s">
        <v>41</v>
      </c>
      <c r="U15" s="53">
        <f t="shared" si="3"/>
        <v>0</v>
      </c>
    </row>
    <row r="16" spans="2:21" ht="15.75" thickBot="1" x14ac:dyDescent="0.3">
      <c r="B16" s="7"/>
      <c r="C16" s="23"/>
      <c r="D16" s="17" t="str">
        <f>+'Reference prices RPM'!D16</f>
        <v>Intraday</v>
      </c>
      <c r="E16" s="17">
        <f>+'Reference prices RPM'!E16</f>
        <v>0</v>
      </c>
      <c r="F16" s="248">
        <f>Data_b!$D$53</f>
        <v>12</v>
      </c>
      <c r="G16" s="57">
        <f>+Data_a!L17</f>
        <v>0</v>
      </c>
      <c r="I16" s="16" t="str">
        <f>+'Reference prices RPM'!L16</f>
        <v>€/(kWh/h)/ano</v>
      </c>
      <c r="J16" s="41">
        <f>+'Pre-scaling CWD 28-72'!P25</f>
        <v>0</v>
      </c>
      <c r="L16" s="16" t="s">
        <v>41</v>
      </c>
      <c r="M16" s="57">
        <f t="shared" si="0"/>
        <v>0</v>
      </c>
      <c r="O16" s="73">
        <f t="shared" si="1"/>
        <v>0.90290598155508728</v>
      </c>
      <c r="Q16" s="16" t="str">
        <f>+'Reference prices RPM'!AD16</f>
        <v>€/(kWh/h)/ano</v>
      </c>
      <c r="R16" s="41">
        <f t="shared" si="2"/>
        <v>0</v>
      </c>
      <c r="S16" s="257"/>
      <c r="T16" s="16" t="s">
        <v>41</v>
      </c>
      <c r="U16" s="57">
        <f t="shared" si="3"/>
        <v>0</v>
      </c>
    </row>
    <row r="17" spans="2:21" ht="15" x14ac:dyDescent="0.25">
      <c r="B17" s="5" t="str">
        <f>+'Reference prices RPM'!B17</f>
        <v>Exit</v>
      </c>
      <c r="C17" s="21" t="str">
        <f>+'Reference prices RPM'!C17</f>
        <v>Interconnection points (VIP)</v>
      </c>
      <c r="D17" s="12" t="str">
        <f>+'Reference prices RPM'!D17</f>
        <v>Yearly</v>
      </c>
      <c r="E17" s="13">
        <f>+'Reference prices RPM'!E17</f>
        <v>0</v>
      </c>
      <c r="F17" s="249">
        <f>Data_b!$D$53</f>
        <v>12</v>
      </c>
      <c r="G17" s="53">
        <f>+Data_a!L18</f>
        <v>0</v>
      </c>
      <c r="I17" s="46" t="str">
        <f>+'Reference prices RPM'!L17</f>
        <v>€/(kWh/dia)/ano</v>
      </c>
      <c r="J17" s="43">
        <f>+'Pre-scaling CWD 28-72'!P26</f>
        <v>0.269510873848118</v>
      </c>
      <c r="L17" s="46" t="s">
        <v>41</v>
      </c>
      <c r="M17" s="53">
        <f t="shared" si="0"/>
        <v>0</v>
      </c>
      <c r="O17" s="71">
        <f>$O$39</f>
        <v>0.90767952455002088</v>
      </c>
      <c r="Q17" s="46" t="str">
        <f>+'Reference prices RPM'!AD17</f>
        <v>€/(kWh/dia)/ano</v>
      </c>
      <c r="R17" s="43">
        <f t="shared" si="2"/>
        <v>0.2446295018355204</v>
      </c>
      <c r="S17" s="257"/>
      <c r="T17" s="46" t="s">
        <v>41</v>
      </c>
      <c r="U17" s="53">
        <f t="shared" si="3"/>
        <v>0</v>
      </c>
    </row>
    <row r="18" spans="2:21" ht="15" x14ac:dyDescent="0.25">
      <c r="B18" s="3"/>
      <c r="C18" s="22"/>
      <c r="D18" s="10" t="str">
        <f>+'Reference prices RPM'!D18</f>
        <v>Quarterly</v>
      </c>
      <c r="E18" s="10">
        <f>+'Reference prices RPM'!E18</f>
        <v>0</v>
      </c>
      <c r="F18" s="247">
        <f>Data_b!$D$53</f>
        <v>12</v>
      </c>
      <c r="G18" s="55">
        <f>+Data_a!L19</f>
        <v>0</v>
      </c>
      <c r="I18" s="14" t="str">
        <f>+'Reference prices RPM'!L18</f>
        <v>€/(kWh/dia)/ano</v>
      </c>
      <c r="J18" s="40">
        <f>+'Pre-scaling CWD 28-72'!P27</f>
        <v>0.35036413600255339</v>
      </c>
      <c r="L18" s="14" t="s">
        <v>41</v>
      </c>
      <c r="M18" s="55">
        <f t="shared" si="0"/>
        <v>0</v>
      </c>
      <c r="O18" s="72">
        <f t="shared" ref="O18:O35" si="4">$O$39</f>
        <v>0.90767952455002088</v>
      </c>
      <c r="Q18" s="14" t="str">
        <f>+'Reference prices RPM'!AD18</f>
        <v>€/(kWh/dia)/ano</v>
      </c>
      <c r="R18" s="40">
        <f t="shared" si="2"/>
        <v>0.31801835238617654</v>
      </c>
      <c r="S18" s="257"/>
      <c r="T18" s="14" t="s">
        <v>41</v>
      </c>
      <c r="U18" s="55">
        <f t="shared" si="3"/>
        <v>0</v>
      </c>
    </row>
    <row r="19" spans="2:21" ht="15" x14ac:dyDescent="0.25">
      <c r="B19" s="3"/>
      <c r="C19" s="22"/>
      <c r="D19" s="10" t="str">
        <f>+'Reference prices RPM'!D19</f>
        <v>Monthly</v>
      </c>
      <c r="E19" s="10">
        <f>+'Reference prices RPM'!E19</f>
        <v>0</v>
      </c>
      <c r="F19" s="247">
        <f>Data_b!$D$53</f>
        <v>12</v>
      </c>
      <c r="G19" s="55">
        <f>+Data_a!L20</f>
        <v>0</v>
      </c>
      <c r="I19" s="14" t="str">
        <f>+'Reference prices RPM'!L19</f>
        <v>€/(kWh/dia)/ano</v>
      </c>
      <c r="J19" s="40">
        <f>+'Pre-scaling CWD 28-72'!P28</f>
        <v>0.40426631077217701</v>
      </c>
      <c r="L19" s="14" t="s">
        <v>41</v>
      </c>
      <c r="M19" s="55">
        <f t="shared" si="0"/>
        <v>0</v>
      </c>
      <c r="O19" s="72">
        <f t="shared" si="4"/>
        <v>0.90767952455002088</v>
      </c>
      <c r="Q19" s="14" t="str">
        <f>+'Reference prices RPM'!AD19</f>
        <v>€/(kWh/dia)/ano</v>
      </c>
      <c r="R19" s="40">
        <f t="shared" si="2"/>
        <v>0.36694425275328063</v>
      </c>
      <c r="S19" s="257"/>
      <c r="T19" s="14" t="s">
        <v>41</v>
      </c>
      <c r="U19" s="55">
        <f t="shared" si="3"/>
        <v>0</v>
      </c>
    </row>
    <row r="20" spans="2:21" ht="15" x14ac:dyDescent="0.25">
      <c r="B20" s="3"/>
      <c r="C20" s="22"/>
      <c r="D20" s="10" t="str">
        <f>+'Reference prices RPM'!D20</f>
        <v>Daily</v>
      </c>
      <c r="E20" s="10">
        <f>+'Reference prices RPM'!E20</f>
        <v>0</v>
      </c>
      <c r="F20" s="247">
        <f>Data_b!$D$53</f>
        <v>12</v>
      </c>
      <c r="G20" s="55">
        <f>+Data_a!L21</f>
        <v>408694.55737704912</v>
      </c>
      <c r="I20" s="14" t="str">
        <f>+'Reference prices RPM'!L20</f>
        <v>€/(kWh/dia)/ano</v>
      </c>
      <c r="J20" s="40">
        <f>+'Pre-scaling CWD 28-72'!P29</f>
        <v>0.53902174769623601</v>
      </c>
      <c r="L20" s="14" t="s">
        <v>41</v>
      </c>
      <c r="M20" s="55">
        <f t="shared" si="0"/>
        <v>220295.2545913166</v>
      </c>
      <c r="O20" s="72">
        <f t="shared" si="4"/>
        <v>0.90767952455002088</v>
      </c>
      <c r="Q20" s="14" t="str">
        <f>+'Reference prices RPM'!AD20</f>
        <v>€/(kWh/dia)/ano</v>
      </c>
      <c r="R20" s="40">
        <f t="shared" si="2"/>
        <v>0.4892590036710408</v>
      </c>
      <c r="S20" s="257"/>
      <c r="T20" s="14" t="s">
        <v>41</v>
      </c>
      <c r="U20" s="55">
        <f t="shared" si="3"/>
        <v>199957.49194807207</v>
      </c>
    </row>
    <row r="21" spans="2:21" ht="15.75" thickBot="1" x14ac:dyDescent="0.3">
      <c r="B21" s="3"/>
      <c r="C21" s="23"/>
      <c r="D21" s="17" t="str">
        <f>+'Reference prices RPM'!D21</f>
        <v>Intraday</v>
      </c>
      <c r="E21" s="17">
        <f>+'Reference prices RPM'!E21</f>
        <v>0</v>
      </c>
      <c r="F21" s="248">
        <f>Data_b!$D$53</f>
        <v>12</v>
      </c>
      <c r="G21" s="57">
        <f>+Data_a!L22</f>
        <v>0</v>
      </c>
      <c r="I21" s="16" t="str">
        <f>+'Reference prices RPM'!L21</f>
        <v>€/(kWh/h)/ano</v>
      </c>
      <c r="J21" s="41">
        <f>+'Pre-scaling CWD 28-72'!P30</f>
        <v>14.230174139180631</v>
      </c>
      <c r="L21" s="16" t="s">
        <v>41</v>
      </c>
      <c r="M21" s="57">
        <f t="shared" si="0"/>
        <v>0</v>
      </c>
      <c r="O21" s="73">
        <f t="shared" si="4"/>
        <v>0.90767952455002088</v>
      </c>
      <c r="Q21" s="16" t="str">
        <f>+'Reference prices RPM'!AD21</f>
        <v>€/(kWh/h)/ano</v>
      </c>
      <c r="R21" s="41">
        <f t="shared" si="2"/>
        <v>12.916437696915478</v>
      </c>
      <c r="S21" s="257"/>
      <c r="T21" s="16" t="s">
        <v>41</v>
      </c>
      <c r="U21" s="57">
        <f t="shared" si="3"/>
        <v>0</v>
      </c>
    </row>
    <row r="22" spans="2:21" ht="15" x14ac:dyDescent="0.25">
      <c r="B22" s="3"/>
      <c r="C22" s="21" t="str">
        <f>+'Reference prices RPM'!C22</f>
        <v>LNG terminal</v>
      </c>
      <c r="D22" s="12" t="str">
        <f>+'Reference prices RPM'!D22</f>
        <v>Yearly</v>
      </c>
      <c r="E22" s="13">
        <f>+'Reference prices RPM'!E22</f>
        <v>0</v>
      </c>
      <c r="F22" s="249">
        <f>Data_b!$D$53</f>
        <v>12</v>
      </c>
      <c r="G22" s="53">
        <f>+Data_a!L23</f>
        <v>0</v>
      </c>
      <c r="I22" s="46" t="str">
        <f>+'Reference prices RPM'!L22</f>
        <v>€/(kWh/dia)/ano</v>
      </c>
      <c r="J22" s="43">
        <f>+'Pre-scaling CWD 28-72'!P31</f>
        <v>0</v>
      </c>
      <c r="L22" s="46" t="s">
        <v>41</v>
      </c>
      <c r="M22" s="53">
        <f t="shared" si="0"/>
        <v>0</v>
      </c>
      <c r="O22" s="71">
        <f t="shared" si="4"/>
        <v>0.90767952455002088</v>
      </c>
      <c r="Q22" s="46" t="str">
        <f>+'Reference prices RPM'!AD22</f>
        <v>€/(kWh/dia)/ano</v>
      </c>
      <c r="R22" s="43">
        <f t="shared" si="2"/>
        <v>0</v>
      </c>
      <c r="S22" s="257"/>
      <c r="T22" s="46" t="s">
        <v>41</v>
      </c>
      <c r="U22" s="53">
        <f t="shared" si="3"/>
        <v>0</v>
      </c>
    </row>
    <row r="23" spans="2:21" ht="15" x14ac:dyDescent="0.25">
      <c r="B23" s="3"/>
      <c r="C23" s="22"/>
      <c r="D23" s="10" t="str">
        <f>+'Reference prices RPM'!D23</f>
        <v>Quarterly</v>
      </c>
      <c r="E23" s="10">
        <f>+'Reference prices RPM'!E23</f>
        <v>0</v>
      </c>
      <c r="F23" s="247">
        <f>Data_b!$D$53</f>
        <v>12</v>
      </c>
      <c r="G23" s="55">
        <f>+Data_a!L24</f>
        <v>0</v>
      </c>
      <c r="I23" s="14" t="str">
        <f>+'Reference prices RPM'!L23</f>
        <v>€/(kWh/dia)/ano</v>
      </c>
      <c r="J23" s="40">
        <f>+'Pre-scaling CWD 28-72'!P32</f>
        <v>0</v>
      </c>
      <c r="L23" s="14" t="s">
        <v>41</v>
      </c>
      <c r="M23" s="55">
        <f t="shared" si="0"/>
        <v>0</v>
      </c>
      <c r="O23" s="72">
        <f t="shared" si="4"/>
        <v>0.90767952455002088</v>
      </c>
      <c r="Q23" s="14" t="str">
        <f>+'Reference prices RPM'!AD23</f>
        <v>€/(kWh/dia)/ano</v>
      </c>
      <c r="R23" s="40">
        <f t="shared" si="2"/>
        <v>0</v>
      </c>
      <c r="S23" s="257"/>
      <c r="T23" s="14" t="s">
        <v>41</v>
      </c>
      <c r="U23" s="55">
        <f t="shared" si="3"/>
        <v>0</v>
      </c>
    </row>
    <row r="24" spans="2:21" ht="15" x14ac:dyDescent="0.25">
      <c r="B24" s="3"/>
      <c r="C24" s="22"/>
      <c r="D24" s="10" t="str">
        <f>+'Reference prices RPM'!D24</f>
        <v>Monthly</v>
      </c>
      <c r="E24" s="10">
        <f>+'Reference prices RPM'!E24</f>
        <v>0</v>
      </c>
      <c r="F24" s="247">
        <f>Data_b!$D$53</f>
        <v>12</v>
      </c>
      <c r="G24" s="55">
        <f>+Data_a!L25</f>
        <v>0</v>
      </c>
      <c r="I24" s="14" t="str">
        <f>+'Reference prices RPM'!L24</f>
        <v>€/(kWh/dia)/ano</v>
      </c>
      <c r="J24" s="40">
        <f>+'Pre-scaling CWD 28-72'!P33</f>
        <v>0</v>
      </c>
      <c r="L24" s="14" t="s">
        <v>41</v>
      </c>
      <c r="M24" s="55">
        <f t="shared" si="0"/>
        <v>0</v>
      </c>
      <c r="O24" s="72">
        <f t="shared" si="4"/>
        <v>0.90767952455002088</v>
      </c>
      <c r="Q24" s="14" t="str">
        <f>+'Reference prices RPM'!AD24</f>
        <v>€/(kWh/dia)/ano</v>
      </c>
      <c r="R24" s="40">
        <f t="shared" si="2"/>
        <v>0</v>
      </c>
      <c r="S24" s="257"/>
      <c r="T24" s="14" t="s">
        <v>41</v>
      </c>
      <c r="U24" s="55">
        <f t="shared" si="3"/>
        <v>0</v>
      </c>
    </row>
    <row r="25" spans="2:21" ht="15" x14ac:dyDescent="0.25">
      <c r="B25" s="3"/>
      <c r="C25" s="22"/>
      <c r="D25" s="10" t="str">
        <f>+'Reference prices RPM'!D25</f>
        <v>Daily</v>
      </c>
      <c r="E25" s="10">
        <f>+'Reference prices RPM'!E25</f>
        <v>0</v>
      </c>
      <c r="F25" s="247">
        <f>Data_b!$D$53</f>
        <v>12</v>
      </c>
      <c r="G25" s="55">
        <f>+Data_a!L26</f>
        <v>0</v>
      </c>
      <c r="I25" s="14" t="str">
        <f>+'Reference prices RPM'!L25</f>
        <v>€/(kWh/dia)/ano</v>
      </c>
      <c r="J25" s="40">
        <f>+'Pre-scaling CWD 28-72'!P34</f>
        <v>0</v>
      </c>
      <c r="L25" s="14" t="s">
        <v>41</v>
      </c>
      <c r="M25" s="55">
        <f t="shared" si="0"/>
        <v>0</v>
      </c>
      <c r="O25" s="72">
        <f t="shared" si="4"/>
        <v>0.90767952455002088</v>
      </c>
      <c r="Q25" s="14" t="str">
        <f>+'Reference prices RPM'!AD25</f>
        <v>€/(kWh/dia)/ano</v>
      </c>
      <c r="R25" s="40">
        <f t="shared" si="2"/>
        <v>0</v>
      </c>
      <c r="S25" s="257"/>
      <c r="T25" s="14" t="s">
        <v>41</v>
      </c>
      <c r="U25" s="55">
        <f t="shared" si="3"/>
        <v>0</v>
      </c>
    </row>
    <row r="26" spans="2:21" ht="15.75" thickBot="1" x14ac:dyDescent="0.3">
      <c r="B26" s="3"/>
      <c r="C26" s="23"/>
      <c r="D26" s="17" t="str">
        <f>+'Reference prices RPM'!D26</f>
        <v>Intraday</v>
      </c>
      <c r="E26" s="17">
        <f>+'Reference prices RPM'!E26</f>
        <v>0</v>
      </c>
      <c r="F26" s="248">
        <f>Data_b!$D$53</f>
        <v>12</v>
      </c>
      <c r="G26" s="57">
        <f>+Data_a!L27</f>
        <v>0</v>
      </c>
      <c r="I26" s="16" t="str">
        <f>+'Reference prices RPM'!L26</f>
        <v>€/(kWh/h)/ano</v>
      </c>
      <c r="J26" s="41">
        <f>+'Pre-scaling CWD 28-72'!P35</f>
        <v>0</v>
      </c>
      <c r="L26" s="16" t="s">
        <v>41</v>
      </c>
      <c r="M26" s="57">
        <f t="shared" si="0"/>
        <v>0</v>
      </c>
      <c r="O26" s="73">
        <f t="shared" si="4"/>
        <v>0.90767952455002088</v>
      </c>
      <c r="Q26" s="16" t="str">
        <f>+'Reference prices RPM'!AD26</f>
        <v>€/(kWh/h)/ano</v>
      </c>
      <c r="R26" s="41">
        <f t="shared" si="2"/>
        <v>0</v>
      </c>
      <c r="S26" s="257"/>
      <c r="T26" s="16" t="s">
        <v>41</v>
      </c>
      <c r="U26" s="57">
        <f t="shared" si="3"/>
        <v>0</v>
      </c>
    </row>
    <row r="27" spans="2:21" ht="15" x14ac:dyDescent="0.25">
      <c r="B27" s="3"/>
      <c r="C27" s="21" t="str">
        <f>+'Reference prices RPM'!C27</f>
        <v>Underground Storage</v>
      </c>
      <c r="D27" s="12" t="str">
        <f>+'Reference prices RPM'!D27</f>
        <v>Daily</v>
      </c>
      <c r="E27" s="13">
        <f>+'Reference prices RPM'!E27</f>
        <v>0</v>
      </c>
      <c r="F27" s="249">
        <f>Data_b!$D$53</f>
        <v>12</v>
      </c>
      <c r="G27" s="53">
        <f>+Data_a!L28</f>
        <v>8631715.4602739699</v>
      </c>
      <c r="I27" s="46" t="str">
        <f>+'Reference prices RPM'!L27</f>
        <v>€/(kWh/dia)/ano</v>
      </c>
      <c r="J27" s="43">
        <f>+'Pre-scaling CWD 28-72'!P36</f>
        <v>0</v>
      </c>
      <c r="L27" s="46" t="s">
        <v>41</v>
      </c>
      <c r="M27" s="53">
        <f t="shared" si="0"/>
        <v>0</v>
      </c>
      <c r="O27" s="71">
        <f t="shared" si="4"/>
        <v>0.90767952455002088</v>
      </c>
      <c r="Q27" s="46" t="str">
        <f>+'Reference prices RPM'!AD27</f>
        <v>€/(kWh/dia)/ano</v>
      </c>
      <c r="R27" s="43">
        <f t="shared" si="2"/>
        <v>0</v>
      </c>
      <c r="S27" s="257"/>
      <c r="T27" s="46" t="s">
        <v>41</v>
      </c>
      <c r="U27" s="53">
        <f t="shared" si="3"/>
        <v>0</v>
      </c>
    </row>
    <row r="28" spans="2:21" ht="15.75" thickBot="1" x14ac:dyDescent="0.3">
      <c r="B28" s="3"/>
      <c r="C28" s="23"/>
      <c r="D28" s="17" t="str">
        <f>+'Reference prices RPM'!D28</f>
        <v>Intraday</v>
      </c>
      <c r="E28" s="17">
        <f>+'Reference prices RPM'!E28</f>
        <v>0</v>
      </c>
      <c r="F28" s="248">
        <f>Data_b!$D$53</f>
        <v>12</v>
      </c>
      <c r="G28" s="57">
        <f>+Data_a!L29</f>
        <v>0</v>
      </c>
      <c r="I28" s="16" t="str">
        <f>+'Reference prices RPM'!L28</f>
        <v>€/(kWh/h)/ano</v>
      </c>
      <c r="J28" s="41">
        <f>+'Pre-scaling CWD 28-72'!P37</f>
        <v>0</v>
      </c>
      <c r="L28" s="16" t="s">
        <v>41</v>
      </c>
      <c r="M28" s="57">
        <f t="shared" si="0"/>
        <v>0</v>
      </c>
      <c r="O28" s="73">
        <f t="shared" si="4"/>
        <v>0.90767952455002088</v>
      </c>
      <c r="Q28" s="16" t="str">
        <f>+'Reference prices RPM'!AD28</f>
        <v>€/(kWh/h)/ano</v>
      </c>
      <c r="R28" s="41">
        <f t="shared" si="2"/>
        <v>0</v>
      </c>
      <c r="S28" s="257"/>
      <c r="T28" s="16" t="s">
        <v>41</v>
      </c>
      <c r="U28" s="57">
        <f t="shared" si="3"/>
        <v>0</v>
      </c>
    </row>
    <row r="29" spans="2:21" ht="15.75" thickBot="1" x14ac:dyDescent="0.3">
      <c r="B29" s="3"/>
      <c r="C29" s="19" t="str">
        <f>+'Reference prices RPM'!C29</f>
        <v>Distribution networks and HP Customers</v>
      </c>
      <c r="D29" s="20" t="str">
        <f>+'Reference prices RPM'!D29</f>
        <v>Long Uses</v>
      </c>
      <c r="E29" s="20">
        <f>+'Reference prices RPM'!E29</f>
        <v>0</v>
      </c>
      <c r="F29" s="250">
        <f>Data_b!$D$53</f>
        <v>12</v>
      </c>
      <c r="G29" s="58">
        <f>+Data_a!L30</f>
        <v>168207197.95516264</v>
      </c>
      <c r="I29" s="19" t="str">
        <f>+'Reference prices RPM'!L29</f>
        <v>€/(kWh/dia)/ano</v>
      </c>
      <c r="J29" s="59">
        <f>+'Pre-scaling CWD 28-72'!P38</f>
        <v>0.18790715965109264</v>
      </c>
      <c r="L29" s="19" t="s">
        <v>41</v>
      </c>
      <c r="M29" s="58">
        <f t="shared" si="0"/>
        <v>31607336.800623696</v>
      </c>
      <c r="O29" s="74">
        <f t="shared" si="4"/>
        <v>0.90767952455002088</v>
      </c>
      <c r="Q29" s="19" t="str">
        <f>+'Reference prices RPM'!AD29</f>
        <v>€/(kWh/dia)/ano</v>
      </c>
      <c r="R29" s="59">
        <f t="shared" si="2"/>
        <v>0.17055948133164864</v>
      </c>
      <c r="S29" s="257"/>
      <c r="T29" s="19" t="s">
        <v>41</v>
      </c>
      <c r="U29" s="58">
        <f t="shared" si="3"/>
        <v>28689332.439482491</v>
      </c>
    </row>
    <row r="30" spans="2:21" ht="15" x14ac:dyDescent="0.25">
      <c r="B30" s="3"/>
      <c r="C30" s="21" t="str">
        <f>+'Reference prices RPM'!C30</f>
        <v>HP Customers</v>
      </c>
      <c r="D30" s="12" t="str">
        <f>+'Reference prices RPM'!D30</f>
        <v>Annual Flexible Rate - Annual Base Capacity</v>
      </c>
      <c r="E30" s="12">
        <f>+'Reference prices RPM'!E30</f>
        <v>0</v>
      </c>
      <c r="F30" s="249">
        <f>Data_b!$D$53</f>
        <v>12</v>
      </c>
      <c r="G30" s="53">
        <f>+Data_a!L31</f>
        <v>74865740.840000004</v>
      </c>
      <c r="I30" s="11" t="str">
        <f>+'Reference prices RPM'!L30</f>
        <v>€/(kWh/dia)/ano</v>
      </c>
      <c r="J30" s="43">
        <f>+'Pre-scaling CWD 28-72'!P39</f>
        <v>0.18790715965109264</v>
      </c>
      <c r="L30" s="11" t="s">
        <v>41</v>
      </c>
      <c r="M30" s="53">
        <f t="shared" si="0"/>
        <v>14067808.716419207</v>
      </c>
      <c r="O30" s="71">
        <f t="shared" si="4"/>
        <v>0.90767952455002088</v>
      </c>
      <c r="Q30" s="11" t="str">
        <f>+'Reference prices RPM'!AD30</f>
        <v>€/(kWh/dia)/ano</v>
      </c>
      <c r="R30" s="43">
        <f t="shared" si="2"/>
        <v>0.17055948133164864</v>
      </c>
      <c r="S30" s="257"/>
      <c r="T30" s="11" t="s">
        <v>41</v>
      </c>
      <c r="U30" s="53">
        <f t="shared" si="3"/>
        <v>12769061.927180028</v>
      </c>
    </row>
    <row r="31" spans="2:21" ht="15" x14ac:dyDescent="0.25">
      <c r="B31" s="3"/>
      <c r="C31" s="22"/>
      <c r="D31" s="10" t="str">
        <f>+'Reference prices RPM'!D31</f>
        <v>Annual Flexible Rate - Additional Monthly Capacity (April to September)</v>
      </c>
      <c r="E31" s="10">
        <f>+'Reference prices RPM'!E31</f>
        <v>0</v>
      </c>
      <c r="F31" s="389">
        <f>+Data_b!$D$52</f>
        <v>6</v>
      </c>
      <c r="G31" s="55">
        <f>+Data_a!L32</f>
        <v>0</v>
      </c>
      <c r="I31" s="14" t="str">
        <f>+'Reference prices RPM'!L31</f>
        <v>€/(kWh/dia)/ano</v>
      </c>
      <c r="J31" s="40">
        <f>+'Pre-scaling CWD 28-72'!P40</f>
        <v>0.28186073947663898</v>
      </c>
      <c r="L31" s="14" t="s">
        <v>41</v>
      </c>
      <c r="M31" s="55">
        <f t="shared" si="0"/>
        <v>0</v>
      </c>
      <c r="O31" s="72">
        <f t="shared" si="4"/>
        <v>0.90767952455002088</v>
      </c>
      <c r="Q31" s="14" t="str">
        <f>+'Reference prices RPM'!AD31</f>
        <v>€/(kWh/dia)/ano</v>
      </c>
      <c r="R31" s="40">
        <f t="shared" si="2"/>
        <v>0.25583922199747294</v>
      </c>
      <c r="S31" s="257"/>
      <c r="T31" s="14" t="s">
        <v>41</v>
      </c>
      <c r="U31" s="55">
        <f t="shared" si="3"/>
        <v>0</v>
      </c>
    </row>
    <row r="32" spans="2:21" ht="15" x14ac:dyDescent="0.25">
      <c r="B32" s="3"/>
      <c r="C32" s="22"/>
      <c r="D32" s="10" t="str">
        <f>+'Reference prices RPM'!D32</f>
        <v>Flexible Monthly Rate - Monthly Capacity (October to March)</v>
      </c>
      <c r="E32" s="10">
        <f>+'Reference prices RPM'!E32</f>
        <v>0</v>
      </c>
      <c r="F32" s="389">
        <f>+Data_b!$D$51</f>
        <v>6</v>
      </c>
      <c r="G32" s="55">
        <f>+Data_a!L33</f>
        <v>27009366.044198893</v>
      </c>
      <c r="I32" s="14" t="str">
        <f>+'Reference prices RPM'!L32</f>
        <v>€/(kWh/dia)/ano</v>
      </c>
      <c r="J32" s="40">
        <f>+'Pre-scaling CWD 28-72'!P41</f>
        <v>0.56372147895327795</v>
      </c>
      <c r="L32" s="14" t="s">
        <v>41</v>
      </c>
      <c r="M32" s="55">
        <f t="shared" si="0"/>
        <v>7612879.8860131232</v>
      </c>
      <c r="O32" s="72">
        <f t="shared" si="4"/>
        <v>0.90767952455002088</v>
      </c>
      <c r="Q32" s="14" t="str">
        <f>+'Reference prices RPM'!AD32</f>
        <v>€/(kWh/dia)/ano</v>
      </c>
      <c r="R32" s="40">
        <f t="shared" si="2"/>
        <v>0.51167844399494589</v>
      </c>
      <c r="S32" s="257"/>
      <c r="T32" s="14" t="s">
        <v>41</v>
      </c>
      <c r="U32" s="55">
        <f t="shared" si="3"/>
        <v>6910055.195392807</v>
      </c>
    </row>
    <row r="33" spans="2:21" ht="15" x14ac:dyDescent="0.25">
      <c r="B33" s="3"/>
      <c r="C33" s="22"/>
      <c r="D33" s="10" t="str">
        <f>+'Reference prices RPM'!D33</f>
        <v>Flexible Monthly Rate - Monthly Capacity (April to September)</v>
      </c>
      <c r="E33" s="10">
        <f>+'Reference prices RPM'!E33</f>
        <v>0</v>
      </c>
      <c r="F33" s="389">
        <f>+Data_b!$D$52</f>
        <v>6</v>
      </c>
      <c r="G33" s="55">
        <f>+Data_a!L34</f>
        <v>32280449.869565219</v>
      </c>
      <c r="I33" s="14" t="str">
        <f>+'Reference prices RPM'!L33</f>
        <v>€/(kWh/dia)/ano</v>
      </c>
      <c r="J33" s="40">
        <f>+'Pre-scaling CWD 28-72'!P42</f>
        <v>0.28186073947663898</v>
      </c>
      <c r="L33" s="14" t="s">
        <v>41</v>
      </c>
      <c r="M33" s="55">
        <f t="shared" si="0"/>
        <v>4549295.7354371138</v>
      </c>
      <c r="O33" s="72">
        <f t="shared" si="4"/>
        <v>0.90767952455002088</v>
      </c>
      <c r="Q33" s="14" t="str">
        <f>+'Reference prices RPM'!AD33</f>
        <v>€/(kWh/dia)/ano</v>
      </c>
      <c r="R33" s="40">
        <f t="shared" si="2"/>
        <v>0.25583922199747294</v>
      </c>
      <c r="S33" s="257"/>
      <c r="T33" s="14" t="s">
        <v>41</v>
      </c>
      <c r="U33" s="55">
        <f t="shared" si="3"/>
        <v>4129302.5901789963</v>
      </c>
    </row>
    <row r="34" spans="2:21" ht="15" x14ac:dyDescent="0.25">
      <c r="B34" s="3"/>
      <c r="C34" s="22"/>
      <c r="D34" s="10" t="str">
        <f>+'Reference prices RPM'!D34</f>
        <v>Daily Flexible Rate - Daily Capacity (October to March)</v>
      </c>
      <c r="E34" s="10">
        <f>+'Reference prices RPM'!E34</f>
        <v>0</v>
      </c>
      <c r="F34" s="247">
        <f>+Data_b!$D$51</f>
        <v>6</v>
      </c>
      <c r="G34" s="55">
        <f>+Data_a!L35</f>
        <v>0</v>
      </c>
      <c r="I34" s="14" t="str">
        <f>+'Reference prices RPM'!L34</f>
        <v>€/(kWh/dia)/ano</v>
      </c>
      <c r="J34" s="40">
        <f>+'Pre-scaling CWD 28-72'!P43</f>
        <v>1.8790715965109264</v>
      </c>
      <c r="L34" s="14" t="s">
        <v>41</v>
      </c>
      <c r="M34" s="55">
        <f t="shared" si="0"/>
        <v>0</v>
      </c>
      <c r="O34" s="72">
        <f t="shared" si="4"/>
        <v>0.90767952455002088</v>
      </c>
      <c r="Q34" s="14" t="str">
        <f>+'Reference prices RPM'!AD34</f>
        <v>€/(kWh/dia)/ano</v>
      </c>
      <c r="R34" s="40">
        <f t="shared" si="2"/>
        <v>1.7055948133164862</v>
      </c>
      <c r="S34" s="257"/>
      <c r="T34" s="14" t="s">
        <v>41</v>
      </c>
      <c r="U34" s="55">
        <f t="shared" si="3"/>
        <v>0</v>
      </c>
    </row>
    <row r="35" spans="2:21" ht="15.75" thickBot="1" x14ac:dyDescent="0.3">
      <c r="B35" s="4"/>
      <c r="C35" s="23"/>
      <c r="D35" s="17" t="str">
        <f>+'Reference prices RPM'!D35</f>
        <v>Daily Flexible Rate - Daily Capacity (April to September)</v>
      </c>
      <c r="E35" s="17">
        <f>+'Reference prices RPM'!E35</f>
        <v>0</v>
      </c>
      <c r="F35" s="251">
        <f>+Data_b!$D$52</f>
        <v>6</v>
      </c>
      <c r="G35" s="57">
        <f>+Data_a!L36</f>
        <v>0</v>
      </c>
      <c r="I35" s="16" t="str">
        <f>+'Reference prices RPM'!L35</f>
        <v>€/(kWh/dia)/ano</v>
      </c>
      <c r="J35" s="41">
        <f>+'Pre-scaling CWD 28-72'!P44</f>
        <v>1.1274429579065559</v>
      </c>
      <c r="L35" s="16" t="s">
        <v>41</v>
      </c>
      <c r="M35" s="57">
        <f t="shared" si="0"/>
        <v>0</v>
      </c>
      <c r="O35" s="73">
        <f t="shared" si="4"/>
        <v>0.90767952455002088</v>
      </c>
      <c r="Q35" s="16" t="str">
        <f>+'Reference prices RPM'!AD35</f>
        <v>€/(kWh/dia)/ano</v>
      </c>
      <c r="R35" s="41">
        <f t="shared" si="2"/>
        <v>1.0233568879898918</v>
      </c>
      <c r="S35" s="257"/>
      <c r="T35" s="16" t="s">
        <v>41</v>
      </c>
      <c r="U35" s="57">
        <f t="shared" si="3"/>
        <v>0</v>
      </c>
    </row>
    <row r="36" spans="2:21" ht="15.75" thickBot="1" x14ac:dyDescent="0.3"/>
    <row r="37" spans="2:21" ht="15.75" thickBot="1" x14ac:dyDescent="0.3">
      <c r="L37" s="2" t="str">
        <f>+'Reference prices RPM'!R37</f>
        <v>Divisão de entrada-saída, pré-escalamento</v>
      </c>
      <c r="M37" s="68"/>
      <c r="O37" s="64" t="str">
        <f>+'Reference prices RPM'!X37</f>
        <v>Fatores de escalamento</v>
      </c>
    </row>
    <row r="38" spans="2:21" ht="15" x14ac:dyDescent="0.25">
      <c r="L38" s="11" t="str">
        <f>+'Reference prices RPM'!R38</f>
        <v>Entry</v>
      </c>
      <c r="M38" s="65">
        <f>SUM(M5:M16)/SUM(M5:M35)</f>
        <v>0.28106425675574431</v>
      </c>
      <c r="O38" s="69">
        <f>M42*'RPM inputs'!E22/SUM('Reference prices CWD 28-72'!$M$5:$M$16)</f>
        <v>0.90290598155508728</v>
      </c>
    </row>
    <row r="39" spans="2:21" ht="15" customHeight="1" thickBot="1" x14ac:dyDescent="0.3">
      <c r="L39" s="16" t="str">
        <f>+'Reference prices RPM'!R39</f>
        <v>Exit</v>
      </c>
      <c r="M39" s="66">
        <f>SUM(M17:M35)/SUM(M5:M35)</f>
        <v>0.7189357432442558</v>
      </c>
      <c r="O39" s="70">
        <f>M43*'RPM inputs'!E22/SUM('Reference prices CWD 28-72'!$M$17:$M$35)</f>
        <v>0.90767952455002088</v>
      </c>
    </row>
    <row r="40" spans="2:21" ht="15" customHeight="1" thickBot="1" x14ac:dyDescent="0.3"/>
    <row r="41" spans="2:21" ht="15" customHeight="1" thickBot="1" x14ac:dyDescent="0.3">
      <c r="L41" s="2" t="str">
        <f>+'Reference prices RPM'!R41</f>
        <v>Divisão de entrada-saída, pós-escalamento</v>
      </c>
      <c r="M41" s="68"/>
    </row>
    <row r="42" spans="2:21" ht="15" customHeight="1" x14ac:dyDescent="0.25">
      <c r="L42" s="11" t="str">
        <f>+'Reference prices RPM'!R42</f>
        <v>Entry</v>
      </c>
      <c r="M42" s="258">
        <f>+Data_b!D4</f>
        <v>0.28000000000000003</v>
      </c>
    </row>
    <row r="43" spans="2:21" ht="15" customHeight="1" thickBot="1" x14ac:dyDescent="0.3">
      <c r="L43" s="16" t="str">
        <f>+'Reference prices RPM'!R43</f>
        <v>Exit</v>
      </c>
      <c r="M43" s="259">
        <f>+Data_b!D5</f>
        <v>0.72</v>
      </c>
    </row>
    <row r="44" spans="2:21" ht="15" customHeight="1" x14ac:dyDescent="0.25"/>
  </sheetData>
  <pageMargins left="0.7" right="0.7" top="0.75" bottom="0.75" header="0.3" footer="0.3"/>
  <pageSetup paperSize="9" orientation="portrait" r:id="rId1"/>
  <ignoredErrors>
    <ignoredError sqref="F32:F33 F34"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2"/>
  <sheetViews>
    <sheetView showGridLines="0" zoomScaleNormal="100" workbookViewId="0">
      <selection activeCell="B22" sqref="B22"/>
    </sheetView>
  </sheetViews>
  <sheetFormatPr defaultColWidth="0" defaultRowHeight="15" zeroHeight="1" x14ac:dyDescent="0.25"/>
  <cols>
    <col min="1" max="1" width="3.85546875" customWidth="1"/>
    <col min="2" max="2" width="9.140625" customWidth="1"/>
    <col min="3" max="3" width="37.140625" customWidth="1"/>
    <col min="4" max="4" width="63.140625" bestFit="1" customWidth="1"/>
    <col min="5" max="5" width="20.140625" bestFit="1" customWidth="1"/>
    <col min="6" max="10" width="12" customWidth="1"/>
    <col min="11" max="11" width="4.28515625" customWidth="1"/>
    <col min="12" max="12" width="15.7109375" bestFit="1" customWidth="1"/>
    <col min="13" max="14" width="9.140625" customWidth="1"/>
    <col min="15" max="15" width="35.140625" bestFit="1" customWidth="1"/>
    <col min="16" max="16" width="9.140625" customWidth="1"/>
    <col min="17" max="17" width="18" customWidth="1"/>
    <col min="18" max="19" width="9.140625" customWidth="1"/>
    <col min="20" max="20" width="26.7109375" customWidth="1"/>
    <col min="21" max="21" width="10.7109375" customWidth="1"/>
    <col min="22" max="22" width="12.42578125" customWidth="1"/>
    <col min="23" max="23" width="9.140625" customWidth="1"/>
    <col min="24" max="24" width="4.28515625" customWidth="1"/>
    <col min="25" max="25" width="46.42578125" bestFit="1" customWidth="1"/>
    <col min="26" max="26" width="10.85546875" bestFit="1" customWidth="1"/>
    <col min="27" max="27" width="9.140625" customWidth="1"/>
    <col min="28" max="16384" width="9.140625" hidden="1"/>
  </cols>
  <sheetData>
    <row r="1" spans="2:12" x14ac:dyDescent="0.25"/>
    <row r="2" spans="2:12" ht="15.75" thickBot="1" x14ac:dyDescent="0.3"/>
    <row r="3" spans="2:12" ht="15.75" thickBot="1" x14ac:dyDescent="0.3">
      <c r="L3" s="400" t="s">
        <v>351</v>
      </c>
    </row>
    <row r="4" spans="2:12" ht="15.75" thickBot="1" x14ac:dyDescent="0.3">
      <c r="C4" s="2" t="s">
        <v>203</v>
      </c>
      <c r="D4" s="145"/>
      <c r="E4" s="146"/>
      <c r="F4" s="24" t="s">
        <v>129</v>
      </c>
      <c r="G4" s="24" t="str">
        <f>+Input!G9</f>
        <v>2019-2020</v>
      </c>
      <c r="H4" s="24" t="str">
        <f>+Input!H9</f>
        <v>2020-2021</v>
      </c>
      <c r="I4" s="24" t="str">
        <f>+Input!I9</f>
        <v>2021-2022</v>
      </c>
      <c r="J4" s="24" t="str">
        <f>+Input!J9</f>
        <v>2022-2023</v>
      </c>
      <c r="L4" s="398" t="str">
        <f>+G4</f>
        <v>2019-2020</v>
      </c>
    </row>
    <row r="5" spans="2:12" ht="15.75" thickBot="1" x14ac:dyDescent="0.3">
      <c r="B5" s="147"/>
      <c r="C5" s="8" t="s">
        <v>204</v>
      </c>
      <c r="D5" s="8" t="s">
        <v>205</v>
      </c>
      <c r="E5" s="8" t="s">
        <v>206</v>
      </c>
      <c r="F5" s="260"/>
      <c r="G5" s="261"/>
      <c r="H5" s="261"/>
      <c r="I5" s="261"/>
      <c r="J5" s="253"/>
      <c r="L5" s="45"/>
    </row>
    <row r="6" spans="2:12" x14ac:dyDescent="0.25">
      <c r="B6" s="5" t="s">
        <v>159</v>
      </c>
      <c r="C6" s="21" t="s">
        <v>1</v>
      </c>
      <c r="D6" s="12" t="s">
        <v>208</v>
      </c>
      <c r="E6" s="13" t="s">
        <v>207</v>
      </c>
      <c r="F6" s="136">
        <v>101055477.62499939</v>
      </c>
      <c r="G6" s="328">
        <f>+Input!G10</f>
        <v>65554935.292646319</v>
      </c>
      <c r="H6" s="328">
        <f>+Input!H10</f>
        <v>65554935.292646319</v>
      </c>
      <c r="I6" s="328">
        <f>+Input!I10</f>
        <v>65554935.292646319</v>
      </c>
      <c r="J6" s="34">
        <f>+Input!J10</f>
        <v>65554935.292646319</v>
      </c>
      <c r="L6" s="324">
        <f>INDEX($F6:$J6,MATCH($L$4,$F$4:$J$4,0))</f>
        <v>65554935.292646319</v>
      </c>
    </row>
    <row r="7" spans="2:12" x14ac:dyDescent="0.25">
      <c r="B7" s="6"/>
      <c r="C7" s="22"/>
      <c r="D7" s="10" t="s">
        <v>209</v>
      </c>
      <c r="E7" s="10" t="s">
        <v>207</v>
      </c>
      <c r="F7" s="138">
        <v>3781413.2963089836</v>
      </c>
      <c r="G7" s="329">
        <f>+Input!G11</f>
        <v>231556.19844696461</v>
      </c>
      <c r="H7" s="329">
        <f>+Input!H11</f>
        <v>231556.19844696461</v>
      </c>
      <c r="I7" s="329">
        <f>+Input!I11</f>
        <v>231556.19844696461</v>
      </c>
      <c r="J7" s="154">
        <f>+Input!J11</f>
        <v>231556.19844696461</v>
      </c>
      <c r="L7" s="325">
        <f t="shared" ref="L7:L36" si="0">INDEX($F7:$J7,MATCH($L$4,$F$4:$J$4,0))</f>
        <v>231556.19844696461</v>
      </c>
    </row>
    <row r="8" spans="2:12" x14ac:dyDescent="0.25">
      <c r="B8" s="6"/>
      <c r="C8" s="22"/>
      <c r="D8" s="10" t="s">
        <v>210</v>
      </c>
      <c r="E8" s="10" t="s">
        <v>207</v>
      </c>
      <c r="F8" s="138">
        <v>3196185.2494030823</v>
      </c>
      <c r="G8" s="329">
        <f>+Input!G12</f>
        <v>6472593.694010146</v>
      </c>
      <c r="H8" s="329">
        <f>+Input!H12</f>
        <v>6472593.694010146</v>
      </c>
      <c r="I8" s="329">
        <f>+Input!I12</f>
        <v>6472593.694010146</v>
      </c>
      <c r="J8" s="154">
        <f>+Input!J12</f>
        <v>6472593.694010146</v>
      </c>
      <c r="L8" s="325">
        <f t="shared" si="0"/>
        <v>6472593.694010146</v>
      </c>
    </row>
    <row r="9" spans="2:12" x14ac:dyDescent="0.25">
      <c r="B9" s="6"/>
      <c r="C9" s="22"/>
      <c r="D9" s="10" t="s">
        <v>211</v>
      </c>
      <c r="E9" s="10" t="s">
        <v>207</v>
      </c>
      <c r="F9" s="138">
        <v>6249731.2053220551</v>
      </c>
      <c r="G9" s="329">
        <f>+Input!G13</f>
        <v>7655421.9671416637</v>
      </c>
      <c r="H9" s="329">
        <f>+Input!H13</f>
        <v>7655421.9671416637</v>
      </c>
      <c r="I9" s="329">
        <f>+Input!I13</f>
        <v>7655421.9671416637</v>
      </c>
      <c r="J9" s="154">
        <f>+Input!J13</f>
        <v>7655421.9671416637</v>
      </c>
      <c r="L9" s="325">
        <f t="shared" si="0"/>
        <v>7655421.9671416637</v>
      </c>
    </row>
    <row r="10" spans="2:12" ht="15.75" thickBot="1" x14ac:dyDescent="0.3">
      <c r="B10" s="6"/>
      <c r="C10" s="23"/>
      <c r="D10" s="17" t="s">
        <v>213</v>
      </c>
      <c r="E10" s="17" t="s">
        <v>25</v>
      </c>
      <c r="F10" s="140">
        <v>0</v>
      </c>
      <c r="G10" s="330">
        <f>+Input!G14</f>
        <v>0</v>
      </c>
      <c r="H10" s="330">
        <f>+Input!H14</f>
        <v>0</v>
      </c>
      <c r="I10" s="330">
        <f>+Input!I14</f>
        <v>0</v>
      </c>
      <c r="J10" s="240">
        <f>+Input!J14</f>
        <v>0</v>
      </c>
      <c r="L10" s="326">
        <f t="shared" si="0"/>
        <v>0</v>
      </c>
    </row>
    <row r="11" spans="2:12" x14ac:dyDescent="0.25">
      <c r="B11" s="6"/>
      <c r="C11" s="21" t="s">
        <v>202</v>
      </c>
      <c r="D11" s="12" t="s">
        <v>208</v>
      </c>
      <c r="E11" s="13" t="s">
        <v>207</v>
      </c>
      <c r="F11" s="136">
        <v>57913063.754080206</v>
      </c>
      <c r="G11" s="328">
        <f>+Input!G15</f>
        <v>95181945.454248399</v>
      </c>
      <c r="H11" s="328">
        <f>+Input!H15</f>
        <v>95181945.454248399</v>
      </c>
      <c r="I11" s="328">
        <f>+Input!I15</f>
        <v>95181945.454248399</v>
      </c>
      <c r="J11" s="34">
        <f>+Input!J15</f>
        <v>95181945.454248399</v>
      </c>
      <c r="L11" s="324">
        <f t="shared" si="0"/>
        <v>95181945.454248399</v>
      </c>
    </row>
    <row r="12" spans="2:12" x14ac:dyDescent="0.25">
      <c r="B12" s="6"/>
      <c r="C12" s="22"/>
      <c r="D12" s="10" t="s">
        <v>209</v>
      </c>
      <c r="E12" s="10" t="s">
        <v>207</v>
      </c>
      <c r="F12" s="138">
        <v>30470.538090372243</v>
      </c>
      <c r="G12" s="329">
        <f>+Input!G16</f>
        <v>7113057.264897964</v>
      </c>
      <c r="H12" s="329">
        <f>+Input!H16</f>
        <v>7113057.264897964</v>
      </c>
      <c r="I12" s="329">
        <f>+Input!I16</f>
        <v>7113057.264897964</v>
      </c>
      <c r="J12" s="154">
        <f>+Input!J16</f>
        <v>7113057.264897964</v>
      </c>
      <c r="L12" s="325">
        <f t="shared" si="0"/>
        <v>7113057.264897964</v>
      </c>
    </row>
    <row r="13" spans="2:12" x14ac:dyDescent="0.25">
      <c r="B13" s="6"/>
      <c r="C13" s="22"/>
      <c r="D13" s="10" t="s">
        <v>210</v>
      </c>
      <c r="E13" s="10" t="s">
        <v>207</v>
      </c>
      <c r="F13" s="138">
        <v>5257079.8793693287</v>
      </c>
      <c r="G13" s="329">
        <f>+Input!G17</f>
        <v>1432849.3585735292</v>
      </c>
      <c r="H13" s="329">
        <f>+Input!H17</f>
        <v>1432849.3585735292</v>
      </c>
      <c r="I13" s="329">
        <f>+Input!I17</f>
        <v>1432849.3585735292</v>
      </c>
      <c r="J13" s="154">
        <f>+Input!J17</f>
        <v>1432849.3585735292</v>
      </c>
      <c r="L13" s="325">
        <f t="shared" si="0"/>
        <v>1432849.3585735292</v>
      </c>
    </row>
    <row r="14" spans="2:12" x14ac:dyDescent="0.25">
      <c r="B14" s="6"/>
      <c r="C14" s="22"/>
      <c r="D14" s="10" t="s">
        <v>211</v>
      </c>
      <c r="E14" s="10" t="s">
        <v>207</v>
      </c>
      <c r="F14" s="138">
        <v>8637860.6009332612</v>
      </c>
      <c r="G14" s="329">
        <f>+Input!G18</f>
        <v>12177235.572217982</v>
      </c>
      <c r="H14" s="329">
        <f>+Input!H18</f>
        <v>12177235.572217982</v>
      </c>
      <c r="I14" s="329">
        <f>+Input!I18</f>
        <v>12177235.572217982</v>
      </c>
      <c r="J14" s="154">
        <f>+Input!J18</f>
        <v>12177235.572217982</v>
      </c>
      <c r="L14" s="325">
        <f t="shared" si="0"/>
        <v>12177235.572217982</v>
      </c>
    </row>
    <row r="15" spans="2:12" ht="15.75" thickBot="1" x14ac:dyDescent="0.3">
      <c r="B15" s="6"/>
      <c r="C15" s="23"/>
      <c r="D15" s="17" t="s">
        <v>213</v>
      </c>
      <c r="E15" s="17" t="s">
        <v>25</v>
      </c>
      <c r="F15" s="140">
        <v>0</v>
      </c>
      <c r="G15" s="330">
        <f>+Input!G19</f>
        <v>0</v>
      </c>
      <c r="H15" s="330">
        <f>+Input!H19</f>
        <v>0</v>
      </c>
      <c r="I15" s="330">
        <f>+Input!I19</f>
        <v>0</v>
      </c>
      <c r="J15" s="240">
        <f>+Input!J19</f>
        <v>0</v>
      </c>
      <c r="L15" s="326">
        <f t="shared" si="0"/>
        <v>0</v>
      </c>
    </row>
    <row r="16" spans="2:12" x14ac:dyDescent="0.25">
      <c r="B16" s="6"/>
      <c r="C16" s="21" t="s">
        <v>212</v>
      </c>
      <c r="D16" s="12" t="s">
        <v>211</v>
      </c>
      <c r="E16" s="13" t="s">
        <v>207</v>
      </c>
      <c r="F16" s="136">
        <v>4552784.7835616451</v>
      </c>
      <c r="G16" s="328">
        <f>+Input!G20</f>
        <v>8631715.4602739699</v>
      </c>
      <c r="H16" s="328">
        <f>+Input!H20</f>
        <v>8631715.4602739699</v>
      </c>
      <c r="I16" s="328">
        <f>+Input!I20</f>
        <v>8631715.4602739699</v>
      </c>
      <c r="J16" s="34">
        <f>+Input!J20</f>
        <v>8631715.4602739699</v>
      </c>
      <c r="L16" s="324">
        <f t="shared" si="0"/>
        <v>8631715.4602739699</v>
      </c>
    </row>
    <row r="17" spans="2:12" ht="15.75" thickBot="1" x14ac:dyDescent="0.3">
      <c r="B17" s="7"/>
      <c r="C17" s="23"/>
      <c r="D17" s="17" t="s">
        <v>213</v>
      </c>
      <c r="E17" s="17" t="s">
        <v>25</v>
      </c>
      <c r="F17" s="140">
        <v>0</v>
      </c>
      <c r="G17" s="330">
        <f>+Input!G21</f>
        <v>0</v>
      </c>
      <c r="H17" s="330">
        <f>+Input!H21</f>
        <v>0</v>
      </c>
      <c r="I17" s="330">
        <f>+Input!I21</f>
        <v>0</v>
      </c>
      <c r="J17" s="240">
        <f>+Input!J21</f>
        <v>0</v>
      </c>
      <c r="L17" s="326">
        <f t="shared" si="0"/>
        <v>0</v>
      </c>
    </row>
    <row r="18" spans="2:12" x14ac:dyDescent="0.25">
      <c r="B18" s="5" t="s">
        <v>160</v>
      </c>
      <c r="C18" s="21" t="s">
        <v>1</v>
      </c>
      <c r="D18" s="12" t="s">
        <v>208</v>
      </c>
      <c r="E18" s="13" t="s">
        <v>207</v>
      </c>
      <c r="F18" s="136">
        <v>0</v>
      </c>
      <c r="G18" s="328">
        <f>+Input!G22</f>
        <v>0</v>
      </c>
      <c r="H18" s="328">
        <f>+Input!H22</f>
        <v>0</v>
      </c>
      <c r="I18" s="328">
        <f>+Input!I22</f>
        <v>0</v>
      </c>
      <c r="J18" s="34">
        <f>+Input!J22</f>
        <v>0</v>
      </c>
      <c r="L18" s="324">
        <f t="shared" si="0"/>
        <v>0</v>
      </c>
    </row>
    <row r="19" spans="2:12" x14ac:dyDescent="0.25">
      <c r="B19" s="3"/>
      <c r="C19" s="22"/>
      <c r="D19" s="10" t="s">
        <v>209</v>
      </c>
      <c r="E19" s="10" t="s">
        <v>207</v>
      </c>
      <c r="F19" s="138">
        <v>0</v>
      </c>
      <c r="G19" s="329">
        <f>+Input!G23</f>
        <v>0</v>
      </c>
      <c r="H19" s="329">
        <f>+Input!H23</f>
        <v>0</v>
      </c>
      <c r="I19" s="329">
        <f>+Input!I23</f>
        <v>0</v>
      </c>
      <c r="J19" s="154">
        <f>+Input!J23</f>
        <v>0</v>
      </c>
      <c r="L19" s="325">
        <f t="shared" si="0"/>
        <v>0</v>
      </c>
    </row>
    <row r="20" spans="2:12" x14ac:dyDescent="0.25">
      <c r="B20" s="3"/>
      <c r="C20" s="22"/>
      <c r="D20" s="10" t="s">
        <v>210</v>
      </c>
      <c r="E20" s="10" t="s">
        <v>207</v>
      </c>
      <c r="F20" s="138">
        <v>0</v>
      </c>
      <c r="G20" s="329">
        <f>+Input!G24</f>
        <v>0</v>
      </c>
      <c r="H20" s="329">
        <f>+Input!H24</f>
        <v>0</v>
      </c>
      <c r="I20" s="329">
        <f>+Input!I24</f>
        <v>0</v>
      </c>
      <c r="J20" s="154">
        <f>+Input!J24</f>
        <v>0</v>
      </c>
      <c r="L20" s="325">
        <f t="shared" si="0"/>
        <v>0</v>
      </c>
    </row>
    <row r="21" spans="2:12" x14ac:dyDescent="0.25">
      <c r="B21" s="3"/>
      <c r="C21" s="22"/>
      <c r="D21" s="10" t="s">
        <v>211</v>
      </c>
      <c r="E21" s="10" t="s">
        <v>207</v>
      </c>
      <c r="F21" s="138">
        <v>125683.1174863388</v>
      </c>
      <c r="G21" s="329">
        <f>+Input!G25</f>
        <v>408694.55737704912</v>
      </c>
      <c r="H21" s="329">
        <f>+Input!H25</f>
        <v>408694.55737704912</v>
      </c>
      <c r="I21" s="329">
        <f>+Input!I25</f>
        <v>408694.55737704912</v>
      </c>
      <c r="J21" s="154">
        <f>+Input!J25</f>
        <v>408694.55737704912</v>
      </c>
      <c r="L21" s="325">
        <f t="shared" si="0"/>
        <v>408694.55737704912</v>
      </c>
    </row>
    <row r="22" spans="2:12" ht="15.75" thickBot="1" x14ac:dyDescent="0.3">
      <c r="B22" s="3"/>
      <c r="C22" s="23"/>
      <c r="D22" s="17" t="s">
        <v>213</v>
      </c>
      <c r="E22" s="17" t="s">
        <v>25</v>
      </c>
      <c r="F22" s="140">
        <v>0</v>
      </c>
      <c r="G22" s="330">
        <f>+Input!G26</f>
        <v>0</v>
      </c>
      <c r="H22" s="330">
        <f>+Input!H26</f>
        <v>0</v>
      </c>
      <c r="I22" s="330">
        <f>+Input!I26</f>
        <v>0</v>
      </c>
      <c r="J22" s="240">
        <f>+Input!J26</f>
        <v>0</v>
      </c>
      <c r="L22" s="326">
        <f t="shared" si="0"/>
        <v>0</v>
      </c>
    </row>
    <row r="23" spans="2:12" x14ac:dyDescent="0.25">
      <c r="B23" s="3"/>
      <c r="C23" s="21" t="s">
        <v>202</v>
      </c>
      <c r="D23" s="12" t="s">
        <v>208</v>
      </c>
      <c r="E23" s="13" t="s">
        <v>207</v>
      </c>
      <c r="F23" s="136">
        <v>0</v>
      </c>
      <c r="G23" s="328">
        <f>+Input!G27</f>
        <v>0</v>
      </c>
      <c r="H23" s="328">
        <f>+Input!H27</f>
        <v>0</v>
      </c>
      <c r="I23" s="328">
        <f>+Input!I27</f>
        <v>0</v>
      </c>
      <c r="J23" s="34">
        <f>+Input!J27</f>
        <v>0</v>
      </c>
      <c r="L23" s="324">
        <f t="shared" si="0"/>
        <v>0</v>
      </c>
    </row>
    <row r="24" spans="2:12" x14ac:dyDescent="0.25">
      <c r="B24" s="3"/>
      <c r="C24" s="22"/>
      <c r="D24" s="10" t="s">
        <v>209</v>
      </c>
      <c r="E24" s="10" t="s">
        <v>207</v>
      </c>
      <c r="F24" s="138">
        <v>0</v>
      </c>
      <c r="G24" s="329">
        <f>+Input!G28</f>
        <v>0</v>
      </c>
      <c r="H24" s="329">
        <f>+Input!H28</f>
        <v>0</v>
      </c>
      <c r="I24" s="329">
        <f>+Input!I28</f>
        <v>0</v>
      </c>
      <c r="J24" s="154">
        <f>+Input!J28</f>
        <v>0</v>
      </c>
      <c r="L24" s="325">
        <f t="shared" si="0"/>
        <v>0</v>
      </c>
    </row>
    <row r="25" spans="2:12" x14ac:dyDescent="0.25">
      <c r="B25" s="3"/>
      <c r="C25" s="22"/>
      <c r="D25" s="10" t="s">
        <v>210</v>
      </c>
      <c r="E25" s="10" t="s">
        <v>207</v>
      </c>
      <c r="F25" s="138">
        <v>0</v>
      </c>
      <c r="G25" s="329">
        <f>+Input!G29</f>
        <v>0</v>
      </c>
      <c r="H25" s="329">
        <f>+Input!H29</f>
        <v>0</v>
      </c>
      <c r="I25" s="329">
        <f>+Input!I29</f>
        <v>0</v>
      </c>
      <c r="J25" s="154">
        <f>+Input!J29</f>
        <v>0</v>
      </c>
      <c r="L25" s="325">
        <f t="shared" si="0"/>
        <v>0</v>
      </c>
    </row>
    <row r="26" spans="2:12" x14ac:dyDescent="0.25">
      <c r="B26" s="3"/>
      <c r="C26" s="22"/>
      <c r="D26" s="10" t="s">
        <v>211</v>
      </c>
      <c r="E26" s="10" t="s">
        <v>207</v>
      </c>
      <c r="F26" s="138">
        <v>1344554.2213114754</v>
      </c>
      <c r="G26" s="329">
        <f>+Input!G30</f>
        <v>0</v>
      </c>
      <c r="H26" s="329">
        <f>+Input!H30</f>
        <v>0</v>
      </c>
      <c r="I26" s="329">
        <f>+Input!I30</f>
        <v>0</v>
      </c>
      <c r="J26" s="154">
        <f>+Input!J30</f>
        <v>0</v>
      </c>
      <c r="L26" s="325">
        <f t="shared" si="0"/>
        <v>0</v>
      </c>
    </row>
    <row r="27" spans="2:12" ht="15.75" thickBot="1" x14ac:dyDescent="0.3">
      <c r="B27" s="3"/>
      <c r="C27" s="23"/>
      <c r="D27" s="17" t="s">
        <v>213</v>
      </c>
      <c r="E27" s="17" t="s">
        <v>25</v>
      </c>
      <c r="F27" s="140">
        <v>0</v>
      </c>
      <c r="G27" s="330">
        <f>+Input!G31</f>
        <v>0</v>
      </c>
      <c r="H27" s="330">
        <f>+Input!H31</f>
        <v>0</v>
      </c>
      <c r="I27" s="330">
        <f>+Input!I31</f>
        <v>0</v>
      </c>
      <c r="J27" s="240">
        <f>+Input!J31</f>
        <v>0</v>
      </c>
      <c r="L27" s="326">
        <f t="shared" si="0"/>
        <v>0</v>
      </c>
    </row>
    <row r="28" spans="2:12" x14ac:dyDescent="0.25">
      <c r="B28" s="3"/>
      <c r="C28" s="21" t="s">
        <v>212</v>
      </c>
      <c r="D28" s="12" t="s">
        <v>211</v>
      </c>
      <c r="E28" s="13" t="s">
        <v>207</v>
      </c>
      <c r="F28" s="136">
        <v>4552784.7835616451</v>
      </c>
      <c r="G28" s="328">
        <f>+Input!G32</f>
        <v>8631715.4602739699</v>
      </c>
      <c r="H28" s="328">
        <f>+Input!H32</f>
        <v>8631715.4602739699</v>
      </c>
      <c r="I28" s="328">
        <f>+Input!I32</f>
        <v>8631715.4602739699</v>
      </c>
      <c r="J28" s="34">
        <f>+Input!J32</f>
        <v>8631715.4602739699</v>
      </c>
      <c r="L28" s="324">
        <f t="shared" si="0"/>
        <v>8631715.4602739699</v>
      </c>
    </row>
    <row r="29" spans="2:12" ht="15.75" thickBot="1" x14ac:dyDescent="0.3">
      <c r="B29" s="3"/>
      <c r="C29" s="23"/>
      <c r="D29" s="17" t="s">
        <v>213</v>
      </c>
      <c r="E29" s="17" t="s">
        <v>25</v>
      </c>
      <c r="F29" s="140">
        <v>0</v>
      </c>
      <c r="G29" s="330">
        <f>+Input!G33</f>
        <v>0</v>
      </c>
      <c r="H29" s="330">
        <f>+Input!H33</f>
        <v>0</v>
      </c>
      <c r="I29" s="330">
        <f>+Input!I33</f>
        <v>0</v>
      </c>
      <c r="J29" s="240">
        <f>+Input!J33</f>
        <v>0</v>
      </c>
      <c r="L29" s="326">
        <f t="shared" si="0"/>
        <v>0</v>
      </c>
    </row>
    <row r="30" spans="2:12" ht="15.75" thickBot="1" x14ac:dyDescent="0.3">
      <c r="B30" s="3"/>
      <c r="C30" s="19" t="s">
        <v>215</v>
      </c>
      <c r="D30" s="20" t="s">
        <v>214</v>
      </c>
      <c r="E30" s="20" t="s">
        <v>207</v>
      </c>
      <c r="F30" s="142">
        <v>164291367</v>
      </c>
      <c r="G30" s="331">
        <f>+Input!G34</f>
        <v>168207197.95516264</v>
      </c>
      <c r="H30" s="331">
        <f>+Input!H34</f>
        <v>168207197.95516264</v>
      </c>
      <c r="I30" s="331">
        <f>+Input!I34</f>
        <v>168207197.95516264</v>
      </c>
      <c r="J30" s="241">
        <f>+Input!J34</f>
        <v>168207197.95516264</v>
      </c>
      <c r="L30" s="327">
        <f t="shared" si="0"/>
        <v>168207197.95516264</v>
      </c>
    </row>
    <row r="31" spans="2:12" x14ac:dyDescent="0.25">
      <c r="B31" s="3"/>
      <c r="C31" s="21" t="s">
        <v>216</v>
      </c>
      <c r="D31" s="12" t="s">
        <v>217</v>
      </c>
      <c r="E31" s="12" t="s">
        <v>207</v>
      </c>
      <c r="F31" s="136">
        <v>64946273.353844963</v>
      </c>
      <c r="G31" s="328">
        <f>+Input!G35</f>
        <v>74865740.840000004</v>
      </c>
      <c r="H31" s="328">
        <f>+Input!H35</f>
        <v>74865740.840000004</v>
      </c>
      <c r="I31" s="328">
        <f>+Input!I35</f>
        <v>74865740.840000004</v>
      </c>
      <c r="J31" s="34">
        <f>+Input!J35</f>
        <v>74865740.840000004</v>
      </c>
      <c r="L31" s="324">
        <f t="shared" si="0"/>
        <v>74865740.840000004</v>
      </c>
    </row>
    <row r="32" spans="2:12" x14ac:dyDescent="0.25">
      <c r="B32" s="3"/>
      <c r="C32" s="22"/>
      <c r="D32" s="10" t="s">
        <v>218</v>
      </c>
      <c r="E32" s="10" t="s">
        <v>207</v>
      </c>
      <c r="F32" s="138">
        <v>0</v>
      </c>
      <c r="G32" s="329">
        <f>+Input!G36</f>
        <v>0</v>
      </c>
      <c r="H32" s="329">
        <f>+Input!H36</f>
        <v>0</v>
      </c>
      <c r="I32" s="329">
        <f>+Input!I36</f>
        <v>0</v>
      </c>
      <c r="J32" s="154">
        <f>+Input!J36</f>
        <v>0</v>
      </c>
      <c r="L32" s="325">
        <f t="shared" si="0"/>
        <v>0</v>
      </c>
    </row>
    <row r="33" spans="2:17" x14ac:dyDescent="0.25">
      <c r="B33" s="3"/>
      <c r="C33" s="22"/>
      <c r="D33" s="10" t="s">
        <v>219</v>
      </c>
      <c r="E33" s="10" t="s">
        <v>207</v>
      </c>
      <c r="F33" s="138">
        <v>39122186.885984398</v>
      </c>
      <c r="G33" s="329">
        <f>+Input!G37</f>
        <v>27009366.044198893</v>
      </c>
      <c r="H33" s="329">
        <f>+Input!H37</f>
        <v>27009366.044198893</v>
      </c>
      <c r="I33" s="329">
        <f>+Input!I37</f>
        <v>27009366.044198893</v>
      </c>
      <c r="J33" s="154">
        <f>+Input!J37</f>
        <v>27009366.044198893</v>
      </c>
      <c r="L33" s="325">
        <f t="shared" si="0"/>
        <v>27009366.044198893</v>
      </c>
    </row>
    <row r="34" spans="2:17" x14ac:dyDescent="0.25">
      <c r="B34" s="3"/>
      <c r="C34" s="22"/>
      <c r="D34" s="10" t="s">
        <v>220</v>
      </c>
      <c r="E34" s="10" t="s">
        <v>207</v>
      </c>
      <c r="F34" s="138">
        <v>38083490.714015611</v>
      </c>
      <c r="G34" s="329">
        <f>+Input!G38</f>
        <v>32280449.869565219</v>
      </c>
      <c r="H34" s="329">
        <f>+Input!H38</f>
        <v>32280449.869565219</v>
      </c>
      <c r="I34" s="329">
        <f>+Input!I38</f>
        <v>32280449.869565219</v>
      </c>
      <c r="J34" s="154">
        <f>+Input!J38</f>
        <v>32280449.869565219</v>
      </c>
      <c r="L34" s="325">
        <f t="shared" si="0"/>
        <v>32280449.869565219</v>
      </c>
    </row>
    <row r="35" spans="2:17" x14ac:dyDescent="0.25">
      <c r="B35" s="3"/>
      <c r="C35" s="22"/>
      <c r="D35" s="10" t="s">
        <v>221</v>
      </c>
      <c r="E35" s="10" t="s">
        <v>207</v>
      </c>
      <c r="F35" s="138">
        <v>0</v>
      </c>
      <c r="G35" s="329">
        <f>+Input!G39</f>
        <v>0</v>
      </c>
      <c r="H35" s="329">
        <f>+Input!H39</f>
        <v>0</v>
      </c>
      <c r="I35" s="329">
        <f>+Input!I39</f>
        <v>0</v>
      </c>
      <c r="J35" s="154">
        <f>+Input!J39</f>
        <v>0</v>
      </c>
      <c r="L35" s="325">
        <f t="shared" si="0"/>
        <v>0</v>
      </c>
    </row>
    <row r="36" spans="2:17" ht="15.75" thickBot="1" x14ac:dyDescent="0.3">
      <c r="B36" s="4"/>
      <c r="C36" s="23"/>
      <c r="D36" s="17" t="s">
        <v>222</v>
      </c>
      <c r="E36" s="17" t="s">
        <v>207</v>
      </c>
      <c r="F36" s="140">
        <v>0</v>
      </c>
      <c r="G36" s="330">
        <f>+Input!G40</f>
        <v>0</v>
      </c>
      <c r="H36" s="330">
        <f>+Input!H40</f>
        <v>0</v>
      </c>
      <c r="I36" s="330">
        <f>+Input!I40</f>
        <v>0</v>
      </c>
      <c r="J36" s="240">
        <f>+Input!J40</f>
        <v>0</v>
      </c>
      <c r="L36" s="326">
        <f t="shared" si="0"/>
        <v>0</v>
      </c>
    </row>
    <row r="37" spans="2:17" ht="15.75" thickBot="1" x14ac:dyDescent="0.3">
      <c r="C37" s="401" t="s">
        <v>305</v>
      </c>
    </row>
    <row r="38" spans="2:17" ht="15.75" thickBot="1" x14ac:dyDescent="0.3">
      <c r="O38" s="2" t="s">
        <v>223</v>
      </c>
      <c r="P38" s="146"/>
      <c r="Q38" s="24" t="s">
        <v>130</v>
      </c>
    </row>
    <row r="39" spans="2:17" ht="15.75" thickBot="1" x14ac:dyDescent="0.3">
      <c r="N39" s="147"/>
      <c r="O39" s="8" t="s">
        <v>4</v>
      </c>
      <c r="P39" s="8" t="s">
        <v>5</v>
      </c>
      <c r="Q39" s="9"/>
    </row>
    <row r="40" spans="2:17" x14ac:dyDescent="0.25">
      <c r="N40" s="5" t="s">
        <v>0</v>
      </c>
      <c r="O40" s="11" t="str">
        <f>+'Pre-scaling RPM'!B4</f>
        <v>VIP [A+B]</v>
      </c>
      <c r="P40" s="13" t="str">
        <f>+$E$6</f>
        <v>kWh/dia</v>
      </c>
      <c r="Q40" s="137">
        <v>130204476.72477064</v>
      </c>
    </row>
    <row r="41" spans="2:17" x14ac:dyDescent="0.25">
      <c r="N41" s="6"/>
      <c r="O41" s="14" t="str">
        <f>+'Pre-scaling RPM'!B5</f>
        <v>Terminal GNL [C]</v>
      </c>
      <c r="P41" s="148" t="str">
        <f t="shared" ref="P41:P46" si="1">+$E$6</f>
        <v>kWh/dia</v>
      </c>
      <c r="Q41" s="139">
        <v>178819191.88073394</v>
      </c>
    </row>
    <row r="42" spans="2:17" ht="15.75" thickBot="1" x14ac:dyDescent="0.3">
      <c r="N42" s="6"/>
      <c r="O42" s="16" t="str">
        <f>+'Pre-scaling RPM'!B6</f>
        <v>Armazenamento [D]</v>
      </c>
      <c r="P42" s="149" t="str">
        <f t="shared" si="1"/>
        <v>kWh/dia</v>
      </c>
      <c r="Q42" s="141">
        <v>42207940.917431191</v>
      </c>
    </row>
    <row r="43" spans="2:17" x14ac:dyDescent="0.25">
      <c r="N43" s="5" t="s">
        <v>22</v>
      </c>
      <c r="O43" s="11" t="str">
        <f>+'Pre-scaling RPM'!B7</f>
        <v>VIP [A+B]</v>
      </c>
      <c r="P43" s="13" t="str">
        <f t="shared" si="1"/>
        <v>kWh/dia</v>
      </c>
      <c r="Q43" s="137">
        <v>5359090.1376146786</v>
      </c>
    </row>
    <row r="44" spans="2:17" x14ac:dyDescent="0.25">
      <c r="N44" s="3"/>
      <c r="O44" s="14" t="str">
        <f>+'Pre-scaling RPM'!B8</f>
        <v>Terminal GNL [C]</v>
      </c>
      <c r="P44" s="148" t="str">
        <f t="shared" si="1"/>
        <v>kWh/dia</v>
      </c>
      <c r="Q44" s="139">
        <v>0</v>
      </c>
    </row>
    <row r="45" spans="2:17" x14ac:dyDescent="0.25">
      <c r="N45" s="3"/>
      <c r="O45" s="14" t="str">
        <f>+'Pre-scaling RPM'!B9</f>
        <v>Armazenamento [D]</v>
      </c>
      <c r="P45" s="148" t="str">
        <f t="shared" si="1"/>
        <v>kWh/dia</v>
      </c>
      <c r="Q45" s="139">
        <v>24083404.238532111</v>
      </c>
    </row>
    <row r="46" spans="2:17" ht="15.75" thickBot="1" x14ac:dyDescent="0.3">
      <c r="N46" s="4"/>
      <c r="O46" s="16" t="str">
        <f>+'Pre-scaling RPM'!B10</f>
        <v>Consumo [E - K]</v>
      </c>
      <c r="P46" s="17" t="str">
        <f t="shared" si="1"/>
        <v>kWh/dia</v>
      </c>
      <c r="Q46" s="141">
        <v>252924634.66055036</v>
      </c>
    </row>
    <row r="47" spans="2:17" x14ac:dyDescent="0.25">
      <c r="O47" s="150" t="s">
        <v>302</v>
      </c>
    </row>
    <row r="48" spans="2:17" ht="15.75" thickBot="1" x14ac:dyDescent="0.3"/>
    <row r="49" spans="19:26" ht="15.75" thickBot="1" x14ac:dyDescent="0.3">
      <c r="T49" s="2" t="s">
        <v>224</v>
      </c>
      <c r="U49" s="146"/>
      <c r="V49" s="24">
        <v>2019</v>
      </c>
    </row>
    <row r="50" spans="19:26" ht="15.75" thickBot="1" x14ac:dyDescent="0.3">
      <c r="S50" s="147"/>
      <c r="T50" s="8" t="str">
        <f>+O39</f>
        <v>Point</v>
      </c>
      <c r="U50" s="8" t="str">
        <f>+P39</f>
        <v>Unit</v>
      </c>
      <c r="V50" s="45"/>
    </row>
    <row r="51" spans="19:26" x14ac:dyDescent="0.25">
      <c r="S51" s="5" t="s">
        <v>0</v>
      </c>
      <c r="T51" s="11" t="s">
        <v>127</v>
      </c>
      <c r="U51" s="13" t="str">
        <f t="shared" ref="U51:U60" si="2">+$E$6</f>
        <v>kWh/dia</v>
      </c>
      <c r="V51" s="137">
        <v>134000000</v>
      </c>
    </row>
    <row r="52" spans="19:26" x14ac:dyDescent="0.25">
      <c r="S52" s="6"/>
      <c r="T52" s="151" t="s">
        <v>128</v>
      </c>
      <c r="U52" s="152" t="str">
        <f t="shared" si="2"/>
        <v>kWh/dia</v>
      </c>
      <c r="V52" s="153">
        <v>10000000</v>
      </c>
    </row>
    <row r="53" spans="19:26" x14ac:dyDescent="0.25">
      <c r="S53" s="6"/>
      <c r="T53" s="14" t="s">
        <v>2</v>
      </c>
      <c r="U53" s="148" t="str">
        <f t="shared" si="2"/>
        <v>kWh/dia</v>
      </c>
      <c r="V53" s="139">
        <v>200000000</v>
      </c>
    </row>
    <row r="54" spans="19:26" ht="15.75" thickBot="1" x14ac:dyDescent="0.3">
      <c r="S54" s="6"/>
      <c r="T54" s="16" t="s">
        <v>9</v>
      </c>
      <c r="U54" s="149" t="str">
        <f t="shared" si="2"/>
        <v>kWh/dia</v>
      </c>
      <c r="V54" s="141">
        <v>85680000</v>
      </c>
    </row>
    <row r="55" spans="19:26" x14ac:dyDescent="0.25">
      <c r="S55" s="5" t="s">
        <v>22</v>
      </c>
      <c r="T55" s="11" t="s">
        <v>127</v>
      </c>
      <c r="U55" s="13" t="str">
        <f t="shared" si="2"/>
        <v>kWh/dia</v>
      </c>
      <c r="V55" s="137">
        <v>55000000</v>
      </c>
    </row>
    <row r="56" spans="19:26" x14ac:dyDescent="0.25">
      <c r="S56" s="6"/>
      <c r="T56" s="151" t="s">
        <v>128</v>
      </c>
      <c r="U56" s="152" t="str">
        <f t="shared" si="2"/>
        <v>kWh/dia</v>
      </c>
      <c r="V56" s="153">
        <v>25000000</v>
      </c>
    </row>
    <row r="57" spans="19:26" x14ac:dyDescent="0.25">
      <c r="S57" s="3"/>
      <c r="T57" s="14" t="s">
        <v>2</v>
      </c>
      <c r="U57" s="148" t="str">
        <f t="shared" si="2"/>
        <v>kWh/dia</v>
      </c>
      <c r="V57" s="139">
        <v>5000000</v>
      </c>
    </row>
    <row r="58" spans="19:26" x14ac:dyDescent="0.25">
      <c r="S58" s="3"/>
      <c r="T58" s="14" t="s">
        <v>9</v>
      </c>
      <c r="U58" s="148" t="str">
        <f t="shared" si="2"/>
        <v>kWh/dia</v>
      </c>
      <c r="V58" s="154">
        <f>+V54</f>
        <v>85680000</v>
      </c>
    </row>
    <row r="59" spans="19:26" x14ac:dyDescent="0.25">
      <c r="S59" s="3"/>
      <c r="T59" s="14" t="s">
        <v>126</v>
      </c>
      <c r="U59" s="10" t="str">
        <f t="shared" si="2"/>
        <v>kWh/dia</v>
      </c>
      <c r="V59" s="139">
        <f>V51+V52+V53+V54</f>
        <v>429680000</v>
      </c>
    </row>
    <row r="60" spans="19:26" ht="15.75" thickBot="1" x14ac:dyDescent="0.3">
      <c r="S60" s="4"/>
      <c r="T60" s="397" t="s">
        <v>199</v>
      </c>
      <c r="U60" s="17" t="str">
        <f t="shared" si="2"/>
        <v>kWh/dia</v>
      </c>
      <c r="V60" s="141">
        <v>0</v>
      </c>
    </row>
    <row r="61" spans="19:26" ht="15.75" thickBot="1" x14ac:dyDescent="0.3"/>
    <row r="62" spans="19:26" ht="15.75" thickBot="1" x14ac:dyDescent="0.3">
      <c r="X62" s="2" t="s">
        <v>301</v>
      </c>
      <c r="Y62" s="79"/>
      <c r="Z62" s="80"/>
    </row>
    <row r="63" spans="19:26" ht="15.75" thickBot="1" x14ac:dyDescent="0.3">
      <c r="X63" s="104"/>
      <c r="Y63" s="165"/>
      <c r="Z63" s="166" t="s">
        <v>3</v>
      </c>
    </row>
    <row r="64" spans="19:26" x14ac:dyDescent="0.25">
      <c r="X64" s="81" t="s">
        <v>34</v>
      </c>
      <c r="Y64" s="51" t="s">
        <v>119</v>
      </c>
      <c r="Z64" s="159">
        <v>66304565</v>
      </c>
    </row>
    <row r="65" spans="24:26" x14ac:dyDescent="0.25">
      <c r="X65" s="81" t="s">
        <v>35</v>
      </c>
      <c r="Y65" s="51" t="s">
        <v>120</v>
      </c>
      <c r="Z65" s="159">
        <v>79306360</v>
      </c>
    </row>
    <row r="66" spans="24:26" x14ac:dyDescent="0.25">
      <c r="X66" s="81" t="s">
        <v>36</v>
      </c>
      <c r="Y66" s="51" t="s">
        <v>121</v>
      </c>
      <c r="Z66" s="159">
        <v>68813757</v>
      </c>
    </row>
    <row r="67" spans="24:26" x14ac:dyDescent="0.25">
      <c r="X67" s="81" t="s">
        <v>37</v>
      </c>
      <c r="Y67" s="51" t="s">
        <v>122</v>
      </c>
      <c r="Z67" s="159">
        <v>33836026</v>
      </c>
    </row>
    <row r="68" spans="24:26" x14ac:dyDescent="0.25">
      <c r="X68" s="81" t="s">
        <v>38</v>
      </c>
      <c r="Y68" s="51" t="s">
        <v>123</v>
      </c>
      <c r="Z68" s="159">
        <v>4768154</v>
      </c>
    </row>
    <row r="69" spans="24:26" x14ac:dyDescent="0.25">
      <c r="X69" s="81" t="s">
        <v>39</v>
      </c>
      <c r="Y69" s="51" t="s">
        <v>124</v>
      </c>
      <c r="Z69" s="159">
        <v>29721968</v>
      </c>
    </row>
    <row r="70" spans="24:26" ht="15.75" thickBot="1" x14ac:dyDescent="0.3">
      <c r="X70" s="160" t="s">
        <v>40</v>
      </c>
      <c r="Y70" s="161" t="s">
        <v>125</v>
      </c>
      <c r="Z70" s="162">
        <v>3527661</v>
      </c>
    </row>
    <row r="71" spans="24:26" x14ac:dyDescent="0.25">
      <c r="X71" s="51"/>
      <c r="Y71" s="163"/>
      <c r="Z71" s="164">
        <f>SUM(Z64:Z70)</f>
        <v>286278491</v>
      </c>
    </row>
    <row r="72" spans="24:26" x14ac:dyDescent="0.25"/>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7"/>
  <sheetViews>
    <sheetView showGridLines="0" zoomScale="70" zoomScaleNormal="70" workbookViewId="0">
      <selection activeCell="B22" sqref="B22"/>
    </sheetView>
  </sheetViews>
  <sheetFormatPr defaultColWidth="0" defaultRowHeight="15" zeroHeight="1" x14ac:dyDescent="0.25"/>
  <cols>
    <col min="1" max="1" width="27.5703125" bestFit="1" customWidth="1"/>
    <col min="2" max="2" width="35.140625" bestFit="1" customWidth="1"/>
    <col min="3" max="3" width="44.85546875" bestFit="1" customWidth="1"/>
    <col min="4" max="10" width="9.140625" customWidth="1"/>
    <col min="11" max="16384" width="9.140625" hidden="1"/>
  </cols>
  <sheetData>
    <row r="1" spans="1:9" x14ac:dyDescent="0.25"/>
    <row r="2" spans="1:9" ht="15.75" thickBot="1" x14ac:dyDescent="0.3"/>
    <row r="3" spans="1:9" ht="15.75" thickBot="1" x14ac:dyDescent="0.3">
      <c r="A3" s="2" t="s">
        <v>45</v>
      </c>
      <c r="B3" s="79"/>
      <c r="C3" s="79"/>
      <c r="D3" s="68" t="str">
        <f>ROUND(D4*100,0)&amp;"/"&amp;ROUND(D5*100,0)</f>
        <v>28/72</v>
      </c>
      <c r="F3" s="104" t="s">
        <v>136</v>
      </c>
      <c r="G3" s="105"/>
      <c r="H3" s="105"/>
      <c r="I3" s="220"/>
    </row>
    <row r="4" spans="1:9" x14ac:dyDescent="0.25">
      <c r="A4" s="82" t="s">
        <v>0</v>
      </c>
      <c r="B4" s="83"/>
      <c r="C4" s="84"/>
      <c r="D4" s="222">
        <f>I4/2</f>
        <v>0.28000000000000003</v>
      </c>
      <c r="F4" s="82" t="s">
        <v>137</v>
      </c>
      <c r="G4" s="83"/>
      <c r="H4" s="84"/>
      <c r="I4" s="222">
        <f>ROUND(Data_d!AG90,2)</f>
        <v>0.56000000000000005</v>
      </c>
    </row>
    <row r="5" spans="1:9" ht="15.75" thickBot="1" x14ac:dyDescent="0.3">
      <c r="A5" s="85" t="s">
        <v>22</v>
      </c>
      <c r="B5" s="86"/>
      <c r="C5" s="87"/>
      <c r="D5" s="221">
        <f>1-D4</f>
        <v>0.72</v>
      </c>
      <c r="F5" s="81" t="s">
        <v>138</v>
      </c>
      <c r="G5" s="51"/>
      <c r="H5" s="219"/>
      <c r="I5" s="223">
        <f>ROUND(Data_d!AG91,2)</f>
        <v>0.2</v>
      </c>
    </row>
    <row r="6" spans="1:9" ht="15.75" thickBot="1" x14ac:dyDescent="0.3">
      <c r="F6" s="85" t="s">
        <v>135</v>
      </c>
      <c r="G6" s="86"/>
      <c r="H6" s="87"/>
      <c r="I6" s="221">
        <f>1-I4-I5</f>
        <v>0.23999999999999994</v>
      </c>
    </row>
    <row r="7" spans="1:9" x14ac:dyDescent="0.25">
      <c r="I7" s="352"/>
    </row>
    <row r="8" spans="1:9" x14ac:dyDescent="0.25"/>
    <row r="9" spans="1:9" ht="15.75" thickBot="1" x14ac:dyDescent="0.3"/>
    <row r="10" spans="1:9" ht="15.75" thickBot="1" x14ac:dyDescent="0.3">
      <c r="A10" s="2" t="s">
        <v>46</v>
      </c>
      <c r="B10" s="79"/>
      <c r="C10" s="79"/>
      <c r="D10" s="68"/>
    </row>
    <row r="11" spans="1:9" x14ac:dyDescent="0.25">
      <c r="A11" s="82" t="s">
        <v>47</v>
      </c>
      <c r="B11" s="83"/>
      <c r="C11" s="84"/>
      <c r="D11" s="67">
        <v>1</v>
      </c>
    </row>
    <row r="12" spans="1:9" x14ac:dyDescent="0.25">
      <c r="A12" s="81" t="s">
        <v>48</v>
      </c>
      <c r="B12" s="51"/>
      <c r="C12" s="219"/>
      <c r="D12" s="227">
        <v>1</v>
      </c>
    </row>
    <row r="13" spans="1:9" ht="15.75" thickBot="1" x14ac:dyDescent="0.3">
      <c r="A13" s="85" t="s">
        <v>139</v>
      </c>
      <c r="B13" s="86"/>
      <c r="C13" s="87"/>
      <c r="D13" s="75">
        <v>0</v>
      </c>
    </row>
    <row r="14" spans="1:9" x14ac:dyDescent="0.25"/>
    <row r="15" spans="1:9" ht="15.75" thickBot="1" x14ac:dyDescent="0.3"/>
    <row r="16" spans="1:9" ht="15.75" thickBot="1" x14ac:dyDescent="0.3">
      <c r="A16" s="2" t="s">
        <v>44</v>
      </c>
      <c r="B16" s="79"/>
      <c r="C16" s="79"/>
      <c r="D16" s="68"/>
    </row>
    <row r="17" spans="1:4" ht="15.75" thickBot="1" x14ac:dyDescent="0.3">
      <c r="B17" s="8" t="s">
        <v>4</v>
      </c>
      <c r="C17" s="8" t="s">
        <v>10</v>
      </c>
      <c r="D17" s="8"/>
    </row>
    <row r="18" spans="1:4" x14ac:dyDescent="0.25">
      <c r="A18" s="5" t="s">
        <v>0</v>
      </c>
      <c r="B18" s="21" t="s">
        <v>1</v>
      </c>
      <c r="C18" s="88" t="s">
        <v>11</v>
      </c>
      <c r="D18" s="94">
        <v>1</v>
      </c>
    </row>
    <row r="19" spans="1:4" x14ac:dyDescent="0.25">
      <c r="A19" s="6"/>
      <c r="B19" s="22"/>
      <c r="C19" s="89" t="s">
        <v>12</v>
      </c>
      <c r="D19" s="95">
        <v>1.3</v>
      </c>
    </row>
    <row r="20" spans="1:4" x14ac:dyDescent="0.25">
      <c r="A20" s="6"/>
      <c r="B20" s="22"/>
      <c r="C20" s="89" t="s">
        <v>13</v>
      </c>
      <c r="D20" s="95">
        <v>1.5</v>
      </c>
    </row>
    <row r="21" spans="1:4" x14ac:dyDescent="0.25">
      <c r="A21" s="6"/>
      <c r="B21" s="22"/>
      <c r="C21" s="89" t="s">
        <v>14</v>
      </c>
      <c r="D21" s="95">
        <v>2</v>
      </c>
    </row>
    <row r="22" spans="1:4" ht="15.75" thickBot="1" x14ac:dyDescent="0.3">
      <c r="A22" s="6"/>
      <c r="B22" s="23"/>
      <c r="C22" s="90" t="s">
        <v>15</v>
      </c>
      <c r="D22" s="96">
        <v>2.2000000000000002</v>
      </c>
    </row>
    <row r="23" spans="1:4" x14ac:dyDescent="0.25">
      <c r="A23" s="6"/>
      <c r="B23" s="21" t="s">
        <v>2</v>
      </c>
      <c r="C23" s="88" t="s">
        <v>11</v>
      </c>
      <c r="D23" s="94">
        <v>1</v>
      </c>
    </row>
    <row r="24" spans="1:4" x14ac:dyDescent="0.25">
      <c r="A24" s="6"/>
      <c r="B24" s="22"/>
      <c r="C24" s="89" t="s">
        <v>12</v>
      </c>
      <c r="D24" s="95">
        <v>1.3</v>
      </c>
    </row>
    <row r="25" spans="1:4" x14ac:dyDescent="0.25">
      <c r="A25" s="6"/>
      <c r="B25" s="22"/>
      <c r="C25" s="89" t="s">
        <v>13</v>
      </c>
      <c r="D25" s="95">
        <v>1.5</v>
      </c>
    </row>
    <row r="26" spans="1:4" x14ac:dyDescent="0.25">
      <c r="A26" s="6"/>
      <c r="B26" s="22"/>
      <c r="C26" s="89" t="s">
        <v>14</v>
      </c>
      <c r="D26" s="95">
        <v>2</v>
      </c>
    </row>
    <row r="27" spans="1:4" ht="15.75" thickBot="1" x14ac:dyDescent="0.3">
      <c r="A27" s="6"/>
      <c r="B27" s="23"/>
      <c r="C27" s="90" t="s">
        <v>15</v>
      </c>
      <c r="D27" s="96">
        <v>2.2000000000000002</v>
      </c>
    </row>
    <row r="28" spans="1:4" x14ac:dyDescent="0.25">
      <c r="A28" s="6"/>
      <c r="B28" s="21" t="s">
        <v>9</v>
      </c>
      <c r="C28" s="88" t="s">
        <v>14</v>
      </c>
      <c r="D28" s="94">
        <v>1</v>
      </c>
    </row>
    <row r="29" spans="1:4" ht="15.75" thickBot="1" x14ac:dyDescent="0.3">
      <c r="A29" s="7"/>
      <c r="B29" s="23"/>
      <c r="C29" s="90" t="s">
        <v>15</v>
      </c>
      <c r="D29" s="96">
        <v>1.1000000000000001</v>
      </c>
    </row>
    <row r="30" spans="1:4" x14ac:dyDescent="0.25">
      <c r="A30" s="5" t="s">
        <v>22</v>
      </c>
      <c r="B30" s="21" t="s">
        <v>1</v>
      </c>
      <c r="C30" s="88" t="s">
        <v>11</v>
      </c>
      <c r="D30" s="97">
        <f>+D18</f>
        <v>1</v>
      </c>
    </row>
    <row r="31" spans="1:4" x14ac:dyDescent="0.25">
      <c r="A31" s="3"/>
      <c r="B31" s="22"/>
      <c r="C31" s="89" t="s">
        <v>12</v>
      </c>
      <c r="D31" s="47">
        <f t="shared" ref="D31:D41" si="0">+D19</f>
        <v>1.3</v>
      </c>
    </row>
    <row r="32" spans="1:4" x14ac:dyDescent="0.25">
      <c r="A32" s="3"/>
      <c r="B32" s="22"/>
      <c r="C32" s="89" t="s">
        <v>13</v>
      </c>
      <c r="D32" s="47">
        <f t="shared" si="0"/>
        <v>1.5</v>
      </c>
    </row>
    <row r="33" spans="1:4" x14ac:dyDescent="0.25">
      <c r="A33" s="3"/>
      <c r="B33" s="22"/>
      <c r="C33" s="89" t="s">
        <v>14</v>
      </c>
      <c r="D33" s="47">
        <f t="shared" si="0"/>
        <v>2</v>
      </c>
    </row>
    <row r="34" spans="1:4" ht="15.75" thickBot="1" x14ac:dyDescent="0.3">
      <c r="A34" s="3"/>
      <c r="B34" s="23"/>
      <c r="C34" s="90" t="s">
        <v>15</v>
      </c>
      <c r="D34" s="48">
        <f t="shared" si="0"/>
        <v>2.2000000000000002</v>
      </c>
    </row>
    <row r="35" spans="1:4" x14ac:dyDescent="0.25">
      <c r="A35" s="3"/>
      <c r="B35" s="21" t="s">
        <v>2</v>
      </c>
      <c r="C35" s="88" t="s">
        <v>11</v>
      </c>
      <c r="D35" s="49">
        <f t="shared" si="0"/>
        <v>1</v>
      </c>
    </row>
    <row r="36" spans="1:4" x14ac:dyDescent="0.25">
      <c r="A36" s="3"/>
      <c r="B36" s="22"/>
      <c r="C36" s="89" t="s">
        <v>12</v>
      </c>
      <c r="D36" s="47">
        <f t="shared" si="0"/>
        <v>1.3</v>
      </c>
    </row>
    <row r="37" spans="1:4" x14ac:dyDescent="0.25">
      <c r="A37" s="3"/>
      <c r="B37" s="22"/>
      <c r="C37" s="89" t="s">
        <v>13</v>
      </c>
      <c r="D37" s="47">
        <f t="shared" si="0"/>
        <v>1.5</v>
      </c>
    </row>
    <row r="38" spans="1:4" x14ac:dyDescent="0.25">
      <c r="A38" s="3"/>
      <c r="B38" s="22"/>
      <c r="C38" s="89" t="s">
        <v>14</v>
      </c>
      <c r="D38" s="47">
        <f t="shared" si="0"/>
        <v>2</v>
      </c>
    </row>
    <row r="39" spans="1:4" ht="15.75" thickBot="1" x14ac:dyDescent="0.3">
      <c r="A39" s="3"/>
      <c r="B39" s="23"/>
      <c r="C39" s="90" t="s">
        <v>15</v>
      </c>
      <c r="D39" s="48">
        <f t="shared" si="0"/>
        <v>2.2000000000000002</v>
      </c>
    </row>
    <row r="40" spans="1:4" x14ac:dyDescent="0.25">
      <c r="A40" s="3"/>
      <c r="B40" s="21" t="s">
        <v>9</v>
      </c>
      <c r="C40" s="88" t="s">
        <v>14</v>
      </c>
      <c r="D40" s="49">
        <f t="shared" si="0"/>
        <v>1</v>
      </c>
    </row>
    <row r="41" spans="1:4" ht="15.75" thickBot="1" x14ac:dyDescent="0.3">
      <c r="A41" s="3"/>
      <c r="B41" s="23"/>
      <c r="C41" s="90" t="s">
        <v>15</v>
      </c>
      <c r="D41" s="48">
        <f t="shared" si="0"/>
        <v>1.1000000000000001</v>
      </c>
    </row>
    <row r="42" spans="1:4" ht="15.75" thickBot="1" x14ac:dyDescent="0.3">
      <c r="A42" s="3"/>
      <c r="B42" s="19" t="s">
        <v>17</v>
      </c>
      <c r="C42" s="91" t="s">
        <v>11</v>
      </c>
      <c r="D42" s="98">
        <v>1</v>
      </c>
    </row>
    <row r="43" spans="1:4" x14ac:dyDescent="0.25">
      <c r="A43" s="3"/>
      <c r="B43" s="21" t="s">
        <v>16</v>
      </c>
      <c r="C43" s="88" t="s">
        <v>18</v>
      </c>
      <c r="D43" s="49">
        <v>1</v>
      </c>
    </row>
    <row r="44" spans="1:4" ht="15.75" thickBot="1" x14ac:dyDescent="0.3">
      <c r="A44" s="3"/>
      <c r="B44" s="23"/>
      <c r="C44" s="90" t="s">
        <v>19</v>
      </c>
      <c r="D44" s="93">
        <v>1.5</v>
      </c>
    </row>
    <row r="45" spans="1:4" x14ac:dyDescent="0.25">
      <c r="A45" s="3"/>
      <c r="B45" s="21" t="s">
        <v>20</v>
      </c>
      <c r="C45" s="88" t="s">
        <v>24</v>
      </c>
      <c r="D45" s="92">
        <v>3</v>
      </c>
    </row>
    <row r="46" spans="1:4" ht="15.75" thickBot="1" x14ac:dyDescent="0.3">
      <c r="A46" s="3"/>
      <c r="B46" s="23"/>
      <c r="C46" s="90" t="s">
        <v>23</v>
      </c>
      <c r="D46" s="93">
        <v>1.5</v>
      </c>
    </row>
    <row r="47" spans="1:4" x14ac:dyDescent="0.25">
      <c r="A47" s="3"/>
      <c r="B47" s="21" t="s">
        <v>21</v>
      </c>
      <c r="C47" s="88" t="s">
        <v>27</v>
      </c>
      <c r="D47" s="92">
        <v>10</v>
      </c>
    </row>
    <row r="48" spans="1:4" ht="15.75" thickBot="1" x14ac:dyDescent="0.3">
      <c r="A48" s="4"/>
      <c r="B48" s="23"/>
      <c r="C48" s="90" t="s">
        <v>26</v>
      </c>
      <c r="D48" s="93">
        <v>6</v>
      </c>
    </row>
    <row r="49" spans="1:4" ht="15.75" thickBot="1" x14ac:dyDescent="0.3"/>
    <row r="50" spans="1:4" ht="15.75" thickBot="1" x14ac:dyDescent="0.3">
      <c r="A50" s="2" t="s">
        <v>142</v>
      </c>
      <c r="B50" s="79"/>
      <c r="C50" s="79"/>
      <c r="D50" s="68"/>
    </row>
    <row r="51" spans="1:4" x14ac:dyDescent="0.25">
      <c r="A51" s="82" t="s">
        <v>143</v>
      </c>
      <c r="B51" s="83"/>
      <c r="C51" s="84"/>
      <c r="D51" s="243">
        <v>6</v>
      </c>
    </row>
    <row r="52" spans="1:4" x14ac:dyDescent="0.25">
      <c r="A52" s="81" t="s">
        <v>144</v>
      </c>
      <c r="B52" s="51"/>
      <c r="C52" s="219"/>
      <c r="D52" s="244">
        <v>6</v>
      </c>
    </row>
    <row r="53" spans="1:4" ht="15.75" thickBot="1" x14ac:dyDescent="0.3">
      <c r="A53" s="85" t="s">
        <v>145</v>
      </c>
      <c r="B53" s="86"/>
      <c r="C53" s="87"/>
      <c r="D53" s="245">
        <v>12</v>
      </c>
    </row>
    <row r="54" spans="1:4" x14ac:dyDescent="0.25"/>
    <row r="55" spans="1:4" x14ac:dyDescent="0.25"/>
    <row r="56" spans="1:4" x14ac:dyDescent="0.25"/>
    <row r="57" spans="1:4" x14ac:dyDescent="0.2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25"/>
  </sheetPr>
  <dimension ref="A1:V66"/>
  <sheetViews>
    <sheetView showGridLines="0" showRowColHeaders="0" zoomScaleNormal="100" workbookViewId="0">
      <selection activeCell="H10" sqref="H10"/>
    </sheetView>
  </sheetViews>
  <sheetFormatPr defaultColWidth="0" defaultRowHeight="15" zeroHeight="1" x14ac:dyDescent="0.25"/>
  <cols>
    <col min="1" max="1" width="3.7109375" customWidth="1"/>
    <col min="2" max="2" width="2.85546875" customWidth="1"/>
    <col min="3" max="3" width="11" customWidth="1"/>
    <col min="4" max="4" width="39.85546875" customWidth="1"/>
    <col min="5" max="5" width="66" customWidth="1"/>
    <col min="6" max="6" width="3.7109375" customWidth="1"/>
    <col min="7" max="10" width="13.85546875" customWidth="1"/>
    <col min="11" max="11" width="3.7109375" customWidth="1"/>
    <col min="12" max="12" width="10.42578125" customWidth="1"/>
    <col min="13" max="14" width="3.7109375" customWidth="1"/>
    <col min="15" max="15" width="1.7109375" style="418" customWidth="1"/>
    <col min="16" max="16" width="5.7109375" style="418" customWidth="1"/>
    <col min="17" max="17" width="49.7109375" style="418" customWidth="1"/>
    <col min="18" max="18" width="1.7109375" style="418" customWidth="1"/>
    <col min="19" max="19" width="3.7109375" style="418" customWidth="1"/>
    <col min="20" max="21" width="9.140625" hidden="1" customWidth="1"/>
    <col min="22" max="22" width="3.7109375" hidden="1" customWidth="1"/>
    <col min="23" max="16384" width="9.140625" hidden="1"/>
  </cols>
  <sheetData>
    <row r="1" spans="1:18" ht="15" customHeight="1" thickBot="1" x14ac:dyDescent="0.3">
      <c r="A1" s="418"/>
      <c r="B1" s="418"/>
      <c r="C1" s="418"/>
      <c r="D1" s="418"/>
      <c r="E1" s="418"/>
      <c r="F1" s="418"/>
      <c r="G1" s="418"/>
      <c r="H1" s="418"/>
      <c r="I1" s="418"/>
      <c r="J1" s="418"/>
      <c r="K1" s="418"/>
      <c r="L1" s="418"/>
      <c r="M1" s="418"/>
      <c r="N1" s="418"/>
    </row>
    <row r="2" spans="1:18" ht="19.5" thickBot="1" x14ac:dyDescent="0.35">
      <c r="A2" s="418"/>
      <c r="B2" s="501" t="str">
        <f>+Labels!B19</f>
        <v>Allowed revenues</v>
      </c>
      <c r="C2" s="490"/>
      <c r="D2" s="490"/>
      <c r="E2" s="490"/>
      <c r="F2" s="490"/>
      <c r="G2" s="490"/>
      <c r="H2" s="490"/>
      <c r="I2" s="490"/>
      <c r="J2" s="490"/>
      <c r="K2" s="490"/>
      <c r="L2" s="490"/>
      <c r="M2" s="491"/>
      <c r="N2" s="418"/>
    </row>
    <row r="3" spans="1:18" ht="16.5" thickBot="1" x14ac:dyDescent="0.3">
      <c r="A3" s="418"/>
      <c r="B3" s="492"/>
      <c r="C3" s="493"/>
      <c r="D3" s="493"/>
      <c r="E3" s="493"/>
      <c r="F3" s="493"/>
      <c r="G3" s="426" t="s">
        <v>6</v>
      </c>
      <c r="H3" s="426" t="s">
        <v>7</v>
      </c>
      <c r="I3" s="426" t="s">
        <v>8</v>
      </c>
      <c r="J3" s="426" t="s">
        <v>350</v>
      </c>
      <c r="K3" s="498"/>
      <c r="L3" s="498"/>
      <c r="M3" s="499"/>
      <c r="N3" s="418"/>
      <c r="O3" s="462"/>
      <c r="P3" s="470"/>
      <c r="Q3" s="463"/>
      <c r="R3" s="464"/>
    </row>
    <row r="4" spans="1:18" ht="15.75" thickBot="1" x14ac:dyDescent="0.3">
      <c r="A4" s="418"/>
      <c r="B4" s="492"/>
      <c r="C4" s="493"/>
      <c r="D4" s="480" t="str">
        <f>+Labels!B20</f>
        <v>Allowed revenues of the transmission system operator</v>
      </c>
      <c r="E4" s="117"/>
      <c r="F4" s="502"/>
      <c r="G4" s="473">
        <v>73191263.39469777</v>
      </c>
      <c r="H4" s="551">
        <v>73191263.39469777</v>
      </c>
      <c r="I4" s="552">
        <v>73191263.39469777</v>
      </c>
      <c r="J4" s="553">
        <v>73191263.39469777</v>
      </c>
      <c r="K4" s="500"/>
      <c r="L4" s="500"/>
      <c r="M4" s="499"/>
      <c r="N4" s="418"/>
      <c r="O4" s="465"/>
      <c r="P4" s="460"/>
      <c r="Q4" s="469" t="str">
        <f>+Labels!B46</f>
        <v>Yellow cells can be changed by the user</v>
      </c>
      <c r="R4" s="466"/>
    </row>
    <row r="5" spans="1:18" ht="15.75" thickBot="1" x14ac:dyDescent="0.3">
      <c r="A5" s="418"/>
      <c r="B5" s="494"/>
      <c r="C5" s="495"/>
      <c r="D5" s="495"/>
      <c r="E5" s="495"/>
      <c r="F5" s="495"/>
      <c r="G5" s="496"/>
      <c r="H5" s="495"/>
      <c r="I5" s="495"/>
      <c r="J5" s="495"/>
      <c r="K5" s="495"/>
      <c r="L5" s="495"/>
      <c r="M5" s="497"/>
      <c r="N5" s="418"/>
      <c r="O5" s="467"/>
      <c r="P5" s="461"/>
      <c r="Q5" s="461"/>
      <c r="R5" s="468"/>
    </row>
    <row r="6" spans="1:18" ht="15" customHeight="1" thickBot="1" x14ac:dyDescent="0.3">
      <c r="A6" s="418"/>
      <c r="B6" s="418"/>
      <c r="C6" s="418"/>
      <c r="D6" s="418"/>
      <c r="E6" s="418"/>
      <c r="F6" s="418"/>
      <c r="G6" s="418"/>
      <c r="H6" s="418"/>
      <c r="I6" s="418"/>
      <c r="J6" s="418"/>
      <c r="K6" s="418"/>
      <c r="L6" s="418"/>
      <c r="M6" s="418"/>
      <c r="N6" s="418"/>
    </row>
    <row r="7" spans="1:18" ht="18.75" x14ac:dyDescent="0.3">
      <c r="A7" s="418"/>
      <c r="B7" s="501" t="str">
        <f>+Labels!B21</f>
        <v>Forecasted capacity demand</v>
      </c>
      <c r="C7" s="490"/>
      <c r="D7" s="490"/>
      <c r="E7" s="490"/>
      <c r="F7" s="490"/>
      <c r="G7" s="490"/>
      <c r="H7" s="490"/>
      <c r="I7" s="490"/>
      <c r="J7" s="490"/>
      <c r="K7" s="490"/>
      <c r="L7" s="490"/>
      <c r="M7" s="491"/>
      <c r="N7" s="418"/>
    </row>
    <row r="8" spans="1:18" ht="15.75" thickBot="1" x14ac:dyDescent="0.3">
      <c r="A8" s="418"/>
      <c r="B8" s="492"/>
      <c r="C8" s="493"/>
      <c r="D8" s="493"/>
      <c r="E8" s="493"/>
      <c r="F8" s="493"/>
      <c r="G8" s="493"/>
      <c r="H8" s="493"/>
      <c r="I8" s="493"/>
      <c r="J8" s="493"/>
      <c r="K8" s="493"/>
      <c r="L8" s="493"/>
      <c r="M8" s="499"/>
      <c r="N8" s="418"/>
    </row>
    <row r="9" spans="1:18" ht="15.75" thickBot="1" x14ac:dyDescent="0.3">
      <c r="A9" s="418"/>
      <c r="B9" s="492"/>
      <c r="C9" s="493"/>
      <c r="D9" s="424" t="str">
        <f>+Labels!B22</f>
        <v>Point</v>
      </c>
      <c r="E9" s="425" t="str">
        <f>+Labels!B23</f>
        <v>Product</v>
      </c>
      <c r="F9" s="493"/>
      <c r="G9" s="426" t="str">
        <f>+G3</f>
        <v>2019-2020</v>
      </c>
      <c r="H9" s="426" t="str">
        <f t="shared" ref="H9:J9" si="0">+H3</f>
        <v>2020-2021</v>
      </c>
      <c r="I9" s="426" t="str">
        <f t="shared" si="0"/>
        <v>2021-2022</v>
      </c>
      <c r="J9" s="426" t="str">
        <f t="shared" si="0"/>
        <v>2022-2023</v>
      </c>
      <c r="K9" s="493"/>
      <c r="L9" s="479" t="str">
        <f>+Labels!B43</f>
        <v>Unit</v>
      </c>
      <c r="M9" s="499"/>
      <c r="N9" s="418"/>
    </row>
    <row r="10" spans="1:18" x14ac:dyDescent="0.25">
      <c r="A10" s="418"/>
      <c r="B10" s="492"/>
      <c r="C10" s="419" t="str">
        <f>+Labels!B24</f>
        <v>Entry</v>
      </c>
      <c r="D10" s="21" t="str">
        <f>+Labels!B26</f>
        <v>Interconnection points (VIP)</v>
      </c>
      <c r="E10" s="356" t="str">
        <f>+Labels!B31</f>
        <v>Yearly</v>
      </c>
      <c r="F10" s="502"/>
      <c r="G10" s="474">
        <v>65554935.292646319</v>
      </c>
      <c r="H10" s="555">
        <v>65554935.292646319</v>
      </c>
      <c r="I10" s="555">
        <v>65554935.292646319</v>
      </c>
      <c r="J10" s="556">
        <v>65554935.292646319</v>
      </c>
      <c r="K10" s="503"/>
      <c r="L10" s="478" t="str">
        <f>+Labels!B44</f>
        <v>kWh/day</v>
      </c>
      <c r="M10" s="499"/>
      <c r="N10" s="418"/>
    </row>
    <row r="11" spans="1:18" x14ac:dyDescent="0.25">
      <c r="A11" s="418"/>
      <c r="B11" s="492"/>
      <c r="C11" s="420"/>
      <c r="D11" s="22"/>
      <c r="E11" s="15" t="str">
        <f>+Labels!B32</f>
        <v>Quarterly</v>
      </c>
      <c r="F11" s="493"/>
      <c r="G11" s="475">
        <v>231556.19844696461</v>
      </c>
      <c r="H11" s="557">
        <v>231556.19844696461</v>
      </c>
      <c r="I11" s="558">
        <v>231556.19844696461</v>
      </c>
      <c r="J11" s="559">
        <v>231556.19844696461</v>
      </c>
      <c r="K11" s="493"/>
      <c r="L11" s="47" t="str">
        <f>+$L$10</f>
        <v>kWh/day</v>
      </c>
      <c r="M11" s="499"/>
      <c r="N11" s="418"/>
    </row>
    <row r="12" spans="1:18" x14ac:dyDescent="0.25">
      <c r="A12" s="418"/>
      <c r="B12" s="492"/>
      <c r="C12" s="420"/>
      <c r="D12" s="22"/>
      <c r="E12" s="15" t="str">
        <f>+Labels!B33</f>
        <v>Monthly</v>
      </c>
      <c r="F12" s="505"/>
      <c r="G12" s="475">
        <v>6472593.694010146</v>
      </c>
      <c r="H12" s="557">
        <v>6472593.694010146</v>
      </c>
      <c r="I12" s="558">
        <v>6472593.694010146</v>
      </c>
      <c r="J12" s="559">
        <v>6472593.694010146</v>
      </c>
      <c r="K12" s="504"/>
      <c r="L12" s="47" t="str">
        <f t="shared" ref="L12:L13" si="1">+$L$10</f>
        <v>kWh/day</v>
      </c>
      <c r="M12" s="499"/>
      <c r="N12" s="418"/>
    </row>
    <row r="13" spans="1:18" x14ac:dyDescent="0.25">
      <c r="A13" s="418"/>
      <c r="B13" s="492"/>
      <c r="C13" s="420"/>
      <c r="D13" s="22"/>
      <c r="E13" s="15" t="str">
        <f>+Labels!B34</f>
        <v>Daily</v>
      </c>
      <c r="F13" s="505"/>
      <c r="G13" s="475">
        <v>7655421.9671416637</v>
      </c>
      <c r="H13" s="557">
        <v>7655421.9671416637</v>
      </c>
      <c r="I13" s="558">
        <v>7655421.9671416637</v>
      </c>
      <c r="J13" s="559">
        <v>7655421.9671416637</v>
      </c>
      <c r="K13" s="505"/>
      <c r="L13" s="47" t="str">
        <f t="shared" si="1"/>
        <v>kWh/day</v>
      </c>
      <c r="M13" s="499"/>
      <c r="N13" s="418"/>
    </row>
    <row r="14" spans="1:18" ht="15.75" thickBot="1" x14ac:dyDescent="0.3">
      <c r="A14" s="418"/>
      <c r="B14" s="492"/>
      <c r="C14" s="420"/>
      <c r="D14" s="23"/>
      <c r="E14" s="18" t="str">
        <f>+Labels!B35</f>
        <v>Intraday</v>
      </c>
      <c r="F14" s="502"/>
      <c r="G14" s="476">
        <v>0</v>
      </c>
      <c r="H14" s="560">
        <v>0</v>
      </c>
      <c r="I14" s="561">
        <v>0</v>
      </c>
      <c r="J14" s="562">
        <v>0</v>
      </c>
      <c r="K14" s="503"/>
      <c r="L14" s="48" t="str">
        <f>+Labels!B45</f>
        <v>kWh/h</v>
      </c>
      <c r="M14" s="499"/>
      <c r="N14" s="418"/>
    </row>
    <row r="15" spans="1:18" x14ac:dyDescent="0.25">
      <c r="A15" s="418"/>
      <c r="B15" s="492"/>
      <c r="C15" s="420"/>
      <c r="D15" s="21" t="str">
        <f>+Labels!B27</f>
        <v>LNG terminal</v>
      </c>
      <c r="E15" s="356" t="str">
        <f>+E10</f>
        <v>Yearly</v>
      </c>
      <c r="F15" s="493"/>
      <c r="G15" s="474">
        <v>95181945.454248399</v>
      </c>
      <c r="H15" s="554">
        <v>95181945.454248399</v>
      </c>
      <c r="I15" s="555">
        <v>95181945.454248399</v>
      </c>
      <c r="J15" s="556">
        <v>95181945.454248399</v>
      </c>
      <c r="K15" s="493"/>
      <c r="L15" s="414" t="str">
        <f t="shared" ref="L15:L18" si="2">+$L$10</f>
        <v>kWh/day</v>
      </c>
      <c r="M15" s="499"/>
      <c r="N15" s="418"/>
    </row>
    <row r="16" spans="1:18" x14ac:dyDescent="0.25">
      <c r="A16" s="418"/>
      <c r="B16" s="492"/>
      <c r="C16" s="420"/>
      <c r="D16" s="22"/>
      <c r="E16" s="15" t="str">
        <f t="shared" ref="E16:E19" si="3">+E11</f>
        <v>Quarterly</v>
      </c>
      <c r="F16" s="505"/>
      <c r="G16" s="475">
        <v>7113057.264897964</v>
      </c>
      <c r="H16" s="557">
        <v>7113057.264897964</v>
      </c>
      <c r="I16" s="558">
        <v>7113057.264897964</v>
      </c>
      <c r="J16" s="559">
        <v>7113057.264897964</v>
      </c>
      <c r="K16" s="504"/>
      <c r="L16" s="47" t="str">
        <f t="shared" si="2"/>
        <v>kWh/day</v>
      </c>
      <c r="M16" s="499"/>
      <c r="N16" s="418"/>
    </row>
    <row r="17" spans="1:14" x14ac:dyDescent="0.25">
      <c r="A17" s="418"/>
      <c r="B17" s="492"/>
      <c r="C17" s="420"/>
      <c r="D17" s="22"/>
      <c r="E17" s="15" t="str">
        <f t="shared" si="3"/>
        <v>Monthly</v>
      </c>
      <c r="F17" s="505"/>
      <c r="G17" s="475">
        <v>1432849.3585735292</v>
      </c>
      <c r="H17" s="557">
        <v>1432849.3585735292</v>
      </c>
      <c r="I17" s="558">
        <v>1432849.3585735292</v>
      </c>
      <c r="J17" s="559">
        <v>1432849.3585735292</v>
      </c>
      <c r="K17" s="505"/>
      <c r="L17" s="47" t="str">
        <f t="shared" si="2"/>
        <v>kWh/day</v>
      </c>
      <c r="M17" s="499"/>
      <c r="N17" s="418"/>
    </row>
    <row r="18" spans="1:14" x14ac:dyDescent="0.25">
      <c r="A18" s="418"/>
      <c r="B18" s="492"/>
      <c r="C18" s="420"/>
      <c r="D18" s="22"/>
      <c r="E18" s="15" t="str">
        <f t="shared" si="3"/>
        <v>Daily</v>
      </c>
      <c r="F18" s="502"/>
      <c r="G18" s="475">
        <v>12177235.572217982</v>
      </c>
      <c r="H18" s="557">
        <v>12177235.572217982</v>
      </c>
      <c r="I18" s="558">
        <v>12177235.572217982</v>
      </c>
      <c r="J18" s="559">
        <v>12177235.572217982</v>
      </c>
      <c r="K18" s="503"/>
      <c r="L18" s="47" t="str">
        <f t="shared" si="2"/>
        <v>kWh/day</v>
      </c>
      <c r="M18" s="499"/>
      <c r="N18" s="418"/>
    </row>
    <row r="19" spans="1:14" ht="15.75" thickBot="1" x14ac:dyDescent="0.3">
      <c r="A19" s="418"/>
      <c r="B19" s="492"/>
      <c r="C19" s="420"/>
      <c r="D19" s="23"/>
      <c r="E19" s="18" t="str">
        <f t="shared" si="3"/>
        <v>Intraday</v>
      </c>
      <c r="F19" s="493"/>
      <c r="G19" s="476">
        <v>0</v>
      </c>
      <c r="H19" s="560">
        <v>0</v>
      </c>
      <c r="I19" s="561">
        <v>0</v>
      </c>
      <c r="J19" s="562">
        <v>0</v>
      </c>
      <c r="K19" s="493"/>
      <c r="L19" s="48" t="str">
        <f>+$L$14</f>
        <v>kWh/h</v>
      </c>
      <c r="M19" s="499"/>
      <c r="N19" s="418"/>
    </row>
    <row r="20" spans="1:14" x14ac:dyDescent="0.25">
      <c r="A20" s="418"/>
      <c r="B20" s="492"/>
      <c r="C20" s="420"/>
      <c r="D20" s="21" t="str">
        <f>+Labels!B28</f>
        <v>Underground Storage</v>
      </c>
      <c r="E20" s="356" t="str">
        <f>+E13</f>
        <v>Daily</v>
      </c>
      <c r="F20" s="505"/>
      <c r="G20" s="474">
        <v>8631715.4602739699</v>
      </c>
      <c r="H20" s="554">
        <v>8631715.4602739699</v>
      </c>
      <c r="I20" s="555">
        <v>8631715.4602739699</v>
      </c>
      <c r="J20" s="556">
        <v>8631715.4602739699</v>
      </c>
      <c r="K20" s="504"/>
      <c r="L20" s="414" t="str">
        <f>+$L$10</f>
        <v>kWh/day</v>
      </c>
      <c r="M20" s="499"/>
      <c r="N20" s="418"/>
    </row>
    <row r="21" spans="1:14" ht="15.75" thickBot="1" x14ac:dyDescent="0.3">
      <c r="A21" s="418"/>
      <c r="B21" s="492"/>
      <c r="C21" s="421"/>
      <c r="D21" s="23"/>
      <c r="E21" s="18" t="str">
        <f>+E14</f>
        <v>Intraday</v>
      </c>
      <c r="F21" s="505"/>
      <c r="G21" s="476">
        <v>0</v>
      </c>
      <c r="H21" s="560">
        <v>0</v>
      </c>
      <c r="I21" s="561">
        <v>0</v>
      </c>
      <c r="J21" s="562">
        <v>0</v>
      </c>
      <c r="K21" s="505"/>
      <c r="L21" s="48" t="str">
        <f>+$L$14</f>
        <v>kWh/h</v>
      </c>
      <c r="M21" s="499"/>
      <c r="N21" s="418"/>
    </row>
    <row r="22" spans="1:14" x14ac:dyDescent="0.25">
      <c r="A22" s="418"/>
      <c r="B22" s="492"/>
      <c r="C22" s="419" t="str">
        <f>+Labels!B25</f>
        <v>Exit</v>
      </c>
      <c r="D22" s="21" t="str">
        <f>+D10</f>
        <v>Interconnection points (VIP)</v>
      </c>
      <c r="E22" s="356" t="str">
        <f>+E10</f>
        <v>Yearly</v>
      </c>
      <c r="F22" s="502"/>
      <c r="G22" s="474">
        <v>0</v>
      </c>
      <c r="H22" s="554">
        <v>0</v>
      </c>
      <c r="I22" s="555">
        <v>0</v>
      </c>
      <c r="J22" s="556">
        <v>0</v>
      </c>
      <c r="K22" s="503"/>
      <c r="L22" s="414" t="str">
        <f t="shared" ref="L22:L25" si="4">+$L$10</f>
        <v>kWh/day</v>
      </c>
      <c r="M22" s="499"/>
      <c r="N22" s="418"/>
    </row>
    <row r="23" spans="1:14" x14ac:dyDescent="0.25">
      <c r="A23" s="418"/>
      <c r="B23" s="492"/>
      <c r="C23" s="422"/>
      <c r="D23" s="22"/>
      <c r="E23" s="15" t="str">
        <f t="shared" ref="E23:E33" si="5">+E11</f>
        <v>Quarterly</v>
      </c>
      <c r="F23" s="493"/>
      <c r="G23" s="475">
        <v>0</v>
      </c>
      <c r="H23" s="557">
        <v>0</v>
      </c>
      <c r="I23" s="558">
        <v>0</v>
      </c>
      <c r="J23" s="559">
        <v>0</v>
      </c>
      <c r="K23" s="493"/>
      <c r="L23" s="47" t="str">
        <f t="shared" si="4"/>
        <v>kWh/day</v>
      </c>
      <c r="M23" s="499"/>
      <c r="N23" s="418"/>
    </row>
    <row r="24" spans="1:14" x14ac:dyDescent="0.25">
      <c r="A24" s="418"/>
      <c r="B24" s="492"/>
      <c r="C24" s="422"/>
      <c r="D24" s="22"/>
      <c r="E24" s="15" t="str">
        <f t="shared" si="5"/>
        <v>Monthly</v>
      </c>
      <c r="F24" s="505"/>
      <c r="G24" s="475">
        <v>0</v>
      </c>
      <c r="H24" s="557">
        <v>0</v>
      </c>
      <c r="I24" s="558">
        <v>0</v>
      </c>
      <c r="J24" s="559">
        <v>0</v>
      </c>
      <c r="K24" s="504"/>
      <c r="L24" s="47" t="str">
        <f t="shared" si="4"/>
        <v>kWh/day</v>
      </c>
      <c r="M24" s="499"/>
      <c r="N24" s="418"/>
    </row>
    <row r="25" spans="1:14" x14ac:dyDescent="0.25">
      <c r="A25" s="418"/>
      <c r="B25" s="492"/>
      <c r="C25" s="422"/>
      <c r="D25" s="22"/>
      <c r="E25" s="15" t="str">
        <f t="shared" si="5"/>
        <v>Daily</v>
      </c>
      <c r="F25" s="505"/>
      <c r="G25" s="475">
        <v>408694.55737704912</v>
      </c>
      <c r="H25" s="557">
        <v>408694.55737704912</v>
      </c>
      <c r="I25" s="558">
        <v>408694.55737704912</v>
      </c>
      <c r="J25" s="559">
        <v>408694.55737704912</v>
      </c>
      <c r="K25" s="505"/>
      <c r="L25" s="47" t="str">
        <f t="shared" si="4"/>
        <v>kWh/day</v>
      </c>
      <c r="M25" s="499"/>
      <c r="N25" s="418"/>
    </row>
    <row r="26" spans="1:14" ht="15.75" thickBot="1" x14ac:dyDescent="0.3">
      <c r="A26" s="418"/>
      <c r="B26" s="492"/>
      <c r="C26" s="422"/>
      <c r="D26" s="23"/>
      <c r="E26" s="18" t="str">
        <f t="shared" si="5"/>
        <v>Intraday</v>
      </c>
      <c r="F26" s="502"/>
      <c r="G26" s="476">
        <v>0</v>
      </c>
      <c r="H26" s="560">
        <v>0</v>
      </c>
      <c r="I26" s="561">
        <v>0</v>
      </c>
      <c r="J26" s="562">
        <v>0</v>
      </c>
      <c r="K26" s="503"/>
      <c r="L26" s="48" t="str">
        <f>+$L$14</f>
        <v>kWh/h</v>
      </c>
      <c r="M26" s="499"/>
      <c r="N26" s="418"/>
    </row>
    <row r="27" spans="1:14" x14ac:dyDescent="0.25">
      <c r="A27" s="418"/>
      <c r="B27" s="492"/>
      <c r="C27" s="422"/>
      <c r="D27" s="21" t="str">
        <f>+D15</f>
        <v>LNG terminal</v>
      </c>
      <c r="E27" s="356" t="str">
        <f t="shared" si="5"/>
        <v>Yearly</v>
      </c>
      <c r="F27" s="493"/>
      <c r="G27" s="474">
        <v>0</v>
      </c>
      <c r="H27" s="554">
        <v>0</v>
      </c>
      <c r="I27" s="555">
        <v>0</v>
      </c>
      <c r="J27" s="556">
        <v>0</v>
      </c>
      <c r="K27" s="493"/>
      <c r="L27" s="414" t="str">
        <f t="shared" ref="L27:L30" si="6">+$L$10</f>
        <v>kWh/day</v>
      </c>
      <c r="M27" s="499"/>
      <c r="N27" s="418"/>
    </row>
    <row r="28" spans="1:14" x14ac:dyDescent="0.25">
      <c r="A28" s="418"/>
      <c r="B28" s="492"/>
      <c r="C28" s="422"/>
      <c r="D28" s="22"/>
      <c r="E28" s="15" t="str">
        <f t="shared" si="5"/>
        <v>Quarterly</v>
      </c>
      <c r="F28" s="505"/>
      <c r="G28" s="475">
        <v>0</v>
      </c>
      <c r="H28" s="557">
        <v>0</v>
      </c>
      <c r="I28" s="558">
        <v>0</v>
      </c>
      <c r="J28" s="559">
        <v>0</v>
      </c>
      <c r="K28" s="504"/>
      <c r="L28" s="47" t="str">
        <f t="shared" si="6"/>
        <v>kWh/day</v>
      </c>
      <c r="M28" s="499"/>
      <c r="N28" s="418"/>
    </row>
    <row r="29" spans="1:14" x14ac:dyDescent="0.25">
      <c r="A29" s="418"/>
      <c r="B29" s="492"/>
      <c r="C29" s="422"/>
      <c r="D29" s="22"/>
      <c r="E29" s="15" t="str">
        <f t="shared" si="5"/>
        <v>Monthly</v>
      </c>
      <c r="F29" s="505"/>
      <c r="G29" s="475">
        <v>0</v>
      </c>
      <c r="H29" s="557">
        <v>0</v>
      </c>
      <c r="I29" s="558">
        <v>0</v>
      </c>
      <c r="J29" s="559">
        <v>0</v>
      </c>
      <c r="K29" s="505"/>
      <c r="L29" s="47" t="str">
        <f t="shared" si="6"/>
        <v>kWh/day</v>
      </c>
      <c r="M29" s="499"/>
      <c r="N29" s="418"/>
    </row>
    <row r="30" spans="1:14" x14ac:dyDescent="0.25">
      <c r="A30" s="418"/>
      <c r="B30" s="492"/>
      <c r="C30" s="422"/>
      <c r="D30" s="22"/>
      <c r="E30" s="15" t="str">
        <f t="shared" si="5"/>
        <v>Daily</v>
      </c>
      <c r="F30" s="502"/>
      <c r="G30" s="475">
        <v>0</v>
      </c>
      <c r="H30" s="557">
        <v>0</v>
      </c>
      <c r="I30" s="558">
        <v>0</v>
      </c>
      <c r="J30" s="559">
        <v>0</v>
      </c>
      <c r="K30" s="503"/>
      <c r="L30" s="47" t="str">
        <f t="shared" si="6"/>
        <v>kWh/day</v>
      </c>
      <c r="M30" s="499"/>
      <c r="N30" s="418"/>
    </row>
    <row r="31" spans="1:14" ht="15.75" thickBot="1" x14ac:dyDescent="0.3">
      <c r="A31" s="418"/>
      <c r="B31" s="492"/>
      <c r="C31" s="422"/>
      <c r="D31" s="23"/>
      <c r="E31" s="18" t="str">
        <f t="shared" si="5"/>
        <v>Intraday</v>
      </c>
      <c r="F31" s="493"/>
      <c r="G31" s="476">
        <v>0</v>
      </c>
      <c r="H31" s="560">
        <v>0</v>
      </c>
      <c r="I31" s="561">
        <v>0</v>
      </c>
      <c r="J31" s="562">
        <v>0</v>
      </c>
      <c r="K31" s="493"/>
      <c r="L31" s="48" t="str">
        <f>+$L$14</f>
        <v>kWh/h</v>
      </c>
      <c r="M31" s="499"/>
      <c r="N31" s="418"/>
    </row>
    <row r="32" spans="1:14" x14ac:dyDescent="0.25">
      <c r="A32" s="418"/>
      <c r="B32" s="492"/>
      <c r="C32" s="422"/>
      <c r="D32" s="21" t="str">
        <f>+D20</f>
        <v>Underground Storage</v>
      </c>
      <c r="E32" s="356" t="str">
        <f t="shared" si="5"/>
        <v>Daily</v>
      </c>
      <c r="F32" s="505"/>
      <c r="G32" s="474">
        <v>8631715.4602739699</v>
      </c>
      <c r="H32" s="554">
        <v>8631715.4602739699</v>
      </c>
      <c r="I32" s="555">
        <v>8631715.4602739699</v>
      </c>
      <c r="J32" s="556">
        <v>8631715.4602739699</v>
      </c>
      <c r="K32" s="504"/>
      <c r="L32" s="414" t="str">
        <f>+$L$10</f>
        <v>kWh/day</v>
      </c>
      <c r="M32" s="499"/>
      <c r="N32" s="418"/>
    </row>
    <row r="33" spans="1:14" ht="15.75" thickBot="1" x14ac:dyDescent="0.3">
      <c r="A33" s="418"/>
      <c r="B33" s="492"/>
      <c r="C33" s="422"/>
      <c r="D33" s="23"/>
      <c r="E33" s="18" t="str">
        <f t="shared" si="5"/>
        <v>Intraday</v>
      </c>
      <c r="F33" s="505"/>
      <c r="G33" s="476">
        <v>0</v>
      </c>
      <c r="H33" s="560">
        <v>0</v>
      </c>
      <c r="I33" s="561">
        <v>0</v>
      </c>
      <c r="J33" s="562">
        <v>0</v>
      </c>
      <c r="K33" s="505"/>
      <c r="L33" s="48" t="str">
        <f>+$L$14</f>
        <v>kWh/h</v>
      </c>
      <c r="M33" s="499"/>
      <c r="N33" s="418"/>
    </row>
    <row r="34" spans="1:14" ht="15.75" thickBot="1" x14ac:dyDescent="0.3">
      <c r="A34" s="418"/>
      <c r="B34" s="492"/>
      <c r="C34" s="422"/>
      <c r="D34" s="19" t="str">
        <f>+Labels!B29</f>
        <v>Distribution networks and HP Customers</v>
      </c>
      <c r="E34" s="416" t="str">
        <f>+Labels!B36</f>
        <v>Long Uses</v>
      </c>
      <c r="F34" s="502"/>
      <c r="G34" s="477">
        <v>168207197.95516264</v>
      </c>
      <c r="H34" s="563">
        <v>168207197.95516264</v>
      </c>
      <c r="I34" s="564">
        <v>168207197.95516264</v>
      </c>
      <c r="J34" s="565">
        <v>168207197.95516264</v>
      </c>
      <c r="K34" s="503"/>
      <c r="L34" s="415" t="str">
        <f t="shared" ref="L34:L40" si="7">+$L$10</f>
        <v>kWh/day</v>
      </c>
      <c r="M34" s="499"/>
      <c r="N34" s="418"/>
    </row>
    <row r="35" spans="1:14" x14ac:dyDescent="0.25">
      <c r="A35" s="418"/>
      <c r="B35" s="492"/>
      <c r="C35" s="422"/>
      <c r="D35" s="21" t="str">
        <f>+Labels!B30</f>
        <v>HP Customers</v>
      </c>
      <c r="E35" s="356" t="str">
        <f>+Labels!B37</f>
        <v>Annual Flexible Rate - Annual Base Capacity</v>
      </c>
      <c r="F35" s="493"/>
      <c r="G35" s="474">
        <v>74865740.840000004</v>
      </c>
      <c r="H35" s="554">
        <v>74865740.840000004</v>
      </c>
      <c r="I35" s="555">
        <v>74865740.840000004</v>
      </c>
      <c r="J35" s="556">
        <v>74865740.840000004</v>
      </c>
      <c r="K35" s="493"/>
      <c r="L35" s="49" t="str">
        <f t="shared" si="7"/>
        <v>kWh/day</v>
      </c>
      <c r="M35" s="499"/>
      <c r="N35" s="418"/>
    </row>
    <row r="36" spans="1:14" x14ac:dyDescent="0.25">
      <c r="A36" s="418"/>
      <c r="B36" s="492"/>
      <c r="C36" s="422"/>
      <c r="D36" s="22"/>
      <c r="E36" s="15" t="str">
        <f>+Labels!B38</f>
        <v>Annual Flexible Rate - Additional Monthly Capacity (April to September)</v>
      </c>
      <c r="F36" s="505"/>
      <c r="G36" s="475">
        <v>0</v>
      </c>
      <c r="H36" s="557">
        <v>0</v>
      </c>
      <c r="I36" s="558">
        <v>0</v>
      </c>
      <c r="J36" s="559">
        <v>0</v>
      </c>
      <c r="K36" s="504"/>
      <c r="L36" s="47" t="str">
        <f t="shared" si="7"/>
        <v>kWh/day</v>
      </c>
      <c r="M36" s="499"/>
      <c r="N36" s="418"/>
    </row>
    <row r="37" spans="1:14" x14ac:dyDescent="0.25">
      <c r="A37" s="418"/>
      <c r="B37" s="492"/>
      <c r="C37" s="422"/>
      <c r="D37" s="22"/>
      <c r="E37" s="15" t="str">
        <f>+Labels!B39</f>
        <v>Flexible Monthly Rate - Monthly Capacity (October to March)</v>
      </c>
      <c r="F37" s="505"/>
      <c r="G37" s="475">
        <v>27009366.044198893</v>
      </c>
      <c r="H37" s="557">
        <v>27009366.044198893</v>
      </c>
      <c r="I37" s="558">
        <v>27009366.044198893</v>
      </c>
      <c r="J37" s="559">
        <v>27009366.044198893</v>
      </c>
      <c r="K37" s="505"/>
      <c r="L37" s="47" t="str">
        <f t="shared" si="7"/>
        <v>kWh/day</v>
      </c>
      <c r="M37" s="499"/>
      <c r="N37" s="418"/>
    </row>
    <row r="38" spans="1:14" x14ac:dyDescent="0.25">
      <c r="A38" s="418"/>
      <c r="B38" s="492"/>
      <c r="C38" s="422"/>
      <c r="D38" s="22"/>
      <c r="E38" s="15" t="str">
        <f>+Labels!B40</f>
        <v>Flexible Monthly Rate - Monthly Capacity (April to September)</v>
      </c>
      <c r="F38" s="502"/>
      <c r="G38" s="475">
        <v>32280449.869565219</v>
      </c>
      <c r="H38" s="557">
        <v>32280449.869565219</v>
      </c>
      <c r="I38" s="558">
        <v>32280449.869565219</v>
      </c>
      <c r="J38" s="559">
        <v>32280449.869565219</v>
      </c>
      <c r="K38" s="503"/>
      <c r="L38" s="47" t="str">
        <f t="shared" si="7"/>
        <v>kWh/day</v>
      </c>
      <c r="M38" s="499"/>
      <c r="N38" s="418"/>
    </row>
    <row r="39" spans="1:14" x14ac:dyDescent="0.25">
      <c r="A39" s="418"/>
      <c r="B39" s="492"/>
      <c r="C39" s="422"/>
      <c r="D39" s="22"/>
      <c r="E39" s="15" t="str">
        <f>+Labels!B41</f>
        <v>Daily Flexible Rate - Daily Capacity (October to March)</v>
      </c>
      <c r="F39" s="493"/>
      <c r="G39" s="475">
        <v>0</v>
      </c>
      <c r="H39" s="557">
        <v>0</v>
      </c>
      <c r="I39" s="558">
        <v>0</v>
      </c>
      <c r="J39" s="559">
        <v>0</v>
      </c>
      <c r="K39" s="493"/>
      <c r="L39" s="47" t="str">
        <f t="shared" si="7"/>
        <v>kWh/day</v>
      </c>
      <c r="M39" s="499"/>
      <c r="N39" s="418"/>
    </row>
    <row r="40" spans="1:14" ht="15.75" thickBot="1" x14ac:dyDescent="0.3">
      <c r="A40" s="418"/>
      <c r="B40" s="492"/>
      <c r="C40" s="423"/>
      <c r="D40" s="23"/>
      <c r="E40" s="18" t="str">
        <f>+Labels!B42</f>
        <v>Daily Flexible Rate - Daily Capacity (April to September)</v>
      </c>
      <c r="F40" s="505"/>
      <c r="G40" s="476">
        <v>0</v>
      </c>
      <c r="H40" s="560">
        <v>0</v>
      </c>
      <c r="I40" s="561">
        <v>0</v>
      </c>
      <c r="J40" s="562">
        <v>0</v>
      </c>
      <c r="K40" s="504"/>
      <c r="L40" s="48" t="str">
        <f t="shared" si="7"/>
        <v>kWh/day</v>
      </c>
      <c r="M40" s="499"/>
      <c r="N40" s="418"/>
    </row>
    <row r="41" spans="1:14" ht="15.75" thickBot="1" x14ac:dyDescent="0.3">
      <c r="A41" s="418"/>
      <c r="B41" s="494"/>
      <c r="C41" s="495"/>
      <c r="D41" s="495"/>
      <c r="E41" s="495"/>
      <c r="F41" s="495"/>
      <c r="G41" s="495"/>
      <c r="H41" s="495"/>
      <c r="I41" s="495"/>
      <c r="J41" s="495"/>
      <c r="K41" s="495"/>
      <c r="L41" s="495"/>
      <c r="M41" s="497"/>
      <c r="N41" s="418"/>
    </row>
    <row r="42" spans="1:14" x14ac:dyDescent="0.25">
      <c r="A42" s="418"/>
      <c r="B42" s="418"/>
      <c r="C42" s="418"/>
      <c r="D42" s="418"/>
      <c r="E42" s="418"/>
      <c r="F42" s="418"/>
      <c r="G42" s="418"/>
      <c r="H42" s="418"/>
      <c r="I42" s="418"/>
      <c r="J42" s="418"/>
      <c r="K42" s="418"/>
      <c r="L42" s="418"/>
      <c r="M42" s="418"/>
      <c r="N42" s="418"/>
    </row>
    <row r="43" spans="1:14" hidden="1" x14ac:dyDescent="0.25"/>
    <row r="44" spans="1:14" hidden="1" x14ac:dyDescent="0.25"/>
    <row r="45" spans="1:14" hidden="1" x14ac:dyDescent="0.25"/>
    <row r="46" spans="1:14" hidden="1" x14ac:dyDescent="0.25"/>
    <row r="47" spans="1:14" hidden="1" x14ac:dyDescent="0.25"/>
    <row r="48" spans="1:14"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sheetData>
  <sheetProtection algorithmName="SHA-512" hashValue="mYdC0+NsG/j8SaAonUTJmC4NGgAKYHu6ScgxN9sV3Hl1C9Z59u9Wy15HjovQFs6GOOD+uzeMOnSCxL3VCllG3w==" saltValue="ZTh22vQHvM9Uc2PaZB1BJg==" spinCount="100000" sheet="1" selectLockedCells="1"/>
  <pageMargins left="0.7" right="0.7" top="0.75" bottom="0.75" header="0.3" footer="0.3"/>
  <pageSetup paperSize="9" orientation="portrait" r:id="rId1"/>
  <ignoredErrors>
    <ignoredError sqref="L14 L19:L33"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workbookViewId="0">
      <selection activeCell="B22" sqref="B22"/>
    </sheetView>
  </sheetViews>
  <sheetFormatPr defaultColWidth="0" defaultRowHeight="15" zeroHeight="1" x14ac:dyDescent="0.25"/>
  <cols>
    <col min="1" max="2" width="9.140625" customWidth="1"/>
    <col min="3" max="3" width="36.28515625" bestFit="1" customWidth="1"/>
    <col min="4" max="4" width="63.140625" bestFit="1" customWidth="1"/>
    <col min="5" max="5" width="33.5703125" customWidth="1"/>
    <col min="6" max="6" width="29.5703125" customWidth="1"/>
    <col min="7" max="7" width="9.140625" customWidth="1"/>
    <col min="8" max="11" width="0" hidden="1" customWidth="1"/>
    <col min="12" max="16384" width="9.140625" hidden="1"/>
  </cols>
  <sheetData>
    <row r="1" spans="1:6" x14ac:dyDescent="0.25">
      <c r="A1" s="272"/>
    </row>
    <row r="2" spans="1:6" ht="15.75" thickBot="1" x14ac:dyDescent="0.3"/>
    <row r="3" spans="1:6" ht="75.75" thickBot="1" x14ac:dyDescent="0.3">
      <c r="F3" s="399" t="s">
        <v>303</v>
      </c>
    </row>
    <row r="4" spans="1:6" ht="15.75" thickBot="1" x14ac:dyDescent="0.3">
      <c r="C4" s="8" t="e">
        <f>+'Reference prices CWD'!C4</f>
        <v>#REF!</v>
      </c>
      <c r="D4" s="8" t="e">
        <f>+'Reference prices CWD'!D4</f>
        <v>#REF!</v>
      </c>
      <c r="E4" s="8" t="e">
        <f>+'Reference prices CWD'!E4</f>
        <v>#REF!</v>
      </c>
      <c r="F4" s="403" t="s">
        <v>129</v>
      </c>
    </row>
    <row r="5" spans="1:6" x14ac:dyDescent="0.25">
      <c r="B5" s="5" t="str">
        <f>+'Reference prices CWD'!B5</f>
        <v>Entry</v>
      </c>
      <c r="C5" s="21" t="str">
        <f>+'Reference prices CWD'!C5</f>
        <v>Interconnection points (VIP)</v>
      </c>
      <c r="D5" s="12" t="str">
        <f>+'Reference prices CWD'!D5</f>
        <v>Yearly</v>
      </c>
      <c r="E5" s="46">
        <f>+'Reference prices CWD'!E5</f>
        <v>0</v>
      </c>
      <c r="F5" s="155">
        <v>0.12179685</v>
      </c>
    </row>
    <row r="6" spans="1:6" x14ac:dyDescent="0.25">
      <c r="B6" s="6"/>
      <c r="C6" s="22"/>
      <c r="D6" s="10" t="str">
        <f>+'Reference prices CWD'!D6</f>
        <v>Quarterly</v>
      </c>
      <c r="E6" s="14">
        <f>+'Reference prices CWD'!E6</f>
        <v>0</v>
      </c>
      <c r="F6" s="156">
        <v>0.15833334999999998</v>
      </c>
    </row>
    <row r="7" spans="1:6" x14ac:dyDescent="0.25">
      <c r="B7" s="6"/>
      <c r="C7" s="22"/>
      <c r="D7" s="10" t="str">
        <f>+'Reference prices CWD'!D7</f>
        <v>Monthly</v>
      </c>
      <c r="E7" s="14">
        <f>+'Reference prices CWD'!E7</f>
        <v>0</v>
      </c>
      <c r="F7" s="156">
        <v>0.18269345000000001</v>
      </c>
    </row>
    <row r="8" spans="1:6" x14ac:dyDescent="0.25">
      <c r="B8" s="6"/>
      <c r="C8" s="22"/>
      <c r="D8" s="10" t="str">
        <f>+'Reference prices CWD'!D8</f>
        <v>Daily</v>
      </c>
      <c r="E8" s="14">
        <f>+'Reference prices CWD'!E8</f>
        <v>0</v>
      </c>
      <c r="F8" s="156">
        <v>0.2435937</v>
      </c>
    </row>
    <row r="9" spans="1:6" ht="15.75" thickBot="1" x14ac:dyDescent="0.3">
      <c r="B9" s="6"/>
      <c r="C9" s="23"/>
      <c r="D9" s="17" t="str">
        <f>+'Reference prices CWD'!D9</f>
        <v>Intraday</v>
      </c>
      <c r="E9" s="16">
        <f>+'Reference prices CWD'!E9</f>
        <v>0</v>
      </c>
      <c r="F9" s="157">
        <v>6.4308036</v>
      </c>
    </row>
    <row r="10" spans="1:6" x14ac:dyDescent="0.25">
      <c r="B10" s="6"/>
      <c r="C10" s="21" t="str">
        <f>+'Reference prices CWD'!C10</f>
        <v>LNG terminal</v>
      </c>
      <c r="D10" s="12" t="str">
        <f>+'Reference prices CWD'!D10</f>
        <v>Yearly</v>
      </c>
      <c r="E10" s="46">
        <f>+'Reference prices CWD'!E10</f>
        <v>0</v>
      </c>
      <c r="F10" s="155">
        <v>0.12179685</v>
      </c>
    </row>
    <row r="11" spans="1:6" x14ac:dyDescent="0.25">
      <c r="B11" s="6"/>
      <c r="C11" s="22"/>
      <c r="D11" s="10" t="str">
        <f>+'Reference prices CWD'!D11</f>
        <v>Quarterly</v>
      </c>
      <c r="E11" s="14">
        <f>+'Reference prices CWD'!E11</f>
        <v>0</v>
      </c>
      <c r="F11" s="156">
        <v>0.15833334999999998</v>
      </c>
    </row>
    <row r="12" spans="1:6" x14ac:dyDescent="0.25">
      <c r="B12" s="6"/>
      <c r="C12" s="22"/>
      <c r="D12" s="10" t="str">
        <f>+'Reference prices CWD'!D12</f>
        <v>Monthly</v>
      </c>
      <c r="E12" s="14">
        <f>+'Reference prices CWD'!E12</f>
        <v>0</v>
      </c>
      <c r="F12" s="156">
        <v>0.18269345000000001</v>
      </c>
    </row>
    <row r="13" spans="1:6" x14ac:dyDescent="0.25">
      <c r="B13" s="6"/>
      <c r="C13" s="22"/>
      <c r="D13" s="10" t="str">
        <f>+'Reference prices CWD'!D13</f>
        <v>Daily</v>
      </c>
      <c r="E13" s="14">
        <f>+'Reference prices CWD'!E13</f>
        <v>0</v>
      </c>
      <c r="F13" s="156">
        <v>0.2435937</v>
      </c>
    </row>
    <row r="14" spans="1:6" ht="15.75" thickBot="1" x14ac:dyDescent="0.3">
      <c r="B14" s="6"/>
      <c r="C14" s="23"/>
      <c r="D14" s="17" t="str">
        <f>+'Reference prices CWD'!D14</f>
        <v>Intraday</v>
      </c>
      <c r="E14" s="16">
        <f>+'Reference prices CWD'!E14</f>
        <v>0</v>
      </c>
      <c r="F14" s="157">
        <v>6.4308036</v>
      </c>
    </row>
    <row r="15" spans="1:6" x14ac:dyDescent="0.25">
      <c r="B15" s="6"/>
      <c r="C15" s="21" t="str">
        <f>+'Reference prices CWD'!C15</f>
        <v>Underground Storage</v>
      </c>
      <c r="D15" s="12" t="str">
        <f>+'Reference prices CWD'!D15</f>
        <v>Daily</v>
      </c>
      <c r="E15" s="46">
        <f>+'Reference prices CWD'!E15</f>
        <v>0</v>
      </c>
      <c r="F15" s="155">
        <v>3.4164E-3</v>
      </c>
    </row>
    <row r="16" spans="1:6" ht="15.75" thickBot="1" x14ac:dyDescent="0.3">
      <c r="B16" s="7"/>
      <c r="C16" s="23"/>
      <c r="D16" s="17" t="str">
        <f>+'Reference prices CWD'!D16</f>
        <v>Intraday</v>
      </c>
      <c r="E16" s="16">
        <f>+'Reference prices CWD'!E16</f>
        <v>0</v>
      </c>
      <c r="F16" s="157">
        <v>9.0228000000000003E-2</v>
      </c>
    </row>
    <row r="17" spans="2:6" x14ac:dyDescent="0.25">
      <c r="B17" s="5" t="str">
        <f>+'Reference prices CWD'!B17</f>
        <v>Exit</v>
      </c>
      <c r="C17" s="21" t="str">
        <f>+'Reference prices CWD'!C17</f>
        <v>Interconnection points (VIP)</v>
      </c>
      <c r="D17" s="12" t="str">
        <f>+'Reference prices CWD'!D17</f>
        <v>Yearly</v>
      </c>
      <c r="E17" s="46">
        <f>+'Reference prices CWD'!E17</f>
        <v>0</v>
      </c>
      <c r="F17" s="155">
        <v>0</v>
      </c>
    </row>
    <row r="18" spans="2:6" x14ac:dyDescent="0.25">
      <c r="B18" s="3"/>
      <c r="C18" s="22"/>
      <c r="D18" s="10" t="str">
        <f>+'Reference prices CWD'!D18</f>
        <v>Quarterly</v>
      </c>
      <c r="E18" s="14">
        <f>+'Reference prices CWD'!E18</f>
        <v>0</v>
      </c>
      <c r="F18" s="156">
        <v>0</v>
      </c>
    </row>
    <row r="19" spans="2:6" x14ac:dyDescent="0.25">
      <c r="B19" s="3"/>
      <c r="C19" s="22"/>
      <c r="D19" s="10" t="str">
        <f>+'Reference prices CWD'!D19</f>
        <v>Monthly</v>
      </c>
      <c r="E19" s="14">
        <f>+'Reference prices CWD'!E19</f>
        <v>0</v>
      </c>
      <c r="F19" s="156">
        <v>0</v>
      </c>
    </row>
    <row r="20" spans="2:6" x14ac:dyDescent="0.25">
      <c r="B20" s="3"/>
      <c r="C20" s="22"/>
      <c r="D20" s="10" t="str">
        <f>+'Reference prices CWD'!D20</f>
        <v>Daily</v>
      </c>
      <c r="E20" s="14">
        <f>+'Reference prices CWD'!E20</f>
        <v>0</v>
      </c>
      <c r="F20" s="156">
        <v>0</v>
      </c>
    </row>
    <row r="21" spans="2:6" ht="15.75" thickBot="1" x14ac:dyDescent="0.3">
      <c r="B21" s="3"/>
      <c r="C21" s="23"/>
      <c r="D21" s="17" t="str">
        <f>+'Reference prices CWD'!D21</f>
        <v>Intraday</v>
      </c>
      <c r="E21" s="16">
        <f>+'Reference prices CWD'!E21</f>
        <v>0</v>
      </c>
      <c r="F21" s="157">
        <v>0</v>
      </c>
    </row>
    <row r="22" spans="2:6" x14ac:dyDescent="0.25">
      <c r="B22" s="3"/>
      <c r="C22" s="21" t="str">
        <f>+'Reference prices CWD'!C22</f>
        <v>LNG terminal</v>
      </c>
      <c r="D22" s="12" t="str">
        <f>+'Reference prices CWD'!D22</f>
        <v>Yearly</v>
      </c>
      <c r="E22" s="46">
        <f>+'Reference prices CWD'!E22</f>
        <v>0</v>
      </c>
      <c r="F22" s="155">
        <v>0</v>
      </c>
    </row>
    <row r="23" spans="2:6" x14ac:dyDescent="0.25">
      <c r="B23" s="3"/>
      <c r="C23" s="22"/>
      <c r="D23" s="10" t="str">
        <f>+'Reference prices CWD'!D23</f>
        <v>Quarterly</v>
      </c>
      <c r="E23" s="14">
        <f>+'Reference prices CWD'!E23</f>
        <v>0</v>
      </c>
      <c r="F23" s="156">
        <v>0</v>
      </c>
    </row>
    <row r="24" spans="2:6" x14ac:dyDescent="0.25">
      <c r="B24" s="3"/>
      <c r="C24" s="22"/>
      <c r="D24" s="10" t="str">
        <f>+'Reference prices CWD'!D24</f>
        <v>Monthly</v>
      </c>
      <c r="E24" s="14">
        <f>+'Reference prices CWD'!E24</f>
        <v>0</v>
      </c>
      <c r="F24" s="156">
        <v>0</v>
      </c>
    </row>
    <row r="25" spans="2:6" x14ac:dyDescent="0.25">
      <c r="B25" s="3"/>
      <c r="C25" s="22"/>
      <c r="D25" s="10" t="str">
        <f>+'Reference prices CWD'!D25</f>
        <v>Daily</v>
      </c>
      <c r="E25" s="14">
        <f>+'Reference prices CWD'!E25</f>
        <v>0</v>
      </c>
      <c r="F25" s="156">
        <v>0</v>
      </c>
    </row>
    <row r="26" spans="2:6" ht="15.75" thickBot="1" x14ac:dyDescent="0.3">
      <c r="B26" s="3"/>
      <c r="C26" s="23"/>
      <c r="D26" s="17" t="str">
        <f>+'Reference prices CWD'!D26</f>
        <v>Intraday</v>
      </c>
      <c r="E26" s="16">
        <f>+'Reference prices CWD'!E26</f>
        <v>0</v>
      </c>
      <c r="F26" s="157">
        <v>0</v>
      </c>
    </row>
    <row r="27" spans="2:6" x14ac:dyDescent="0.25">
      <c r="B27" s="3"/>
      <c r="C27" s="21" t="str">
        <f>+'Reference prices CWD'!C27</f>
        <v>Underground Storage</v>
      </c>
      <c r="D27" s="12" t="str">
        <f>+'Reference prices CWD'!D27</f>
        <v>Daily</v>
      </c>
      <c r="E27" s="46">
        <f>+'Reference prices CWD'!E27</f>
        <v>0</v>
      </c>
      <c r="F27" s="155">
        <v>0</v>
      </c>
    </row>
    <row r="28" spans="2:6" ht="15.75" thickBot="1" x14ac:dyDescent="0.3">
      <c r="B28" s="3"/>
      <c r="C28" s="23"/>
      <c r="D28" s="17" t="str">
        <f>+'Reference prices CWD'!D28</f>
        <v>Intraday</v>
      </c>
      <c r="E28" s="16">
        <f>+'Reference prices CWD'!E28</f>
        <v>0</v>
      </c>
      <c r="F28" s="157">
        <v>0</v>
      </c>
    </row>
    <row r="29" spans="2:6" ht="15.75" thickBot="1" x14ac:dyDescent="0.3">
      <c r="B29" s="3"/>
      <c r="C29" s="19" t="str">
        <f>+'Reference prices CWD'!C29</f>
        <v>Distribution networks and HP Customers</v>
      </c>
      <c r="D29" s="20" t="str">
        <f>+'Reference prices CWD'!D29</f>
        <v>Long Uses</v>
      </c>
      <c r="E29" s="19">
        <f>+'Reference prices CWD'!E29</f>
        <v>0</v>
      </c>
      <c r="F29" s="158">
        <v>0.21097199999999999</v>
      </c>
    </row>
    <row r="30" spans="2:6" x14ac:dyDescent="0.25">
      <c r="B30" s="3"/>
      <c r="C30" s="21" t="str">
        <f>+'Reference prices CWD'!C30</f>
        <v>HP Customers</v>
      </c>
      <c r="D30" s="12" t="str">
        <f>+'Reference prices CWD'!D30</f>
        <v>Annual Flexible Rate - Annual Base Capacity</v>
      </c>
      <c r="E30" s="11">
        <f>+'Reference prices CWD'!E30</f>
        <v>0</v>
      </c>
      <c r="F30" s="155">
        <v>0.21097199999999999</v>
      </c>
    </row>
    <row r="31" spans="2:6" x14ac:dyDescent="0.25">
      <c r="B31" s="3"/>
      <c r="C31" s="22"/>
      <c r="D31" s="10" t="str">
        <f>+'Reference prices CWD'!D31</f>
        <v>Annual Flexible Rate - Additional Monthly Capacity (April to September)</v>
      </c>
      <c r="E31" s="14">
        <f>+'Reference prices CWD'!E31</f>
        <v>0</v>
      </c>
      <c r="F31" s="156">
        <v>0.31645199999999996</v>
      </c>
    </row>
    <row r="32" spans="2:6" x14ac:dyDescent="0.25">
      <c r="B32" s="3"/>
      <c r="C32" s="22"/>
      <c r="D32" s="10" t="str">
        <f>+'Reference prices CWD'!D32</f>
        <v>Flexible Monthly Rate - Monthly Capacity (October to March)</v>
      </c>
      <c r="E32" s="14">
        <f>+'Reference prices CWD'!E32</f>
        <v>0</v>
      </c>
      <c r="F32" s="156">
        <v>0.63290399999999991</v>
      </c>
    </row>
    <row r="33" spans="2:6" x14ac:dyDescent="0.25">
      <c r="B33" s="3"/>
      <c r="C33" s="22"/>
      <c r="D33" s="10" t="str">
        <f>+'Reference prices CWD'!D33</f>
        <v>Flexible Monthly Rate - Monthly Capacity (April to September)</v>
      </c>
      <c r="E33" s="14">
        <f>+'Reference prices CWD'!E33</f>
        <v>0</v>
      </c>
      <c r="F33" s="156">
        <v>0.31645199999999996</v>
      </c>
    </row>
    <row r="34" spans="2:6" x14ac:dyDescent="0.25">
      <c r="B34" s="3"/>
      <c r="C34" s="22"/>
      <c r="D34" s="10" t="str">
        <f>+'Reference prices CWD'!D34</f>
        <v>Daily Flexible Rate - Daily Capacity (October to March)</v>
      </c>
      <c r="E34" s="14">
        <f>+'Reference prices CWD'!E34</f>
        <v>0</v>
      </c>
      <c r="F34" s="156">
        <v>2.1097000000000001</v>
      </c>
    </row>
    <row r="35" spans="2:6" ht="15.75" thickBot="1" x14ac:dyDescent="0.3">
      <c r="B35" s="4"/>
      <c r="C35" s="23"/>
      <c r="D35" s="17" t="str">
        <f>+'Reference prices CWD'!D35</f>
        <v>Daily Flexible Rate - Daily Capacity (April to September)</v>
      </c>
      <c r="E35" s="16">
        <f>+'Reference prices CWD'!E35</f>
        <v>0</v>
      </c>
      <c r="F35" s="157">
        <v>1.2658200000000002</v>
      </c>
    </row>
    <row r="36" spans="2:6" x14ac:dyDescent="0.25"/>
    <row r="37" spans="2:6" hidden="1" x14ac:dyDescent="0.25"/>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03"/>
  <sheetViews>
    <sheetView showGridLines="0" zoomScaleNormal="100" workbookViewId="0">
      <selection activeCell="B22" sqref="B22"/>
    </sheetView>
  </sheetViews>
  <sheetFormatPr defaultColWidth="0" defaultRowHeight="15" zeroHeight="1" x14ac:dyDescent="0.25"/>
  <cols>
    <col min="1" max="1" width="32.42578125" bestFit="1" customWidth="1"/>
    <col min="2" max="2" width="13.140625" bestFit="1" customWidth="1"/>
    <col min="3" max="3" width="17.7109375" bestFit="1" customWidth="1"/>
    <col min="4" max="4" width="9.140625" customWidth="1"/>
    <col min="5" max="5" width="35.85546875" customWidth="1"/>
    <col min="6" max="6" width="24.42578125" bestFit="1" customWidth="1"/>
    <col min="7" max="7" width="42.5703125" bestFit="1" customWidth="1"/>
    <col min="8" max="27" width="9.140625" customWidth="1"/>
    <col min="28" max="28" width="50.42578125" customWidth="1"/>
    <col min="29" max="41" width="7.5703125" customWidth="1"/>
    <col min="42" max="42" width="9.140625" customWidth="1"/>
    <col min="43" max="16384" width="9.140625" hidden="1"/>
  </cols>
  <sheetData>
    <row r="1" spans="1:3" ht="15.75" thickBot="1" x14ac:dyDescent="0.3"/>
    <row r="2" spans="1:3" ht="15.75" thickBot="1" x14ac:dyDescent="0.3">
      <c r="A2" s="2" t="s">
        <v>288</v>
      </c>
      <c r="B2" s="79"/>
      <c r="C2" s="80"/>
    </row>
    <row r="3" spans="1:3" ht="15.75" thickBot="1" x14ac:dyDescent="0.3">
      <c r="A3" s="104" t="s">
        <v>289</v>
      </c>
      <c r="B3" s="105" t="s">
        <v>290</v>
      </c>
      <c r="C3" s="106" t="s">
        <v>291</v>
      </c>
    </row>
    <row r="4" spans="1:3" x14ac:dyDescent="0.25">
      <c r="A4" s="107">
        <v>3</v>
      </c>
      <c r="B4" s="83" t="s">
        <v>49</v>
      </c>
      <c r="C4" s="108">
        <v>57.743000000000002</v>
      </c>
    </row>
    <row r="5" spans="1:3" x14ac:dyDescent="0.25">
      <c r="A5" s="109" t="s">
        <v>50</v>
      </c>
      <c r="B5" s="110" t="s">
        <v>51</v>
      </c>
      <c r="C5" s="111">
        <v>217.11699999999999</v>
      </c>
    </row>
    <row r="6" spans="1:3" x14ac:dyDescent="0.25">
      <c r="A6" s="109">
        <v>3</v>
      </c>
      <c r="B6" s="110" t="s">
        <v>52</v>
      </c>
      <c r="C6" s="112">
        <v>85.395999999999987</v>
      </c>
    </row>
    <row r="7" spans="1:3" x14ac:dyDescent="0.25">
      <c r="A7" s="109">
        <v>3</v>
      </c>
      <c r="B7" s="110" t="s">
        <v>53</v>
      </c>
      <c r="C7" s="112">
        <v>5.0599999999999996</v>
      </c>
    </row>
    <row r="8" spans="1:3" x14ac:dyDescent="0.25">
      <c r="A8" s="109">
        <v>3</v>
      </c>
      <c r="B8" s="110" t="s">
        <v>54</v>
      </c>
      <c r="C8" s="112">
        <v>77.573999999999998</v>
      </c>
    </row>
    <row r="9" spans="1:3" x14ac:dyDescent="0.25">
      <c r="A9" s="109">
        <v>4</v>
      </c>
      <c r="B9" s="110" t="s">
        <v>55</v>
      </c>
      <c r="C9" s="112">
        <v>51.468000000000004</v>
      </c>
    </row>
    <row r="10" spans="1:3" x14ac:dyDescent="0.25">
      <c r="A10" s="109">
        <v>4</v>
      </c>
      <c r="B10" s="110" t="s">
        <v>56</v>
      </c>
      <c r="C10" s="112">
        <v>20.238000000000003</v>
      </c>
    </row>
    <row r="11" spans="1:3" x14ac:dyDescent="0.25">
      <c r="A11" s="109" t="s">
        <v>57</v>
      </c>
      <c r="B11" s="110" t="s">
        <v>58</v>
      </c>
      <c r="C11" s="112">
        <v>81.393000000000001</v>
      </c>
    </row>
    <row r="12" spans="1:3" x14ac:dyDescent="0.25">
      <c r="A12" s="109">
        <v>2</v>
      </c>
      <c r="B12" s="110" t="s">
        <v>59</v>
      </c>
      <c r="C12" s="112">
        <v>57.841000000000001</v>
      </c>
    </row>
    <row r="13" spans="1:3" x14ac:dyDescent="0.25">
      <c r="A13" s="109">
        <v>2</v>
      </c>
      <c r="B13" s="110" t="s">
        <v>60</v>
      </c>
      <c r="C13" s="112">
        <v>77.475000000000009</v>
      </c>
    </row>
    <row r="14" spans="1:3" x14ac:dyDescent="0.25">
      <c r="A14" s="109" t="s">
        <v>61</v>
      </c>
      <c r="B14" s="110" t="s">
        <v>62</v>
      </c>
      <c r="C14" s="112">
        <v>123.67399999999999</v>
      </c>
    </row>
    <row r="15" spans="1:3" x14ac:dyDescent="0.25">
      <c r="A15" s="109">
        <v>2</v>
      </c>
      <c r="B15" s="110" t="s">
        <v>63</v>
      </c>
      <c r="C15" s="113">
        <v>77.989999999999995</v>
      </c>
    </row>
    <row r="16" spans="1:3" x14ac:dyDescent="0.25">
      <c r="A16" s="109">
        <v>2</v>
      </c>
      <c r="B16" s="110" t="s">
        <v>64</v>
      </c>
      <c r="C16" s="112">
        <v>35.974000000000004</v>
      </c>
    </row>
    <row r="17" spans="1:26" x14ac:dyDescent="0.25">
      <c r="A17" s="109">
        <v>2</v>
      </c>
      <c r="B17" s="110" t="s">
        <v>65</v>
      </c>
      <c r="C17" s="112">
        <v>33.549999999999997</v>
      </c>
    </row>
    <row r="18" spans="1:26" x14ac:dyDescent="0.25">
      <c r="A18" s="109">
        <v>7</v>
      </c>
      <c r="B18" s="110" t="s">
        <v>66</v>
      </c>
      <c r="C18" s="112">
        <v>45.941000000000003</v>
      </c>
    </row>
    <row r="19" spans="1:26" x14ac:dyDescent="0.25">
      <c r="A19" s="109">
        <v>7</v>
      </c>
      <c r="B19" s="110" t="s">
        <v>67</v>
      </c>
      <c r="C19" s="112">
        <v>5.1099999999999994</v>
      </c>
    </row>
    <row r="20" spans="1:26" x14ac:dyDescent="0.25">
      <c r="A20" s="109" t="s">
        <v>68</v>
      </c>
      <c r="B20" s="110" t="s">
        <v>69</v>
      </c>
      <c r="C20" s="112">
        <v>124.952</v>
      </c>
    </row>
    <row r="21" spans="1:26" x14ac:dyDescent="0.25">
      <c r="A21" s="109">
        <v>1</v>
      </c>
      <c r="B21" s="110" t="s">
        <v>70</v>
      </c>
      <c r="C21" s="112">
        <v>105.91000000000001</v>
      </c>
    </row>
    <row r="22" spans="1:26" ht="15.75" thickBot="1" x14ac:dyDescent="0.3">
      <c r="A22" s="114">
        <v>1</v>
      </c>
      <c r="B22" s="86" t="s">
        <v>71</v>
      </c>
      <c r="C22" s="115">
        <v>90.234000000000009</v>
      </c>
    </row>
    <row r="23" spans="1:26" ht="15.75" thickBot="1" x14ac:dyDescent="0.3">
      <c r="A23" s="116" t="s">
        <v>292</v>
      </c>
      <c r="B23" s="77"/>
      <c r="C23" s="117">
        <f>SUM(C4:C22)</f>
        <v>1374.6399999999999</v>
      </c>
    </row>
    <row r="24" spans="1:26" ht="15.75" thickBot="1" x14ac:dyDescent="0.3">
      <c r="E24" s="2" t="s">
        <v>294</v>
      </c>
      <c r="F24" s="79"/>
      <c r="G24" s="79"/>
      <c r="H24" s="79"/>
      <c r="I24" s="79"/>
      <c r="J24" s="79"/>
      <c r="K24" s="79"/>
      <c r="L24" s="79"/>
      <c r="M24" s="79"/>
      <c r="N24" s="79"/>
      <c r="O24" s="79"/>
      <c r="P24" s="79"/>
      <c r="Q24" s="79"/>
      <c r="R24" s="79"/>
      <c r="S24" s="79"/>
      <c r="T24" s="79"/>
      <c r="U24" s="79"/>
      <c r="V24" s="79"/>
      <c r="W24" s="79"/>
      <c r="X24" s="79"/>
      <c r="Y24" s="79"/>
      <c r="Z24" s="80"/>
    </row>
    <row r="25" spans="1:26" ht="15.75" thickBot="1" x14ac:dyDescent="0.3">
      <c r="E25" s="126"/>
      <c r="F25" s="77"/>
      <c r="G25" s="78"/>
      <c r="H25" s="120" t="s">
        <v>295</v>
      </c>
      <c r="I25" s="121"/>
      <c r="J25" s="121"/>
      <c r="K25" s="121"/>
      <c r="L25" s="121"/>
      <c r="M25" s="121"/>
      <c r="N25" s="121"/>
      <c r="O25" s="121"/>
      <c r="P25" s="121"/>
      <c r="Q25" s="121"/>
      <c r="R25" s="121"/>
      <c r="S25" s="121"/>
      <c r="T25" s="121"/>
      <c r="U25" s="121"/>
      <c r="V25" s="121"/>
      <c r="W25" s="121"/>
      <c r="X25" s="121"/>
      <c r="Y25" s="121"/>
      <c r="Z25" s="122"/>
    </row>
    <row r="26" spans="1:26" ht="15.75" thickBot="1" x14ac:dyDescent="0.3">
      <c r="E26" s="44" t="s">
        <v>293</v>
      </c>
      <c r="F26" s="76" t="s">
        <v>306</v>
      </c>
      <c r="G26" s="76" t="str">
        <f>+G72</f>
        <v>Apenas gasodutos (troços comuns)</v>
      </c>
      <c r="H26" s="123" t="s">
        <v>49</v>
      </c>
      <c r="I26" s="123" t="s">
        <v>51</v>
      </c>
      <c r="J26" s="123" t="s">
        <v>52</v>
      </c>
      <c r="K26" s="123" t="s">
        <v>53</v>
      </c>
      <c r="L26" s="123" t="s">
        <v>54</v>
      </c>
      <c r="M26" s="123" t="s">
        <v>55</v>
      </c>
      <c r="N26" s="123" t="s">
        <v>56</v>
      </c>
      <c r="O26" s="123" t="s">
        <v>58</v>
      </c>
      <c r="P26" s="123" t="s">
        <v>59</v>
      </c>
      <c r="Q26" s="123" t="s">
        <v>60</v>
      </c>
      <c r="R26" s="123" t="s">
        <v>62</v>
      </c>
      <c r="S26" s="123" t="s">
        <v>63</v>
      </c>
      <c r="T26" s="123" t="s">
        <v>64</v>
      </c>
      <c r="U26" s="123" t="s">
        <v>65</v>
      </c>
      <c r="V26" s="123" t="s">
        <v>66</v>
      </c>
      <c r="W26" s="123" t="s">
        <v>67</v>
      </c>
      <c r="X26" s="123" t="s">
        <v>69</v>
      </c>
      <c r="Y26" s="123" t="s">
        <v>70</v>
      </c>
      <c r="Z26" s="124" t="s">
        <v>71</v>
      </c>
    </row>
    <row r="27" spans="1:26" x14ac:dyDescent="0.25">
      <c r="E27" s="14" t="s">
        <v>72</v>
      </c>
      <c r="F27" s="118">
        <f>SUM(H27:Z27)</f>
        <v>0</v>
      </c>
      <c r="G27" s="118">
        <f>SUMPRODUCT(H27:Z27,$H$72:$Z$72)</f>
        <v>0</v>
      </c>
      <c r="H27" s="10"/>
      <c r="I27" s="10"/>
      <c r="J27" s="10"/>
      <c r="K27" s="10"/>
      <c r="L27" s="10"/>
      <c r="M27" s="10"/>
      <c r="N27" s="10"/>
      <c r="O27" s="10"/>
      <c r="P27" s="10"/>
      <c r="Q27" s="10"/>
      <c r="R27" s="10"/>
      <c r="S27" s="10"/>
      <c r="T27" s="10"/>
      <c r="U27" s="10"/>
      <c r="V27" s="10"/>
      <c r="W27" s="10"/>
      <c r="X27" s="10"/>
      <c r="Y27" s="10"/>
      <c r="Z27" s="15"/>
    </row>
    <row r="28" spans="1:26" x14ac:dyDescent="0.25">
      <c r="E28" s="14" t="s">
        <v>73</v>
      </c>
      <c r="F28" s="118">
        <f t="shared" ref="F28:F70" si="0">SUM(H28:Z28)</f>
        <v>509.03899999999999</v>
      </c>
      <c r="G28" s="118">
        <f t="shared" ref="G28:G70" si="1">SUMPRODUCT(H28:Z28,$H$72:$Z$72)</f>
        <v>509.03899999999999</v>
      </c>
      <c r="H28" s="10">
        <f>SUMIFS($C$4:$C$22,$B$4:$B$22,H$26)</f>
        <v>57.743000000000002</v>
      </c>
      <c r="I28" s="10"/>
      <c r="J28" s="10">
        <f t="shared" ref="J28:J36" si="2">SUMIFS($C$4:$C$22,$B$4:$B$22,J$26)</f>
        <v>85.395999999999987</v>
      </c>
      <c r="K28" s="10"/>
      <c r="L28" s="10">
        <f t="shared" ref="L28:L33" si="3">SUMIFS($C$4:$C$22,$B$4:$B$22,L$26)</f>
        <v>77.573999999999998</v>
      </c>
      <c r="M28" s="10">
        <f>SUMIFS($C$4:$C$22,$B$4:$B$22,M$26)</f>
        <v>51.468000000000004</v>
      </c>
      <c r="N28" s="10"/>
      <c r="O28" s="10">
        <f>SUMIFS($C$4:$C$22,$B$4:$B$22,O$26)</f>
        <v>81.393000000000001</v>
      </c>
      <c r="P28" s="10"/>
      <c r="Q28" s="10">
        <f>SUMIFS($C$4:$C$22,$B$4:$B$22,Q$26)</f>
        <v>77.475000000000009</v>
      </c>
      <c r="R28" s="10"/>
      <c r="S28" s="10">
        <f>SUMIFS($C$4:$C$22,$B$4:$B$22,S$26)</f>
        <v>77.989999999999995</v>
      </c>
      <c r="T28" s="10"/>
      <c r="U28" s="10"/>
      <c r="V28" s="10"/>
      <c r="W28" s="10"/>
      <c r="X28" s="10"/>
      <c r="Y28" s="10"/>
      <c r="Z28" s="15"/>
    </row>
    <row r="29" spans="1:26" x14ac:dyDescent="0.25">
      <c r="E29" s="14" t="s">
        <v>74</v>
      </c>
      <c r="F29" s="118">
        <f t="shared" si="0"/>
        <v>481.84000000000003</v>
      </c>
      <c r="G29" s="118">
        <f t="shared" si="1"/>
        <v>481.84000000000003</v>
      </c>
      <c r="H29" s="10">
        <f t="shared" ref="H29:H38" si="4">SUMIFS($C$4:$C$22,$B$4:$B$22,H$26)</f>
        <v>57.743000000000002</v>
      </c>
      <c r="I29" s="10"/>
      <c r="J29" s="10">
        <f t="shared" si="2"/>
        <v>85.395999999999987</v>
      </c>
      <c r="K29" s="10"/>
      <c r="L29" s="10">
        <f t="shared" si="3"/>
        <v>77.573999999999998</v>
      </c>
      <c r="M29" s="10"/>
      <c r="N29" s="10"/>
      <c r="O29" s="10"/>
      <c r="P29" s="10"/>
      <c r="Q29" s="10"/>
      <c r="R29" s="10"/>
      <c r="S29" s="10"/>
      <c r="T29" s="10"/>
      <c r="U29" s="10"/>
      <c r="V29" s="10">
        <f>SUMIFS($C$4:$C$22,$B$4:$B$22,V$26)</f>
        <v>45.941000000000003</v>
      </c>
      <c r="W29" s="10"/>
      <c r="X29" s="10">
        <f>SUMIFS($C$4:$C$22,$B$4:$B$22,X$26)</f>
        <v>124.952</v>
      </c>
      <c r="Y29" s="10"/>
      <c r="Z29" s="15">
        <f>SUMIFS($C$4:$C$22,$B$4:$B$22,Z$26)</f>
        <v>90.234000000000009</v>
      </c>
    </row>
    <row r="30" spans="1:26" x14ac:dyDescent="0.25">
      <c r="E30" s="14" t="s">
        <v>75</v>
      </c>
      <c r="F30" s="118">
        <f t="shared" si="0"/>
        <v>254.26299999999998</v>
      </c>
      <c r="G30" s="118">
        <f t="shared" si="1"/>
        <v>254.26299999999998</v>
      </c>
      <c r="H30" s="10">
        <f t="shared" si="4"/>
        <v>57.743000000000002</v>
      </c>
      <c r="I30" s="10"/>
      <c r="J30" s="10">
        <f t="shared" si="2"/>
        <v>85.395999999999987</v>
      </c>
      <c r="K30" s="10"/>
      <c r="L30" s="10">
        <f t="shared" si="3"/>
        <v>77.573999999999998</v>
      </c>
      <c r="M30" s="10"/>
      <c r="N30" s="10"/>
      <c r="O30" s="10"/>
      <c r="P30" s="10"/>
      <c r="Q30" s="10"/>
      <c r="R30" s="10"/>
      <c r="S30" s="10"/>
      <c r="T30" s="10"/>
      <c r="U30" s="10">
        <f>SUMIFS($C$4:$C$22,$B$4:$B$22,U$26)</f>
        <v>33.549999999999997</v>
      </c>
      <c r="V30" s="10"/>
      <c r="W30" s="10"/>
      <c r="X30" s="10"/>
      <c r="Y30" s="10"/>
      <c r="Z30" s="15"/>
    </row>
    <row r="31" spans="1:26" x14ac:dyDescent="0.25">
      <c r="E31" s="14" t="s">
        <v>76</v>
      </c>
      <c r="F31" s="118">
        <f t="shared" si="0"/>
        <v>416.85699999999997</v>
      </c>
      <c r="G31" s="118">
        <f t="shared" si="1"/>
        <v>310.947</v>
      </c>
      <c r="H31" s="10">
        <f t="shared" si="4"/>
        <v>57.743000000000002</v>
      </c>
      <c r="I31" s="10"/>
      <c r="J31" s="10">
        <f t="shared" si="2"/>
        <v>85.395999999999987</v>
      </c>
      <c r="K31" s="10"/>
      <c r="L31" s="10">
        <f t="shared" si="3"/>
        <v>77.573999999999998</v>
      </c>
      <c r="M31" s="10"/>
      <c r="N31" s="10"/>
      <c r="O31" s="10"/>
      <c r="P31" s="10"/>
      <c r="Q31" s="10"/>
      <c r="R31" s="10"/>
      <c r="S31" s="10"/>
      <c r="T31" s="10"/>
      <c r="U31" s="10"/>
      <c r="V31" s="10"/>
      <c r="W31" s="10"/>
      <c r="X31" s="10"/>
      <c r="Y31" s="10">
        <f>SUMIFS($C$4:$C$22,$B$4:$B$22,Y$26)</f>
        <v>105.91000000000001</v>
      </c>
      <c r="Z31" s="15">
        <f>SUMIFS($C$4:$C$22,$B$4:$B$22,Z$26)</f>
        <v>90.234000000000009</v>
      </c>
    </row>
    <row r="32" spans="1:26" x14ac:dyDescent="0.25">
      <c r="E32" s="14" t="s">
        <v>77</v>
      </c>
      <c r="F32" s="118">
        <f t="shared" si="0"/>
        <v>434.01900000000001</v>
      </c>
      <c r="G32" s="118">
        <f t="shared" si="1"/>
        <v>376.178</v>
      </c>
      <c r="H32" s="10">
        <f t="shared" si="4"/>
        <v>57.743000000000002</v>
      </c>
      <c r="I32" s="10"/>
      <c r="J32" s="10">
        <f t="shared" si="2"/>
        <v>85.395999999999987</v>
      </c>
      <c r="K32" s="10"/>
      <c r="L32" s="10">
        <f t="shared" si="3"/>
        <v>77.573999999999998</v>
      </c>
      <c r="M32" s="10"/>
      <c r="N32" s="10"/>
      <c r="O32" s="10"/>
      <c r="P32" s="10">
        <f>SUMIFS($C$4:$C$22,$B$4:$B$22,P$26)</f>
        <v>57.841000000000001</v>
      </c>
      <c r="Q32" s="10">
        <f>SUMIFS($C$4:$C$22,$B$4:$B$22,Q$26)</f>
        <v>77.475000000000009</v>
      </c>
      <c r="R32" s="10"/>
      <c r="S32" s="10">
        <f>SUMIFS($C$4:$C$22,$B$4:$B$22,S$26)</f>
        <v>77.989999999999995</v>
      </c>
      <c r="T32" s="10"/>
      <c r="U32" s="10"/>
      <c r="V32" s="10"/>
      <c r="W32" s="10"/>
      <c r="X32" s="10"/>
      <c r="Y32" s="10"/>
      <c r="Z32" s="15"/>
    </row>
    <row r="33" spans="5:26" x14ac:dyDescent="0.25">
      <c r="E33" s="14" t="s">
        <v>78</v>
      </c>
      <c r="F33" s="118">
        <f t="shared" si="0"/>
        <v>290.23699999999997</v>
      </c>
      <c r="G33" s="118">
        <f t="shared" si="1"/>
        <v>254.26299999999998</v>
      </c>
      <c r="H33" s="10">
        <f t="shared" si="4"/>
        <v>57.743000000000002</v>
      </c>
      <c r="I33" s="10"/>
      <c r="J33" s="10">
        <f t="shared" si="2"/>
        <v>85.395999999999987</v>
      </c>
      <c r="K33" s="10"/>
      <c r="L33" s="10">
        <f t="shared" si="3"/>
        <v>77.573999999999998</v>
      </c>
      <c r="M33" s="10"/>
      <c r="N33" s="10"/>
      <c r="O33" s="10"/>
      <c r="P33" s="10"/>
      <c r="Q33" s="10"/>
      <c r="R33" s="10"/>
      <c r="S33" s="10"/>
      <c r="T33" s="10">
        <f>SUMIFS($C$4:$C$22,$B$4:$B$22,T$26)</f>
        <v>35.974000000000004</v>
      </c>
      <c r="U33" s="10">
        <f>SUMIFS($C$4:$C$22,$B$4:$B$22,U$26)</f>
        <v>33.549999999999997</v>
      </c>
      <c r="V33" s="10"/>
      <c r="W33" s="10"/>
      <c r="X33" s="10"/>
      <c r="Y33" s="10"/>
      <c r="Z33" s="15"/>
    </row>
    <row r="34" spans="5:26" x14ac:dyDescent="0.25">
      <c r="E34" s="14" t="s">
        <v>79</v>
      </c>
      <c r="F34" s="118">
        <f t="shared" si="0"/>
        <v>148.19899999999998</v>
      </c>
      <c r="G34" s="118">
        <f t="shared" si="1"/>
        <v>143.13899999999998</v>
      </c>
      <c r="H34" s="10">
        <f t="shared" si="4"/>
        <v>57.743000000000002</v>
      </c>
      <c r="I34" s="10"/>
      <c r="J34" s="10">
        <f t="shared" si="2"/>
        <v>85.395999999999987</v>
      </c>
      <c r="K34" s="10">
        <f>SUMIFS($C$4:$C$22,$B$4:$B$22,K$26)</f>
        <v>5.0599999999999996</v>
      </c>
      <c r="L34" s="10"/>
      <c r="M34" s="10"/>
      <c r="N34" s="10"/>
      <c r="O34" s="10"/>
      <c r="P34" s="10"/>
      <c r="Q34" s="10"/>
      <c r="R34" s="10"/>
      <c r="S34" s="10"/>
      <c r="T34" s="10"/>
      <c r="U34" s="10"/>
      <c r="V34" s="10"/>
      <c r="W34" s="10"/>
      <c r="X34" s="10"/>
      <c r="Y34" s="10"/>
      <c r="Z34" s="15"/>
    </row>
    <row r="35" spans="5:26" x14ac:dyDescent="0.25">
      <c r="E35" s="14" t="s">
        <v>80</v>
      </c>
      <c r="F35" s="118">
        <f t="shared" si="0"/>
        <v>477.80899999999997</v>
      </c>
      <c r="G35" s="118">
        <f t="shared" si="1"/>
        <v>457.57100000000003</v>
      </c>
      <c r="H35" s="10">
        <f t="shared" si="4"/>
        <v>57.743000000000002</v>
      </c>
      <c r="I35" s="10"/>
      <c r="J35" s="10">
        <f t="shared" si="2"/>
        <v>85.395999999999987</v>
      </c>
      <c r="K35" s="10"/>
      <c r="L35" s="10">
        <f t="shared" ref="L35:L36" si="5">SUMIFS($C$4:$C$22,$B$4:$B$22,L$26)</f>
        <v>77.573999999999998</v>
      </c>
      <c r="M35" s="10"/>
      <c r="N35" s="10">
        <f>SUMIFS($C$4:$C$22,$B$4:$B$22,N$26)</f>
        <v>20.238000000000003</v>
      </c>
      <c r="O35" s="10">
        <f>SUMIFS($C$4:$C$22,$B$4:$B$22,O$26)</f>
        <v>81.393000000000001</v>
      </c>
      <c r="P35" s="10"/>
      <c r="Q35" s="10">
        <f>SUMIFS($C$4:$C$22,$B$4:$B$22,Q$26)</f>
        <v>77.475000000000009</v>
      </c>
      <c r="R35" s="10"/>
      <c r="S35" s="10">
        <f>SUMIFS($C$4:$C$22,$B$4:$B$22,S$26)</f>
        <v>77.989999999999995</v>
      </c>
      <c r="T35" s="10"/>
      <c r="U35" s="10"/>
      <c r="V35" s="10"/>
      <c r="W35" s="10"/>
      <c r="X35" s="10"/>
      <c r="Y35" s="10"/>
      <c r="Z35" s="15"/>
    </row>
    <row r="36" spans="5:26" x14ac:dyDescent="0.25">
      <c r="E36" s="14" t="s">
        <v>81</v>
      </c>
      <c r="F36" s="118">
        <f t="shared" si="0"/>
        <v>441.00900000000001</v>
      </c>
      <c r="G36" s="118">
        <f t="shared" si="1"/>
        <v>435.899</v>
      </c>
      <c r="H36" s="10">
        <f t="shared" si="4"/>
        <v>57.743000000000002</v>
      </c>
      <c r="I36" s="10"/>
      <c r="J36" s="10">
        <f t="shared" si="2"/>
        <v>85.395999999999987</v>
      </c>
      <c r="K36" s="10"/>
      <c r="L36" s="10">
        <f t="shared" si="5"/>
        <v>77.573999999999998</v>
      </c>
      <c r="M36" s="10"/>
      <c r="N36" s="10"/>
      <c r="O36" s="10"/>
      <c r="P36" s="10"/>
      <c r="Q36" s="10"/>
      <c r="R36" s="10"/>
      <c r="S36" s="10"/>
      <c r="T36" s="10"/>
      <c r="U36" s="10"/>
      <c r="V36" s="10"/>
      <c r="W36" s="10">
        <f>SUMIFS($C$4:$C$22,$B$4:$B$22,W$26)</f>
        <v>5.1099999999999994</v>
      </c>
      <c r="X36" s="10">
        <f>SUMIFS($C$4:$C$22,$B$4:$B$22,X$26)</f>
        <v>124.952</v>
      </c>
      <c r="Y36" s="10"/>
      <c r="Z36" s="15">
        <f>SUMIFS($C$4:$C$22,$B$4:$B$22,Z$26)</f>
        <v>90.234000000000009</v>
      </c>
    </row>
    <row r="37" spans="5:26" x14ac:dyDescent="0.25">
      <c r="E37" s="14" t="s">
        <v>82</v>
      </c>
      <c r="F37" s="118">
        <f t="shared" si="0"/>
        <v>274.86</v>
      </c>
      <c r="G37" s="118">
        <f t="shared" si="1"/>
        <v>274.86</v>
      </c>
      <c r="H37" s="10">
        <f t="shared" si="4"/>
        <v>57.743000000000002</v>
      </c>
      <c r="I37" s="10">
        <f>SUMIFS($C$4:$C$22,$B$4:$B$22,I$26)</f>
        <v>217.11699999999999</v>
      </c>
      <c r="J37" s="10"/>
      <c r="K37" s="10"/>
      <c r="L37" s="10"/>
      <c r="M37" s="10"/>
      <c r="N37" s="10"/>
      <c r="O37" s="10"/>
      <c r="P37" s="10"/>
      <c r="Q37" s="10"/>
      <c r="R37" s="10"/>
      <c r="S37" s="10"/>
      <c r="T37" s="10"/>
      <c r="U37" s="10"/>
      <c r="V37" s="10"/>
      <c r="W37" s="10"/>
      <c r="X37" s="10"/>
      <c r="Y37" s="10"/>
      <c r="Z37" s="15"/>
    </row>
    <row r="38" spans="5:26" x14ac:dyDescent="0.25">
      <c r="E38" s="14" t="s">
        <v>83</v>
      </c>
      <c r="F38" s="118">
        <f t="shared" si="0"/>
        <v>509.03899999999999</v>
      </c>
      <c r="G38" s="118">
        <f t="shared" si="1"/>
        <v>509.03899999999999</v>
      </c>
      <c r="H38" s="10">
        <f t="shared" si="4"/>
        <v>57.743000000000002</v>
      </c>
      <c r="I38" s="10"/>
      <c r="J38" s="10">
        <f>SUMIFS($C$4:$C$22,$B$4:$B$22,J$26)</f>
        <v>85.395999999999987</v>
      </c>
      <c r="K38" s="10"/>
      <c r="L38" s="10">
        <f>SUMIFS($C$4:$C$22,$B$4:$B$22,L$26)</f>
        <v>77.573999999999998</v>
      </c>
      <c r="M38" s="10">
        <f>SUMIFS($C$4:$C$22,$B$4:$B$22,M$26)</f>
        <v>51.468000000000004</v>
      </c>
      <c r="N38" s="10"/>
      <c r="O38" s="10">
        <f>SUMIFS($C$4:$C$22,$B$4:$B$22,O$26)</f>
        <v>81.393000000000001</v>
      </c>
      <c r="P38" s="10"/>
      <c r="Q38" s="10">
        <f>SUMIFS($C$4:$C$22,$B$4:$B$22,Q$26)</f>
        <v>77.475000000000009</v>
      </c>
      <c r="R38" s="10"/>
      <c r="S38" s="10">
        <f>SUMIFS($C$4:$C$22,$B$4:$B$22,S$26)</f>
        <v>77.989999999999995</v>
      </c>
      <c r="T38" s="10"/>
      <c r="U38" s="10"/>
      <c r="V38" s="10"/>
      <c r="W38" s="10"/>
      <c r="X38" s="10"/>
      <c r="Y38" s="10"/>
      <c r="Z38" s="15"/>
    </row>
    <row r="39" spans="5:26" x14ac:dyDescent="0.25">
      <c r="E39" s="14" t="s">
        <v>84</v>
      </c>
      <c r="F39" s="118">
        <f t="shared" si="0"/>
        <v>0</v>
      </c>
      <c r="G39" s="118">
        <f t="shared" si="1"/>
        <v>0</v>
      </c>
      <c r="H39" s="10"/>
      <c r="I39" s="10"/>
      <c r="J39" s="10"/>
      <c r="K39" s="10"/>
      <c r="L39" s="10"/>
      <c r="M39" s="10"/>
      <c r="N39" s="10"/>
      <c r="O39" s="10"/>
      <c r="P39" s="10"/>
      <c r="Q39" s="10"/>
      <c r="R39" s="10"/>
      <c r="S39" s="10"/>
      <c r="T39" s="10"/>
      <c r="U39" s="10"/>
      <c r="V39" s="10"/>
      <c r="W39" s="10"/>
      <c r="X39" s="10"/>
      <c r="Y39" s="10"/>
      <c r="Z39" s="15"/>
    </row>
    <row r="40" spans="5:26" x14ac:dyDescent="0.25">
      <c r="E40" s="14" t="s">
        <v>85</v>
      </c>
      <c r="F40" s="118">
        <f t="shared" si="0"/>
        <v>549.45300000000009</v>
      </c>
      <c r="G40" s="118">
        <f t="shared" si="1"/>
        <v>549.45300000000009</v>
      </c>
      <c r="H40" s="10"/>
      <c r="I40" s="10"/>
      <c r="J40" s="10"/>
      <c r="K40" s="10"/>
      <c r="L40" s="10"/>
      <c r="M40" s="10">
        <f t="shared" ref="M40:M48" si="6">SUMIFS($C$4:$C$22,$B$4:$B$22,M$26)</f>
        <v>51.468000000000004</v>
      </c>
      <c r="N40" s="10"/>
      <c r="O40" s="10">
        <f t="shared" ref="O40:O45" si="7">SUMIFS($C$4:$C$22,$B$4:$B$22,O$26)</f>
        <v>81.393000000000001</v>
      </c>
      <c r="P40" s="10"/>
      <c r="Q40" s="10">
        <f t="shared" ref="Q40:Q42" si="8">SUMIFS($C$4:$C$22,$B$4:$B$22,Q$26)</f>
        <v>77.475000000000009</v>
      </c>
      <c r="R40" s="10"/>
      <c r="S40" s="10">
        <f>SUMIFS($C$4:$C$22,$B$4:$B$22,S$26)</f>
        <v>77.989999999999995</v>
      </c>
      <c r="T40" s="10"/>
      <c r="U40" s="10"/>
      <c r="V40" s="10">
        <f>SUMIFS($C$4:$C$22,$B$4:$B$22,V$26)</f>
        <v>45.941000000000003</v>
      </c>
      <c r="W40" s="10"/>
      <c r="X40" s="10">
        <f>SUMIFS($C$4:$C$22,$B$4:$B$22,X$26)</f>
        <v>124.952</v>
      </c>
      <c r="Y40" s="10"/>
      <c r="Z40" s="15">
        <f>SUMIFS($C$4:$C$22,$B$4:$B$22,Z$26)</f>
        <v>90.234000000000009</v>
      </c>
    </row>
    <row r="41" spans="5:26" x14ac:dyDescent="0.25">
      <c r="E41" s="14" t="s">
        <v>86</v>
      </c>
      <c r="F41" s="118">
        <f t="shared" si="0"/>
        <v>321.87600000000003</v>
      </c>
      <c r="G41" s="118">
        <f t="shared" si="1"/>
        <v>321.87600000000003</v>
      </c>
      <c r="H41" s="10"/>
      <c r="I41" s="10"/>
      <c r="J41" s="10"/>
      <c r="K41" s="10"/>
      <c r="L41" s="10"/>
      <c r="M41" s="10">
        <f t="shared" si="6"/>
        <v>51.468000000000004</v>
      </c>
      <c r="N41" s="10"/>
      <c r="O41" s="10">
        <f t="shared" si="7"/>
        <v>81.393000000000001</v>
      </c>
      <c r="P41" s="10"/>
      <c r="Q41" s="10">
        <f t="shared" si="8"/>
        <v>77.475000000000009</v>
      </c>
      <c r="R41" s="10"/>
      <c r="S41" s="10">
        <f>SUMIFS($C$4:$C$22,$B$4:$B$22,S$26)</f>
        <v>77.989999999999995</v>
      </c>
      <c r="T41" s="10"/>
      <c r="U41" s="10">
        <f>SUMIFS($C$4:$C$22,$B$4:$B$22,U$26)</f>
        <v>33.549999999999997</v>
      </c>
      <c r="V41" s="10"/>
      <c r="W41" s="10"/>
      <c r="X41" s="10"/>
      <c r="Y41" s="10"/>
      <c r="Z41" s="15"/>
    </row>
    <row r="42" spans="5:26" x14ac:dyDescent="0.25">
      <c r="E42" s="14" t="s">
        <v>87</v>
      </c>
      <c r="F42" s="118">
        <f t="shared" si="0"/>
        <v>484.47</v>
      </c>
      <c r="G42" s="118">
        <f t="shared" si="1"/>
        <v>378.56000000000006</v>
      </c>
      <c r="H42" s="10"/>
      <c r="I42" s="10"/>
      <c r="J42" s="10"/>
      <c r="K42" s="10"/>
      <c r="L42" s="10"/>
      <c r="M42" s="10">
        <f t="shared" si="6"/>
        <v>51.468000000000004</v>
      </c>
      <c r="N42" s="10"/>
      <c r="O42" s="10">
        <f t="shared" si="7"/>
        <v>81.393000000000001</v>
      </c>
      <c r="P42" s="10"/>
      <c r="Q42" s="10">
        <f t="shared" si="8"/>
        <v>77.475000000000009</v>
      </c>
      <c r="R42" s="10"/>
      <c r="S42" s="10">
        <f>SUMIFS($C$4:$C$22,$B$4:$B$22,S$26)</f>
        <v>77.989999999999995</v>
      </c>
      <c r="T42" s="10"/>
      <c r="U42" s="10"/>
      <c r="V42" s="10"/>
      <c r="W42" s="10"/>
      <c r="X42" s="10"/>
      <c r="Y42" s="10">
        <f>SUMIFS($C$4:$C$22,$B$4:$B$22,Y$26)</f>
        <v>105.91000000000001</v>
      </c>
      <c r="Z42" s="15">
        <f>SUMIFS($C$4:$C$22,$B$4:$B$22,Z$26)</f>
        <v>90.234000000000009</v>
      </c>
    </row>
    <row r="43" spans="5:26" x14ac:dyDescent="0.25">
      <c r="E43" s="14" t="s">
        <v>88</v>
      </c>
      <c r="F43" s="118">
        <f t="shared" si="0"/>
        <v>190.702</v>
      </c>
      <c r="G43" s="118">
        <f t="shared" si="1"/>
        <v>132.86099999999999</v>
      </c>
      <c r="H43" s="10"/>
      <c r="I43" s="10"/>
      <c r="J43" s="10"/>
      <c r="K43" s="10"/>
      <c r="L43" s="10"/>
      <c r="M43" s="10">
        <f t="shared" si="6"/>
        <v>51.468000000000004</v>
      </c>
      <c r="N43" s="10"/>
      <c r="O43" s="10">
        <f t="shared" si="7"/>
        <v>81.393000000000001</v>
      </c>
      <c r="P43" s="10">
        <f>SUMIFS($C$4:$C$22,$B$4:$B$22,P$26)</f>
        <v>57.841000000000001</v>
      </c>
      <c r="Q43" s="10"/>
      <c r="R43" s="10"/>
      <c r="S43" s="10"/>
      <c r="T43" s="10"/>
      <c r="U43" s="10"/>
      <c r="V43" s="10"/>
      <c r="W43" s="10"/>
      <c r="X43" s="10"/>
      <c r="Y43" s="10"/>
      <c r="Z43" s="15"/>
    </row>
    <row r="44" spans="5:26" x14ac:dyDescent="0.25">
      <c r="E44" s="14" t="s">
        <v>89</v>
      </c>
      <c r="F44" s="118">
        <f t="shared" si="0"/>
        <v>357.85</v>
      </c>
      <c r="G44" s="118">
        <f t="shared" si="1"/>
        <v>321.87600000000003</v>
      </c>
      <c r="H44" s="10"/>
      <c r="I44" s="10"/>
      <c r="J44" s="10"/>
      <c r="K44" s="10"/>
      <c r="L44" s="10"/>
      <c r="M44" s="10">
        <f t="shared" si="6"/>
        <v>51.468000000000004</v>
      </c>
      <c r="N44" s="10"/>
      <c r="O44" s="10">
        <f t="shared" si="7"/>
        <v>81.393000000000001</v>
      </c>
      <c r="P44" s="10"/>
      <c r="Q44" s="10">
        <f t="shared" ref="Q44:Q45" si="9">SUMIFS($C$4:$C$22,$B$4:$B$22,Q$26)</f>
        <v>77.475000000000009</v>
      </c>
      <c r="R44" s="10"/>
      <c r="S44" s="10">
        <f>SUMIFS($C$4:$C$22,$B$4:$B$22,S$26)</f>
        <v>77.989999999999995</v>
      </c>
      <c r="T44" s="10">
        <f>SUMIFS($C$4:$C$22,$B$4:$B$22,T$26)</f>
        <v>35.974000000000004</v>
      </c>
      <c r="U44" s="10">
        <f>SUMIFS($C$4:$C$22,$B$4:$B$22,U$26)</f>
        <v>33.549999999999997</v>
      </c>
      <c r="V44" s="10"/>
      <c r="W44" s="10"/>
      <c r="X44" s="10"/>
      <c r="Y44" s="10"/>
      <c r="Z44" s="15"/>
    </row>
    <row r="45" spans="5:26" x14ac:dyDescent="0.25">
      <c r="E45" s="14" t="s">
        <v>90</v>
      </c>
      <c r="F45" s="118">
        <f t="shared" si="0"/>
        <v>370.96000000000004</v>
      </c>
      <c r="G45" s="118">
        <f t="shared" si="1"/>
        <v>365.90000000000003</v>
      </c>
      <c r="H45" s="10"/>
      <c r="I45" s="10"/>
      <c r="J45" s="10"/>
      <c r="K45" s="10">
        <f>SUMIFS($C$4:$C$22,$B$4:$B$22,K$26)</f>
        <v>5.0599999999999996</v>
      </c>
      <c r="L45" s="10">
        <f>SUMIFS($C$4:$C$22,$B$4:$B$22,L$26)</f>
        <v>77.573999999999998</v>
      </c>
      <c r="M45" s="10">
        <f t="shared" si="6"/>
        <v>51.468000000000004</v>
      </c>
      <c r="N45" s="10"/>
      <c r="O45" s="10">
        <f t="shared" si="7"/>
        <v>81.393000000000001</v>
      </c>
      <c r="P45" s="10"/>
      <c r="Q45" s="10">
        <f t="shared" si="9"/>
        <v>77.475000000000009</v>
      </c>
      <c r="R45" s="10"/>
      <c r="S45" s="10">
        <f>SUMIFS($C$4:$C$22,$B$4:$B$22,S$26)</f>
        <v>77.989999999999995</v>
      </c>
      <c r="T45" s="10"/>
      <c r="U45" s="10"/>
      <c r="V45" s="10"/>
      <c r="W45" s="10"/>
      <c r="X45" s="10"/>
      <c r="Y45" s="10"/>
      <c r="Z45" s="15"/>
    </row>
    <row r="46" spans="5:26" x14ac:dyDescent="0.25">
      <c r="E46" s="14" t="s">
        <v>91</v>
      </c>
      <c r="F46" s="118">
        <f t="shared" si="0"/>
        <v>71.706000000000003</v>
      </c>
      <c r="G46" s="118">
        <f t="shared" si="1"/>
        <v>51.468000000000004</v>
      </c>
      <c r="H46" s="10"/>
      <c r="I46" s="10"/>
      <c r="J46" s="10"/>
      <c r="K46" s="10"/>
      <c r="L46" s="10"/>
      <c r="M46" s="10">
        <f t="shared" si="6"/>
        <v>51.468000000000004</v>
      </c>
      <c r="N46" s="10">
        <f>SUMIFS($C$4:$C$22,$B$4:$B$22,N$26)</f>
        <v>20.238000000000003</v>
      </c>
      <c r="O46" s="10"/>
      <c r="P46" s="10"/>
      <c r="Q46" s="10"/>
      <c r="R46" s="10"/>
      <c r="S46" s="10"/>
      <c r="T46" s="10"/>
      <c r="U46" s="10"/>
      <c r="V46" s="10"/>
      <c r="W46" s="10"/>
      <c r="X46" s="10"/>
      <c r="Y46" s="10"/>
      <c r="Z46" s="15"/>
    </row>
    <row r="47" spans="5:26" x14ac:dyDescent="0.25">
      <c r="E47" s="14" t="s">
        <v>92</v>
      </c>
      <c r="F47" s="118">
        <f t="shared" si="0"/>
        <v>508.62200000000007</v>
      </c>
      <c r="G47" s="118">
        <f t="shared" si="1"/>
        <v>503.51200000000006</v>
      </c>
      <c r="H47" s="10"/>
      <c r="I47" s="10"/>
      <c r="J47" s="10"/>
      <c r="K47" s="10"/>
      <c r="L47" s="10"/>
      <c r="M47" s="10">
        <f t="shared" si="6"/>
        <v>51.468000000000004</v>
      </c>
      <c r="N47" s="10"/>
      <c r="O47" s="10">
        <f t="shared" ref="O47:O48" si="10">SUMIFS($C$4:$C$22,$B$4:$B$22,O$26)</f>
        <v>81.393000000000001</v>
      </c>
      <c r="P47" s="10"/>
      <c r="Q47" s="10">
        <f t="shared" ref="Q47:Q48" si="11">SUMIFS($C$4:$C$22,$B$4:$B$22,Q$26)</f>
        <v>77.475000000000009</v>
      </c>
      <c r="R47" s="10"/>
      <c r="S47" s="10">
        <f>SUMIFS($C$4:$C$22,$B$4:$B$22,S$26)</f>
        <v>77.989999999999995</v>
      </c>
      <c r="T47" s="10"/>
      <c r="U47" s="10"/>
      <c r="V47" s="10"/>
      <c r="W47" s="10">
        <f>SUMIFS($C$4:$C$22,$B$4:$B$22,W$26)</f>
        <v>5.1099999999999994</v>
      </c>
      <c r="X47" s="10">
        <f>SUMIFS($C$4:$C$22,$B$4:$B$22,X$26)</f>
        <v>124.952</v>
      </c>
      <c r="Y47" s="10"/>
      <c r="Z47" s="15">
        <f>SUMIFS($C$4:$C$22,$B$4:$B$22,Z$26)</f>
        <v>90.234000000000009</v>
      </c>
    </row>
    <row r="48" spans="5:26" x14ac:dyDescent="0.25">
      <c r="E48" s="14" t="s">
        <v>93</v>
      </c>
      <c r="F48" s="118">
        <f t="shared" si="0"/>
        <v>334.01</v>
      </c>
      <c r="G48" s="118">
        <f t="shared" si="1"/>
        <v>334.01</v>
      </c>
      <c r="H48" s="10"/>
      <c r="I48" s="10"/>
      <c r="J48" s="10"/>
      <c r="K48" s="10"/>
      <c r="L48" s="10"/>
      <c r="M48" s="10">
        <f t="shared" si="6"/>
        <v>51.468000000000004</v>
      </c>
      <c r="N48" s="10"/>
      <c r="O48" s="10">
        <f t="shared" si="10"/>
        <v>81.393000000000001</v>
      </c>
      <c r="P48" s="10"/>
      <c r="Q48" s="10">
        <f t="shared" si="11"/>
        <v>77.475000000000009</v>
      </c>
      <c r="R48" s="10">
        <f>SUMIFS($C$4:$C$22,$B$4:$B$22,R$26)</f>
        <v>123.67399999999999</v>
      </c>
      <c r="S48" s="10"/>
      <c r="T48" s="10"/>
      <c r="U48" s="10"/>
      <c r="V48" s="10"/>
      <c r="W48" s="10"/>
      <c r="X48" s="10"/>
      <c r="Y48" s="10"/>
      <c r="Z48" s="15"/>
    </row>
    <row r="49" spans="5:26" x14ac:dyDescent="0.25">
      <c r="E49" s="14" t="s">
        <v>94</v>
      </c>
      <c r="F49" s="118">
        <f t="shared" si="0"/>
        <v>481.84000000000003</v>
      </c>
      <c r="G49" s="118">
        <f t="shared" si="1"/>
        <v>481.84000000000003</v>
      </c>
      <c r="H49" s="10">
        <f>SUMIFS($C$4:$C$22,$B$4:$B$22,H$26)</f>
        <v>57.743000000000002</v>
      </c>
      <c r="I49" s="10"/>
      <c r="J49" s="10">
        <f>SUMIFS($C$4:$C$22,$B$4:$B$22,J$26)</f>
        <v>85.395999999999987</v>
      </c>
      <c r="K49" s="10"/>
      <c r="L49" s="10">
        <f>SUMIFS($C$4:$C$22,$B$4:$B$22,L$26)</f>
        <v>77.573999999999998</v>
      </c>
      <c r="M49" s="10"/>
      <c r="N49" s="10"/>
      <c r="O49" s="10"/>
      <c r="P49" s="10"/>
      <c r="Q49" s="10"/>
      <c r="R49" s="10"/>
      <c r="S49" s="10"/>
      <c r="T49" s="10"/>
      <c r="U49" s="10"/>
      <c r="V49" s="10">
        <f>SUMIFS($C$4:$C$22,$B$4:$B$22,V$26)</f>
        <v>45.941000000000003</v>
      </c>
      <c r="W49" s="10"/>
      <c r="X49" s="10">
        <f>SUMIFS($C$4:$C$22,$B$4:$B$22,X$26)</f>
        <v>124.952</v>
      </c>
      <c r="Y49" s="10"/>
      <c r="Z49" s="15">
        <f>SUMIFS($C$4:$C$22,$B$4:$B$22,Z$26)</f>
        <v>90.234000000000009</v>
      </c>
    </row>
    <row r="50" spans="5:26" x14ac:dyDescent="0.25">
      <c r="E50" s="14" t="s">
        <v>95</v>
      </c>
      <c r="F50" s="118">
        <f t="shared" si="0"/>
        <v>549.45300000000009</v>
      </c>
      <c r="G50" s="118">
        <f t="shared" si="1"/>
        <v>549.45300000000009</v>
      </c>
      <c r="H50" s="10"/>
      <c r="I50" s="10"/>
      <c r="J50" s="10"/>
      <c r="K50" s="10"/>
      <c r="L50" s="10"/>
      <c r="M50" s="10">
        <f>SUMIFS($C$4:$C$22,$B$4:$B$22,M$26)</f>
        <v>51.468000000000004</v>
      </c>
      <c r="N50" s="10"/>
      <c r="O50" s="10">
        <f>SUMIFS($C$4:$C$22,$B$4:$B$22,O$26)</f>
        <v>81.393000000000001</v>
      </c>
      <c r="P50" s="10"/>
      <c r="Q50" s="10">
        <f>SUMIFS($C$4:$C$22,$B$4:$B$22,Q$26)</f>
        <v>77.475000000000009</v>
      </c>
      <c r="R50" s="10"/>
      <c r="S50" s="10">
        <f>SUMIFS($C$4:$C$22,$B$4:$B$22,S$26)</f>
        <v>77.989999999999995</v>
      </c>
      <c r="T50" s="10"/>
      <c r="U50" s="10"/>
      <c r="V50" s="10">
        <f>SUMIFS($C$4:$C$22,$B$4:$B$22,V$26)</f>
        <v>45.941000000000003</v>
      </c>
      <c r="W50" s="10"/>
      <c r="X50" s="10">
        <f>SUMIFS($C$4:$C$22,$B$4:$B$22,X$26)</f>
        <v>124.952</v>
      </c>
      <c r="Y50" s="10"/>
      <c r="Z50" s="15">
        <f>SUMIFS($C$4:$C$22,$B$4:$B$22,Z$26)</f>
        <v>90.234000000000009</v>
      </c>
    </row>
    <row r="51" spans="5:26" x14ac:dyDescent="0.25">
      <c r="E51" s="14" t="s">
        <v>96</v>
      </c>
      <c r="F51" s="118">
        <f t="shared" si="0"/>
        <v>0</v>
      </c>
      <c r="G51" s="118">
        <f t="shared" si="1"/>
        <v>0</v>
      </c>
      <c r="H51" s="10"/>
      <c r="I51" s="10"/>
      <c r="J51" s="10"/>
      <c r="K51" s="10"/>
      <c r="L51" s="10"/>
      <c r="M51" s="10"/>
      <c r="N51" s="10"/>
      <c r="O51" s="10"/>
      <c r="P51" s="10"/>
      <c r="Q51" s="10"/>
      <c r="R51" s="10"/>
      <c r="S51" s="10"/>
      <c r="T51" s="10"/>
      <c r="U51" s="10"/>
      <c r="V51" s="10"/>
      <c r="W51" s="10"/>
      <c r="X51" s="10"/>
      <c r="Y51" s="10"/>
      <c r="Z51" s="15"/>
    </row>
    <row r="52" spans="5:26" x14ac:dyDescent="0.25">
      <c r="E52" s="14" t="s">
        <v>97</v>
      </c>
      <c r="F52" s="118">
        <f t="shared" si="0"/>
        <v>294.67700000000002</v>
      </c>
      <c r="G52" s="118">
        <f t="shared" si="1"/>
        <v>294.67700000000002</v>
      </c>
      <c r="H52" s="10"/>
      <c r="I52" s="10"/>
      <c r="J52" s="10"/>
      <c r="K52" s="10"/>
      <c r="L52" s="10"/>
      <c r="M52" s="10"/>
      <c r="N52" s="10"/>
      <c r="O52" s="10"/>
      <c r="P52" s="10"/>
      <c r="Q52" s="10"/>
      <c r="R52" s="10"/>
      <c r="S52" s="10"/>
      <c r="T52" s="10"/>
      <c r="U52" s="10">
        <f>SUMIFS($C$4:$C$22,$B$4:$B$22,U$26)</f>
        <v>33.549999999999997</v>
      </c>
      <c r="V52" s="10">
        <f>SUMIFS($C$4:$C$22,$B$4:$B$22,V$26)</f>
        <v>45.941000000000003</v>
      </c>
      <c r="W52" s="10"/>
      <c r="X52" s="10">
        <f t="shared" ref="X52:X57" si="12">SUMIFS($C$4:$C$22,$B$4:$B$22,X$26)</f>
        <v>124.952</v>
      </c>
      <c r="Y52" s="10"/>
      <c r="Z52" s="15">
        <f>SUMIFS($C$4:$C$22,$B$4:$B$22,Z$26)</f>
        <v>90.234000000000009</v>
      </c>
    </row>
    <row r="53" spans="5:26" x14ac:dyDescent="0.25">
      <c r="E53" s="14" t="s">
        <v>98</v>
      </c>
      <c r="F53" s="118">
        <f t="shared" si="0"/>
        <v>276.803</v>
      </c>
      <c r="G53" s="118">
        <f t="shared" si="1"/>
        <v>170.893</v>
      </c>
      <c r="H53" s="10"/>
      <c r="I53" s="10"/>
      <c r="J53" s="10"/>
      <c r="K53" s="10"/>
      <c r="L53" s="10"/>
      <c r="M53" s="10"/>
      <c r="N53" s="10"/>
      <c r="O53" s="10"/>
      <c r="P53" s="10"/>
      <c r="Q53" s="10"/>
      <c r="R53" s="10"/>
      <c r="S53" s="10"/>
      <c r="T53" s="10"/>
      <c r="U53" s="10"/>
      <c r="V53" s="10">
        <f t="shared" ref="V53:V59" si="13">SUMIFS($C$4:$C$22,$B$4:$B$22,V$26)</f>
        <v>45.941000000000003</v>
      </c>
      <c r="W53" s="10"/>
      <c r="X53" s="10">
        <f t="shared" si="12"/>
        <v>124.952</v>
      </c>
      <c r="Y53" s="10">
        <f>SUMIFS($C$4:$C$22,$B$4:$B$22,Y$26)</f>
        <v>105.91000000000001</v>
      </c>
      <c r="Z53" s="15"/>
    </row>
    <row r="54" spans="5:26" x14ac:dyDescent="0.25">
      <c r="E54" s="14" t="s">
        <v>99</v>
      </c>
      <c r="F54" s="118">
        <f t="shared" si="0"/>
        <v>474.43299999999999</v>
      </c>
      <c r="G54" s="118">
        <f t="shared" si="1"/>
        <v>416.59199999999998</v>
      </c>
      <c r="H54" s="10"/>
      <c r="I54" s="10"/>
      <c r="J54" s="10"/>
      <c r="K54" s="10"/>
      <c r="L54" s="10"/>
      <c r="M54" s="10"/>
      <c r="N54" s="10"/>
      <c r="O54" s="10"/>
      <c r="P54" s="10">
        <f>SUMIFS($C$4:$C$22,$B$4:$B$22,P$26)</f>
        <v>57.841000000000001</v>
      </c>
      <c r="Q54" s="10">
        <f>SUMIFS($C$4:$C$22,$B$4:$B$22,Q$26)</f>
        <v>77.475000000000009</v>
      </c>
      <c r="R54" s="10"/>
      <c r="S54" s="10">
        <f>SUMIFS($C$4:$C$22,$B$4:$B$22,S$26)</f>
        <v>77.989999999999995</v>
      </c>
      <c r="T54" s="10"/>
      <c r="U54" s="10"/>
      <c r="V54" s="10">
        <f t="shared" si="13"/>
        <v>45.941000000000003</v>
      </c>
      <c r="W54" s="10"/>
      <c r="X54" s="10">
        <f t="shared" si="12"/>
        <v>124.952</v>
      </c>
      <c r="Y54" s="10"/>
      <c r="Z54" s="15">
        <f>SUMIFS($C$4:$C$22,$B$4:$B$22,Z$26)</f>
        <v>90.234000000000009</v>
      </c>
    </row>
    <row r="55" spans="5:26" x14ac:dyDescent="0.25">
      <c r="E55" s="14" t="s">
        <v>100</v>
      </c>
      <c r="F55" s="118">
        <f t="shared" si="0"/>
        <v>330.65100000000001</v>
      </c>
      <c r="G55" s="118">
        <f t="shared" si="1"/>
        <v>294.67700000000002</v>
      </c>
      <c r="H55" s="10"/>
      <c r="I55" s="10"/>
      <c r="J55" s="10"/>
      <c r="K55" s="10"/>
      <c r="L55" s="10"/>
      <c r="M55" s="10"/>
      <c r="N55" s="10"/>
      <c r="O55" s="10"/>
      <c r="P55" s="10"/>
      <c r="Q55" s="10"/>
      <c r="R55" s="10"/>
      <c r="S55" s="10"/>
      <c r="T55" s="10">
        <f>SUMIFS($C$4:$C$22,$B$4:$B$22,T$26)</f>
        <v>35.974000000000004</v>
      </c>
      <c r="U55" s="10">
        <f>SUMIFS($C$4:$C$22,$B$4:$B$22,U$26)</f>
        <v>33.549999999999997</v>
      </c>
      <c r="V55" s="10">
        <f t="shared" si="13"/>
        <v>45.941000000000003</v>
      </c>
      <c r="W55" s="10"/>
      <c r="X55" s="10">
        <f t="shared" si="12"/>
        <v>124.952</v>
      </c>
      <c r="Y55" s="10"/>
      <c r="Z55" s="15">
        <f>SUMIFS($C$4:$C$22,$B$4:$B$22,Z$26)</f>
        <v>90.234000000000009</v>
      </c>
    </row>
    <row r="56" spans="5:26" x14ac:dyDescent="0.25">
      <c r="E56" s="14" t="s">
        <v>101</v>
      </c>
      <c r="F56" s="118">
        <f t="shared" si="0"/>
        <v>343.76099999999997</v>
      </c>
      <c r="G56" s="118">
        <f t="shared" si="1"/>
        <v>338.70100000000002</v>
      </c>
      <c r="H56" s="10"/>
      <c r="I56" s="10"/>
      <c r="J56" s="10"/>
      <c r="K56" s="10">
        <f>SUMIFS($C$4:$C$22,$B$4:$B$22,K$26)</f>
        <v>5.0599999999999996</v>
      </c>
      <c r="L56" s="10">
        <f>SUMIFS($C$4:$C$22,$B$4:$B$22,L$26)</f>
        <v>77.573999999999998</v>
      </c>
      <c r="M56" s="10"/>
      <c r="N56" s="10"/>
      <c r="O56" s="10"/>
      <c r="P56" s="10"/>
      <c r="Q56" s="10"/>
      <c r="R56" s="10"/>
      <c r="S56" s="10"/>
      <c r="T56" s="10"/>
      <c r="U56" s="10"/>
      <c r="V56" s="10">
        <f t="shared" si="13"/>
        <v>45.941000000000003</v>
      </c>
      <c r="W56" s="10"/>
      <c r="X56" s="10">
        <f t="shared" si="12"/>
        <v>124.952</v>
      </c>
      <c r="Y56" s="10"/>
      <c r="Z56" s="15">
        <f>SUMIFS($C$4:$C$22,$B$4:$B$22,Z$26)</f>
        <v>90.234000000000009</v>
      </c>
    </row>
    <row r="57" spans="5:26" x14ac:dyDescent="0.25">
      <c r="E57" s="14" t="s">
        <v>102</v>
      </c>
      <c r="F57" s="118">
        <f t="shared" si="0"/>
        <v>518.22300000000007</v>
      </c>
      <c r="G57" s="118">
        <f t="shared" si="1"/>
        <v>497.98500000000001</v>
      </c>
      <c r="H57" s="10"/>
      <c r="I57" s="10"/>
      <c r="J57" s="10"/>
      <c r="K57" s="10"/>
      <c r="L57" s="10"/>
      <c r="M57" s="10"/>
      <c r="N57" s="10">
        <f>SUMIFS($C$4:$C$22,$B$4:$B$22,N$26)</f>
        <v>20.238000000000003</v>
      </c>
      <c r="O57" s="10">
        <f>SUMIFS($C$4:$C$22,$B$4:$B$22,O$26)</f>
        <v>81.393000000000001</v>
      </c>
      <c r="P57" s="10"/>
      <c r="Q57" s="10">
        <f>SUMIFS($C$4:$C$22,$B$4:$B$22,Q$26)</f>
        <v>77.475000000000009</v>
      </c>
      <c r="R57" s="10"/>
      <c r="S57" s="10">
        <f>SUMIFS($C$4:$C$22,$B$4:$B$22,S$26)</f>
        <v>77.989999999999995</v>
      </c>
      <c r="T57" s="10"/>
      <c r="U57" s="10"/>
      <c r="V57" s="10">
        <f t="shared" si="13"/>
        <v>45.941000000000003</v>
      </c>
      <c r="W57" s="10"/>
      <c r="X57" s="10">
        <f t="shared" si="12"/>
        <v>124.952</v>
      </c>
      <c r="Y57" s="10"/>
      <c r="Z57" s="15">
        <f>SUMIFS($C$4:$C$22,$B$4:$B$22,Z$26)</f>
        <v>90.234000000000009</v>
      </c>
    </row>
    <row r="58" spans="5:26" x14ac:dyDescent="0.25">
      <c r="E58" s="14" t="s">
        <v>103</v>
      </c>
      <c r="F58" s="118">
        <f t="shared" si="0"/>
        <v>51.051000000000002</v>
      </c>
      <c r="G58" s="118">
        <f t="shared" si="1"/>
        <v>45.941000000000003</v>
      </c>
      <c r="H58" s="10"/>
      <c r="I58" s="10"/>
      <c r="J58" s="10"/>
      <c r="K58" s="10"/>
      <c r="L58" s="10"/>
      <c r="M58" s="10"/>
      <c r="N58" s="10"/>
      <c r="O58" s="10"/>
      <c r="P58" s="10"/>
      <c r="Q58" s="10"/>
      <c r="R58" s="10"/>
      <c r="S58" s="10"/>
      <c r="T58" s="10"/>
      <c r="U58" s="10"/>
      <c r="V58" s="10">
        <f t="shared" si="13"/>
        <v>45.941000000000003</v>
      </c>
      <c r="W58" s="10">
        <f>SUMIFS($C$4:$C$22,$B$4:$B$22,W$26)</f>
        <v>5.1099999999999994</v>
      </c>
      <c r="X58" s="10"/>
      <c r="Y58" s="10"/>
      <c r="Z58" s="15"/>
    </row>
    <row r="59" spans="5:26" x14ac:dyDescent="0.25">
      <c r="E59" s="14" t="s">
        <v>104</v>
      </c>
      <c r="F59" s="118">
        <f t="shared" si="0"/>
        <v>462.79100000000005</v>
      </c>
      <c r="G59" s="118">
        <f t="shared" si="1"/>
        <v>462.79100000000005</v>
      </c>
      <c r="H59" s="10"/>
      <c r="I59" s="10"/>
      <c r="J59" s="10"/>
      <c r="K59" s="10"/>
      <c r="L59" s="10"/>
      <c r="M59" s="10"/>
      <c r="N59" s="10"/>
      <c r="O59" s="10"/>
      <c r="P59" s="10"/>
      <c r="Q59" s="10"/>
      <c r="R59" s="10">
        <f>SUMIFS($C$4:$C$22,$B$4:$B$22,R$26)</f>
        <v>123.67399999999999</v>
      </c>
      <c r="S59" s="10">
        <f>SUMIFS($C$4:$C$22,$B$4:$B$22,S$26)</f>
        <v>77.989999999999995</v>
      </c>
      <c r="T59" s="10"/>
      <c r="U59" s="10"/>
      <c r="V59" s="10">
        <f t="shared" si="13"/>
        <v>45.941000000000003</v>
      </c>
      <c r="W59" s="10"/>
      <c r="X59" s="10">
        <f>SUMIFS($C$4:$C$22,$B$4:$B$22,X$26)</f>
        <v>124.952</v>
      </c>
      <c r="Y59" s="10"/>
      <c r="Z59" s="15">
        <f>SUMIFS($C$4:$C$22,$B$4:$B$22,Z$26)</f>
        <v>90.234000000000009</v>
      </c>
    </row>
    <row r="60" spans="5:26" x14ac:dyDescent="0.25">
      <c r="E60" s="14" t="s">
        <v>105</v>
      </c>
      <c r="F60" s="118">
        <f t="shared" si="0"/>
        <v>254.26299999999998</v>
      </c>
      <c r="G60" s="118">
        <f t="shared" si="1"/>
        <v>254.26299999999998</v>
      </c>
      <c r="H60" s="10">
        <f>SUMIFS($C$4:$C$22,$B$4:$B$22,H$26)</f>
        <v>57.743000000000002</v>
      </c>
      <c r="I60" s="10"/>
      <c r="J60" s="10">
        <f>SUMIFS($C$4:$C$22,$B$4:$B$22,J$26)</f>
        <v>85.395999999999987</v>
      </c>
      <c r="K60" s="10"/>
      <c r="L60" s="10">
        <f>SUMIFS($C$4:$C$22,$B$4:$B$22,L$26)</f>
        <v>77.573999999999998</v>
      </c>
      <c r="M60" s="10"/>
      <c r="N60" s="10"/>
      <c r="O60" s="10"/>
      <c r="P60" s="10"/>
      <c r="Q60" s="10"/>
      <c r="R60" s="10"/>
      <c r="S60" s="10"/>
      <c r="T60" s="10"/>
      <c r="U60" s="10">
        <f>SUMIFS($C$4:$C$22,$B$4:$B$22,U$26)</f>
        <v>33.549999999999997</v>
      </c>
      <c r="V60" s="10"/>
      <c r="W60" s="10"/>
      <c r="X60" s="10"/>
      <c r="Y60" s="10"/>
      <c r="Z60" s="15"/>
    </row>
    <row r="61" spans="5:26" x14ac:dyDescent="0.25">
      <c r="E61" s="14" t="s">
        <v>106</v>
      </c>
      <c r="F61" s="118">
        <f t="shared" si="0"/>
        <v>321.87600000000003</v>
      </c>
      <c r="G61" s="118">
        <f t="shared" si="1"/>
        <v>321.87600000000003</v>
      </c>
      <c r="H61" s="10"/>
      <c r="I61" s="10"/>
      <c r="J61" s="10"/>
      <c r="K61" s="10"/>
      <c r="L61" s="10"/>
      <c r="M61" s="10">
        <f>SUMIFS($C$4:$C$22,$B$4:$B$22,M$26)</f>
        <v>51.468000000000004</v>
      </c>
      <c r="N61" s="10"/>
      <c r="O61" s="10">
        <f>SUMIFS($C$4:$C$22,$B$4:$B$22,O$26)</f>
        <v>81.393000000000001</v>
      </c>
      <c r="P61" s="10"/>
      <c r="Q61" s="10">
        <f>SUMIFS($C$4:$C$22,$B$4:$B$22,Q$26)</f>
        <v>77.475000000000009</v>
      </c>
      <c r="R61" s="10"/>
      <c r="S61" s="10">
        <f>SUMIFS($C$4:$C$22,$B$4:$B$22,S$26)</f>
        <v>77.989999999999995</v>
      </c>
      <c r="T61" s="10"/>
      <c r="U61" s="10">
        <f>SUMIFS($C$4:$C$22,$B$4:$B$22,U$26)</f>
        <v>33.549999999999997</v>
      </c>
      <c r="V61" s="10"/>
      <c r="W61" s="10"/>
      <c r="X61" s="10"/>
      <c r="Y61" s="10"/>
      <c r="Z61" s="15"/>
    </row>
    <row r="62" spans="5:26" x14ac:dyDescent="0.25">
      <c r="E62" s="14" t="s">
        <v>107</v>
      </c>
      <c r="F62" s="118">
        <f t="shared" si="0"/>
        <v>294.67700000000002</v>
      </c>
      <c r="G62" s="118">
        <f t="shared" si="1"/>
        <v>294.67700000000002</v>
      </c>
      <c r="H62" s="10"/>
      <c r="I62" s="10"/>
      <c r="J62" s="10"/>
      <c r="K62" s="10"/>
      <c r="L62" s="10"/>
      <c r="M62" s="10"/>
      <c r="N62" s="10"/>
      <c r="O62" s="10"/>
      <c r="P62" s="10"/>
      <c r="Q62" s="10"/>
      <c r="R62" s="10"/>
      <c r="S62" s="10"/>
      <c r="T62" s="10"/>
      <c r="U62" s="10">
        <f>SUMIFS($C$4:$C$22,$B$4:$B$22,U$26)</f>
        <v>33.549999999999997</v>
      </c>
      <c r="V62" s="10">
        <f>SUMIFS($C$4:$C$22,$B$4:$B$22,V$26)</f>
        <v>45.941000000000003</v>
      </c>
      <c r="W62" s="10"/>
      <c r="X62" s="10">
        <f>SUMIFS($C$4:$C$22,$B$4:$B$22,X$26)</f>
        <v>124.952</v>
      </c>
      <c r="Y62" s="10"/>
      <c r="Z62" s="15">
        <f>SUMIFS($C$4:$C$22,$B$4:$B$22,Z$26)</f>
        <v>90.234000000000009</v>
      </c>
    </row>
    <row r="63" spans="5:26" x14ac:dyDescent="0.25">
      <c r="E63" s="14" t="s">
        <v>108</v>
      </c>
      <c r="F63" s="118">
        <f t="shared" si="0"/>
        <v>0</v>
      </c>
      <c r="G63" s="118">
        <f t="shared" si="1"/>
        <v>0</v>
      </c>
      <c r="H63" s="10"/>
      <c r="I63" s="10"/>
      <c r="J63" s="10"/>
      <c r="K63" s="10"/>
      <c r="L63" s="10"/>
      <c r="M63" s="10"/>
      <c r="N63" s="10"/>
      <c r="O63" s="10"/>
      <c r="P63" s="10"/>
      <c r="Q63" s="10"/>
      <c r="R63" s="10"/>
      <c r="S63" s="10"/>
      <c r="T63" s="10"/>
      <c r="U63" s="10"/>
      <c r="V63" s="10"/>
      <c r="W63" s="10"/>
      <c r="X63" s="10"/>
      <c r="Y63" s="10"/>
      <c r="Z63" s="15"/>
    </row>
    <row r="64" spans="5:26" x14ac:dyDescent="0.25">
      <c r="E64" s="14" t="s">
        <v>109</v>
      </c>
      <c r="F64" s="118">
        <f t="shared" si="0"/>
        <v>229.69400000000002</v>
      </c>
      <c r="G64" s="118">
        <f t="shared" si="1"/>
        <v>123.78400000000001</v>
      </c>
      <c r="H64" s="10"/>
      <c r="I64" s="10"/>
      <c r="J64" s="10"/>
      <c r="K64" s="10"/>
      <c r="L64" s="10"/>
      <c r="M64" s="10"/>
      <c r="N64" s="10"/>
      <c r="O64" s="10"/>
      <c r="P64" s="10"/>
      <c r="Q64" s="10"/>
      <c r="R64" s="10"/>
      <c r="S64" s="10"/>
      <c r="T64" s="10"/>
      <c r="U64" s="10">
        <f>SUMIFS($C$4:$C$22,$B$4:$B$22,U$26)</f>
        <v>33.549999999999997</v>
      </c>
      <c r="V64" s="10"/>
      <c r="W64" s="10"/>
      <c r="X64" s="10"/>
      <c r="Y64" s="10">
        <f>SUMIFS($C$4:$C$22,$B$4:$B$22,Y$26)</f>
        <v>105.91000000000001</v>
      </c>
      <c r="Z64" s="15">
        <f>SUMIFS($C$4:$C$22,$B$4:$B$22,Z$26)</f>
        <v>90.234000000000009</v>
      </c>
    </row>
    <row r="65" spans="5:41" x14ac:dyDescent="0.25">
      <c r="E65" s="14" t="s">
        <v>110</v>
      </c>
      <c r="F65" s="118">
        <f t="shared" si="0"/>
        <v>246.85599999999999</v>
      </c>
      <c r="G65" s="118">
        <f t="shared" si="1"/>
        <v>189.01499999999999</v>
      </c>
      <c r="H65" s="10"/>
      <c r="I65" s="10"/>
      <c r="J65" s="10"/>
      <c r="K65" s="10"/>
      <c r="L65" s="10"/>
      <c r="M65" s="10"/>
      <c r="N65" s="10"/>
      <c r="O65" s="10"/>
      <c r="P65" s="10">
        <f>SUMIFS($C$4:$C$22,$B$4:$B$22,P$26)</f>
        <v>57.841000000000001</v>
      </c>
      <c r="Q65" s="10">
        <f>SUMIFS($C$4:$C$22,$B$4:$B$22,Q$26)</f>
        <v>77.475000000000009</v>
      </c>
      <c r="R65" s="10"/>
      <c r="S65" s="10">
        <f>SUMIFS($C$4:$C$22,$B$4:$B$22,S$26)</f>
        <v>77.989999999999995</v>
      </c>
      <c r="T65" s="10"/>
      <c r="U65" s="10">
        <f>SUMIFS($C$4:$C$22,$B$4:$B$22,U$26)</f>
        <v>33.549999999999997</v>
      </c>
      <c r="V65" s="10"/>
      <c r="W65" s="10"/>
      <c r="X65" s="10"/>
      <c r="Y65" s="10"/>
      <c r="Z65" s="15"/>
    </row>
    <row r="66" spans="5:41" x14ac:dyDescent="0.25">
      <c r="E66" s="14" t="s">
        <v>64</v>
      </c>
      <c r="F66" s="118">
        <f t="shared" si="0"/>
        <v>35.974000000000004</v>
      </c>
      <c r="G66" s="118">
        <f t="shared" si="1"/>
        <v>0</v>
      </c>
      <c r="H66" s="10"/>
      <c r="I66" s="10"/>
      <c r="J66" s="10"/>
      <c r="K66" s="10"/>
      <c r="L66" s="10"/>
      <c r="M66" s="10"/>
      <c r="N66" s="10"/>
      <c r="O66" s="10"/>
      <c r="P66" s="10"/>
      <c r="Q66" s="10"/>
      <c r="R66" s="10"/>
      <c r="S66" s="10"/>
      <c r="T66" s="10">
        <f>SUMIFS($C$4:$C$22,$B$4:$B$22,T$26)</f>
        <v>35.974000000000004</v>
      </c>
      <c r="U66" s="10"/>
      <c r="V66" s="10"/>
      <c r="W66" s="10"/>
      <c r="X66" s="10"/>
      <c r="Y66" s="10"/>
      <c r="Z66" s="15"/>
    </row>
    <row r="67" spans="5:41" x14ac:dyDescent="0.25">
      <c r="E67" s="14" t="s">
        <v>111</v>
      </c>
      <c r="F67" s="118">
        <f t="shared" si="0"/>
        <v>116.184</v>
      </c>
      <c r="G67" s="118">
        <f t="shared" si="1"/>
        <v>111.124</v>
      </c>
      <c r="H67" s="10"/>
      <c r="I67" s="10"/>
      <c r="J67" s="10"/>
      <c r="K67" s="10">
        <f>SUMIFS($C$4:$C$22,$B$4:$B$22,K$26)</f>
        <v>5.0599999999999996</v>
      </c>
      <c r="L67" s="10">
        <f>SUMIFS($C$4:$C$22,$B$4:$B$22,L$26)</f>
        <v>77.573999999999998</v>
      </c>
      <c r="M67" s="10"/>
      <c r="N67" s="10"/>
      <c r="O67" s="10"/>
      <c r="P67" s="10"/>
      <c r="Q67" s="10"/>
      <c r="R67" s="10"/>
      <c r="S67" s="10"/>
      <c r="T67" s="10"/>
      <c r="U67" s="10">
        <f>SUMIFS($C$4:$C$22,$B$4:$B$22,U$26)</f>
        <v>33.549999999999997</v>
      </c>
      <c r="V67" s="10"/>
      <c r="W67" s="10"/>
      <c r="X67" s="10"/>
      <c r="Y67" s="10"/>
      <c r="Z67" s="15"/>
    </row>
    <row r="68" spans="5:41" x14ac:dyDescent="0.25">
      <c r="E68" s="14" t="s">
        <v>112</v>
      </c>
      <c r="F68" s="118">
        <f t="shared" si="0"/>
        <v>290.64600000000002</v>
      </c>
      <c r="G68" s="118">
        <f t="shared" si="1"/>
        <v>270.40800000000002</v>
      </c>
      <c r="H68" s="10"/>
      <c r="I68" s="10"/>
      <c r="J68" s="10"/>
      <c r="K68" s="10"/>
      <c r="L68" s="10"/>
      <c r="M68" s="10"/>
      <c r="N68" s="10">
        <f>SUMIFS($C$4:$C$22,$B$4:$B$22,N$26)</f>
        <v>20.238000000000003</v>
      </c>
      <c r="O68" s="10">
        <f>SUMIFS($C$4:$C$22,$B$4:$B$22,O$26)</f>
        <v>81.393000000000001</v>
      </c>
      <c r="P68" s="10"/>
      <c r="Q68" s="10">
        <f>SUMIFS($C$4:$C$22,$B$4:$B$22,Q$26)</f>
        <v>77.475000000000009</v>
      </c>
      <c r="R68" s="10"/>
      <c r="S68" s="10">
        <f>SUMIFS($C$4:$C$22,$B$4:$B$22,S$26)</f>
        <v>77.989999999999995</v>
      </c>
      <c r="T68" s="10"/>
      <c r="U68" s="10">
        <f>SUMIFS($C$4:$C$22,$B$4:$B$22,U$26)</f>
        <v>33.549999999999997</v>
      </c>
      <c r="V68" s="10"/>
      <c r="W68" s="10"/>
      <c r="X68" s="10"/>
      <c r="Y68" s="10"/>
      <c r="Z68" s="15"/>
    </row>
    <row r="69" spans="5:41" x14ac:dyDescent="0.25">
      <c r="E69" s="14" t="s">
        <v>113</v>
      </c>
      <c r="F69" s="118">
        <f t="shared" si="0"/>
        <v>253.846</v>
      </c>
      <c r="G69" s="118">
        <f t="shared" si="1"/>
        <v>248.73600000000002</v>
      </c>
      <c r="H69" s="10"/>
      <c r="I69" s="10"/>
      <c r="J69" s="10"/>
      <c r="K69" s="10"/>
      <c r="L69" s="10"/>
      <c r="M69" s="10"/>
      <c r="N69" s="10"/>
      <c r="O69" s="10"/>
      <c r="P69" s="10"/>
      <c r="Q69" s="10"/>
      <c r="R69" s="10"/>
      <c r="S69" s="10"/>
      <c r="T69" s="10"/>
      <c r="U69" s="10">
        <f>SUMIFS($C$4:$C$22,$B$4:$B$22,U$26)</f>
        <v>33.549999999999997</v>
      </c>
      <c r="V69" s="10"/>
      <c r="W69" s="10">
        <f>SUMIFS($C$4:$C$22,$B$4:$B$22,W$26)</f>
        <v>5.1099999999999994</v>
      </c>
      <c r="X69" s="10">
        <f>SUMIFS($C$4:$C$22,$B$4:$B$22,X$26)</f>
        <v>124.952</v>
      </c>
      <c r="Y69" s="10"/>
      <c r="Z69" s="15">
        <f>SUMIFS($C$4:$C$22,$B$4:$B$22,Z$26)</f>
        <v>90.234000000000009</v>
      </c>
    </row>
    <row r="70" spans="5:41" ht="15.75" thickBot="1" x14ac:dyDescent="0.3">
      <c r="E70" s="16" t="s">
        <v>114</v>
      </c>
      <c r="F70" s="125">
        <f t="shared" si="0"/>
        <v>235.214</v>
      </c>
      <c r="G70" s="125">
        <f t="shared" si="1"/>
        <v>235.214</v>
      </c>
      <c r="H70" s="17"/>
      <c r="I70" s="17"/>
      <c r="J70" s="17"/>
      <c r="K70" s="17"/>
      <c r="L70" s="17"/>
      <c r="M70" s="17"/>
      <c r="N70" s="17"/>
      <c r="O70" s="17"/>
      <c r="P70" s="17"/>
      <c r="Q70" s="17"/>
      <c r="R70" s="17">
        <f>SUMIFS($C$4:$C$22,$B$4:$B$22,R$26)</f>
        <v>123.67399999999999</v>
      </c>
      <c r="S70" s="17">
        <f>SUMIFS($C$4:$C$22,$B$4:$B$22,S$26)</f>
        <v>77.989999999999995</v>
      </c>
      <c r="T70" s="17"/>
      <c r="U70" s="17">
        <f>SUMIFS($C$4:$C$22,$B$4:$B$22,U$26)</f>
        <v>33.549999999999997</v>
      </c>
      <c r="V70" s="17"/>
      <c r="W70" s="17"/>
      <c r="X70" s="17"/>
      <c r="Y70" s="17"/>
      <c r="Z70" s="18"/>
    </row>
    <row r="71" spans="5:41" ht="15.75" thickBot="1" x14ac:dyDescent="0.3"/>
    <row r="72" spans="5:41" ht="15.75" thickBot="1" x14ac:dyDescent="0.3">
      <c r="G72" s="76" t="s">
        <v>307</v>
      </c>
      <c r="H72" s="119">
        <v>1</v>
      </c>
      <c r="I72" s="119">
        <v>1</v>
      </c>
      <c r="J72" s="119">
        <v>1</v>
      </c>
      <c r="K72" s="119">
        <v>0</v>
      </c>
      <c r="L72" s="119">
        <v>1</v>
      </c>
      <c r="M72" s="119">
        <v>1</v>
      </c>
      <c r="N72" s="119">
        <v>0</v>
      </c>
      <c r="O72" s="119">
        <v>1</v>
      </c>
      <c r="P72" s="119">
        <v>0</v>
      </c>
      <c r="Q72" s="119">
        <v>1</v>
      </c>
      <c r="R72" s="119">
        <v>1</v>
      </c>
      <c r="S72" s="119">
        <v>1</v>
      </c>
      <c r="T72" s="119">
        <v>0</v>
      </c>
      <c r="U72" s="119">
        <v>1</v>
      </c>
      <c r="V72" s="119">
        <v>1</v>
      </c>
      <c r="W72" s="119">
        <v>0</v>
      </c>
      <c r="X72" s="119">
        <v>1</v>
      </c>
      <c r="Y72" s="119">
        <v>0</v>
      </c>
      <c r="Z72" s="119">
        <v>1</v>
      </c>
    </row>
    <row r="73" spans="5:41" x14ac:dyDescent="0.25"/>
    <row r="74" spans="5:41" ht="15.75" thickBot="1" x14ac:dyDescent="0.3"/>
    <row r="75" spans="5:41" ht="15.75" thickBot="1" x14ac:dyDescent="0.3">
      <c r="AB75" s="184" t="s">
        <v>131</v>
      </c>
      <c r="AC75" s="185"/>
      <c r="AD75" s="185"/>
      <c r="AE75" s="185"/>
      <c r="AF75" s="185"/>
      <c r="AG75" s="185"/>
      <c r="AH75" s="185"/>
      <c r="AI75" s="185"/>
      <c r="AJ75" s="185"/>
      <c r="AK75" s="185"/>
      <c r="AL75" s="185"/>
      <c r="AM75" s="185"/>
      <c r="AN75" s="185"/>
      <c r="AO75" s="186"/>
    </row>
    <row r="76" spans="5:41" ht="15.75" thickBot="1" x14ac:dyDescent="0.3">
      <c r="AB76" s="187" t="s">
        <v>132</v>
      </c>
      <c r="AC76" s="188"/>
      <c r="AD76" s="188"/>
      <c r="AE76" s="188"/>
      <c r="AF76" s="188"/>
      <c r="AG76" s="188"/>
      <c r="AH76" s="188"/>
      <c r="AI76" s="188"/>
      <c r="AJ76" s="188"/>
      <c r="AK76" s="188"/>
      <c r="AL76" s="188"/>
      <c r="AM76" s="188"/>
      <c r="AN76" s="188"/>
      <c r="AO76" s="189"/>
    </row>
    <row r="77" spans="5:41" x14ac:dyDescent="0.25">
      <c r="AB77" s="190" t="s">
        <v>133</v>
      </c>
      <c r="AC77" s="238">
        <v>2010</v>
      </c>
      <c r="AD77" s="238">
        <v>2011</v>
      </c>
      <c r="AE77" s="238">
        <v>2012</v>
      </c>
      <c r="AF77" s="238">
        <v>2013</v>
      </c>
      <c r="AG77" s="238">
        <v>2014</v>
      </c>
      <c r="AH77" s="238">
        <v>2015</v>
      </c>
      <c r="AI77" s="238">
        <v>2016</v>
      </c>
      <c r="AJ77" s="238">
        <v>2017</v>
      </c>
      <c r="AK77" s="238">
        <v>2018</v>
      </c>
      <c r="AL77" s="238">
        <v>2019</v>
      </c>
      <c r="AM77" s="238">
        <v>2020</v>
      </c>
      <c r="AN77" s="238">
        <v>2021</v>
      </c>
      <c r="AO77" s="239">
        <v>2022</v>
      </c>
    </row>
    <row r="78" spans="5:41" x14ac:dyDescent="0.25">
      <c r="AB78" s="191" t="s">
        <v>140</v>
      </c>
      <c r="AC78" s="54">
        <v>29769.659729999999</v>
      </c>
      <c r="AD78" s="54">
        <v>1058.2126500000002</v>
      </c>
      <c r="AE78" s="54">
        <v>1605.7587699999997</v>
      </c>
      <c r="AF78" s="54">
        <v>48650.53499</v>
      </c>
      <c r="AG78" s="54">
        <v>1147.6506899999997</v>
      </c>
      <c r="AH78" s="54">
        <v>5269.2430400000003</v>
      </c>
      <c r="AI78" s="54">
        <v>1854.1760300000001</v>
      </c>
      <c r="AJ78" s="192">
        <v>602.09496999999999</v>
      </c>
      <c r="AK78" s="192">
        <v>260.20187000000004</v>
      </c>
      <c r="AL78" s="192">
        <v>893.33333333333326</v>
      </c>
      <c r="AM78" s="192">
        <v>4243.333333333333</v>
      </c>
      <c r="AN78" s="192">
        <v>5112.333333333333</v>
      </c>
      <c r="AO78" s="55">
        <v>5036.0000000000009</v>
      </c>
    </row>
    <row r="79" spans="5:41" x14ac:dyDescent="0.25">
      <c r="AB79" s="191" t="s">
        <v>134</v>
      </c>
      <c r="AC79" s="54">
        <v>28623.402419999999</v>
      </c>
      <c r="AD79" s="54">
        <v>1224.6314600000001</v>
      </c>
      <c r="AE79" s="54">
        <v>718.21931999999993</v>
      </c>
      <c r="AF79" s="54">
        <v>90.068209999999979</v>
      </c>
      <c r="AG79" s="54">
        <v>208.36834999999999</v>
      </c>
      <c r="AH79" s="54">
        <v>27.780890000000003</v>
      </c>
      <c r="AI79" s="54">
        <v>696.51856000000009</v>
      </c>
      <c r="AJ79" s="192">
        <v>811.04885000000013</v>
      </c>
      <c r="AK79" s="192">
        <v>260.20187000000004</v>
      </c>
      <c r="AL79" s="192">
        <v>893.33333333333326</v>
      </c>
      <c r="AM79" s="192">
        <v>1243.3333333333333</v>
      </c>
      <c r="AN79" s="192">
        <v>1208.3333333333335</v>
      </c>
      <c r="AO79" s="55">
        <v>749.99999999999989</v>
      </c>
    </row>
    <row r="80" spans="5:41" ht="15.75" thickBot="1" x14ac:dyDescent="0.3">
      <c r="AB80" s="193" t="s">
        <v>135</v>
      </c>
      <c r="AC80" s="194">
        <v>14678.94837</v>
      </c>
      <c r="AD80" s="194">
        <v>7936.5463699999982</v>
      </c>
      <c r="AE80" s="194">
        <v>170.59281999999999</v>
      </c>
      <c r="AF80" s="194">
        <v>317.40901000000008</v>
      </c>
      <c r="AG80" s="194">
        <v>3544.6787299999996</v>
      </c>
      <c r="AH80" s="194">
        <v>2553.8907300000014</v>
      </c>
      <c r="AI80" s="194">
        <v>1262.61832</v>
      </c>
      <c r="AJ80" s="195">
        <v>3422.7245900000007</v>
      </c>
      <c r="AK80" s="195">
        <v>467.42433</v>
      </c>
      <c r="AL80" s="195">
        <v>1873.3333333333333</v>
      </c>
      <c r="AM80" s="195">
        <v>3933.333333333333</v>
      </c>
      <c r="AN80" s="195">
        <v>3539.3333333333335</v>
      </c>
      <c r="AO80" s="196">
        <v>3698.9999999999995</v>
      </c>
    </row>
    <row r="81" spans="28:41" ht="15.75" thickBot="1" x14ac:dyDescent="0.3">
      <c r="AB81" s="197" t="s">
        <v>42</v>
      </c>
      <c r="AC81" s="198">
        <f t="shared" ref="AC81:AO81" si="14">SUM(AC78:AC80)</f>
        <v>73072.010519999996</v>
      </c>
      <c r="AD81" s="198">
        <f t="shared" si="14"/>
        <v>10219.390479999998</v>
      </c>
      <c r="AE81" s="198">
        <f t="shared" si="14"/>
        <v>2494.5709099999995</v>
      </c>
      <c r="AF81" s="198">
        <f t="shared" si="14"/>
        <v>49058.012210000001</v>
      </c>
      <c r="AG81" s="198">
        <f t="shared" si="14"/>
        <v>4900.6977699999989</v>
      </c>
      <c r="AH81" s="198">
        <f t="shared" si="14"/>
        <v>7850.9146600000022</v>
      </c>
      <c r="AI81" s="198">
        <f t="shared" si="14"/>
        <v>3813.3129100000001</v>
      </c>
      <c r="AJ81" s="198">
        <f t="shared" si="14"/>
        <v>4835.8684100000009</v>
      </c>
      <c r="AK81" s="198">
        <f t="shared" si="14"/>
        <v>987.82807000000003</v>
      </c>
      <c r="AL81" s="198">
        <f t="shared" si="14"/>
        <v>3660</v>
      </c>
      <c r="AM81" s="198">
        <f t="shared" si="14"/>
        <v>9420</v>
      </c>
      <c r="AN81" s="198">
        <f t="shared" si="14"/>
        <v>9860</v>
      </c>
      <c r="AO81" s="199">
        <f t="shared" si="14"/>
        <v>9485</v>
      </c>
    </row>
    <row r="82" spans="28:41" x14ac:dyDescent="0.25"/>
    <row r="83" spans="28:41" x14ac:dyDescent="0.25">
      <c r="AC83" s="204">
        <v>2010</v>
      </c>
      <c r="AD83" s="204">
        <v>2011</v>
      </c>
      <c r="AE83" s="204">
        <v>2012</v>
      </c>
      <c r="AF83" s="204">
        <v>2013</v>
      </c>
      <c r="AG83" s="204">
        <v>2014</v>
      </c>
      <c r="AH83" s="204">
        <v>2015</v>
      </c>
      <c r="AI83" s="204">
        <v>2016</v>
      </c>
      <c r="AJ83" s="204">
        <v>2017</v>
      </c>
      <c r="AK83" s="204">
        <v>2018</v>
      </c>
      <c r="AL83" s="204">
        <v>2019</v>
      </c>
      <c r="AM83" s="204">
        <v>2020</v>
      </c>
      <c r="AN83" s="204">
        <v>2021</v>
      </c>
      <c r="AO83" s="204">
        <v>2022</v>
      </c>
    </row>
    <row r="84" spans="28:41" x14ac:dyDescent="0.25">
      <c r="AB84" s="200" t="s">
        <v>174</v>
      </c>
      <c r="AC84" s="202">
        <v>0.64347551754240229</v>
      </c>
      <c r="AD84" s="202">
        <v>-0.26957289323463751</v>
      </c>
      <c r="AE84" s="202">
        <v>-0.39756696002184455</v>
      </c>
      <c r="AF84" s="202">
        <v>2.2670481296140688</v>
      </c>
      <c r="AG84" s="202">
        <v>0.95137587962574877</v>
      </c>
      <c r="AH84" s="202">
        <v>1.93644154037544</v>
      </c>
      <c r="AI84" s="202">
        <v>1.6</v>
      </c>
      <c r="AJ84" s="202">
        <v>1.5</v>
      </c>
      <c r="AK84" s="202">
        <v>1.4</v>
      </c>
      <c r="AL84" s="202">
        <v>1.4</v>
      </c>
      <c r="AM84" s="202">
        <v>1.5</v>
      </c>
      <c r="AN84" s="202">
        <v>1.5</v>
      </c>
      <c r="AO84" s="202">
        <v>1.5</v>
      </c>
    </row>
    <row r="85" spans="28:41" x14ac:dyDescent="0.25">
      <c r="AB85" s="203" t="s">
        <v>173</v>
      </c>
      <c r="AC85" s="201">
        <f t="shared" ref="AC85:AJ85" si="15">+AD85/(1+AD84/100)</f>
        <v>0.90217187049931724</v>
      </c>
      <c r="AD85" s="201">
        <f t="shared" si="15"/>
        <v>0.89973985968606318</v>
      </c>
      <c r="AE85" s="201">
        <f t="shared" si="15"/>
        <v>0.89616279127780452</v>
      </c>
      <c r="AF85" s="201">
        <f t="shared" si="15"/>
        <v>0.91647923307576518</v>
      </c>
      <c r="AG85" s="201">
        <f t="shared" si="15"/>
        <v>0.925198395441027</v>
      </c>
      <c r="AH85" s="201">
        <f t="shared" si="15"/>
        <v>0.94311432150123409</v>
      </c>
      <c r="AI85" s="201">
        <f t="shared" si="15"/>
        <v>0.95820415064525388</v>
      </c>
      <c r="AJ85" s="201">
        <f t="shared" si="15"/>
        <v>0.9725772129049326</v>
      </c>
      <c r="AK85" s="201">
        <f>+AL85/(1+AL84/100)</f>
        <v>0.98619329388560162</v>
      </c>
      <c r="AL85" s="203">
        <v>1</v>
      </c>
      <c r="AM85" s="201">
        <f>+AL85*(1+AM84/100)</f>
        <v>1.0149999999999999</v>
      </c>
      <c r="AN85" s="201">
        <f t="shared" ref="AN85:AO85" si="16">+AM85*(1+AN84/100)</f>
        <v>1.0302249999999997</v>
      </c>
      <c r="AO85" s="201">
        <f t="shared" si="16"/>
        <v>1.0456783749999996</v>
      </c>
    </row>
    <row r="86" spans="28:41" x14ac:dyDescent="0.25">
      <c r="AB86" s="203" t="s">
        <v>172</v>
      </c>
      <c r="AC86" s="350">
        <f t="shared" ref="AC86:AO86" si="17">1/AC85</f>
        <v>1.1084362444669646</v>
      </c>
      <c r="AD86" s="350">
        <f t="shared" si="17"/>
        <v>1.111432364849235</v>
      </c>
      <c r="AE86" s="350">
        <f t="shared" si="17"/>
        <v>1.1158686900782144</v>
      </c>
      <c r="AF86" s="350">
        <f t="shared" si="17"/>
        <v>1.0911321979920194</v>
      </c>
      <c r="AG86" s="350">
        <f t="shared" si="17"/>
        <v>1.0808492588482239</v>
      </c>
      <c r="AH86" s="350">
        <f t="shared" si="17"/>
        <v>1.0603168430399998</v>
      </c>
      <c r="AI86" s="350">
        <f t="shared" si="17"/>
        <v>1.0436189399999998</v>
      </c>
      <c r="AJ86" s="350">
        <f t="shared" si="17"/>
        <v>1.0281959999999999</v>
      </c>
      <c r="AK86" s="350">
        <f t="shared" si="17"/>
        <v>1.014</v>
      </c>
      <c r="AL86" s="351">
        <f t="shared" si="17"/>
        <v>1</v>
      </c>
      <c r="AM86" s="350">
        <f t="shared" si="17"/>
        <v>0.98522167487684742</v>
      </c>
      <c r="AN86" s="350">
        <f t="shared" si="17"/>
        <v>0.9706617486471405</v>
      </c>
      <c r="AO86" s="350">
        <f t="shared" si="17"/>
        <v>0.95631699374102519</v>
      </c>
    </row>
    <row r="87" spans="28:41" ht="15.75" thickBot="1" x14ac:dyDescent="0.3"/>
    <row r="88" spans="28:41" ht="15.75" thickBot="1" x14ac:dyDescent="0.3">
      <c r="AB88" s="205" t="s">
        <v>141</v>
      </c>
      <c r="AC88" s="165"/>
      <c r="AD88" s="165"/>
      <c r="AE88" s="165"/>
      <c r="AF88" s="165"/>
      <c r="AG88" s="206"/>
    </row>
    <row r="89" spans="28:41" ht="15.75" thickBot="1" x14ac:dyDescent="0.3">
      <c r="AB89" s="187"/>
      <c r="AC89" s="188"/>
      <c r="AD89" s="188"/>
      <c r="AE89" s="188"/>
      <c r="AF89" s="402" t="s">
        <v>132</v>
      </c>
      <c r="AG89" s="214" t="s">
        <v>28</v>
      </c>
    </row>
    <row r="90" spans="28:41" x14ac:dyDescent="0.25">
      <c r="AB90" s="107" t="s">
        <v>140</v>
      </c>
      <c r="AC90" s="207"/>
      <c r="AD90" s="207"/>
      <c r="AE90" s="208"/>
      <c r="AF90" s="52">
        <f>SUMPRODUCT(AC78:AO78,$AC$86:$AO$86)</f>
        <v>113547.67293325486</v>
      </c>
      <c r="AG90" s="65">
        <f>+AF90/$AF$93</f>
        <v>0.55708879725643323</v>
      </c>
      <c r="AJ90" s="235"/>
      <c r="AL90" s="235"/>
    </row>
    <row r="91" spans="28:41" x14ac:dyDescent="0.25">
      <c r="AB91" s="109" t="s">
        <v>134</v>
      </c>
      <c r="AC91" s="209"/>
      <c r="AD91" s="209"/>
      <c r="AE91" s="210"/>
      <c r="AF91" s="54">
        <f>SUMPRODUCT(AC79:AO79,$AC$86:$AO$86)</f>
        <v>40075.772634788416</v>
      </c>
      <c r="AG91" s="218">
        <f t="shared" ref="AG91:AG92" si="18">+AF91/$AF$93</f>
        <v>0.19662018075315382</v>
      </c>
      <c r="AJ91" s="235"/>
      <c r="AL91" s="235"/>
    </row>
    <row r="92" spans="28:41" ht="15.75" thickBot="1" x14ac:dyDescent="0.3">
      <c r="AB92" s="114" t="s">
        <v>135</v>
      </c>
      <c r="AC92" s="216"/>
      <c r="AD92" s="216"/>
      <c r="AE92" s="217"/>
      <c r="AF92" s="56">
        <f>SUMPRODUCT(AC80:AO80,$AC$86:$AO$86)</f>
        <v>50199.847042502231</v>
      </c>
      <c r="AG92" s="66">
        <f t="shared" si="18"/>
        <v>0.24629102199041294</v>
      </c>
      <c r="AJ92" s="235"/>
    </row>
    <row r="93" spans="28:41" ht="15.75" thickBot="1" x14ac:dyDescent="0.3">
      <c r="AB93" s="211" t="s">
        <v>42</v>
      </c>
      <c r="AC93" s="212"/>
      <c r="AD93" s="212"/>
      <c r="AE93" s="213"/>
      <c r="AF93" s="198">
        <f>SUM(AF90:AF92)</f>
        <v>203823.2926105455</v>
      </c>
      <c r="AG93" s="215">
        <f>SUM(AG90:AG92)</f>
        <v>1</v>
      </c>
      <c r="AI93" s="1"/>
      <c r="AJ93" s="236"/>
    </row>
    <row r="94" spans="28:41" x14ac:dyDescent="0.25"/>
    <row r="95" spans="28:41" ht="15.75" thickBot="1" x14ac:dyDescent="0.3"/>
    <row r="96" spans="28:41" ht="15.75" thickBot="1" x14ac:dyDescent="0.3">
      <c r="AB96" s="353" t="s">
        <v>171</v>
      </c>
      <c r="AC96" s="261"/>
      <c r="AD96" s="261"/>
      <c r="AE96" s="261"/>
      <c r="AF96" s="261"/>
      <c r="AG96" s="261"/>
      <c r="AH96" s="261"/>
      <c r="AI96" s="261"/>
      <c r="AJ96" s="261"/>
      <c r="AK96" s="261"/>
      <c r="AL96" s="261"/>
      <c r="AM96" s="261"/>
      <c r="AN96" s="261"/>
      <c r="AO96" s="253"/>
    </row>
    <row r="97" spans="28:41" ht="15.75" thickBot="1" x14ac:dyDescent="0.3">
      <c r="AB97" s="354" t="s">
        <v>132</v>
      </c>
      <c r="AC97" s="165"/>
      <c r="AD97" s="165"/>
      <c r="AE97" s="165"/>
      <c r="AF97" s="165"/>
      <c r="AG97" s="165"/>
      <c r="AH97" s="165"/>
      <c r="AI97" s="165"/>
      <c r="AJ97" s="165"/>
      <c r="AK97" s="165"/>
      <c r="AL97" s="165"/>
      <c r="AM97" s="165"/>
      <c r="AN97" s="165"/>
      <c r="AO97" s="206"/>
    </row>
    <row r="98" spans="28:41" x14ac:dyDescent="0.25">
      <c r="AB98" s="190" t="s">
        <v>133</v>
      </c>
      <c r="AC98" s="238">
        <v>2010</v>
      </c>
      <c r="AD98" s="238">
        <v>2011</v>
      </c>
      <c r="AE98" s="238">
        <v>2012</v>
      </c>
      <c r="AF98" s="238">
        <v>2013</v>
      </c>
      <c r="AG98" s="238">
        <v>2014</v>
      </c>
      <c r="AH98" s="238">
        <v>2015</v>
      </c>
      <c r="AI98" s="238">
        <v>2016</v>
      </c>
      <c r="AJ98" s="238">
        <v>2017</v>
      </c>
      <c r="AK98" s="238">
        <v>2018</v>
      </c>
      <c r="AL98" s="238">
        <v>2019</v>
      </c>
      <c r="AM98" s="238">
        <v>2020</v>
      </c>
      <c r="AN98" s="238">
        <v>2021</v>
      </c>
      <c r="AO98" s="239">
        <v>2022</v>
      </c>
    </row>
    <row r="99" spans="28:41" x14ac:dyDescent="0.25">
      <c r="AB99" s="191" t="s">
        <v>140</v>
      </c>
      <c r="AC99" s="54">
        <f t="shared" ref="AC99:AO99" si="19">+AC78/AC$85</f>
        <v>32997.76983018063</v>
      </c>
      <c r="AD99" s="54">
        <f t="shared" si="19"/>
        <v>1176.1317881028758</v>
      </c>
      <c r="AE99" s="54">
        <f t="shared" si="19"/>
        <v>1791.8159352615044</v>
      </c>
      <c r="AF99" s="54">
        <f t="shared" si="19"/>
        <v>53084.16517712635</v>
      </c>
      <c r="AG99" s="54">
        <f t="shared" si="19"/>
        <v>1240.4373977031526</v>
      </c>
      <c r="AH99" s="54">
        <f t="shared" si="19"/>
        <v>5587.067145383292</v>
      </c>
      <c r="AI99" s="54">
        <f t="shared" si="19"/>
        <v>1935.0532230020081</v>
      </c>
      <c r="AJ99" s="192">
        <f t="shared" si="19"/>
        <v>619.07163977411994</v>
      </c>
      <c r="AK99" s="192">
        <f t="shared" si="19"/>
        <v>263.84469618000003</v>
      </c>
      <c r="AL99" s="192">
        <f t="shared" si="19"/>
        <v>893.33333333333326</v>
      </c>
      <c r="AM99" s="192">
        <f t="shared" si="19"/>
        <v>4180.6239737274218</v>
      </c>
      <c r="AN99" s="192">
        <f t="shared" si="19"/>
        <v>4962.3464130003977</v>
      </c>
      <c r="AO99" s="55">
        <f t="shared" si="19"/>
        <v>4816.0123804798041</v>
      </c>
    </row>
    <row r="100" spans="28:41" x14ac:dyDescent="0.25">
      <c r="AB100" s="191" t="s">
        <v>134</v>
      </c>
      <c r="AC100" s="54">
        <f t="shared" ref="AC100:AO100" si="20">+AC79/AC$85</f>
        <v>31727.216682291426</v>
      </c>
      <c r="AD100" s="54">
        <f t="shared" si="20"/>
        <v>1361.0950396565713</v>
      </c>
      <c r="AE100" s="54">
        <f t="shared" si="20"/>
        <v>801.43845179726577</v>
      </c>
      <c r="AF100" s="54">
        <f t="shared" si="20"/>
        <v>98.276323946506764</v>
      </c>
      <c r="AG100" s="54">
        <f t="shared" si="20"/>
        <v>225.21477666492731</v>
      </c>
      <c r="AH100" s="54">
        <f t="shared" si="20"/>
        <v>29.456545581641507</v>
      </c>
      <c r="AI100" s="54">
        <f t="shared" si="20"/>
        <v>726.89996127752636</v>
      </c>
      <c r="AJ100" s="192">
        <f t="shared" si="20"/>
        <v>833.91718337460009</v>
      </c>
      <c r="AK100" s="192">
        <f t="shared" si="20"/>
        <v>263.84469618000003</v>
      </c>
      <c r="AL100" s="192">
        <f t="shared" si="20"/>
        <v>893.33333333333326</v>
      </c>
      <c r="AM100" s="192">
        <f t="shared" si="20"/>
        <v>1224.9589490968801</v>
      </c>
      <c r="AN100" s="192">
        <f t="shared" si="20"/>
        <v>1172.8829462819615</v>
      </c>
      <c r="AO100" s="55">
        <f t="shared" si="20"/>
        <v>717.23774530576873</v>
      </c>
    </row>
    <row r="101" spans="28:41" ht="15.75" thickBot="1" x14ac:dyDescent="0.3">
      <c r="AB101" s="193" t="s">
        <v>135</v>
      </c>
      <c r="AC101" s="194">
        <f t="shared" ref="AC101:AO101" si="21">+AC80/AC$85</f>
        <v>16270.678403967273</v>
      </c>
      <c r="AD101" s="194">
        <f t="shared" si="21"/>
        <v>8820.9345007447082</v>
      </c>
      <c r="AE101" s="194">
        <f t="shared" si="21"/>
        <v>190.3591865901486</v>
      </c>
      <c r="AF101" s="194">
        <f t="shared" si="21"/>
        <v>346.33519074377097</v>
      </c>
      <c r="AG101" s="194">
        <f t="shared" si="21"/>
        <v>3831.263378175563</v>
      </c>
      <c r="AH101" s="194">
        <f t="shared" si="21"/>
        <v>2707.9333563027221</v>
      </c>
      <c r="AI101" s="194">
        <f t="shared" si="21"/>
        <v>1317.6923927429807</v>
      </c>
      <c r="AJ101" s="195">
        <f t="shared" si="21"/>
        <v>3519.2317325396407</v>
      </c>
      <c r="AK101" s="195">
        <f t="shared" si="21"/>
        <v>473.96827062</v>
      </c>
      <c r="AL101" s="195">
        <f t="shared" si="21"/>
        <v>1873.3333333333333</v>
      </c>
      <c r="AM101" s="195">
        <f t="shared" si="21"/>
        <v>3875.2052545155993</v>
      </c>
      <c r="AN101" s="195">
        <f t="shared" si="21"/>
        <v>3435.495482378446</v>
      </c>
      <c r="AO101" s="196">
        <f t="shared" si="21"/>
        <v>3537.4165598480517</v>
      </c>
    </row>
    <row r="102" spans="28:41" ht="15.75" thickBot="1" x14ac:dyDescent="0.3">
      <c r="AB102" s="197" t="s">
        <v>42</v>
      </c>
      <c r="AC102" s="198">
        <f t="shared" ref="AC102:AO102" si="22">SUM(AC99:AC101)</f>
        <v>80995.664916439331</v>
      </c>
      <c r="AD102" s="198">
        <f t="shared" si="22"/>
        <v>11358.161328504155</v>
      </c>
      <c r="AE102" s="198">
        <f t="shared" si="22"/>
        <v>2783.6135736489186</v>
      </c>
      <c r="AF102" s="198">
        <f t="shared" si="22"/>
        <v>53528.776691816623</v>
      </c>
      <c r="AG102" s="198">
        <f t="shared" si="22"/>
        <v>5296.9155525436427</v>
      </c>
      <c r="AH102" s="198">
        <f t="shared" si="22"/>
        <v>8324.4570472676569</v>
      </c>
      <c r="AI102" s="198">
        <f t="shared" si="22"/>
        <v>3979.6455770225152</v>
      </c>
      <c r="AJ102" s="198">
        <f t="shared" si="22"/>
        <v>4972.2205556883609</v>
      </c>
      <c r="AK102" s="198">
        <f t="shared" si="22"/>
        <v>1001.6576629800001</v>
      </c>
      <c r="AL102" s="198">
        <f t="shared" si="22"/>
        <v>3660</v>
      </c>
      <c r="AM102" s="198">
        <f t="shared" si="22"/>
        <v>9280.7881773399022</v>
      </c>
      <c r="AN102" s="198">
        <f t="shared" si="22"/>
        <v>9570.7248416608054</v>
      </c>
      <c r="AO102" s="199">
        <f t="shared" si="22"/>
        <v>9070.6666856336251</v>
      </c>
    </row>
    <row r="103" spans="28:41" x14ac:dyDescent="0.25"/>
  </sheetData>
  <conditionalFormatting sqref="H62:Z70 H27:Z60">
    <cfRule type="containsBlanks" dxfId="4" priority="6">
      <formula>LEN(TRIM(H27))=0</formula>
    </cfRule>
  </conditionalFormatting>
  <conditionalFormatting sqref="H61:L61 N61 P61 R61:Z61">
    <cfRule type="containsBlanks" dxfId="3" priority="5">
      <formula>LEN(TRIM(H61))=0</formula>
    </cfRule>
  </conditionalFormatting>
  <conditionalFormatting sqref="M61">
    <cfRule type="containsBlanks" dxfId="2" priority="3">
      <formula>LEN(TRIM(M61))=0</formula>
    </cfRule>
  </conditionalFormatting>
  <conditionalFormatting sqref="O61">
    <cfRule type="containsBlanks" dxfId="1" priority="2">
      <formula>LEN(TRIM(O61))=0</formula>
    </cfRule>
  </conditionalFormatting>
  <conditionalFormatting sqref="Q61">
    <cfRule type="containsBlanks" dxfId="0" priority="1">
      <formula>LEN(TRIM(Q61))=0</formula>
    </cfRule>
  </conditionalFormatting>
  <pageMargins left="0.7" right="0.7" top="0.75" bottom="0.75" header="0.3" footer="0.3"/>
  <pageSetup paperSize="9" orientation="portrait" r:id="rId1"/>
  <ignoredErrors>
    <ignoredError sqref="AC81:AO81 AF90:AF92"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2:F11"/>
  <sheetViews>
    <sheetView showGridLines="0" workbookViewId="0">
      <selection activeCell="L11" sqref="L11"/>
    </sheetView>
  </sheetViews>
  <sheetFormatPr defaultRowHeight="15" x14ac:dyDescent="0.25"/>
  <cols>
    <col min="2" max="2" width="23.5703125" customWidth="1"/>
    <col min="3" max="3" width="48.42578125" customWidth="1"/>
    <col min="4" max="4" width="2.28515625" customWidth="1"/>
    <col min="5" max="5" width="12.140625" bestFit="1" customWidth="1"/>
    <col min="6" max="6" width="10" customWidth="1"/>
  </cols>
  <sheetData>
    <row r="2" spans="2:6" ht="15.75" thickBot="1" x14ac:dyDescent="0.3"/>
    <row r="3" spans="2:6" ht="15.75" thickBot="1" x14ac:dyDescent="0.3">
      <c r="B3" s="299" t="s">
        <v>148</v>
      </c>
      <c r="C3" s="322" t="s">
        <v>149</v>
      </c>
      <c r="D3" s="105"/>
      <c r="E3" s="323" t="s">
        <v>150</v>
      </c>
      <c r="F3" s="106"/>
    </row>
    <row r="4" spans="2:6" ht="30.75" thickBot="1" x14ac:dyDescent="0.3">
      <c r="B4" s="305" t="s">
        <v>151</v>
      </c>
      <c r="C4" s="316" t="s">
        <v>165</v>
      </c>
      <c r="D4" s="317"/>
      <c r="E4" s="315"/>
      <c r="F4" s="306">
        <f>+'RPM inputs'!E22/1000</f>
        <v>73191.263394697773</v>
      </c>
    </row>
    <row r="5" spans="2:6" ht="30.75" thickBot="1" x14ac:dyDescent="0.3">
      <c r="B5" s="305" t="s">
        <v>152</v>
      </c>
      <c r="C5" s="316" t="s">
        <v>166</v>
      </c>
      <c r="D5" s="317"/>
      <c r="E5" s="315"/>
      <c r="F5" s="306">
        <f>+F4</f>
        <v>73191.263394697773</v>
      </c>
    </row>
    <row r="6" spans="2:6" x14ac:dyDescent="0.25">
      <c r="B6" s="301" t="s">
        <v>153</v>
      </c>
      <c r="C6" s="313" t="s">
        <v>154</v>
      </c>
      <c r="D6" s="318"/>
      <c r="E6" s="302" t="s">
        <v>155</v>
      </c>
      <c r="F6" s="307">
        <v>1</v>
      </c>
    </row>
    <row r="7" spans="2:6" ht="15.75" thickBot="1" x14ac:dyDescent="0.3">
      <c r="B7" s="303"/>
      <c r="C7" s="314"/>
      <c r="D7" s="319"/>
      <c r="E7" s="304" t="s">
        <v>156</v>
      </c>
      <c r="F7" s="308">
        <v>0</v>
      </c>
    </row>
    <row r="8" spans="2:6" x14ac:dyDescent="0.25">
      <c r="B8" s="301" t="s">
        <v>157</v>
      </c>
      <c r="C8" s="666" t="s">
        <v>158</v>
      </c>
      <c r="D8" s="320"/>
      <c r="E8" s="302" t="s">
        <v>159</v>
      </c>
      <c r="F8" s="309">
        <f>+'RPM inputs'!E23</f>
        <v>0.28000000000000003</v>
      </c>
    </row>
    <row r="9" spans="2:6" ht="15.75" thickBot="1" x14ac:dyDescent="0.3">
      <c r="B9" s="303"/>
      <c r="C9" s="667"/>
      <c r="D9" s="321"/>
      <c r="E9" s="304" t="s">
        <v>160</v>
      </c>
      <c r="F9" s="310">
        <f>1-F8</f>
        <v>0.72</v>
      </c>
    </row>
    <row r="10" spans="2:6" ht="30" x14ac:dyDescent="0.25">
      <c r="B10" s="301" t="s">
        <v>161</v>
      </c>
      <c r="C10" s="666" t="s">
        <v>162</v>
      </c>
      <c r="D10" s="320"/>
      <c r="E10" s="302" t="s">
        <v>164</v>
      </c>
      <c r="F10" s="311">
        <f>CAA!F7/SUM(CAA!F7:F8)</f>
        <v>0.99876549380909063</v>
      </c>
    </row>
    <row r="11" spans="2:6" ht="30.75" thickBot="1" x14ac:dyDescent="0.3">
      <c r="B11" s="23"/>
      <c r="C11" s="667"/>
      <c r="D11" s="321"/>
      <c r="E11" s="300" t="s">
        <v>163</v>
      </c>
      <c r="F11" s="312">
        <f>1-F10</f>
        <v>1.234506190909368E-3</v>
      </c>
    </row>
  </sheetData>
  <mergeCells count="2">
    <mergeCell ref="C8:C9"/>
    <mergeCell ref="C10:C11"/>
  </mergeCells>
  <pageMargins left="0.7" right="0.7" top="0.75" bottom="0.75" header="0.3" footer="0.3"/>
  <pageSetup paperSize="9" orientation="portrait" r:id="rId1"/>
  <ignoredErrors>
    <ignoredError sqref="F10" 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Y49"/>
  <sheetViews>
    <sheetView showGridLines="0" zoomScale="110" zoomScaleNormal="110" workbookViewId="0">
      <selection activeCell="B22" sqref="B22"/>
    </sheetView>
  </sheetViews>
  <sheetFormatPr defaultRowHeight="15" x14ac:dyDescent="0.25"/>
  <cols>
    <col min="2" max="2" width="49.28515625" bestFit="1" customWidth="1"/>
    <col min="3" max="3" width="17.5703125" customWidth="1"/>
    <col min="5" max="5" width="5.28515625" customWidth="1"/>
    <col min="6" max="6" width="46.42578125" bestFit="1" customWidth="1"/>
    <col min="7" max="8" width="11.42578125" customWidth="1"/>
    <col min="9" max="12" width="10" customWidth="1"/>
    <col min="16" max="16" width="15.28515625" bestFit="1" customWidth="1"/>
    <col min="25" max="25" width="22" bestFit="1" customWidth="1"/>
  </cols>
  <sheetData>
    <row r="1" spans="2:12" ht="15.75" thickBot="1" x14ac:dyDescent="0.3"/>
    <row r="2" spans="2:12" ht="15.75" thickBot="1" x14ac:dyDescent="0.3">
      <c r="B2" s="264" t="s">
        <v>181</v>
      </c>
      <c r="C2" s="355" t="s">
        <v>182</v>
      </c>
    </row>
    <row r="3" spans="2:12" x14ac:dyDescent="0.25">
      <c r="B3" s="11" t="s">
        <v>183</v>
      </c>
      <c r="C3" s="356" t="s">
        <v>184</v>
      </c>
    </row>
    <row r="4" spans="2:12" x14ac:dyDescent="0.25">
      <c r="B4" s="14" t="s">
        <v>185</v>
      </c>
      <c r="C4" s="15" t="s">
        <v>184</v>
      </c>
    </row>
    <row r="5" spans="2:12" x14ac:dyDescent="0.25">
      <c r="B5" s="14" t="s">
        <v>186</v>
      </c>
      <c r="C5" s="15" t="s">
        <v>202</v>
      </c>
    </row>
    <row r="6" spans="2:12" x14ac:dyDescent="0.25">
      <c r="B6" s="14" t="s">
        <v>187</v>
      </c>
      <c r="C6" s="15" t="s">
        <v>167</v>
      </c>
    </row>
    <row r="7" spans="2:12" x14ac:dyDescent="0.25">
      <c r="B7" s="14" t="s">
        <v>188</v>
      </c>
      <c r="C7" s="15" t="s">
        <v>168</v>
      </c>
    </row>
    <row r="8" spans="2:12" x14ac:dyDescent="0.25">
      <c r="B8" s="14" t="s">
        <v>189</v>
      </c>
      <c r="C8" s="15" t="s">
        <v>168</v>
      </c>
    </row>
    <row r="9" spans="2:12" x14ac:dyDescent="0.25">
      <c r="B9" s="14" t="s">
        <v>190</v>
      </c>
      <c r="C9" s="15" t="s">
        <v>168</v>
      </c>
    </row>
    <row r="10" spans="2:12" x14ac:dyDescent="0.25">
      <c r="B10" s="14" t="s">
        <v>191</v>
      </c>
      <c r="C10" s="15" t="s">
        <v>168</v>
      </c>
    </row>
    <row r="11" spans="2:12" x14ac:dyDescent="0.25">
      <c r="B11" s="14" t="s">
        <v>192</v>
      </c>
      <c r="C11" s="15" t="s">
        <v>168</v>
      </c>
    </row>
    <row r="12" spans="2:12" ht="15.75" thickBot="1" x14ac:dyDescent="0.3">
      <c r="B12" s="14" t="s">
        <v>193</v>
      </c>
      <c r="C12" s="15" t="s">
        <v>168</v>
      </c>
    </row>
    <row r="13" spans="2:12" ht="15.75" thickBot="1" x14ac:dyDescent="0.3">
      <c r="B13" s="16" t="s">
        <v>194</v>
      </c>
      <c r="C13" s="18" t="s">
        <v>168</v>
      </c>
      <c r="G13" s="378" t="s">
        <v>300</v>
      </c>
      <c r="H13" s="9"/>
      <c r="I13" s="378" t="s">
        <v>201</v>
      </c>
      <c r="J13" s="9"/>
      <c r="K13" s="378" t="s">
        <v>200</v>
      </c>
      <c r="L13" s="9"/>
    </row>
    <row r="14" spans="2:12" ht="15.75" thickBot="1" x14ac:dyDescent="0.3">
      <c r="G14" s="379"/>
      <c r="H14" s="380"/>
      <c r="I14" s="381" t="s">
        <v>180</v>
      </c>
      <c r="J14" s="382"/>
      <c r="K14" s="381" t="s">
        <v>180</v>
      </c>
      <c r="L14" s="380"/>
    </row>
    <row r="15" spans="2:12" ht="15.75" thickBot="1" x14ac:dyDescent="0.3">
      <c r="G15" s="377" t="s">
        <v>159</v>
      </c>
      <c r="H15" s="377" t="s">
        <v>160</v>
      </c>
      <c r="I15" s="377" t="s">
        <v>159</v>
      </c>
      <c r="J15" s="377" t="s">
        <v>160</v>
      </c>
      <c r="K15" s="377" t="s">
        <v>159</v>
      </c>
      <c r="L15" s="377" t="s">
        <v>160</v>
      </c>
    </row>
    <row r="16" spans="2:12" x14ac:dyDescent="0.25">
      <c r="E16" s="366" t="s">
        <v>30</v>
      </c>
      <c r="F16" s="88" t="s">
        <v>115</v>
      </c>
      <c r="G16" s="358">
        <f>+'RPM inputs'!F4</f>
        <v>0.90419775503312938</v>
      </c>
      <c r="H16" s="359">
        <f>+'RPM inputs'!F8</f>
        <v>6.6988626720183478E-2</v>
      </c>
      <c r="I16" s="369">
        <f>+'RPM inputs'!E4/1000000</f>
        <v>74.364888600005855</v>
      </c>
      <c r="J16" s="370">
        <f>'RPM inputs'!E8/1000000</f>
        <v>0.28097750819672124</v>
      </c>
      <c r="K16" s="369">
        <f>+G16*I16</f>
        <v>67.240565325414053</v>
      </c>
      <c r="L16" s="370">
        <f t="shared" ref="L16:L26" si="0">+H16*J16</f>
        <v>1.8822297413357454E-2</v>
      </c>
    </row>
    <row r="17" spans="5:16" x14ac:dyDescent="0.25">
      <c r="E17" s="367" t="s">
        <v>31</v>
      </c>
      <c r="F17" s="89" t="s">
        <v>116</v>
      </c>
      <c r="G17" s="360">
        <f>+'RPM inputs'!F5</f>
        <v>0.90419775503312938</v>
      </c>
      <c r="H17" s="361">
        <f>+'RPM inputs'!F9</f>
        <v>6.6988626720183478E-2</v>
      </c>
      <c r="I17" s="371">
        <f>+'RPM inputs'!E5/1000000</f>
        <v>5.5496185522392416</v>
      </c>
      <c r="J17" s="372">
        <f>'RPM inputs'!E9/1000000</f>
        <v>0.12771704918032786</v>
      </c>
      <c r="K17" s="371">
        <f t="shared" ref="K17:K19" si="1">+G17*I17</f>
        <v>5.017952636224928</v>
      </c>
      <c r="L17" s="372">
        <f t="shared" si="0"/>
        <v>8.5555897333442991E-3</v>
      </c>
    </row>
    <row r="18" spans="5:16" x14ac:dyDescent="0.25">
      <c r="E18" s="367" t="s">
        <v>32</v>
      </c>
      <c r="F18" s="89" t="s">
        <v>117</v>
      </c>
      <c r="G18" s="360">
        <f>+'RPM inputs'!F6</f>
        <v>0.8940959594036697</v>
      </c>
      <c r="H18" s="361">
        <f>+'RPM inputs'!F10</f>
        <v>0</v>
      </c>
      <c r="I18" s="371">
        <f>+'RPM inputs'!E6/1000000</f>
        <v>115.90508764993787</v>
      </c>
      <c r="J18" s="372">
        <f>'RPM inputs'!E10/1000000</f>
        <v>0</v>
      </c>
      <c r="K18" s="371">
        <f t="shared" si="1"/>
        <v>103.63027054213762</v>
      </c>
      <c r="L18" s="372">
        <f t="shared" si="0"/>
        <v>0</v>
      </c>
    </row>
    <row r="19" spans="5:16" x14ac:dyDescent="0.25">
      <c r="E19" s="367" t="s">
        <v>33</v>
      </c>
      <c r="F19" s="89" t="s">
        <v>118</v>
      </c>
      <c r="G19" s="360">
        <f>+'RPM inputs'!F7</f>
        <v>0.49262302658066282</v>
      </c>
      <c r="H19" s="361">
        <f>+'RPM inputs'!F11</f>
        <v>0.28108548364299851</v>
      </c>
      <c r="I19" s="371">
        <f>+'RPM inputs'!E7/1000000</f>
        <v>8.6317154602739699</v>
      </c>
      <c r="J19" s="372">
        <f>'RPM inputs'!E11/1000000</f>
        <v>8.6317154602739699</v>
      </c>
      <c r="K19" s="371">
        <f t="shared" si="1"/>
        <v>4.2521817946232616</v>
      </c>
      <c r="L19" s="372">
        <f t="shared" si="0"/>
        <v>2.4262499148198562</v>
      </c>
    </row>
    <row r="20" spans="5:16" x14ac:dyDescent="0.25">
      <c r="E20" s="367" t="s">
        <v>34</v>
      </c>
      <c r="F20" s="89" t="s">
        <v>119</v>
      </c>
      <c r="G20" s="365" t="s">
        <v>199</v>
      </c>
      <c r="H20" s="361">
        <f>+'RPM inputs'!F12</f>
        <v>0.58863487865516284</v>
      </c>
      <c r="I20" s="373" t="s">
        <v>199</v>
      </c>
      <c r="J20" s="372">
        <f>'RPM inputs'!E12/1000000</f>
        <v>63.163802957976976</v>
      </c>
      <c r="K20" s="373" t="s">
        <v>199</v>
      </c>
      <c r="L20" s="372">
        <f t="shared" si="0"/>
        <v>37.180417489567397</v>
      </c>
    </row>
    <row r="21" spans="5:16" x14ac:dyDescent="0.25">
      <c r="E21" s="367" t="s">
        <v>35</v>
      </c>
      <c r="F21" s="89" t="s">
        <v>120</v>
      </c>
      <c r="G21" s="362" t="s">
        <v>199</v>
      </c>
      <c r="H21" s="361">
        <f>+'RPM inputs'!F13</f>
        <v>0.58863487865516284</v>
      </c>
      <c r="I21" s="374" t="s">
        <v>199</v>
      </c>
      <c r="J21" s="372">
        <f>'RPM inputs'!E13/1000000</f>
        <v>75.549719636263148</v>
      </c>
      <c r="K21" s="374" t="s">
        <v>199</v>
      </c>
      <c r="L21" s="372">
        <f t="shared" si="0"/>
        <v>44.471200050523329</v>
      </c>
    </row>
    <row r="22" spans="5:16" x14ac:dyDescent="0.25">
      <c r="E22" s="367" t="s">
        <v>36</v>
      </c>
      <c r="F22" s="89" t="s">
        <v>121</v>
      </c>
      <c r="G22" s="362" t="s">
        <v>199</v>
      </c>
      <c r="H22" s="361">
        <f>+'RPM inputs'!F14</f>
        <v>0.58863487865516284</v>
      </c>
      <c r="I22" s="374" t="s">
        <v>199</v>
      </c>
      <c r="J22" s="372">
        <f>'RPM inputs'!E14/1000000</f>
        <v>65.554137757273708</v>
      </c>
      <c r="K22" s="374" t="s">
        <v>199</v>
      </c>
      <c r="L22" s="372">
        <f t="shared" si="0"/>
        <v>38.587451924096641</v>
      </c>
    </row>
    <row r="23" spans="5:16" x14ac:dyDescent="0.25">
      <c r="E23" s="367" t="s">
        <v>37</v>
      </c>
      <c r="F23" s="89" t="s">
        <v>122</v>
      </c>
      <c r="G23" s="362" t="s">
        <v>199</v>
      </c>
      <c r="H23" s="361">
        <f>+'RPM inputs'!F15</f>
        <v>0.58863487865516284</v>
      </c>
      <c r="I23" s="374" t="s">
        <v>199</v>
      </c>
      <c r="J23" s="372">
        <f>'RPM inputs'!E15/1000000</f>
        <v>32.233256928010704</v>
      </c>
      <c r="K23" s="374" t="s">
        <v>199</v>
      </c>
      <c r="L23" s="372">
        <f t="shared" si="0"/>
        <v>18.973619280480268</v>
      </c>
    </row>
    <row r="24" spans="5:16" x14ac:dyDescent="0.25">
      <c r="E24" s="367" t="s">
        <v>38</v>
      </c>
      <c r="F24" s="89" t="s">
        <v>123</v>
      </c>
      <c r="G24" s="362" t="s">
        <v>199</v>
      </c>
      <c r="H24" s="361">
        <f>+'RPM inputs'!F16</f>
        <v>0.58863487865516284</v>
      </c>
      <c r="I24" s="374" t="s">
        <v>199</v>
      </c>
      <c r="J24" s="372">
        <f>'RPM inputs'!E16/1000000</f>
        <v>4.5422926721454209</v>
      </c>
      <c r="K24" s="374" t="s">
        <v>199</v>
      </c>
      <c r="L24" s="372">
        <f t="shared" si="0"/>
        <v>2.6737518958845552</v>
      </c>
    </row>
    <row r="25" spans="5:16" x14ac:dyDescent="0.25">
      <c r="E25" s="367" t="s">
        <v>39</v>
      </c>
      <c r="F25" s="89" t="s">
        <v>124</v>
      </c>
      <c r="G25" s="362" t="s">
        <v>199</v>
      </c>
      <c r="H25" s="361">
        <f>+'RPM inputs'!F17</f>
        <v>0.58863487865516284</v>
      </c>
      <c r="I25" s="374" t="s">
        <v>199</v>
      </c>
      <c r="J25" s="372">
        <f>'RPM inputs'!E17/1000000</f>
        <v>28.314076568865161</v>
      </c>
      <c r="K25" s="374" t="s">
        <v>199</v>
      </c>
      <c r="L25" s="372">
        <f t="shared" si="0"/>
        <v>16.666653025346935</v>
      </c>
    </row>
    <row r="26" spans="5:16" ht="15.75" thickBot="1" x14ac:dyDescent="0.3">
      <c r="E26" s="368" t="s">
        <v>40</v>
      </c>
      <c r="F26" s="90" t="s">
        <v>125</v>
      </c>
      <c r="G26" s="363" t="s">
        <v>199</v>
      </c>
      <c r="H26" s="364">
        <f>+'RPM inputs'!F18</f>
        <v>0.58863487865516284</v>
      </c>
      <c r="I26" s="375" t="s">
        <v>199</v>
      </c>
      <c r="J26" s="376">
        <f>'RPM inputs'!E18/1000000</f>
        <v>3.3605602315095502</v>
      </c>
      <c r="K26" s="375" t="s">
        <v>199</v>
      </c>
      <c r="L26" s="376">
        <f t="shared" si="0"/>
        <v>1.97814296408799</v>
      </c>
    </row>
    <row r="28" spans="5:16" ht="15.75" thickBot="1" x14ac:dyDescent="0.3"/>
    <row r="29" spans="5:16" ht="15.75" thickBot="1" x14ac:dyDescent="0.3">
      <c r="N29" s="2" t="s">
        <v>287</v>
      </c>
      <c r="O29" s="79"/>
      <c r="P29" s="80"/>
    </row>
    <row r="30" spans="5:16" ht="15.75" thickBot="1" x14ac:dyDescent="0.3">
      <c r="N30" s="81"/>
      <c r="O30" s="44" t="s">
        <v>4</v>
      </c>
      <c r="P30" s="76" t="s">
        <v>43</v>
      </c>
    </row>
    <row r="31" spans="5:16" x14ac:dyDescent="0.25">
      <c r="N31" s="37" t="s">
        <v>159</v>
      </c>
      <c r="O31" s="11" t="str">
        <f>+E16</f>
        <v>A</v>
      </c>
      <c r="P31" s="230">
        <f>+RPM!U18</f>
        <v>0.10858149088434246</v>
      </c>
    </row>
    <row r="32" spans="5:16" x14ac:dyDescent="0.25">
      <c r="N32" s="38"/>
      <c r="O32" s="151" t="str">
        <f t="shared" ref="O32:O34" si="2">+E17</f>
        <v>B</v>
      </c>
      <c r="P32" s="383">
        <f>+RPM!U19</f>
        <v>0.10637473603047552</v>
      </c>
    </row>
    <row r="33" spans="14:25" x14ac:dyDescent="0.25">
      <c r="N33" s="38"/>
      <c r="O33" s="14" t="str">
        <f t="shared" si="2"/>
        <v>C</v>
      </c>
      <c r="P33" s="231">
        <f>+RPM!U20</f>
        <v>9.9866876586772735E-2</v>
      </c>
    </row>
    <row r="34" spans="14:25" ht="15.75" thickBot="1" x14ac:dyDescent="0.3">
      <c r="N34" s="39"/>
      <c r="O34" s="16" t="str">
        <f t="shared" si="2"/>
        <v>D</v>
      </c>
      <c r="P34" s="232">
        <f>+RPM!U21</f>
        <v>2.9366698353950633E-2</v>
      </c>
    </row>
    <row r="35" spans="14:25" x14ac:dyDescent="0.25">
      <c r="N35" s="37" t="s">
        <v>160</v>
      </c>
      <c r="O35" s="11" t="str">
        <f>+E16</f>
        <v>A</v>
      </c>
      <c r="P35" s="230">
        <f t="array" ref="P35:P45">TRANSPOSE(RPM!C30:M30)</f>
        <v>2.2983737208252857E-2</v>
      </c>
    </row>
    <row r="36" spans="14:25" x14ac:dyDescent="0.25">
      <c r="N36" s="38"/>
      <c r="O36" s="151" t="str">
        <f t="shared" ref="O36:O45" si="3">+E17</f>
        <v>B</v>
      </c>
      <c r="P36" s="383">
        <v>2.5596213756789683E-2</v>
      </c>
    </row>
    <row r="37" spans="14:25" x14ac:dyDescent="0.25">
      <c r="N37" s="38"/>
      <c r="O37" s="151" t="str">
        <f t="shared" si="3"/>
        <v>C</v>
      </c>
      <c r="P37" s="383">
        <v>0</v>
      </c>
    </row>
    <row r="38" spans="14:25" x14ac:dyDescent="0.25">
      <c r="N38" s="38"/>
      <c r="O38" s="151" t="str">
        <f t="shared" si="3"/>
        <v>D</v>
      </c>
      <c r="P38" s="383">
        <v>5.6912160700480677E-2</v>
      </c>
    </row>
    <row r="39" spans="14:25" x14ac:dyDescent="0.25">
      <c r="N39" s="38"/>
      <c r="O39" s="151" t="str">
        <f t="shared" si="3"/>
        <v>E</v>
      </c>
      <c r="P39" s="383">
        <v>0.18692251933810602</v>
      </c>
    </row>
    <row r="40" spans="14:25" x14ac:dyDescent="0.25">
      <c r="N40" s="38"/>
      <c r="O40" s="151" t="str">
        <f t="shared" si="3"/>
        <v>F</v>
      </c>
      <c r="P40" s="383">
        <v>0.24982827063876509</v>
      </c>
    </row>
    <row r="41" spans="14:25" x14ac:dyDescent="0.25">
      <c r="N41" s="38"/>
      <c r="O41" s="151" t="str">
        <f t="shared" si="3"/>
        <v>G</v>
      </c>
      <c r="P41" s="383">
        <v>0.17326513648862091</v>
      </c>
    </row>
    <row r="42" spans="14:25" x14ac:dyDescent="0.25">
      <c r="N42" s="38"/>
      <c r="O42" s="151" t="str">
        <f t="shared" si="3"/>
        <v>H</v>
      </c>
      <c r="P42" s="383">
        <v>0.14906056473719115</v>
      </c>
    </row>
    <row r="43" spans="14:25" x14ac:dyDescent="0.25">
      <c r="N43" s="38"/>
      <c r="O43" s="14" t="str">
        <f t="shared" si="3"/>
        <v>I</v>
      </c>
      <c r="P43" s="231">
        <v>0.27181378114459387</v>
      </c>
    </row>
    <row r="44" spans="14:25" x14ac:dyDescent="0.25">
      <c r="N44" s="38"/>
      <c r="O44" s="14" t="str">
        <f t="shared" si="3"/>
        <v>J</v>
      </c>
      <c r="P44" s="231">
        <v>0.1199328833813148</v>
      </c>
    </row>
    <row r="45" spans="14:25" ht="15.75" thickBot="1" x14ac:dyDescent="0.3">
      <c r="N45" s="39"/>
      <c r="O45" s="16" t="str">
        <f t="shared" si="3"/>
        <v>K</v>
      </c>
      <c r="P45" s="232">
        <v>0.21488661136967985</v>
      </c>
    </row>
    <row r="46" spans="14:25" x14ac:dyDescent="0.25">
      <c r="N46" t="s">
        <v>199</v>
      </c>
    </row>
    <row r="47" spans="14:25" x14ac:dyDescent="0.25">
      <c r="Y47" s="401" t="s">
        <v>349</v>
      </c>
    </row>
    <row r="48" spans="14:25" x14ac:dyDescent="0.25">
      <c r="Y48" s="411" t="s">
        <v>269</v>
      </c>
    </row>
    <row r="49" spans="25:25" x14ac:dyDescent="0.25">
      <c r="Y49" s="411" t="s">
        <v>280</v>
      </c>
    </row>
  </sheetData>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25"/>
  </sheetPr>
  <dimension ref="A1:AI97"/>
  <sheetViews>
    <sheetView showGridLines="0" topLeftCell="N44" zoomScale="110" zoomScaleNormal="110" workbookViewId="0">
      <selection activeCell="B22" sqref="B22"/>
    </sheetView>
  </sheetViews>
  <sheetFormatPr defaultColWidth="0" defaultRowHeight="15" zeroHeight="1" x14ac:dyDescent="0.25"/>
  <cols>
    <col min="1" max="1" width="9.140625" customWidth="1"/>
    <col min="2" max="2" width="43.140625" bestFit="1" customWidth="1"/>
    <col min="3" max="3" width="10.85546875" bestFit="1" customWidth="1"/>
    <col min="4" max="4" width="9.85546875" bestFit="1" customWidth="1"/>
    <col min="5" max="6" width="9.140625" customWidth="1"/>
    <col min="7" max="7" width="36" bestFit="1" customWidth="1"/>
    <col min="8" max="8" width="63.140625" bestFit="1" customWidth="1"/>
    <col min="9" max="9" width="10.85546875" bestFit="1" customWidth="1"/>
    <col min="10" max="10" width="2.7109375" customWidth="1"/>
    <col min="11" max="11" width="9.28515625" customWidth="1"/>
    <col min="12" max="12" width="11.28515625" customWidth="1"/>
    <col min="13" max="13" width="65.85546875" bestFit="1" customWidth="1"/>
    <col min="14" max="14" width="22.7109375" bestFit="1" customWidth="1"/>
    <col min="15" max="16" width="12.42578125" customWidth="1"/>
    <col min="17" max="17" width="9.140625" customWidth="1"/>
    <col min="18" max="18" width="7.5703125" customWidth="1"/>
    <col min="19" max="19" width="4.140625" customWidth="1"/>
    <col min="20" max="20" width="51.85546875" customWidth="1"/>
    <col min="21" max="21" width="1.7109375" customWidth="1"/>
    <col min="22" max="22" width="19" customWidth="1"/>
    <col min="23" max="23" width="13.28515625" customWidth="1"/>
    <col min="24" max="24" width="1.7109375" customWidth="1"/>
    <col min="25" max="25" width="21.7109375" customWidth="1"/>
    <col min="26" max="26" width="9.140625" customWidth="1"/>
    <col min="27" max="35" width="0" hidden="1" customWidth="1"/>
    <col min="36" max="16384" width="9.140625" hidden="1"/>
  </cols>
  <sheetData>
    <row r="1" spans="2:12" x14ac:dyDescent="0.25"/>
    <row r="2" spans="2:12" ht="15.75" thickBot="1" x14ac:dyDescent="0.3">
      <c r="B2" s="272" t="s">
        <v>418</v>
      </c>
    </row>
    <row r="3" spans="2:12" ht="15.75" thickBot="1" x14ac:dyDescent="0.3">
      <c r="B3" s="577"/>
      <c r="C3" s="629" t="str">
        <f>+Input!C10</f>
        <v>Entry</v>
      </c>
      <c r="D3" s="630" t="str">
        <f>+Input!C22</f>
        <v>Exit</v>
      </c>
    </row>
    <row r="4" spans="2:12" x14ac:dyDescent="0.25">
      <c r="B4" s="11" t="str">
        <f>+Labels!B51</f>
        <v>Interconnection point (Campo Maior)</v>
      </c>
      <c r="C4" s="578">
        <f>(+Data_a!V51)/1000000</f>
        <v>134</v>
      </c>
      <c r="D4" s="579">
        <f>(+Data_a!V55)/1000000</f>
        <v>55</v>
      </c>
    </row>
    <row r="5" spans="2:12" x14ac:dyDescent="0.25">
      <c r="B5" s="151" t="str">
        <f>+Labels!B52</f>
        <v>Interconnection point (Valença do Minho)</v>
      </c>
      <c r="C5" s="580">
        <f>(+Data_a!V52)/1000000</f>
        <v>10</v>
      </c>
      <c r="D5" s="581">
        <f>(+Data_a!V56)/1000000</f>
        <v>25</v>
      </c>
    </row>
    <row r="6" spans="2:12" x14ac:dyDescent="0.25">
      <c r="B6" s="14" t="str">
        <f>+Labels!B53</f>
        <v>LNG terminal</v>
      </c>
      <c r="C6" s="582">
        <f>(+Data_a!V53)/1000000</f>
        <v>200</v>
      </c>
      <c r="D6" s="583">
        <f>(+Data_a!V57)/1000000</f>
        <v>5</v>
      </c>
    </row>
    <row r="7" spans="2:12" ht="15.75" thickBot="1" x14ac:dyDescent="0.3">
      <c r="B7" s="16" t="str">
        <f>+Labels!B54</f>
        <v>Underground storage</v>
      </c>
      <c r="C7" s="584">
        <f>(+Data_a!V54)/1000000</f>
        <v>85.68</v>
      </c>
      <c r="D7" s="585">
        <f>(+Data_a!V58)/1000000</f>
        <v>85.68</v>
      </c>
    </row>
    <row r="8" spans="2:12" ht="15.75" thickBot="1" x14ac:dyDescent="0.3">
      <c r="F8" s="272" t="s">
        <v>201</v>
      </c>
    </row>
    <row r="9" spans="2:12" ht="15.75" thickBot="1" x14ac:dyDescent="0.3">
      <c r="F9" s="570"/>
      <c r="G9" s="591" t="str">
        <f>+Labels!B22</f>
        <v>Point</v>
      </c>
      <c r="H9" s="592" t="str">
        <f>+Labels!B23</f>
        <v>Product</v>
      </c>
      <c r="I9" s="593" t="str">
        <f>+Input!G9</f>
        <v>2019-2020</v>
      </c>
      <c r="K9" s="598" t="str">
        <f>+Input!L9</f>
        <v>Unit</v>
      </c>
      <c r="L9" s="598" t="str">
        <f>+Labels!B55</f>
        <v>Type</v>
      </c>
    </row>
    <row r="10" spans="2:12" x14ac:dyDescent="0.25">
      <c r="F10" s="586" t="str">
        <f>+Labels!B24</f>
        <v>Entry</v>
      </c>
      <c r="G10" s="21" t="str">
        <f>+Labels!B26</f>
        <v>Interconnection points (VIP)</v>
      </c>
      <c r="H10" s="356" t="str">
        <f>+Labels!B31</f>
        <v>Yearly</v>
      </c>
      <c r="I10" s="594">
        <f>+Input!G10</f>
        <v>65554935.292646319</v>
      </c>
      <c r="K10" s="478" t="str">
        <f>+Input!L10</f>
        <v>kWh/day</v>
      </c>
      <c r="L10" s="478" t="str">
        <f>+Labels!B56</f>
        <v>Contracted</v>
      </c>
    </row>
    <row r="11" spans="2:12" x14ac:dyDescent="0.25">
      <c r="F11" s="587"/>
      <c r="G11" s="22"/>
      <c r="H11" s="15" t="str">
        <f>+Labels!B32</f>
        <v>Quarterly</v>
      </c>
      <c r="I11" s="595">
        <f>+Input!G11</f>
        <v>231556.19844696461</v>
      </c>
      <c r="K11" s="47" t="str">
        <f>+Input!L11</f>
        <v>kWh/day</v>
      </c>
      <c r="L11" s="47" t="str">
        <f>+$L$10</f>
        <v>Contracted</v>
      </c>
    </row>
    <row r="12" spans="2:12" x14ac:dyDescent="0.25">
      <c r="F12" s="587"/>
      <c r="G12" s="22"/>
      <c r="H12" s="15" t="str">
        <f>+Labels!B33</f>
        <v>Monthly</v>
      </c>
      <c r="I12" s="595">
        <f>+Input!G12</f>
        <v>6472593.694010146</v>
      </c>
      <c r="K12" s="47" t="str">
        <f>+Input!L12</f>
        <v>kWh/day</v>
      </c>
      <c r="L12" s="47" t="str">
        <f t="shared" ref="L12:L27" si="0">+$L$10</f>
        <v>Contracted</v>
      </c>
    </row>
    <row r="13" spans="2:12" x14ac:dyDescent="0.25">
      <c r="F13" s="587"/>
      <c r="G13" s="22"/>
      <c r="H13" s="15" t="str">
        <f>+Labels!B34</f>
        <v>Daily</v>
      </c>
      <c r="I13" s="595">
        <f>+Input!G13</f>
        <v>7655421.9671416637</v>
      </c>
      <c r="K13" s="47" t="str">
        <f>+Input!L13</f>
        <v>kWh/day</v>
      </c>
      <c r="L13" s="47" t="str">
        <f t="shared" si="0"/>
        <v>Contracted</v>
      </c>
    </row>
    <row r="14" spans="2:12" ht="15.75" thickBot="1" x14ac:dyDescent="0.3">
      <c r="F14" s="587"/>
      <c r="G14" s="23"/>
      <c r="H14" s="18" t="str">
        <f>+Labels!B35</f>
        <v>Intraday</v>
      </c>
      <c r="I14" s="596">
        <f>+Input!G14</f>
        <v>0</v>
      </c>
      <c r="K14" s="48" t="str">
        <f>+Input!L14</f>
        <v>kWh/h</v>
      </c>
      <c r="L14" s="48" t="str">
        <f t="shared" si="0"/>
        <v>Contracted</v>
      </c>
    </row>
    <row r="15" spans="2:12" x14ac:dyDescent="0.25">
      <c r="F15" s="587"/>
      <c r="G15" s="21" t="str">
        <f>+Labels!B27</f>
        <v>LNG terminal</v>
      </c>
      <c r="H15" s="356" t="str">
        <f>+H10</f>
        <v>Yearly</v>
      </c>
      <c r="I15" s="594">
        <f>+Input!G15</f>
        <v>95181945.454248399</v>
      </c>
      <c r="K15" s="414" t="str">
        <f>+Input!L15</f>
        <v>kWh/day</v>
      </c>
      <c r="L15" s="414" t="str">
        <f t="shared" si="0"/>
        <v>Contracted</v>
      </c>
    </row>
    <row r="16" spans="2:12" x14ac:dyDescent="0.25">
      <c r="F16" s="587"/>
      <c r="G16" s="22"/>
      <c r="H16" s="15" t="str">
        <f t="shared" ref="H16:H19" si="1">+H11</f>
        <v>Quarterly</v>
      </c>
      <c r="I16" s="595">
        <f>+Input!G16</f>
        <v>7113057.264897964</v>
      </c>
      <c r="K16" s="47" t="str">
        <f>+Input!L16</f>
        <v>kWh/day</v>
      </c>
      <c r="L16" s="47" t="str">
        <f t="shared" si="0"/>
        <v>Contracted</v>
      </c>
    </row>
    <row r="17" spans="6:12" x14ac:dyDescent="0.25">
      <c r="F17" s="587"/>
      <c r="G17" s="22"/>
      <c r="H17" s="15" t="str">
        <f t="shared" si="1"/>
        <v>Monthly</v>
      </c>
      <c r="I17" s="595">
        <f>+Input!G17</f>
        <v>1432849.3585735292</v>
      </c>
      <c r="K17" s="47" t="str">
        <f>+Input!L17</f>
        <v>kWh/day</v>
      </c>
      <c r="L17" s="47" t="str">
        <f t="shared" si="0"/>
        <v>Contracted</v>
      </c>
    </row>
    <row r="18" spans="6:12" x14ac:dyDescent="0.25">
      <c r="F18" s="587"/>
      <c r="G18" s="22"/>
      <c r="H18" s="15" t="str">
        <f t="shared" si="1"/>
        <v>Daily</v>
      </c>
      <c r="I18" s="595">
        <f>+Input!G18</f>
        <v>12177235.572217982</v>
      </c>
      <c r="K18" s="47" t="str">
        <f>+Input!L18</f>
        <v>kWh/day</v>
      </c>
      <c r="L18" s="47" t="str">
        <f t="shared" si="0"/>
        <v>Contracted</v>
      </c>
    </row>
    <row r="19" spans="6:12" ht="15.75" thickBot="1" x14ac:dyDescent="0.3">
      <c r="F19" s="587"/>
      <c r="G19" s="23"/>
      <c r="H19" s="18" t="str">
        <f t="shared" si="1"/>
        <v>Intraday</v>
      </c>
      <c r="I19" s="596">
        <f>+Input!G19</f>
        <v>0</v>
      </c>
      <c r="K19" s="48" t="str">
        <f>+Input!L19</f>
        <v>kWh/h</v>
      </c>
      <c r="L19" s="48" t="str">
        <f t="shared" si="0"/>
        <v>Contracted</v>
      </c>
    </row>
    <row r="20" spans="6:12" x14ac:dyDescent="0.25">
      <c r="F20" s="587"/>
      <c r="G20" s="21" t="str">
        <f>+Labels!B28</f>
        <v>Underground Storage</v>
      </c>
      <c r="H20" s="356" t="str">
        <f>+H13</f>
        <v>Daily</v>
      </c>
      <c r="I20" s="594">
        <f>+Input!G20</f>
        <v>8631715.4602739699</v>
      </c>
      <c r="K20" s="414" t="str">
        <f>+Input!L20</f>
        <v>kWh/day</v>
      </c>
      <c r="L20" s="414" t="str">
        <f t="shared" si="0"/>
        <v>Contracted</v>
      </c>
    </row>
    <row r="21" spans="6:12" ht="15.75" thickBot="1" x14ac:dyDescent="0.3">
      <c r="F21" s="588"/>
      <c r="G21" s="23"/>
      <c r="H21" s="18" t="str">
        <f>+H14</f>
        <v>Intraday</v>
      </c>
      <c r="I21" s="596">
        <f>+Input!G21</f>
        <v>0</v>
      </c>
      <c r="K21" s="48" t="str">
        <f>+Input!L21</f>
        <v>kWh/h</v>
      </c>
      <c r="L21" s="48" t="str">
        <f t="shared" si="0"/>
        <v>Contracted</v>
      </c>
    </row>
    <row r="22" spans="6:12" x14ac:dyDescent="0.25">
      <c r="F22" s="586" t="str">
        <f>+Labels!B25</f>
        <v>Exit</v>
      </c>
      <c r="G22" s="21" t="str">
        <f>+G10</f>
        <v>Interconnection points (VIP)</v>
      </c>
      <c r="H22" s="356" t="str">
        <f>+H10</f>
        <v>Yearly</v>
      </c>
      <c r="I22" s="594">
        <f>+Input!G22</f>
        <v>0</v>
      </c>
      <c r="K22" s="414" t="str">
        <f>+Input!L22</f>
        <v>kWh/day</v>
      </c>
      <c r="L22" s="414" t="str">
        <f t="shared" si="0"/>
        <v>Contracted</v>
      </c>
    </row>
    <row r="23" spans="6:12" x14ac:dyDescent="0.25">
      <c r="F23" s="589"/>
      <c r="G23" s="22"/>
      <c r="H23" s="15" t="str">
        <f t="shared" ref="H23:H33" si="2">+H11</f>
        <v>Quarterly</v>
      </c>
      <c r="I23" s="595">
        <f>+Input!G23</f>
        <v>0</v>
      </c>
      <c r="K23" s="47" t="str">
        <f>+Input!L23</f>
        <v>kWh/day</v>
      </c>
      <c r="L23" s="47" t="str">
        <f t="shared" si="0"/>
        <v>Contracted</v>
      </c>
    </row>
    <row r="24" spans="6:12" x14ac:dyDescent="0.25">
      <c r="F24" s="589"/>
      <c r="G24" s="22"/>
      <c r="H24" s="15" t="str">
        <f t="shared" si="2"/>
        <v>Monthly</v>
      </c>
      <c r="I24" s="595">
        <f>+Input!G24</f>
        <v>0</v>
      </c>
      <c r="K24" s="47" t="str">
        <f>+Input!L24</f>
        <v>kWh/day</v>
      </c>
      <c r="L24" s="47" t="str">
        <f t="shared" si="0"/>
        <v>Contracted</v>
      </c>
    </row>
    <row r="25" spans="6:12" x14ac:dyDescent="0.25">
      <c r="F25" s="589"/>
      <c r="G25" s="22"/>
      <c r="H25" s="15" t="str">
        <f t="shared" si="2"/>
        <v>Daily</v>
      </c>
      <c r="I25" s="595">
        <f>+Input!G25</f>
        <v>408694.55737704912</v>
      </c>
      <c r="K25" s="47" t="str">
        <f>+Input!L25</f>
        <v>kWh/day</v>
      </c>
      <c r="L25" s="47" t="str">
        <f t="shared" si="0"/>
        <v>Contracted</v>
      </c>
    </row>
    <row r="26" spans="6:12" ht="15.75" thickBot="1" x14ac:dyDescent="0.3">
      <c r="F26" s="589"/>
      <c r="G26" s="23"/>
      <c r="H26" s="18" t="str">
        <f t="shared" si="2"/>
        <v>Intraday</v>
      </c>
      <c r="I26" s="596">
        <f>+Input!G26</f>
        <v>0</v>
      </c>
      <c r="K26" s="48" t="str">
        <f>+Input!L26</f>
        <v>kWh/h</v>
      </c>
      <c r="L26" s="48" t="str">
        <f t="shared" si="0"/>
        <v>Contracted</v>
      </c>
    </row>
    <row r="27" spans="6:12" x14ac:dyDescent="0.25">
      <c r="F27" s="589"/>
      <c r="G27" s="21" t="str">
        <f>+G15</f>
        <v>LNG terminal</v>
      </c>
      <c r="H27" s="356" t="str">
        <f t="shared" si="2"/>
        <v>Yearly</v>
      </c>
      <c r="I27" s="594">
        <f>+Input!G27</f>
        <v>0</v>
      </c>
      <c r="K27" s="414" t="str">
        <f>+Input!L27</f>
        <v>kWh/day</v>
      </c>
      <c r="L27" s="414" t="str">
        <f t="shared" si="0"/>
        <v>Contracted</v>
      </c>
    </row>
    <row r="28" spans="6:12" x14ac:dyDescent="0.25">
      <c r="F28" s="589"/>
      <c r="G28" s="22"/>
      <c r="H28" s="15" t="str">
        <f t="shared" si="2"/>
        <v>Quarterly</v>
      </c>
      <c r="I28" s="595">
        <f>+Input!G28</f>
        <v>0</v>
      </c>
      <c r="K28" s="47" t="str">
        <f>+Input!L28</f>
        <v>kWh/day</v>
      </c>
      <c r="L28" s="47" t="str">
        <f t="shared" ref="L28:L33" si="3">+$L$10</f>
        <v>Contracted</v>
      </c>
    </row>
    <row r="29" spans="6:12" x14ac:dyDescent="0.25">
      <c r="F29" s="589"/>
      <c r="G29" s="22"/>
      <c r="H29" s="15" t="str">
        <f t="shared" si="2"/>
        <v>Monthly</v>
      </c>
      <c r="I29" s="595">
        <f>+Input!G29</f>
        <v>0</v>
      </c>
      <c r="K29" s="47" t="str">
        <f>+Input!L29</f>
        <v>kWh/day</v>
      </c>
      <c r="L29" s="47" t="str">
        <f t="shared" si="3"/>
        <v>Contracted</v>
      </c>
    </row>
    <row r="30" spans="6:12" x14ac:dyDescent="0.25">
      <c r="F30" s="589"/>
      <c r="G30" s="22"/>
      <c r="H30" s="15" t="str">
        <f t="shared" si="2"/>
        <v>Daily</v>
      </c>
      <c r="I30" s="595">
        <f>+Input!G30</f>
        <v>0</v>
      </c>
      <c r="K30" s="47" t="str">
        <f>+Input!L30</f>
        <v>kWh/day</v>
      </c>
      <c r="L30" s="47" t="str">
        <f t="shared" si="3"/>
        <v>Contracted</v>
      </c>
    </row>
    <row r="31" spans="6:12" ht="15.75" thickBot="1" x14ac:dyDescent="0.3">
      <c r="F31" s="589"/>
      <c r="G31" s="23"/>
      <c r="H31" s="18" t="str">
        <f t="shared" si="2"/>
        <v>Intraday</v>
      </c>
      <c r="I31" s="596">
        <f>+Input!G31</f>
        <v>0</v>
      </c>
      <c r="K31" s="48" t="str">
        <f>+Input!L31</f>
        <v>kWh/h</v>
      </c>
      <c r="L31" s="48" t="str">
        <f t="shared" si="3"/>
        <v>Contracted</v>
      </c>
    </row>
    <row r="32" spans="6:12" x14ac:dyDescent="0.25">
      <c r="F32" s="589"/>
      <c r="G32" s="21" t="str">
        <f>+G20</f>
        <v>Underground Storage</v>
      </c>
      <c r="H32" s="356" t="str">
        <f t="shared" si="2"/>
        <v>Daily</v>
      </c>
      <c r="I32" s="594">
        <f>+Input!G32</f>
        <v>8631715.4602739699</v>
      </c>
      <c r="K32" s="414" t="str">
        <f>+Input!L32</f>
        <v>kWh/day</v>
      </c>
      <c r="L32" s="414" t="str">
        <f t="shared" si="3"/>
        <v>Contracted</v>
      </c>
    </row>
    <row r="33" spans="6:18" ht="15.75" thickBot="1" x14ac:dyDescent="0.3">
      <c r="F33" s="589"/>
      <c r="G33" s="23"/>
      <c r="H33" s="18" t="str">
        <f t="shared" si="2"/>
        <v>Intraday</v>
      </c>
      <c r="I33" s="596">
        <f>+Input!G33</f>
        <v>0</v>
      </c>
      <c r="K33" s="48" t="str">
        <f>+Input!L33</f>
        <v>kWh/h</v>
      </c>
      <c r="L33" s="48" t="str">
        <f t="shared" si="3"/>
        <v>Contracted</v>
      </c>
    </row>
    <row r="34" spans="6:18" ht="15.75" thickBot="1" x14ac:dyDescent="0.3">
      <c r="F34" s="589"/>
      <c r="G34" s="19" t="str">
        <f>+Labels!B29</f>
        <v>Distribution networks and HP Customers</v>
      </c>
      <c r="H34" s="416" t="str">
        <f>+Labels!B36</f>
        <v>Long Uses</v>
      </c>
      <c r="I34" s="597">
        <f>+Input!G34</f>
        <v>168207197.95516264</v>
      </c>
      <c r="K34" s="415" t="str">
        <f>+Input!L34</f>
        <v>kWh/day</v>
      </c>
      <c r="L34" s="415" t="str">
        <f>+Labels!B57</f>
        <v>Used</v>
      </c>
    </row>
    <row r="35" spans="6:18" x14ac:dyDescent="0.25">
      <c r="F35" s="589"/>
      <c r="G35" s="21" t="str">
        <f>+Labels!B30</f>
        <v>HP Customers</v>
      </c>
      <c r="H35" s="356" t="str">
        <f>+Labels!B37</f>
        <v>Annual Flexible Rate - Annual Base Capacity</v>
      </c>
      <c r="I35" s="594">
        <f>+Input!G35</f>
        <v>74865740.840000004</v>
      </c>
      <c r="K35" s="49" t="str">
        <f>+Input!L35</f>
        <v>kWh/day</v>
      </c>
      <c r="L35" s="49" t="str">
        <f>+$L$34</f>
        <v>Used</v>
      </c>
    </row>
    <row r="36" spans="6:18" x14ac:dyDescent="0.25">
      <c r="F36" s="589"/>
      <c r="G36" s="22"/>
      <c r="H36" s="15" t="str">
        <f>+Labels!B38</f>
        <v>Annual Flexible Rate - Additional Monthly Capacity (April to September)</v>
      </c>
      <c r="I36" s="595">
        <f>+Input!G36</f>
        <v>0</v>
      </c>
      <c r="K36" s="47" t="str">
        <f>+Input!L36</f>
        <v>kWh/day</v>
      </c>
      <c r="L36" s="47" t="str">
        <f t="shared" ref="L36:L40" si="4">+$L$34</f>
        <v>Used</v>
      </c>
    </row>
    <row r="37" spans="6:18" x14ac:dyDescent="0.25">
      <c r="F37" s="589"/>
      <c r="G37" s="22"/>
      <c r="H37" s="15" t="str">
        <f>+Labels!B39</f>
        <v>Flexible Monthly Rate - Monthly Capacity (October to March)</v>
      </c>
      <c r="I37" s="595">
        <f>+Input!G37</f>
        <v>27009366.044198893</v>
      </c>
      <c r="K37" s="47" t="str">
        <f>+Input!L37</f>
        <v>kWh/day</v>
      </c>
      <c r="L37" s="47" t="str">
        <f t="shared" si="4"/>
        <v>Used</v>
      </c>
    </row>
    <row r="38" spans="6:18" x14ac:dyDescent="0.25">
      <c r="F38" s="589"/>
      <c r="G38" s="22"/>
      <c r="H38" s="15" t="str">
        <f>+Labels!B40</f>
        <v>Flexible Monthly Rate - Monthly Capacity (April to September)</v>
      </c>
      <c r="I38" s="595">
        <f>+Input!G38</f>
        <v>32280449.869565219</v>
      </c>
      <c r="K38" s="47" t="str">
        <f>+Input!L38</f>
        <v>kWh/day</v>
      </c>
      <c r="L38" s="47" t="str">
        <f t="shared" si="4"/>
        <v>Used</v>
      </c>
    </row>
    <row r="39" spans="6:18" x14ac:dyDescent="0.25">
      <c r="F39" s="589"/>
      <c r="G39" s="22"/>
      <c r="H39" s="15" t="str">
        <f>+Labels!B41</f>
        <v>Daily Flexible Rate - Daily Capacity (October to March)</v>
      </c>
      <c r="I39" s="595">
        <f>+Input!G39</f>
        <v>0</v>
      </c>
      <c r="K39" s="47" t="str">
        <f>+Input!L39</f>
        <v>kWh/day</v>
      </c>
      <c r="L39" s="47" t="str">
        <f t="shared" si="4"/>
        <v>Used</v>
      </c>
    </row>
    <row r="40" spans="6:18" ht="15.75" thickBot="1" x14ac:dyDescent="0.3">
      <c r="F40" s="590"/>
      <c r="G40" s="23"/>
      <c r="H40" s="18" t="str">
        <f>+Labels!B42</f>
        <v>Daily Flexible Rate - Daily Capacity (April to September)</v>
      </c>
      <c r="I40" s="596">
        <f>+Input!G40</f>
        <v>0</v>
      </c>
      <c r="K40" s="48" t="str">
        <f>+Input!L40</f>
        <v>kWh/day</v>
      </c>
      <c r="L40" s="48" t="str">
        <f t="shared" si="4"/>
        <v>Used</v>
      </c>
    </row>
    <row r="41" spans="6:18" x14ac:dyDescent="0.25">
      <c r="R41" s="272"/>
    </row>
    <row r="42" spans="6:18" ht="15.75" thickBot="1" x14ac:dyDescent="0.3">
      <c r="M42" s="272" t="s">
        <v>431</v>
      </c>
      <c r="N42" s="272"/>
      <c r="R42" s="272"/>
    </row>
    <row r="43" spans="6:18" ht="15.75" thickBot="1" x14ac:dyDescent="0.3">
      <c r="M43" s="591" t="str">
        <f>+G9</f>
        <v>Point</v>
      </c>
      <c r="N43" s="644" t="str">
        <f>+Labels!B58</f>
        <v>Type of point</v>
      </c>
      <c r="O43" s="629" t="str">
        <f>+C3</f>
        <v>Entry</v>
      </c>
      <c r="P43" s="630" t="str">
        <f>+D3</f>
        <v>Exit</v>
      </c>
      <c r="R43" s="272"/>
    </row>
    <row r="44" spans="6:18" x14ac:dyDescent="0.25">
      <c r="L44" t="s">
        <v>30</v>
      </c>
      <c r="M44" s="11" t="str">
        <f>L44&amp;" - "&amp;Labels!B59</f>
        <v>A - Campo Maior</v>
      </c>
      <c r="N44" s="626" t="str">
        <f>+N45</f>
        <v>Interconnection point</v>
      </c>
      <c r="O44" s="631" t="s">
        <v>429</v>
      </c>
      <c r="P44" s="634" t="s">
        <v>429</v>
      </c>
      <c r="R44" s="272"/>
    </row>
    <row r="45" spans="6:18" x14ac:dyDescent="0.25">
      <c r="L45" t="s">
        <v>31</v>
      </c>
      <c r="M45" s="151" t="str">
        <f>L45&amp;" - "&amp;Labels!B60</f>
        <v>B - Valença do Minho</v>
      </c>
      <c r="N45" s="627" t="str">
        <f>+Labels!B70</f>
        <v>Interconnection point</v>
      </c>
      <c r="O45" s="635" t="s">
        <v>429</v>
      </c>
      <c r="P45" s="636" t="s">
        <v>429</v>
      </c>
      <c r="R45" s="272"/>
    </row>
    <row r="46" spans="6:18" x14ac:dyDescent="0.25">
      <c r="L46" t="s">
        <v>32</v>
      </c>
      <c r="M46" s="14" t="str">
        <f>L46&amp;" - "&amp;Labels!B61</f>
        <v>C - LNG terminal (Sines)</v>
      </c>
      <c r="N46" s="627" t="str">
        <f>+Labels!B71</f>
        <v>LNG terminal</v>
      </c>
      <c r="O46" s="637" t="s">
        <v>429</v>
      </c>
      <c r="P46" s="638" t="s">
        <v>429</v>
      </c>
      <c r="R46" s="272"/>
    </row>
    <row r="47" spans="6:18" x14ac:dyDescent="0.25">
      <c r="L47" t="s">
        <v>33</v>
      </c>
      <c r="M47" s="632" t="str">
        <f>L47&amp;" - "&amp;Labels!B62</f>
        <v>D - Underground storage (Carriço)</v>
      </c>
      <c r="N47" s="627" t="str">
        <f>+Labels!B72</f>
        <v>Storage</v>
      </c>
      <c r="O47" s="639" t="s">
        <v>429</v>
      </c>
      <c r="P47" s="640" t="s">
        <v>429</v>
      </c>
      <c r="R47" s="272"/>
    </row>
    <row r="48" spans="6:18" x14ac:dyDescent="0.25">
      <c r="L48" t="s">
        <v>34</v>
      </c>
      <c r="M48" s="632" t="str">
        <f>L48&amp;" - "&amp;Labels!B63</f>
        <v>E - Lisboagás, Setgás, Carregado, Ribatejo</v>
      </c>
      <c r="N48" s="627" t="str">
        <f>+Labels!B73</f>
        <v>Consumption</v>
      </c>
      <c r="O48" s="641"/>
      <c r="P48" s="640" t="s">
        <v>429</v>
      </c>
      <c r="R48" s="272"/>
    </row>
    <row r="49" spans="12:25" x14ac:dyDescent="0.25">
      <c r="L49" t="s">
        <v>35</v>
      </c>
      <c r="M49" s="632" t="str">
        <f>L49&amp;" - "&amp;Labels!B64</f>
        <v>F - Portgás, Outeiro power plant</v>
      </c>
      <c r="N49" s="633" t="str">
        <f>+$N$48</f>
        <v>Consumption</v>
      </c>
      <c r="O49" s="641"/>
      <c r="P49" s="640" t="s">
        <v>429</v>
      </c>
      <c r="R49" s="272"/>
    </row>
    <row r="50" spans="12:25" x14ac:dyDescent="0.25">
      <c r="L50" t="s">
        <v>36</v>
      </c>
      <c r="M50" s="632" t="str">
        <f>L50&amp;" - "&amp;Labels!B65</f>
        <v>G - Lusitâniagás, Lares power plant, Figueira da Foz power plant</v>
      </c>
      <c r="N50" s="633" t="str">
        <f t="shared" ref="N50:N54" si="5">+$N$48</f>
        <v>Consumption</v>
      </c>
      <c r="O50" s="641"/>
      <c r="P50" s="640" t="s">
        <v>429</v>
      </c>
      <c r="R50" s="272"/>
    </row>
    <row r="51" spans="12:25" x14ac:dyDescent="0.25">
      <c r="L51" t="s">
        <v>37</v>
      </c>
      <c r="M51" s="632" t="str">
        <f>L51&amp;" - "&amp;Labels!B66</f>
        <v>H - Tagusgás, Pego power plant</v>
      </c>
      <c r="N51" s="633" t="str">
        <f t="shared" si="5"/>
        <v>Consumption</v>
      </c>
      <c r="O51" s="641"/>
      <c r="P51" s="640" t="s">
        <v>429</v>
      </c>
      <c r="R51" s="272"/>
    </row>
    <row r="52" spans="12:25" x14ac:dyDescent="0.25">
      <c r="L52" t="s">
        <v>38</v>
      </c>
      <c r="M52" s="632" t="str">
        <f>L52&amp;" - "&amp;Labels!B67</f>
        <v>I - Portucel</v>
      </c>
      <c r="N52" s="633" t="str">
        <f t="shared" si="5"/>
        <v>Consumption</v>
      </c>
      <c r="O52" s="641"/>
      <c r="P52" s="640" t="s">
        <v>429</v>
      </c>
      <c r="R52" s="272"/>
    </row>
    <row r="53" spans="12:25" x14ac:dyDescent="0.25">
      <c r="L53" t="s">
        <v>39</v>
      </c>
      <c r="M53" s="632" t="str">
        <f>L53&amp;" - "&amp;Labels!B68</f>
        <v>J - Sines Refinary, Portucel</v>
      </c>
      <c r="N53" s="633" t="str">
        <f t="shared" si="5"/>
        <v>Consumption</v>
      </c>
      <c r="O53" s="641"/>
      <c r="P53" s="640" t="s">
        <v>429</v>
      </c>
      <c r="R53" s="272"/>
    </row>
    <row r="54" spans="12:25" ht="15.75" thickBot="1" x14ac:dyDescent="0.3">
      <c r="L54" t="s">
        <v>40</v>
      </c>
      <c r="M54" s="16" t="str">
        <f>L54&amp;" - "&amp;Labels!B69</f>
        <v>K - Beiragás</v>
      </c>
      <c r="N54" s="628" t="str">
        <f t="shared" si="5"/>
        <v>Consumption</v>
      </c>
      <c r="O54" s="642"/>
      <c r="P54" s="643" t="s">
        <v>429</v>
      </c>
      <c r="R54" s="272"/>
    </row>
    <row r="55" spans="12:25" ht="15.75" thickBot="1" x14ac:dyDescent="0.3">
      <c r="R55" s="272" t="s">
        <v>423</v>
      </c>
    </row>
    <row r="56" spans="12:25" ht="15.75" thickBot="1" x14ac:dyDescent="0.3">
      <c r="V56" s="593" t="str">
        <f>+Labels!B74</f>
        <v>Technical capacity</v>
      </c>
      <c r="W56" s="593" t="str">
        <f>+Labels!B75</f>
        <v>Physical flow</v>
      </c>
      <c r="Y56" s="593" t="str">
        <f>+Labels!B76</f>
        <v>Physical utilization factor</v>
      </c>
    </row>
    <row r="57" spans="12:25" ht="15.75" thickBot="1" x14ac:dyDescent="0.3">
      <c r="V57" s="603" t="str">
        <f>+K10</f>
        <v>kWh/day</v>
      </c>
      <c r="W57" s="603" t="str">
        <f>+V57</f>
        <v>kWh/day</v>
      </c>
      <c r="Y57" s="603" t="s">
        <v>28</v>
      </c>
    </row>
    <row r="58" spans="12:25" x14ac:dyDescent="0.25">
      <c r="R58" s="586" t="str">
        <f>+Labels!B24</f>
        <v>Entry</v>
      </c>
      <c r="S58" s="128" t="s">
        <v>30</v>
      </c>
      <c r="T58" s="356" t="str">
        <f>+Labels!B59</f>
        <v>Campo Maior</v>
      </c>
      <c r="V58" s="604">
        <f>+'RPM inputs'!I4</f>
        <v>134000000</v>
      </c>
      <c r="W58" s="53">
        <f>+'RPM inputs'!H4</f>
        <v>121162499.17443934</v>
      </c>
      <c r="Y58" s="605">
        <f>+'RPM inputs'!F4</f>
        <v>0.90419775503312938</v>
      </c>
    </row>
    <row r="59" spans="12:25" x14ac:dyDescent="0.25">
      <c r="R59" s="599"/>
      <c r="S59" s="129" t="s">
        <v>31</v>
      </c>
      <c r="T59" s="15" t="str">
        <f>+Labels!B60</f>
        <v>Valença do Minho</v>
      </c>
      <c r="V59" s="608">
        <f>+'RPM inputs'!I5</f>
        <v>10000000</v>
      </c>
      <c r="W59" s="55">
        <f>+'RPM inputs'!H5</f>
        <v>9041977.5503312927</v>
      </c>
      <c r="Y59" s="606">
        <f>+'RPM inputs'!F5</f>
        <v>0.90419775503312938</v>
      </c>
    </row>
    <row r="60" spans="12:25" x14ac:dyDescent="0.25">
      <c r="R60" s="599"/>
      <c r="S60" s="129" t="s">
        <v>32</v>
      </c>
      <c r="T60" s="15" t="str">
        <f>+Labels!B61</f>
        <v>LNG terminal (Sines)</v>
      </c>
      <c r="V60" s="608">
        <f>+'RPM inputs'!I6</f>
        <v>200000000</v>
      </c>
      <c r="W60" s="55">
        <f>+'RPM inputs'!H6</f>
        <v>178819191.88073394</v>
      </c>
      <c r="Y60" s="606">
        <f>+'RPM inputs'!F6</f>
        <v>0.8940959594036697</v>
      </c>
    </row>
    <row r="61" spans="12:25" ht="15.75" thickBot="1" x14ac:dyDescent="0.3">
      <c r="R61" s="600"/>
      <c r="S61" s="130" t="s">
        <v>33</v>
      </c>
      <c r="T61" s="18" t="str">
        <f>+Labels!B62</f>
        <v>Underground storage (Carriço)</v>
      </c>
      <c r="V61" s="609">
        <f>+'RPM inputs'!I7</f>
        <v>85680000</v>
      </c>
      <c r="W61" s="57">
        <f>+'RPM inputs'!H7</f>
        <v>42207940.917431191</v>
      </c>
      <c r="Y61" s="607">
        <f>+'RPM inputs'!F7</f>
        <v>0.49262302658066282</v>
      </c>
    </row>
    <row r="62" spans="12:25" x14ac:dyDescent="0.25">
      <c r="R62" s="586" t="str">
        <f>+Labels!B25</f>
        <v>Exit</v>
      </c>
      <c r="S62" s="128" t="s">
        <v>30</v>
      </c>
      <c r="T62" s="356" t="str">
        <f>+Labels!B59</f>
        <v>Campo Maior</v>
      </c>
      <c r="V62" s="604">
        <f>+'RPM inputs'!I8</f>
        <v>55000000</v>
      </c>
      <c r="W62" s="53">
        <f>+'RPM inputs'!H8</f>
        <v>3684374.4696100913</v>
      </c>
      <c r="Y62" s="605">
        <f>+'RPM inputs'!F8</f>
        <v>6.6988626720183478E-2</v>
      </c>
    </row>
    <row r="63" spans="12:25" x14ac:dyDescent="0.25">
      <c r="R63" s="601"/>
      <c r="S63" s="129" t="s">
        <v>31</v>
      </c>
      <c r="T63" s="15" t="str">
        <f>+Labels!B60</f>
        <v>Valença do Minho</v>
      </c>
      <c r="V63" s="608">
        <f>+'RPM inputs'!I9</f>
        <v>25000000</v>
      </c>
      <c r="W63" s="55">
        <f>+'RPM inputs'!H9</f>
        <v>1674715.6680045871</v>
      </c>
      <c r="Y63" s="606">
        <f>+'RPM inputs'!F9</f>
        <v>6.6988626720183478E-2</v>
      </c>
    </row>
    <row r="64" spans="12:25" x14ac:dyDescent="0.25">
      <c r="R64" s="601"/>
      <c r="S64" s="129" t="s">
        <v>32</v>
      </c>
      <c r="T64" s="15" t="str">
        <f>+Labels!B61</f>
        <v>LNG terminal (Sines)</v>
      </c>
      <c r="V64" s="608">
        <f>+'RPM inputs'!I10</f>
        <v>5000000</v>
      </c>
      <c r="W64" s="55">
        <f>+'RPM inputs'!H10</f>
        <v>0</v>
      </c>
      <c r="Y64" s="606">
        <f>+'RPM inputs'!F10</f>
        <v>0</v>
      </c>
    </row>
    <row r="65" spans="18:25" x14ac:dyDescent="0.25">
      <c r="R65" s="601"/>
      <c r="S65" s="129" t="s">
        <v>33</v>
      </c>
      <c r="T65" s="15" t="str">
        <f>+Labels!B62</f>
        <v>Underground storage (Carriço)</v>
      </c>
      <c r="V65" s="608">
        <f>+'RPM inputs'!I11</f>
        <v>85680000</v>
      </c>
      <c r="W65" s="55">
        <f>+'RPM inputs'!H11</f>
        <v>24083404.238532111</v>
      </c>
      <c r="Y65" s="606">
        <f>+'RPM inputs'!F11</f>
        <v>0.28108548364299851</v>
      </c>
    </row>
    <row r="66" spans="18:25" x14ac:dyDescent="0.25">
      <c r="R66" s="601"/>
      <c r="S66" s="129" t="s">
        <v>34</v>
      </c>
      <c r="T66" s="15" t="str">
        <f>+Labels!B63</f>
        <v>Lisboagás, Setgás, Carregado, Ribatejo</v>
      </c>
      <c r="V66" s="608">
        <f>+'RPM inputs'!I12</f>
        <v>99517589.986178875</v>
      </c>
      <c r="W66" s="55">
        <f>+'RPM inputs'!H12</f>
        <v>58579524.505568646</v>
      </c>
      <c r="Y66" s="606">
        <f>+'RPM inputs'!F12</f>
        <v>0.58863487865516284</v>
      </c>
    </row>
    <row r="67" spans="18:25" x14ac:dyDescent="0.25">
      <c r="R67" s="601"/>
      <c r="S67" s="129" t="s">
        <v>35</v>
      </c>
      <c r="T67" s="15" t="str">
        <f>+Labels!B64</f>
        <v>Portgás, Outeiro power plant</v>
      </c>
      <c r="V67" s="608">
        <f>+'RPM inputs'!I13</f>
        <v>119032193.60199855</v>
      </c>
      <c r="W67" s="55">
        <f>+'RPM inputs'!H13</f>
        <v>70066500.83697027</v>
      </c>
      <c r="Y67" s="606">
        <f>+'RPM inputs'!F13</f>
        <v>0.58863487865516284</v>
      </c>
    </row>
    <row r="68" spans="18:25" x14ac:dyDescent="0.25">
      <c r="R68" s="601"/>
      <c r="S68" s="129" t="s">
        <v>36</v>
      </c>
      <c r="T68" s="15" t="str">
        <f>+Labels!B65</f>
        <v>Lusitâniagás, Lares power plant, Figueira da Foz power plant</v>
      </c>
      <c r="V68" s="608">
        <f>+'RPM inputs'!I14</f>
        <v>103283676.69005214</v>
      </c>
      <c r="W68" s="55">
        <f>+'RPM inputs'!H14</f>
        <v>60796374.495507911</v>
      </c>
      <c r="Y68" s="606">
        <f>+'RPM inputs'!F14</f>
        <v>0.58863487865516284</v>
      </c>
    </row>
    <row r="69" spans="18:25" x14ac:dyDescent="0.25">
      <c r="R69" s="601"/>
      <c r="S69" s="129" t="s">
        <v>37</v>
      </c>
      <c r="T69" s="15" t="str">
        <f>+Labels!B66</f>
        <v>Tagusgás, Pego power plant</v>
      </c>
      <c r="V69" s="608">
        <f>+'RPM inputs'!I15</f>
        <v>50785036.629524499</v>
      </c>
      <c r="W69" s="55">
        <f>+'RPM inputs'!H15</f>
        <v>29893843.873918153</v>
      </c>
      <c r="Y69" s="606">
        <f>+'RPM inputs'!F15</f>
        <v>0.58863487865516284</v>
      </c>
    </row>
    <row r="70" spans="18:25" x14ac:dyDescent="0.25">
      <c r="R70" s="601"/>
      <c r="S70" s="129" t="s">
        <v>38</v>
      </c>
      <c r="T70" s="15" t="str">
        <f>+Labels!B67</f>
        <v>Portucel</v>
      </c>
      <c r="V70" s="608">
        <f>+'RPM inputs'!I16</f>
        <v>7156599.1687443955</v>
      </c>
      <c r="W70" s="55">
        <f>+'RPM inputs'!H16</f>
        <v>4212623.8832774963</v>
      </c>
      <c r="Y70" s="606">
        <f>+'RPM inputs'!F16</f>
        <v>0.58863487865516284</v>
      </c>
    </row>
    <row r="71" spans="18:25" x14ac:dyDescent="0.25">
      <c r="R71" s="601"/>
      <c r="S71" s="129" t="s">
        <v>39</v>
      </c>
      <c r="T71" s="15" t="str">
        <f>+Labels!B68</f>
        <v>Sines Refinary, Portucel</v>
      </c>
      <c r="V71" s="608">
        <f>+'RPM inputs'!I17</f>
        <v>44610180.686749533</v>
      </c>
      <c r="W71" s="55">
        <f>+'RPM inputs'!H17</f>
        <v>26259108.295329701</v>
      </c>
      <c r="Y71" s="606">
        <f>+'RPM inputs'!F17</f>
        <v>0.58863487865516284</v>
      </c>
    </row>
    <row r="72" spans="18:25" ht="15.75" thickBot="1" x14ac:dyDescent="0.3">
      <c r="R72" s="602"/>
      <c r="S72" s="130" t="s">
        <v>40</v>
      </c>
      <c r="T72" s="18" t="str">
        <f>+Labels!B69</f>
        <v>Beiragás</v>
      </c>
      <c r="V72" s="609">
        <f>+'RPM inputs'!I18</f>
        <v>5294723.2367520062</v>
      </c>
      <c r="W72" s="57">
        <f>+'RPM inputs'!H18</f>
        <v>3116658.769978188</v>
      </c>
      <c r="Y72" s="607">
        <f>+'RPM inputs'!F18</f>
        <v>0.58863487865516284</v>
      </c>
    </row>
    <row r="73" spans="18:25" x14ac:dyDescent="0.25"/>
    <row r="74" spans="18:25" x14ac:dyDescent="0.25"/>
    <row r="75" spans="18:25" ht="15.75" thickBot="1" x14ac:dyDescent="0.3">
      <c r="R75" s="272" t="s">
        <v>198</v>
      </c>
    </row>
    <row r="76" spans="18:25" ht="15.75" thickBot="1" x14ac:dyDescent="0.3">
      <c r="R76" s="614">
        <f>+'RPM inputs'!E27</f>
        <v>1.3157894736842106</v>
      </c>
    </row>
    <row r="77" spans="18:25" x14ac:dyDescent="0.25"/>
    <row r="78" spans="18:25" hidden="1" x14ac:dyDescent="0.25"/>
    <row r="79" spans="18:25" hidden="1" x14ac:dyDescent="0.25"/>
    <row r="80" spans="18:25"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25"/>
  </sheetPr>
  <dimension ref="A1:E11"/>
  <sheetViews>
    <sheetView showGridLines="0" zoomScale="140" zoomScaleNormal="140" workbookViewId="0">
      <selection activeCell="B22" sqref="B22"/>
    </sheetView>
  </sheetViews>
  <sheetFormatPr defaultColWidth="0" defaultRowHeight="15" zeroHeight="1" x14ac:dyDescent="0.25"/>
  <cols>
    <col min="1" max="1" width="3.7109375" customWidth="1"/>
    <col min="2" max="2" width="49.7109375" customWidth="1"/>
    <col min="3" max="4" width="39.5703125" customWidth="1"/>
    <col min="5" max="5" width="9.140625" customWidth="1"/>
    <col min="6" max="16384" width="9.140625" hidden="1"/>
  </cols>
  <sheetData>
    <row r="1" spans="2:4" x14ac:dyDescent="0.25"/>
    <row r="2" spans="2:4" x14ac:dyDescent="0.25">
      <c r="B2" s="615" t="s">
        <v>153</v>
      </c>
      <c r="C2" s="621" t="s">
        <v>155</v>
      </c>
      <c r="D2" s="620" t="s">
        <v>156</v>
      </c>
    </row>
    <row r="3" spans="2:4" x14ac:dyDescent="0.25">
      <c r="B3" s="619"/>
      <c r="C3" s="622">
        <v>1</v>
      </c>
      <c r="D3" s="623">
        <v>0</v>
      </c>
    </row>
    <row r="4" spans="2:4" ht="51" x14ac:dyDescent="0.25">
      <c r="B4" s="616" t="s">
        <v>424</v>
      </c>
      <c r="C4" s="618"/>
      <c r="D4" s="617"/>
    </row>
    <row r="5" spans="2:4" x14ac:dyDescent="0.25">
      <c r="B5" s="615" t="s">
        <v>157</v>
      </c>
      <c r="C5" s="621" t="s">
        <v>159</v>
      </c>
      <c r="D5" s="620" t="s">
        <v>160</v>
      </c>
    </row>
    <row r="6" spans="2:4" x14ac:dyDescent="0.25">
      <c r="B6" s="619"/>
      <c r="C6" s="622">
        <f>+Data_b!D4</f>
        <v>0.28000000000000003</v>
      </c>
      <c r="D6" s="623">
        <f>+Data_b!D5</f>
        <v>0.72</v>
      </c>
    </row>
    <row r="7" spans="2:4" ht="63.75" x14ac:dyDescent="0.25">
      <c r="B7" s="616" t="s">
        <v>425</v>
      </c>
      <c r="C7" s="618"/>
      <c r="D7" s="617"/>
    </row>
    <row r="8" spans="2:4" x14ac:dyDescent="0.25">
      <c r="B8" s="615" t="s">
        <v>161</v>
      </c>
      <c r="C8" s="621" t="s">
        <v>427</v>
      </c>
      <c r="D8" s="620" t="s">
        <v>428</v>
      </c>
    </row>
    <row r="9" spans="2:4" x14ac:dyDescent="0.25">
      <c r="B9" s="619"/>
      <c r="C9" s="624">
        <f>1-D9</f>
        <v>3.6886144419504552E-3</v>
      </c>
      <c r="D9" s="625">
        <f>+CAA!D7/(CAA!D7+CAA!D8)</f>
        <v>0.99631138555804954</v>
      </c>
    </row>
    <row r="10" spans="2:4" ht="76.5" x14ac:dyDescent="0.25">
      <c r="B10" s="616" t="s">
        <v>426</v>
      </c>
      <c r="C10" s="618"/>
      <c r="D10" s="617"/>
    </row>
    <row r="11" spans="2:4" x14ac:dyDescent="0.2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25"/>
  </sheetPr>
  <dimension ref="A1:W116"/>
  <sheetViews>
    <sheetView showGridLines="0" topLeftCell="A22" zoomScale="90" zoomScaleNormal="90" workbookViewId="0">
      <selection activeCell="B22" sqref="B22"/>
    </sheetView>
  </sheetViews>
  <sheetFormatPr defaultColWidth="9.140625" defaultRowHeight="0" customHeight="1" zeroHeight="1" x14ac:dyDescent="0.25"/>
  <cols>
    <col min="1" max="2" width="3.7109375" style="570" customWidth="1"/>
    <col min="3" max="3" width="8.7109375" style="418" customWidth="1"/>
    <col min="4" max="4" width="33.7109375" style="418" customWidth="1"/>
    <col min="5" max="5" width="63.7109375" style="418" customWidth="1"/>
    <col min="6" max="6" width="1.7109375" style="418" customWidth="1"/>
    <col min="7" max="11" width="13.85546875" style="418" customWidth="1"/>
    <col min="12" max="12" width="1.7109375" style="418" customWidth="1"/>
    <col min="13" max="13" width="18.7109375" style="418" customWidth="1"/>
    <col min="14" max="14" width="3.7109375" style="575" customWidth="1"/>
    <col min="15" max="15" width="3.7109375" style="570" customWidth="1"/>
    <col min="16" max="16" width="8.7109375" style="27" customWidth="1"/>
    <col min="17" max="17" width="33.7109375" style="27" customWidth="1"/>
    <col min="18" max="18" width="63.7109375" style="27" customWidth="1"/>
    <col min="19" max="19" width="1.7109375" style="27" customWidth="1"/>
    <col min="20" max="23" width="10.5703125" style="27" bestFit="1" customWidth="1"/>
    <col min="24" max="16384" width="9.140625" style="27"/>
  </cols>
  <sheetData>
    <row r="1" spans="3:14" s="570" customFormat="1" ht="24.95" customHeight="1" x14ac:dyDescent="0.25"/>
    <row r="2" spans="3:14" s="570" customFormat="1" ht="18.75" x14ac:dyDescent="0.3">
      <c r="C2" s="576" t="s">
        <v>416</v>
      </c>
    </row>
    <row r="3" spans="3:14" ht="15.75" thickBot="1" x14ac:dyDescent="0.3">
      <c r="C3" s="570"/>
      <c r="D3" s="570"/>
      <c r="E3" s="570"/>
      <c r="F3" s="570"/>
      <c r="G3" s="570"/>
      <c r="H3" s="570"/>
      <c r="I3" s="570"/>
      <c r="J3" s="570"/>
      <c r="K3" s="570"/>
      <c r="L3" s="570"/>
      <c r="M3" s="570"/>
      <c r="N3" s="570"/>
    </row>
    <row r="4" spans="3:14" ht="15.75" thickBot="1" x14ac:dyDescent="0.3">
      <c r="C4" s="570"/>
      <c r="D4" s="591" t="str">
        <f>+Output!D4</f>
        <v>Point</v>
      </c>
      <c r="E4" s="592" t="str">
        <f>+Output!E4</f>
        <v>Product</v>
      </c>
      <c r="F4" s="570"/>
      <c r="G4" s="593" t="s">
        <v>129</v>
      </c>
      <c r="H4" s="593" t="str">
        <f>+Input!G9</f>
        <v>2019-2020</v>
      </c>
      <c r="I4" s="593" t="str">
        <f>+Input!H9</f>
        <v>2020-2021</v>
      </c>
      <c r="J4" s="593" t="str">
        <f>+Input!I9</f>
        <v>2021-2022</v>
      </c>
      <c r="K4" s="593" t="str">
        <f>+Input!J9</f>
        <v>2022-2023</v>
      </c>
      <c r="L4" s="571"/>
      <c r="M4" s="593" t="str">
        <f>+Output!L4</f>
        <v>Unit</v>
      </c>
      <c r="N4" s="570"/>
    </row>
    <row r="5" spans="3:14" ht="15" x14ac:dyDescent="0.25">
      <c r="C5" s="586" t="str">
        <f>+Output!C5</f>
        <v>Entry</v>
      </c>
      <c r="D5" s="21" t="str">
        <f>+Output!D5</f>
        <v>Interconnection points (VIP)</v>
      </c>
      <c r="E5" s="356" t="str">
        <f>+Output!E5</f>
        <v>Yearly</v>
      </c>
      <c r="F5" s="574"/>
      <c r="G5" s="506">
        <f>ROUND(Data_c!F5,4)</f>
        <v>0.12180000000000001</v>
      </c>
      <c r="H5" s="566">
        <f>ROUND('Reference prices RPM'!AE5,4)</f>
        <v>9.69E-2</v>
      </c>
      <c r="I5" s="507">
        <f>ROUND('Reference prices RPM'!AF5,4)</f>
        <v>9.69E-2</v>
      </c>
      <c r="J5" s="508">
        <f>ROUND('Reference prices RPM'!AG5,4)</f>
        <v>9.69E-2</v>
      </c>
      <c r="K5" s="509">
        <f>ROUND('Reference prices RPM'!AH5,4)</f>
        <v>9.69E-2</v>
      </c>
      <c r="L5" s="572"/>
      <c r="M5" s="414" t="str">
        <f>+Output!L5</f>
        <v>€/(kWh/day)/year</v>
      </c>
      <c r="N5" s="570"/>
    </row>
    <row r="6" spans="3:14" ht="15" x14ac:dyDescent="0.25">
      <c r="C6" s="587"/>
      <c r="D6" s="22"/>
      <c r="E6" s="15" t="str">
        <f>+Output!E6</f>
        <v>Quarterly</v>
      </c>
      <c r="F6" s="570"/>
      <c r="G6" s="510">
        <f>ROUND(Data_c!F6,4)</f>
        <v>0.1583</v>
      </c>
      <c r="H6" s="567">
        <f>ROUND('Reference prices RPM'!AE6,4)</f>
        <v>0.126</v>
      </c>
      <c r="I6" s="511">
        <f>ROUND('Reference prices RPM'!AF6,4)</f>
        <v>0.126</v>
      </c>
      <c r="J6" s="512">
        <f>ROUND('Reference prices RPM'!AG6,4)</f>
        <v>0.126</v>
      </c>
      <c r="K6" s="513">
        <f>ROUND('Reference prices RPM'!AH6,4)</f>
        <v>0.126</v>
      </c>
      <c r="L6" s="570"/>
      <c r="M6" s="47" t="str">
        <f>+Output!L6</f>
        <v>€/(kWh/day)/year</v>
      </c>
      <c r="N6" s="570"/>
    </row>
    <row r="7" spans="3:14" ht="15" x14ac:dyDescent="0.25">
      <c r="C7" s="587"/>
      <c r="D7" s="22"/>
      <c r="E7" s="15" t="str">
        <f>+Output!E7</f>
        <v>Monthly</v>
      </c>
      <c r="F7" s="150"/>
      <c r="G7" s="510">
        <f>ROUND(Data_c!F7,4)</f>
        <v>0.1827</v>
      </c>
      <c r="H7" s="567">
        <f>ROUND('Reference prices RPM'!AE7,4)</f>
        <v>0.1454</v>
      </c>
      <c r="I7" s="511">
        <f>ROUND('Reference prices RPM'!AF7,4)</f>
        <v>0.1454</v>
      </c>
      <c r="J7" s="512">
        <f>ROUND('Reference prices RPM'!AG7,4)</f>
        <v>0.1454</v>
      </c>
      <c r="K7" s="513">
        <f>ROUND('Reference prices RPM'!AH7,4)</f>
        <v>0.1454</v>
      </c>
      <c r="L7" s="573"/>
      <c r="M7" s="47" t="str">
        <f>+Output!L7</f>
        <v>€/(kWh/day)/year</v>
      </c>
      <c r="N7" s="570"/>
    </row>
    <row r="8" spans="3:14" ht="15" x14ac:dyDescent="0.25">
      <c r="C8" s="587"/>
      <c r="D8" s="22"/>
      <c r="E8" s="15" t="str">
        <f>+Output!E8</f>
        <v>Daily</v>
      </c>
      <c r="F8" s="150"/>
      <c r="G8" s="510">
        <f>ROUND(Data_c!F8,4)</f>
        <v>0.24360000000000001</v>
      </c>
      <c r="H8" s="567">
        <f>ROUND('Reference prices RPM'!AE8,4)</f>
        <v>0.1938</v>
      </c>
      <c r="I8" s="511">
        <f>ROUND('Reference prices RPM'!AF8,4)</f>
        <v>0.1938</v>
      </c>
      <c r="J8" s="512">
        <f>ROUND('Reference prices RPM'!AG8,4)</f>
        <v>0.1938</v>
      </c>
      <c r="K8" s="513">
        <f>ROUND('Reference prices RPM'!AH8,4)</f>
        <v>0.1938</v>
      </c>
      <c r="L8" s="150"/>
      <c r="M8" s="47" t="str">
        <f>+Output!L8</f>
        <v>€/(kWh/day)/year</v>
      </c>
      <c r="N8" s="570"/>
    </row>
    <row r="9" spans="3:14" ht="15.75" thickBot="1" x14ac:dyDescent="0.3">
      <c r="C9" s="587"/>
      <c r="D9" s="23"/>
      <c r="E9" s="18" t="str">
        <f>+Output!E9</f>
        <v>Intraday</v>
      </c>
      <c r="F9" s="574"/>
      <c r="G9" s="514">
        <f>ROUND(Data_c!F9,4)</f>
        <v>6.4307999999999996</v>
      </c>
      <c r="H9" s="568">
        <f>ROUND('Reference prices RPM'!AE9,4)</f>
        <v>5.1167999999999996</v>
      </c>
      <c r="I9" s="515">
        <f>ROUND('Reference prices RPM'!AF9,4)</f>
        <v>5.1167999999999996</v>
      </c>
      <c r="J9" s="516">
        <f>ROUND('Reference prices RPM'!AG9,4)</f>
        <v>5.1167999999999996</v>
      </c>
      <c r="K9" s="517">
        <f>ROUND('Reference prices RPM'!AH9,4)</f>
        <v>5.1167999999999996</v>
      </c>
      <c r="L9" s="572"/>
      <c r="M9" s="48" t="str">
        <f>+Output!L9</f>
        <v>€/(kWh/h)/year</v>
      </c>
      <c r="N9" s="570"/>
    </row>
    <row r="10" spans="3:14" ht="15" x14ac:dyDescent="0.25">
      <c r="C10" s="587"/>
      <c r="D10" s="21" t="str">
        <f>+Output!D10</f>
        <v>LNG terminal</v>
      </c>
      <c r="E10" s="356" t="str">
        <f>+Output!E10</f>
        <v>Yearly</v>
      </c>
      <c r="F10" s="570"/>
      <c r="G10" s="506">
        <f>ROUND(Data_c!F10,4)</f>
        <v>0.12180000000000001</v>
      </c>
      <c r="H10" s="566">
        <f>ROUND('Reference prices RPM'!AE10,4)</f>
        <v>8.9300000000000004E-2</v>
      </c>
      <c r="I10" s="507">
        <f>ROUND('Reference prices RPM'!AF10,4)</f>
        <v>8.9300000000000004E-2</v>
      </c>
      <c r="J10" s="508">
        <f>ROUND('Reference prices RPM'!AG10,4)</f>
        <v>8.9300000000000004E-2</v>
      </c>
      <c r="K10" s="509">
        <f>ROUND('Reference prices RPM'!AH10,4)</f>
        <v>8.9300000000000004E-2</v>
      </c>
      <c r="L10" s="570"/>
      <c r="M10" s="414" t="str">
        <f>+Output!L10</f>
        <v>€/(kWh/day)/year</v>
      </c>
      <c r="N10" s="570"/>
    </row>
    <row r="11" spans="3:14" ht="15" x14ac:dyDescent="0.25">
      <c r="C11" s="587"/>
      <c r="D11" s="22"/>
      <c r="E11" s="15" t="str">
        <f>+Output!E11</f>
        <v>Quarterly</v>
      </c>
      <c r="F11" s="150"/>
      <c r="G11" s="510">
        <f>ROUND(Data_c!F11,4)</f>
        <v>0.1583</v>
      </c>
      <c r="H11" s="567">
        <f>ROUND('Reference prices RPM'!AE11,4)</f>
        <v>0.11600000000000001</v>
      </c>
      <c r="I11" s="511">
        <f>ROUND('Reference prices RPM'!AF11,4)</f>
        <v>0.11600000000000001</v>
      </c>
      <c r="J11" s="512">
        <f>ROUND('Reference prices RPM'!AG11,4)</f>
        <v>0.11600000000000001</v>
      </c>
      <c r="K11" s="513">
        <f>ROUND('Reference prices RPM'!AH11,4)</f>
        <v>0.11600000000000001</v>
      </c>
      <c r="L11" s="573"/>
      <c r="M11" s="47" t="str">
        <f>+Output!L11</f>
        <v>€/(kWh/day)/year</v>
      </c>
      <c r="N11" s="570"/>
    </row>
    <row r="12" spans="3:14" ht="15" x14ac:dyDescent="0.25">
      <c r="C12" s="587"/>
      <c r="D12" s="22"/>
      <c r="E12" s="15" t="str">
        <f>+Output!E12</f>
        <v>Monthly</v>
      </c>
      <c r="F12" s="150"/>
      <c r="G12" s="510">
        <f>ROUND(Data_c!F12,4)</f>
        <v>0.1827</v>
      </c>
      <c r="H12" s="567">
        <f>ROUND('Reference prices RPM'!AE12,4)</f>
        <v>0.13389999999999999</v>
      </c>
      <c r="I12" s="511">
        <f>ROUND('Reference prices RPM'!AF12,4)</f>
        <v>0.13389999999999999</v>
      </c>
      <c r="J12" s="512">
        <f>ROUND('Reference prices RPM'!AG12,4)</f>
        <v>0.13389999999999999</v>
      </c>
      <c r="K12" s="513">
        <f>ROUND('Reference prices RPM'!AH12,4)</f>
        <v>0.13389999999999999</v>
      </c>
      <c r="L12" s="150"/>
      <c r="M12" s="47" t="str">
        <f>+Output!L12</f>
        <v>€/(kWh/day)/year</v>
      </c>
      <c r="N12" s="570"/>
    </row>
    <row r="13" spans="3:14" ht="15" x14ac:dyDescent="0.25">
      <c r="C13" s="587"/>
      <c r="D13" s="22"/>
      <c r="E13" s="15" t="str">
        <f>+Output!E13</f>
        <v>Daily</v>
      </c>
      <c r="F13" s="574"/>
      <c r="G13" s="510">
        <f>ROUND(Data_c!F13,4)</f>
        <v>0.24360000000000001</v>
      </c>
      <c r="H13" s="567">
        <f>ROUND('Reference prices RPM'!AE13,4)</f>
        <v>0.17849999999999999</v>
      </c>
      <c r="I13" s="511">
        <f>ROUND('Reference prices RPM'!AF13,4)</f>
        <v>0.17849999999999999</v>
      </c>
      <c r="J13" s="512">
        <f>ROUND('Reference prices RPM'!AG13,4)</f>
        <v>0.17849999999999999</v>
      </c>
      <c r="K13" s="513">
        <f>ROUND('Reference prices RPM'!AH13,4)</f>
        <v>0.17849999999999999</v>
      </c>
      <c r="L13" s="572"/>
      <c r="M13" s="47" t="str">
        <f>+Output!L13</f>
        <v>€/(kWh/day)/year</v>
      </c>
      <c r="N13" s="570"/>
    </row>
    <row r="14" spans="3:14" ht="15.75" thickBot="1" x14ac:dyDescent="0.3">
      <c r="C14" s="587"/>
      <c r="D14" s="23"/>
      <c r="E14" s="18" t="str">
        <f>+Output!E14</f>
        <v>Intraday</v>
      </c>
      <c r="F14" s="570"/>
      <c r="G14" s="514">
        <f>ROUND(Data_c!F14,4)</f>
        <v>6.4307999999999996</v>
      </c>
      <c r="H14" s="568">
        <f>ROUND('Reference prices RPM'!AE14,4)</f>
        <v>4.7127999999999997</v>
      </c>
      <c r="I14" s="515">
        <f>ROUND('Reference prices RPM'!AF14,4)</f>
        <v>4.7127999999999997</v>
      </c>
      <c r="J14" s="516">
        <f>ROUND('Reference prices RPM'!AG14,4)</f>
        <v>4.7127999999999997</v>
      </c>
      <c r="K14" s="517">
        <f>ROUND('Reference prices RPM'!AH14,4)</f>
        <v>4.7127999999999997</v>
      </c>
      <c r="L14" s="570"/>
      <c r="M14" s="48" t="str">
        <f>+Output!L14</f>
        <v>€/(kWh/h)/year</v>
      </c>
      <c r="N14" s="570"/>
    </row>
    <row r="15" spans="3:14" ht="15" x14ac:dyDescent="0.25">
      <c r="C15" s="587"/>
      <c r="D15" s="21" t="str">
        <f>+Output!D15</f>
        <v>Underground Storage</v>
      </c>
      <c r="E15" s="356" t="str">
        <f>+Output!E15</f>
        <v>Daily</v>
      </c>
      <c r="F15" s="150"/>
      <c r="G15" s="506">
        <f>ROUND(Data_c!F15,4)</f>
        <v>3.3999999999999998E-3</v>
      </c>
      <c r="H15" s="566">
        <f>ROUND('Reference prices RPM'!AE15,4)</f>
        <v>0</v>
      </c>
      <c r="I15" s="507">
        <f>ROUND('Reference prices RPM'!AF15,4)</f>
        <v>0</v>
      </c>
      <c r="J15" s="508">
        <f>ROUND('Reference prices RPM'!AG15,4)</f>
        <v>0</v>
      </c>
      <c r="K15" s="509">
        <f>ROUND('Reference prices RPM'!AH15,4)</f>
        <v>0</v>
      </c>
      <c r="L15" s="573"/>
      <c r="M15" s="414" t="str">
        <f>+Output!L15</f>
        <v>€/(kWh/day)/year</v>
      </c>
      <c r="N15" s="570"/>
    </row>
    <row r="16" spans="3:14" ht="15.75" thickBot="1" x14ac:dyDescent="0.3">
      <c r="C16" s="588"/>
      <c r="D16" s="23"/>
      <c r="E16" s="18" t="str">
        <f>+Output!E16</f>
        <v>Intraday</v>
      </c>
      <c r="F16" s="150"/>
      <c r="G16" s="514">
        <f>ROUND(Data_c!F16,4)</f>
        <v>9.0200000000000002E-2</v>
      </c>
      <c r="H16" s="568">
        <f>ROUND('Reference prices RPM'!AE16,4)</f>
        <v>0</v>
      </c>
      <c r="I16" s="515">
        <f>ROUND('Reference prices RPM'!AF16,4)</f>
        <v>0</v>
      </c>
      <c r="J16" s="516">
        <f>ROUND('Reference prices RPM'!AG16,4)</f>
        <v>0</v>
      </c>
      <c r="K16" s="517">
        <f>ROUND('Reference prices RPM'!AH16,4)</f>
        <v>0</v>
      </c>
      <c r="L16" s="150"/>
      <c r="M16" s="48" t="str">
        <f>+Output!L16</f>
        <v>€/(kWh/h)/year</v>
      </c>
      <c r="N16" s="570"/>
    </row>
    <row r="17" spans="3:14" ht="15" x14ac:dyDescent="0.25">
      <c r="C17" s="586" t="str">
        <f>+Output!C17</f>
        <v>Exit</v>
      </c>
      <c r="D17" s="21" t="str">
        <f>+Output!D17</f>
        <v>Interconnection points (VIP)</v>
      </c>
      <c r="E17" s="356" t="str">
        <f>+Output!E17</f>
        <v>Yearly</v>
      </c>
      <c r="F17" s="574"/>
      <c r="G17" s="506">
        <f>ROUND(Data_c!F17,4)</f>
        <v>0</v>
      </c>
      <c r="H17" s="566">
        <f>ROUND('Reference prices RPM'!AE17,4)</f>
        <v>2.1299999999999999E-2</v>
      </c>
      <c r="I17" s="507">
        <f>ROUND('Reference prices RPM'!AF17,4)</f>
        <v>2.1299999999999999E-2</v>
      </c>
      <c r="J17" s="508">
        <f>ROUND('Reference prices RPM'!AG17,4)</f>
        <v>2.1299999999999999E-2</v>
      </c>
      <c r="K17" s="509">
        <f>ROUND('Reference prices RPM'!AH17,4)</f>
        <v>2.1299999999999999E-2</v>
      </c>
      <c r="L17" s="572"/>
      <c r="M17" s="414" t="str">
        <f>+Output!L17</f>
        <v>€/(kWh/day)/year</v>
      </c>
      <c r="N17" s="570"/>
    </row>
    <row r="18" spans="3:14" ht="15" x14ac:dyDescent="0.25">
      <c r="C18" s="589"/>
      <c r="D18" s="22"/>
      <c r="E18" s="15" t="str">
        <f>+Output!E18</f>
        <v>Quarterly</v>
      </c>
      <c r="F18" s="570"/>
      <c r="G18" s="510">
        <f>ROUND(Data_c!F18,4)</f>
        <v>0</v>
      </c>
      <c r="H18" s="567">
        <f>ROUND('Reference prices RPM'!AE18,4)</f>
        <v>2.7699999999999999E-2</v>
      </c>
      <c r="I18" s="511">
        <f>ROUND('Reference prices RPM'!AF18,4)</f>
        <v>2.7699999999999999E-2</v>
      </c>
      <c r="J18" s="512">
        <f>ROUND('Reference prices RPM'!AG18,4)</f>
        <v>2.7699999999999999E-2</v>
      </c>
      <c r="K18" s="513">
        <f>ROUND('Reference prices RPM'!AH18,4)</f>
        <v>2.7699999999999999E-2</v>
      </c>
      <c r="L18" s="570"/>
      <c r="M18" s="47" t="str">
        <f>+Output!L18</f>
        <v>€/(kWh/day)/year</v>
      </c>
      <c r="N18" s="570"/>
    </row>
    <row r="19" spans="3:14" ht="15" x14ac:dyDescent="0.25">
      <c r="C19" s="589"/>
      <c r="D19" s="22"/>
      <c r="E19" s="15" t="str">
        <f>+Output!E19</f>
        <v>Monthly</v>
      </c>
      <c r="F19" s="150"/>
      <c r="G19" s="510">
        <f>ROUND(Data_c!F19,4)</f>
        <v>0</v>
      </c>
      <c r="H19" s="567">
        <f>ROUND('Reference prices RPM'!AE19,4)</f>
        <v>3.1899999999999998E-2</v>
      </c>
      <c r="I19" s="511">
        <f>ROUND('Reference prices RPM'!AF19,4)</f>
        <v>3.1899999999999998E-2</v>
      </c>
      <c r="J19" s="512">
        <f>ROUND('Reference prices RPM'!AG19,4)</f>
        <v>3.1899999999999998E-2</v>
      </c>
      <c r="K19" s="513">
        <f>ROUND('Reference prices RPM'!AH19,4)</f>
        <v>3.1899999999999998E-2</v>
      </c>
      <c r="L19" s="573"/>
      <c r="M19" s="47" t="str">
        <f>+Output!L19</f>
        <v>€/(kWh/day)/year</v>
      </c>
      <c r="N19" s="570"/>
    </row>
    <row r="20" spans="3:14" ht="15" x14ac:dyDescent="0.25">
      <c r="C20" s="589"/>
      <c r="D20" s="22"/>
      <c r="E20" s="15" t="str">
        <f>+Output!E20</f>
        <v>Daily</v>
      </c>
      <c r="F20" s="150"/>
      <c r="G20" s="510">
        <f>ROUND(Data_c!F20,4)</f>
        <v>0</v>
      </c>
      <c r="H20" s="567">
        <f>ROUND('Reference prices RPM'!AE20,4)</f>
        <v>4.2599999999999999E-2</v>
      </c>
      <c r="I20" s="511">
        <f>ROUND('Reference prices RPM'!AF20,4)</f>
        <v>4.2599999999999999E-2</v>
      </c>
      <c r="J20" s="512">
        <f>ROUND('Reference prices RPM'!AG20,4)</f>
        <v>4.2599999999999999E-2</v>
      </c>
      <c r="K20" s="513">
        <f>ROUND('Reference prices RPM'!AH20,4)</f>
        <v>4.2599999999999999E-2</v>
      </c>
      <c r="L20" s="150"/>
      <c r="M20" s="47" t="str">
        <f>+Output!L20</f>
        <v>€/(kWh/day)/year</v>
      </c>
      <c r="N20" s="570"/>
    </row>
    <row r="21" spans="3:14" ht="15.75" thickBot="1" x14ac:dyDescent="0.3">
      <c r="C21" s="589"/>
      <c r="D21" s="23"/>
      <c r="E21" s="18" t="str">
        <f>+Output!E21</f>
        <v>Intraday</v>
      </c>
      <c r="F21" s="574"/>
      <c r="G21" s="514">
        <f>ROUND(Data_c!F21,4)</f>
        <v>0</v>
      </c>
      <c r="H21" s="568">
        <f>ROUND('Reference prices RPM'!AE21,4)</f>
        <v>1.1236999999999999</v>
      </c>
      <c r="I21" s="515">
        <f>ROUND('Reference prices RPM'!AF21,4)</f>
        <v>1.1236999999999999</v>
      </c>
      <c r="J21" s="516">
        <f>ROUND('Reference prices RPM'!AG21,4)</f>
        <v>1.1236999999999999</v>
      </c>
      <c r="K21" s="517">
        <f>ROUND('Reference prices RPM'!AH21,4)</f>
        <v>1.1236999999999999</v>
      </c>
      <c r="L21" s="572"/>
      <c r="M21" s="48" t="str">
        <f>+Output!L21</f>
        <v>€/(kWh/h)/year</v>
      </c>
      <c r="N21" s="570"/>
    </row>
    <row r="22" spans="3:14" ht="15" x14ac:dyDescent="0.25">
      <c r="C22" s="589"/>
      <c r="D22" s="21" t="str">
        <f>+Output!D22</f>
        <v>LNG terminal</v>
      </c>
      <c r="E22" s="356" t="str">
        <f>+Output!E22</f>
        <v>Yearly</v>
      </c>
      <c r="F22" s="570"/>
      <c r="G22" s="506">
        <f>ROUND(Data_c!F22,4)</f>
        <v>0</v>
      </c>
      <c r="H22" s="566">
        <f>ROUND('Reference prices RPM'!AE22,4)</f>
        <v>0</v>
      </c>
      <c r="I22" s="507">
        <f>ROUND('Reference prices RPM'!AF22,4)</f>
        <v>0</v>
      </c>
      <c r="J22" s="508">
        <f>ROUND('Reference prices RPM'!AG22,4)</f>
        <v>0</v>
      </c>
      <c r="K22" s="509">
        <f>ROUND('Reference prices RPM'!AH22,4)</f>
        <v>0</v>
      </c>
      <c r="L22" s="570"/>
      <c r="M22" s="414" t="str">
        <f>+Output!L22</f>
        <v>€/(kWh/day)/year</v>
      </c>
      <c r="N22" s="570"/>
    </row>
    <row r="23" spans="3:14" ht="15" x14ac:dyDescent="0.25">
      <c r="C23" s="589"/>
      <c r="D23" s="22"/>
      <c r="E23" s="15" t="str">
        <f>+Output!E23</f>
        <v>Quarterly</v>
      </c>
      <c r="F23" s="150"/>
      <c r="G23" s="510">
        <f>ROUND(Data_c!F23,4)</f>
        <v>0</v>
      </c>
      <c r="H23" s="567">
        <f>ROUND('Reference prices RPM'!AE23,4)</f>
        <v>0</v>
      </c>
      <c r="I23" s="511">
        <f>ROUND('Reference prices RPM'!AF23,4)</f>
        <v>0</v>
      </c>
      <c r="J23" s="512">
        <f>ROUND('Reference prices RPM'!AG23,4)</f>
        <v>0</v>
      </c>
      <c r="K23" s="513">
        <f>ROUND('Reference prices RPM'!AH23,4)</f>
        <v>0</v>
      </c>
      <c r="L23" s="573"/>
      <c r="M23" s="47" t="str">
        <f>+Output!L23</f>
        <v>€/(kWh/day)/year</v>
      </c>
      <c r="N23" s="570"/>
    </row>
    <row r="24" spans="3:14" ht="15" x14ac:dyDescent="0.25">
      <c r="C24" s="589"/>
      <c r="D24" s="22"/>
      <c r="E24" s="15" t="str">
        <f>+Output!E24</f>
        <v>Monthly</v>
      </c>
      <c r="F24" s="150"/>
      <c r="G24" s="510">
        <f>ROUND(Data_c!F24,4)</f>
        <v>0</v>
      </c>
      <c r="H24" s="567">
        <f>ROUND('Reference prices RPM'!AE24,4)</f>
        <v>0</v>
      </c>
      <c r="I24" s="511">
        <f>ROUND('Reference prices RPM'!AF24,4)</f>
        <v>0</v>
      </c>
      <c r="J24" s="512">
        <f>ROUND('Reference prices RPM'!AG24,4)</f>
        <v>0</v>
      </c>
      <c r="K24" s="513">
        <f>ROUND('Reference prices RPM'!AH24,4)</f>
        <v>0</v>
      </c>
      <c r="L24" s="150"/>
      <c r="M24" s="47" t="str">
        <f>+Output!L24</f>
        <v>€/(kWh/day)/year</v>
      </c>
      <c r="N24" s="570"/>
    </row>
    <row r="25" spans="3:14" ht="15" x14ac:dyDescent="0.25">
      <c r="C25" s="589"/>
      <c r="D25" s="22"/>
      <c r="E25" s="15" t="str">
        <f>+Output!E25</f>
        <v>Daily</v>
      </c>
      <c r="F25" s="574"/>
      <c r="G25" s="510">
        <f>ROUND(Data_c!F25,4)</f>
        <v>0</v>
      </c>
      <c r="H25" s="567">
        <f>ROUND('Reference prices RPM'!AE25,4)</f>
        <v>0</v>
      </c>
      <c r="I25" s="511">
        <f>ROUND('Reference prices RPM'!AF25,4)</f>
        <v>0</v>
      </c>
      <c r="J25" s="512">
        <f>ROUND('Reference prices RPM'!AG25,4)</f>
        <v>0</v>
      </c>
      <c r="K25" s="513">
        <f>ROUND('Reference prices RPM'!AH25,4)</f>
        <v>0</v>
      </c>
      <c r="L25" s="572"/>
      <c r="M25" s="47" t="str">
        <f>+Output!L25</f>
        <v>€/(kWh/day)/year</v>
      </c>
      <c r="N25" s="570"/>
    </row>
    <row r="26" spans="3:14" ht="15.75" thickBot="1" x14ac:dyDescent="0.3">
      <c r="C26" s="589"/>
      <c r="D26" s="23"/>
      <c r="E26" s="18" t="str">
        <f>+Output!E26</f>
        <v>Intraday</v>
      </c>
      <c r="F26" s="570"/>
      <c r="G26" s="514">
        <f>ROUND(Data_c!F26,4)</f>
        <v>0</v>
      </c>
      <c r="H26" s="568">
        <f>ROUND('Reference prices RPM'!AE26,4)</f>
        <v>0</v>
      </c>
      <c r="I26" s="515">
        <f>ROUND('Reference prices RPM'!AF26,4)</f>
        <v>0</v>
      </c>
      <c r="J26" s="516">
        <f>ROUND('Reference prices RPM'!AG26,4)</f>
        <v>0</v>
      </c>
      <c r="K26" s="517">
        <f>ROUND('Reference prices RPM'!AH26,4)</f>
        <v>0</v>
      </c>
      <c r="L26" s="570"/>
      <c r="M26" s="48" t="str">
        <f>+Output!L26</f>
        <v>€/(kWh/h)/year</v>
      </c>
      <c r="N26" s="570"/>
    </row>
    <row r="27" spans="3:14" ht="15" x14ac:dyDescent="0.25">
      <c r="C27" s="589"/>
      <c r="D27" s="21" t="str">
        <f>+Output!D27</f>
        <v>Underground Storage</v>
      </c>
      <c r="E27" s="356" t="str">
        <f>+Output!E27</f>
        <v>Daily</v>
      </c>
      <c r="F27" s="150"/>
      <c r="G27" s="506">
        <f>ROUND(Data_c!F27,4)</f>
        <v>0</v>
      </c>
      <c r="H27" s="566">
        <f>ROUND('Reference prices RPM'!AE27,4)</f>
        <v>0</v>
      </c>
      <c r="I27" s="507">
        <f>ROUND('Reference prices RPM'!AF27,4)</f>
        <v>0</v>
      </c>
      <c r="J27" s="508">
        <f>ROUND('Reference prices RPM'!AG27,4)</f>
        <v>0</v>
      </c>
      <c r="K27" s="509">
        <f>ROUND('Reference prices RPM'!AH27,4)</f>
        <v>0</v>
      </c>
      <c r="L27" s="573"/>
      <c r="M27" s="414" t="str">
        <f>+Output!L27</f>
        <v>€/(kWh/day)/year</v>
      </c>
      <c r="N27" s="570"/>
    </row>
    <row r="28" spans="3:14" ht="15.75" thickBot="1" x14ac:dyDescent="0.3">
      <c r="C28" s="589"/>
      <c r="D28" s="23"/>
      <c r="E28" s="18" t="str">
        <f>+Output!E28</f>
        <v>Intraday</v>
      </c>
      <c r="F28" s="150"/>
      <c r="G28" s="514">
        <f>ROUND(Data_c!F28,4)</f>
        <v>0</v>
      </c>
      <c r="H28" s="568">
        <f>ROUND('Reference prices RPM'!AE28,4)</f>
        <v>0</v>
      </c>
      <c r="I28" s="515">
        <f>ROUND('Reference prices RPM'!AF28,4)</f>
        <v>0</v>
      </c>
      <c r="J28" s="516">
        <f>ROUND('Reference prices RPM'!AG28,4)</f>
        <v>0</v>
      </c>
      <c r="K28" s="517">
        <f>ROUND('Reference prices RPM'!AH28,4)</f>
        <v>0</v>
      </c>
      <c r="L28" s="150"/>
      <c r="M28" s="48" t="str">
        <f>+Output!L28</f>
        <v>€/(kWh/h)/year</v>
      </c>
      <c r="N28" s="570"/>
    </row>
    <row r="29" spans="3:14" ht="15.75" thickBot="1" x14ac:dyDescent="0.3">
      <c r="C29" s="589"/>
      <c r="D29" s="19" t="str">
        <f>+Output!D29</f>
        <v>Distribution networks and HP Customers</v>
      </c>
      <c r="E29" s="416" t="str">
        <f>+Output!E29</f>
        <v>Long Uses</v>
      </c>
      <c r="F29" s="574"/>
      <c r="G29" s="518">
        <f>ROUND(Data_c!F29,4)</f>
        <v>0.21099999999999999</v>
      </c>
      <c r="H29" s="569">
        <f>ROUND('Reference prices RPM'!AE29,4)</f>
        <v>0.17119999999999999</v>
      </c>
      <c r="I29" s="519">
        <f>ROUND('Reference prices RPM'!AF29,4)</f>
        <v>0.17119999999999999</v>
      </c>
      <c r="J29" s="520">
        <f>ROUND('Reference prices RPM'!AG29,4)</f>
        <v>0.17119999999999999</v>
      </c>
      <c r="K29" s="521">
        <f>ROUND('Reference prices RPM'!AH29,4)</f>
        <v>0.17119999999999999</v>
      </c>
      <c r="L29" s="572"/>
      <c r="M29" s="415" t="str">
        <f>+Output!L29</f>
        <v>€/(kWh/day)/year</v>
      </c>
      <c r="N29" s="570"/>
    </row>
    <row r="30" spans="3:14" ht="15" x14ac:dyDescent="0.25">
      <c r="C30" s="589"/>
      <c r="D30" s="21" t="str">
        <f>+Output!D30</f>
        <v>HP Customers</v>
      </c>
      <c r="E30" s="356" t="str">
        <f>+Output!E30</f>
        <v>Annual Flexible Rate - Annual Base Capacity</v>
      </c>
      <c r="F30" s="570"/>
      <c r="G30" s="506">
        <f>ROUND(Data_c!F30,4)</f>
        <v>0.21099999999999999</v>
      </c>
      <c r="H30" s="566">
        <f>ROUND('Reference prices RPM'!AE30,4)</f>
        <v>0.17119999999999999</v>
      </c>
      <c r="I30" s="507">
        <f>ROUND('Reference prices RPM'!AF30,4)</f>
        <v>0.17119999999999999</v>
      </c>
      <c r="J30" s="508">
        <f>ROUND('Reference prices RPM'!AG30,4)</f>
        <v>0.17119999999999999</v>
      </c>
      <c r="K30" s="509">
        <f>ROUND('Reference prices RPM'!AH30,4)</f>
        <v>0.17119999999999999</v>
      </c>
      <c r="L30" s="570"/>
      <c r="M30" s="49" t="str">
        <f>+Output!L30</f>
        <v>€/(kWh/day)/year</v>
      </c>
      <c r="N30" s="570"/>
    </row>
    <row r="31" spans="3:14" ht="15" x14ac:dyDescent="0.25">
      <c r="C31" s="589"/>
      <c r="D31" s="22"/>
      <c r="E31" s="15" t="str">
        <f>+Output!E31</f>
        <v>Annual Flexible Rate - Additional Monthly Capacity (April to September)</v>
      </c>
      <c r="F31" s="150"/>
      <c r="G31" s="510">
        <f>ROUND(Data_c!F31,4)</f>
        <v>0.3165</v>
      </c>
      <c r="H31" s="567">
        <f>ROUND('Reference prices RPM'!AE31,4)</f>
        <v>0.25669999999999998</v>
      </c>
      <c r="I31" s="511">
        <f>ROUND('Reference prices RPM'!AF31,4)</f>
        <v>0.25669999999999998</v>
      </c>
      <c r="J31" s="512">
        <f>ROUND('Reference prices RPM'!AG31,4)</f>
        <v>0.25669999999999998</v>
      </c>
      <c r="K31" s="513">
        <f>ROUND('Reference prices RPM'!AH31,4)</f>
        <v>0.25669999999999998</v>
      </c>
      <c r="L31" s="573"/>
      <c r="M31" s="47" t="str">
        <f>+Output!L31</f>
        <v>€/(kWh/day)/year</v>
      </c>
      <c r="N31" s="570"/>
    </row>
    <row r="32" spans="3:14" ht="15" x14ac:dyDescent="0.25">
      <c r="C32" s="589"/>
      <c r="D32" s="22"/>
      <c r="E32" s="15" t="str">
        <f>+Output!E32</f>
        <v>Flexible Monthly Rate - Monthly Capacity (October to March)</v>
      </c>
      <c r="F32" s="150"/>
      <c r="G32" s="510">
        <f>ROUND(Data_c!F32,4)</f>
        <v>0.63290000000000002</v>
      </c>
      <c r="H32" s="567">
        <f>ROUND('Reference prices RPM'!AE32,4)</f>
        <v>0.51349999999999996</v>
      </c>
      <c r="I32" s="511">
        <f>ROUND('Reference prices RPM'!AF32,4)</f>
        <v>0.51349999999999996</v>
      </c>
      <c r="J32" s="512">
        <f>ROUND('Reference prices RPM'!AG32,4)</f>
        <v>0.51349999999999996</v>
      </c>
      <c r="K32" s="513">
        <f>ROUND('Reference prices RPM'!AH32,4)</f>
        <v>0.51349999999999996</v>
      </c>
      <c r="L32" s="150"/>
      <c r="M32" s="47" t="str">
        <f>+Output!L32</f>
        <v>€/(kWh/day)/year</v>
      </c>
      <c r="N32" s="570"/>
    </row>
    <row r="33" spans="3:23" ht="15" x14ac:dyDescent="0.25">
      <c r="C33" s="589"/>
      <c r="D33" s="22"/>
      <c r="E33" s="15" t="str">
        <f>+Output!E33</f>
        <v>Flexible Monthly Rate - Monthly Capacity (April to September)</v>
      </c>
      <c r="F33" s="574"/>
      <c r="G33" s="510">
        <f>ROUND(Data_c!F33,4)</f>
        <v>0.3165</v>
      </c>
      <c r="H33" s="567">
        <f>ROUND('Reference prices RPM'!AE33,4)</f>
        <v>0.25669999999999998</v>
      </c>
      <c r="I33" s="511">
        <f>ROUND('Reference prices RPM'!AF33,4)</f>
        <v>0.25669999999999998</v>
      </c>
      <c r="J33" s="512">
        <f>ROUND('Reference prices RPM'!AG33,4)</f>
        <v>0.25669999999999998</v>
      </c>
      <c r="K33" s="513">
        <f>ROUND('Reference prices RPM'!AH33,4)</f>
        <v>0.25669999999999998</v>
      </c>
      <c r="L33" s="572"/>
      <c r="M33" s="47" t="str">
        <f>+Output!L33</f>
        <v>€/(kWh/day)/year</v>
      </c>
      <c r="N33" s="570"/>
    </row>
    <row r="34" spans="3:23" ht="15" x14ac:dyDescent="0.25">
      <c r="C34" s="589"/>
      <c r="D34" s="22"/>
      <c r="E34" s="15" t="str">
        <f>+Output!E34</f>
        <v>Daily Flexible Rate - Daily Capacity (October to March)</v>
      </c>
      <c r="F34" s="570"/>
      <c r="G34" s="510">
        <f>ROUND(Data_c!F34,4)</f>
        <v>2.1097000000000001</v>
      </c>
      <c r="H34" s="567">
        <f>ROUND('Reference prices RPM'!AE34,4)</f>
        <v>1.7115</v>
      </c>
      <c r="I34" s="511">
        <f>ROUND('Reference prices RPM'!AF34,4)</f>
        <v>1.7115</v>
      </c>
      <c r="J34" s="512">
        <f>ROUND('Reference prices RPM'!AG34,4)</f>
        <v>1.7115</v>
      </c>
      <c r="K34" s="513">
        <f>ROUND('Reference prices RPM'!AH34,4)</f>
        <v>1.7115</v>
      </c>
      <c r="L34" s="570"/>
      <c r="M34" s="47" t="str">
        <f>+Output!L34</f>
        <v>€/(kWh/day)/year</v>
      </c>
      <c r="N34" s="570"/>
    </row>
    <row r="35" spans="3:23" ht="15.75" thickBot="1" x14ac:dyDescent="0.3">
      <c r="C35" s="590"/>
      <c r="D35" s="23"/>
      <c r="E35" s="18" t="str">
        <f>+Output!E35</f>
        <v>Daily Flexible Rate - Daily Capacity (April to September)</v>
      </c>
      <c r="F35" s="150"/>
      <c r="G35" s="514">
        <f>ROUND(Data_c!F35,4)</f>
        <v>1.2658</v>
      </c>
      <c r="H35" s="568">
        <f>ROUND('Reference prices RPM'!AE35,4)</f>
        <v>1.0268999999999999</v>
      </c>
      <c r="I35" s="515">
        <f>ROUND('Reference prices RPM'!AF35,4)</f>
        <v>1.0268999999999999</v>
      </c>
      <c r="J35" s="516">
        <f>ROUND('Reference prices RPM'!AG35,4)</f>
        <v>1.0268999999999999</v>
      </c>
      <c r="K35" s="517">
        <f>ROUND('Reference prices RPM'!AH35,4)</f>
        <v>1.0268999999999999</v>
      </c>
      <c r="L35" s="573"/>
      <c r="M35" s="48" t="str">
        <f>+Output!L35</f>
        <v>€/(kWh/day)/year</v>
      </c>
      <c r="N35" s="570"/>
    </row>
    <row r="36" spans="3:23" ht="15.75" thickBot="1" x14ac:dyDescent="0.3">
      <c r="C36" s="570"/>
      <c r="D36" s="570"/>
      <c r="E36" s="570"/>
      <c r="F36" s="570"/>
      <c r="G36" s="570"/>
      <c r="H36" s="570"/>
      <c r="I36" s="570"/>
      <c r="J36" s="570"/>
      <c r="K36" s="570"/>
      <c r="L36" s="570"/>
      <c r="M36" s="570"/>
      <c r="N36" s="570"/>
    </row>
    <row r="37" spans="3:23" ht="15.75" thickBot="1" x14ac:dyDescent="0.3">
      <c r="C37" s="570"/>
      <c r="D37" s="570"/>
      <c r="E37" s="570"/>
      <c r="F37" s="570"/>
      <c r="G37" s="570"/>
      <c r="H37" s="570"/>
      <c r="I37" s="570"/>
      <c r="J37" s="570"/>
      <c r="K37" s="570"/>
      <c r="L37" s="570"/>
      <c r="M37" s="570"/>
      <c r="N37" s="570"/>
      <c r="P37" s="570"/>
      <c r="Q37" s="591" t="str">
        <f>+D4</f>
        <v>Point</v>
      </c>
      <c r="R37" s="592" t="str">
        <f>+E4</f>
        <v>Product</v>
      </c>
      <c r="S37" s="570"/>
      <c r="T37" s="593" t="str">
        <f>+H4</f>
        <v>2019-2020</v>
      </c>
      <c r="U37" s="593" t="str">
        <f>+I4</f>
        <v>2020-2021</v>
      </c>
      <c r="V37" s="593" t="str">
        <f>+J4</f>
        <v>2021-2022</v>
      </c>
      <c r="W37" s="593" t="str">
        <f>+K4</f>
        <v>2022-2023</v>
      </c>
    </row>
    <row r="38" spans="3:23" ht="15" x14ac:dyDescent="0.25">
      <c r="C38" s="570"/>
      <c r="D38" s="570"/>
      <c r="E38" s="570"/>
      <c r="F38" s="570"/>
      <c r="G38" s="570"/>
      <c r="H38" s="570"/>
      <c r="I38" s="570"/>
      <c r="J38" s="570"/>
      <c r="K38" s="570"/>
      <c r="L38" s="570"/>
      <c r="M38" s="570"/>
      <c r="N38" s="570"/>
      <c r="P38" s="586" t="str">
        <f>+C5</f>
        <v>Entry</v>
      </c>
      <c r="Q38" s="21" t="str">
        <f>+D5</f>
        <v>Interconnection points (VIP)</v>
      </c>
      <c r="R38" s="356" t="str">
        <f t="shared" ref="R38:R68" si="0">+E5</f>
        <v>Yearly</v>
      </c>
      <c r="S38" s="574"/>
      <c r="T38" s="645">
        <f t="shared" ref="T38:T68" si="1">IF(G5=0,"-",H5/G5-1)</f>
        <v>-0.20443349753694584</v>
      </c>
      <c r="U38" s="646">
        <f t="shared" ref="U38:U68" si="2">IF(H5=0,"-",I5/H5-1)</f>
        <v>0</v>
      </c>
      <c r="V38" s="647">
        <f t="shared" ref="V38:V68" si="3">IF(I5=0,"-",J5/I5-1)</f>
        <v>0</v>
      </c>
      <c r="W38" s="648">
        <f t="shared" ref="W38:W68" si="4">IF(J5=0,"-",K5/J5-1)</f>
        <v>0</v>
      </c>
    </row>
    <row r="39" spans="3:23" ht="15" x14ac:dyDescent="0.25">
      <c r="C39" s="570"/>
      <c r="D39" s="570"/>
      <c r="E39" s="570"/>
      <c r="F39" s="570"/>
      <c r="G39" s="570"/>
      <c r="H39" s="570"/>
      <c r="I39" s="570"/>
      <c r="J39" s="570"/>
      <c r="K39" s="570"/>
      <c r="L39" s="570"/>
      <c r="M39" s="570"/>
      <c r="N39" s="570"/>
      <c r="P39" s="587"/>
      <c r="Q39" s="22"/>
      <c r="R39" s="15" t="str">
        <f t="shared" si="0"/>
        <v>Quarterly</v>
      </c>
      <c r="S39" s="570"/>
      <c r="T39" s="649">
        <f t="shared" si="1"/>
        <v>-0.2040429564118762</v>
      </c>
      <c r="U39" s="650">
        <f t="shared" si="2"/>
        <v>0</v>
      </c>
      <c r="V39" s="651">
        <f t="shared" si="3"/>
        <v>0</v>
      </c>
      <c r="W39" s="652">
        <f t="shared" si="4"/>
        <v>0</v>
      </c>
    </row>
    <row r="40" spans="3:23" ht="15" x14ac:dyDescent="0.25">
      <c r="C40" s="570"/>
      <c r="D40" s="570"/>
      <c r="E40" s="570"/>
      <c r="F40" s="570"/>
      <c r="G40" s="570"/>
      <c r="H40" s="570"/>
      <c r="I40" s="570"/>
      <c r="J40" s="570"/>
      <c r="K40" s="570"/>
      <c r="L40" s="570"/>
      <c r="M40" s="570"/>
      <c r="N40" s="570"/>
      <c r="P40" s="587"/>
      <c r="Q40" s="22"/>
      <c r="R40" s="15" t="str">
        <f t="shared" si="0"/>
        <v>Monthly</v>
      </c>
      <c r="S40" s="150"/>
      <c r="T40" s="649">
        <f t="shared" si="1"/>
        <v>-0.20415982484948003</v>
      </c>
      <c r="U40" s="650">
        <f t="shared" si="2"/>
        <v>0</v>
      </c>
      <c r="V40" s="651">
        <f t="shared" si="3"/>
        <v>0</v>
      </c>
      <c r="W40" s="652">
        <f t="shared" si="4"/>
        <v>0</v>
      </c>
    </row>
    <row r="41" spans="3:23" ht="15" x14ac:dyDescent="0.25">
      <c r="C41" s="570"/>
      <c r="D41" s="570"/>
      <c r="E41" s="570"/>
      <c r="F41" s="570"/>
      <c r="G41" s="570"/>
      <c r="H41" s="570"/>
      <c r="I41" s="570"/>
      <c r="J41" s="570"/>
      <c r="K41" s="570"/>
      <c r="L41" s="570"/>
      <c r="M41" s="570"/>
      <c r="N41" s="570"/>
      <c r="P41" s="587"/>
      <c r="Q41" s="22"/>
      <c r="R41" s="15" t="str">
        <f t="shared" si="0"/>
        <v>Daily</v>
      </c>
      <c r="S41" s="150"/>
      <c r="T41" s="649">
        <f t="shared" si="1"/>
        <v>-0.20443349753694584</v>
      </c>
      <c r="U41" s="650">
        <f t="shared" si="2"/>
        <v>0</v>
      </c>
      <c r="V41" s="651">
        <f t="shared" si="3"/>
        <v>0</v>
      </c>
      <c r="W41" s="652">
        <f t="shared" si="4"/>
        <v>0</v>
      </c>
    </row>
    <row r="42" spans="3:23" ht="15.75" thickBot="1" x14ac:dyDescent="0.3">
      <c r="C42" s="570"/>
      <c r="D42" s="570"/>
      <c r="E42" s="570"/>
      <c r="F42" s="570"/>
      <c r="G42" s="570"/>
      <c r="H42" s="570"/>
      <c r="I42" s="570"/>
      <c r="J42" s="570"/>
      <c r="K42" s="570"/>
      <c r="L42" s="570"/>
      <c r="M42" s="570"/>
      <c r="N42" s="570"/>
      <c r="P42" s="587"/>
      <c r="Q42" s="23"/>
      <c r="R42" s="18" t="str">
        <f t="shared" si="0"/>
        <v>Intraday</v>
      </c>
      <c r="S42" s="574"/>
      <c r="T42" s="653">
        <f t="shared" si="1"/>
        <v>-0.20432916588915839</v>
      </c>
      <c r="U42" s="654">
        <f t="shared" si="2"/>
        <v>0</v>
      </c>
      <c r="V42" s="655">
        <f t="shared" si="3"/>
        <v>0</v>
      </c>
      <c r="W42" s="656">
        <f t="shared" si="4"/>
        <v>0</v>
      </c>
    </row>
    <row r="43" spans="3:23" ht="15" x14ac:dyDescent="0.25">
      <c r="C43" s="570"/>
      <c r="D43" s="570"/>
      <c r="E43" s="570"/>
      <c r="F43" s="570"/>
      <c r="G43" s="570"/>
      <c r="H43" s="570"/>
      <c r="I43" s="570"/>
      <c r="J43" s="570"/>
      <c r="K43" s="570"/>
      <c r="L43" s="570"/>
      <c r="M43" s="570"/>
      <c r="N43" s="570"/>
      <c r="P43" s="587"/>
      <c r="Q43" s="21" t="str">
        <f>+D10</f>
        <v>LNG terminal</v>
      </c>
      <c r="R43" s="356" t="str">
        <f t="shared" si="0"/>
        <v>Yearly</v>
      </c>
      <c r="S43" s="570"/>
      <c r="T43" s="645">
        <f t="shared" si="1"/>
        <v>-0.26683087027914609</v>
      </c>
      <c r="U43" s="646">
        <f t="shared" si="2"/>
        <v>0</v>
      </c>
      <c r="V43" s="647">
        <f t="shared" si="3"/>
        <v>0</v>
      </c>
      <c r="W43" s="648">
        <f t="shared" si="4"/>
        <v>0</v>
      </c>
    </row>
    <row r="44" spans="3:23" ht="15" x14ac:dyDescent="0.25">
      <c r="C44" s="570"/>
      <c r="D44" s="570"/>
      <c r="E44" s="570"/>
      <c r="F44" s="570"/>
      <c r="G44" s="570"/>
      <c r="H44" s="570"/>
      <c r="I44" s="570"/>
      <c r="J44" s="570"/>
      <c r="K44" s="570"/>
      <c r="L44" s="570"/>
      <c r="M44" s="570"/>
      <c r="N44" s="570"/>
      <c r="P44" s="587"/>
      <c r="Q44" s="22"/>
      <c r="R44" s="15" t="str">
        <f t="shared" si="0"/>
        <v>Quarterly</v>
      </c>
      <c r="S44" s="150"/>
      <c r="T44" s="649">
        <f t="shared" si="1"/>
        <v>-0.26721415034744156</v>
      </c>
      <c r="U44" s="650">
        <f t="shared" si="2"/>
        <v>0</v>
      </c>
      <c r="V44" s="651">
        <f t="shared" si="3"/>
        <v>0</v>
      </c>
      <c r="W44" s="652">
        <f t="shared" si="4"/>
        <v>0</v>
      </c>
    </row>
    <row r="45" spans="3:23" ht="15" x14ac:dyDescent="0.25">
      <c r="C45" s="570"/>
      <c r="D45" s="570"/>
      <c r="E45" s="570"/>
      <c r="F45" s="570"/>
      <c r="G45" s="570"/>
      <c r="H45" s="570"/>
      <c r="I45" s="570"/>
      <c r="J45" s="570"/>
      <c r="K45" s="570"/>
      <c r="L45" s="570"/>
      <c r="M45" s="570"/>
      <c r="N45" s="570"/>
      <c r="P45" s="587"/>
      <c r="Q45" s="22"/>
      <c r="R45" s="15" t="str">
        <f t="shared" si="0"/>
        <v>Monthly</v>
      </c>
      <c r="S45" s="150"/>
      <c r="T45" s="649">
        <f t="shared" si="1"/>
        <v>-0.26710454296661201</v>
      </c>
      <c r="U45" s="650">
        <f t="shared" si="2"/>
        <v>0</v>
      </c>
      <c r="V45" s="651">
        <f t="shared" si="3"/>
        <v>0</v>
      </c>
      <c r="W45" s="652">
        <f t="shared" si="4"/>
        <v>0</v>
      </c>
    </row>
    <row r="46" spans="3:23" ht="15" x14ac:dyDescent="0.25">
      <c r="C46" s="570"/>
      <c r="D46" s="570"/>
      <c r="E46" s="570"/>
      <c r="F46" s="570"/>
      <c r="G46" s="570"/>
      <c r="H46" s="570"/>
      <c r="I46" s="570"/>
      <c r="J46" s="570"/>
      <c r="K46" s="570"/>
      <c r="L46" s="570"/>
      <c r="M46" s="570"/>
      <c r="N46" s="570"/>
      <c r="P46" s="587"/>
      <c r="Q46" s="22"/>
      <c r="R46" s="15" t="str">
        <f t="shared" si="0"/>
        <v>Daily</v>
      </c>
      <c r="S46" s="574"/>
      <c r="T46" s="649">
        <f t="shared" si="1"/>
        <v>-0.26724137931034486</v>
      </c>
      <c r="U46" s="650">
        <f t="shared" si="2"/>
        <v>0</v>
      </c>
      <c r="V46" s="651">
        <f t="shared" si="3"/>
        <v>0</v>
      </c>
      <c r="W46" s="652">
        <f t="shared" si="4"/>
        <v>0</v>
      </c>
    </row>
    <row r="47" spans="3:23" ht="15.75" thickBot="1" x14ac:dyDescent="0.3">
      <c r="C47" s="570"/>
      <c r="D47" s="570"/>
      <c r="E47" s="570"/>
      <c r="F47" s="570"/>
      <c r="G47" s="570"/>
      <c r="H47" s="570"/>
      <c r="I47" s="570"/>
      <c r="J47" s="570"/>
      <c r="K47" s="570"/>
      <c r="L47" s="570"/>
      <c r="M47" s="570"/>
      <c r="N47" s="570"/>
      <c r="P47" s="587"/>
      <c r="Q47" s="23"/>
      <c r="R47" s="18" t="str">
        <f t="shared" si="0"/>
        <v>Intraday</v>
      </c>
      <c r="S47" s="570"/>
      <c r="T47" s="653">
        <f t="shared" si="1"/>
        <v>-0.26715183180941715</v>
      </c>
      <c r="U47" s="654">
        <f t="shared" si="2"/>
        <v>0</v>
      </c>
      <c r="V47" s="655">
        <f t="shared" si="3"/>
        <v>0</v>
      </c>
      <c r="W47" s="656">
        <f t="shared" si="4"/>
        <v>0</v>
      </c>
    </row>
    <row r="48" spans="3:23" ht="15" x14ac:dyDescent="0.25">
      <c r="C48" s="570"/>
      <c r="D48" s="570"/>
      <c r="E48" s="570"/>
      <c r="F48" s="570"/>
      <c r="G48" s="570"/>
      <c r="H48" s="570"/>
      <c r="I48" s="570"/>
      <c r="J48" s="570"/>
      <c r="K48" s="570"/>
      <c r="L48" s="570"/>
      <c r="M48" s="570"/>
      <c r="N48" s="570"/>
      <c r="P48" s="587"/>
      <c r="Q48" s="21" t="str">
        <f>+D15</f>
        <v>Underground Storage</v>
      </c>
      <c r="R48" s="356" t="str">
        <f t="shared" si="0"/>
        <v>Daily</v>
      </c>
      <c r="S48" s="150"/>
      <c r="T48" s="645">
        <f t="shared" si="1"/>
        <v>-1</v>
      </c>
      <c r="U48" s="646" t="str">
        <f t="shared" si="2"/>
        <v>-</v>
      </c>
      <c r="V48" s="647" t="str">
        <f t="shared" si="3"/>
        <v>-</v>
      </c>
      <c r="W48" s="648" t="str">
        <f t="shared" si="4"/>
        <v>-</v>
      </c>
    </row>
    <row r="49" spans="3:23" ht="15.75" thickBot="1" x14ac:dyDescent="0.3">
      <c r="C49" s="570"/>
      <c r="D49" s="570"/>
      <c r="E49" s="570"/>
      <c r="F49" s="570"/>
      <c r="G49" s="570"/>
      <c r="H49" s="570"/>
      <c r="I49" s="570"/>
      <c r="J49" s="570"/>
      <c r="K49" s="570"/>
      <c r="L49" s="570"/>
      <c r="M49" s="570"/>
      <c r="N49" s="570"/>
      <c r="P49" s="588"/>
      <c r="Q49" s="23"/>
      <c r="R49" s="18" t="str">
        <f t="shared" si="0"/>
        <v>Intraday</v>
      </c>
      <c r="S49" s="150"/>
      <c r="T49" s="653">
        <f t="shared" si="1"/>
        <v>-1</v>
      </c>
      <c r="U49" s="654" t="str">
        <f t="shared" si="2"/>
        <v>-</v>
      </c>
      <c r="V49" s="655" t="str">
        <f t="shared" si="3"/>
        <v>-</v>
      </c>
      <c r="W49" s="656" t="str">
        <f t="shared" si="4"/>
        <v>-</v>
      </c>
    </row>
    <row r="50" spans="3:23" ht="15" x14ac:dyDescent="0.25">
      <c r="C50" s="570"/>
      <c r="D50" s="570"/>
      <c r="E50" s="570"/>
      <c r="F50" s="570"/>
      <c r="G50" s="570"/>
      <c r="H50" s="570"/>
      <c r="I50" s="570"/>
      <c r="J50" s="570"/>
      <c r="K50" s="570"/>
      <c r="L50" s="570"/>
      <c r="M50" s="570"/>
      <c r="N50" s="570"/>
      <c r="P50" s="586" t="str">
        <f>+C17</f>
        <v>Exit</v>
      </c>
      <c r="Q50" s="21" t="str">
        <f>+D17</f>
        <v>Interconnection points (VIP)</v>
      </c>
      <c r="R50" s="356" t="str">
        <f t="shared" si="0"/>
        <v>Yearly</v>
      </c>
      <c r="S50" s="574"/>
      <c r="T50" s="645" t="str">
        <f t="shared" si="1"/>
        <v>-</v>
      </c>
      <c r="U50" s="646">
        <f t="shared" si="2"/>
        <v>0</v>
      </c>
      <c r="V50" s="647">
        <f t="shared" si="3"/>
        <v>0</v>
      </c>
      <c r="W50" s="648">
        <f t="shared" si="4"/>
        <v>0</v>
      </c>
    </row>
    <row r="51" spans="3:23" ht="15" x14ac:dyDescent="0.25">
      <c r="C51" s="570"/>
      <c r="D51" s="570"/>
      <c r="E51" s="570"/>
      <c r="F51" s="570"/>
      <c r="G51" s="570"/>
      <c r="H51" s="570"/>
      <c r="I51" s="570"/>
      <c r="J51" s="570"/>
      <c r="K51" s="570"/>
      <c r="L51" s="570"/>
      <c r="M51" s="570"/>
      <c r="N51" s="570"/>
      <c r="P51" s="589"/>
      <c r="Q51" s="22"/>
      <c r="R51" s="15" t="str">
        <f t="shared" si="0"/>
        <v>Quarterly</v>
      </c>
      <c r="S51" s="570"/>
      <c r="T51" s="649" t="str">
        <f t="shared" si="1"/>
        <v>-</v>
      </c>
      <c r="U51" s="650">
        <f t="shared" si="2"/>
        <v>0</v>
      </c>
      <c r="V51" s="651">
        <f t="shared" si="3"/>
        <v>0</v>
      </c>
      <c r="W51" s="652">
        <f t="shared" si="4"/>
        <v>0</v>
      </c>
    </row>
    <row r="52" spans="3:23" ht="15" x14ac:dyDescent="0.25">
      <c r="C52" s="570"/>
      <c r="D52" s="570"/>
      <c r="E52" s="570"/>
      <c r="F52" s="570"/>
      <c r="G52" s="570"/>
      <c r="H52" s="570"/>
      <c r="I52" s="570"/>
      <c r="J52" s="570"/>
      <c r="K52" s="570"/>
      <c r="L52" s="570"/>
      <c r="M52" s="570"/>
      <c r="N52" s="570"/>
      <c r="P52" s="589"/>
      <c r="Q52" s="22"/>
      <c r="R52" s="15" t="str">
        <f t="shared" si="0"/>
        <v>Monthly</v>
      </c>
      <c r="S52" s="150"/>
      <c r="T52" s="649" t="str">
        <f t="shared" si="1"/>
        <v>-</v>
      </c>
      <c r="U52" s="650">
        <f t="shared" si="2"/>
        <v>0</v>
      </c>
      <c r="V52" s="651">
        <f t="shared" si="3"/>
        <v>0</v>
      </c>
      <c r="W52" s="652">
        <f t="shared" si="4"/>
        <v>0</v>
      </c>
    </row>
    <row r="53" spans="3:23" ht="15" x14ac:dyDescent="0.25">
      <c r="C53" s="570"/>
      <c r="D53" s="570"/>
      <c r="E53" s="570"/>
      <c r="F53" s="570"/>
      <c r="G53" s="570"/>
      <c r="H53" s="570"/>
      <c r="I53" s="570"/>
      <c r="J53" s="570"/>
      <c r="K53" s="570"/>
      <c r="L53" s="570"/>
      <c r="M53" s="570"/>
      <c r="N53" s="570"/>
      <c r="P53" s="589"/>
      <c r="Q53" s="22"/>
      <c r="R53" s="15" t="str">
        <f t="shared" si="0"/>
        <v>Daily</v>
      </c>
      <c r="S53" s="150"/>
      <c r="T53" s="649" t="str">
        <f t="shared" si="1"/>
        <v>-</v>
      </c>
      <c r="U53" s="650">
        <f t="shared" si="2"/>
        <v>0</v>
      </c>
      <c r="V53" s="651">
        <f t="shared" si="3"/>
        <v>0</v>
      </c>
      <c r="W53" s="652">
        <f t="shared" si="4"/>
        <v>0</v>
      </c>
    </row>
    <row r="54" spans="3:23" ht="15.75" thickBot="1" x14ac:dyDescent="0.3">
      <c r="C54" s="570"/>
      <c r="D54" s="570"/>
      <c r="E54" s="570"/>
      <c r="F54" s="570"/>
      <c r="G54" s="570"/>
      <c r="H54" s="570"/>
      <c r="I54" s="570"/>
      <c r="J54" s="570"/>
      <c r="K54" s="570"/>
      <c r="L54" s="570"/>
      <c r="M54" s="570"/>
      <c r="N54" s="570"/>
      <c r="P54" s="589"/>
      <c r="Q54" s="23"/>
      <c r="R54" s="18" t="str">
        <f t="shared" si="0"/>
        <v>Intraday</v>
      </c>
      <c r="S54" s="574"/>
      <c r="T54" s="653" t="str">
        <f t="shared" si="1"/>
        <v>-</v>
      </c>
      <c r="U54" s="654">
        <f t="shared" si="2"/>
        <v>0</v>
      </c>
      <c r="V54" s="655">
        <f t="shared" si="3"/>
        <v>0</v>
      </c>
      <c r="W54" s="656">
        <f t="shared" si="4"/>
        <v>0</v>
      </c>
    </row>
    <row r="55" spans="3:23" ht="15" x14ac:dyDescent="0.25">
      <c r="C55" s="570"/>
      <c r="D55" s="570"/>
      <c r="E55" s="570"/>
      <c r="F55" s="570"/>
      <c r="G55" s="570"/>
      <c r="H55" s="570"/>
      <c r="I55" s="570"/>
      <c r="J55" s="570"/>
      <c r="K55" s="570"/>
      <c r="L55" s="570"/>
      <c r="M55" s="570"/>
      <c r="N55" s="570"/>
      <c r="P55" s="589"/>
      <c r="Q55" s="21" t="str">
        <f>+D22</f>
        <v>LNG terminal</v>
      </c>
      <c r="R55" s="356" t="str">
        <f t="shared" si="0"/>
        <v>Yearly</v>
      </c>
      <c r="S55" s="570"/>
      <c r="T55" s="645" t="str">
        <f t="shared" si="1"/>
        <v>-</v>
      </c>
      <c r="U55" s="646" t="str">
        <f t="shared" si="2"/>
        <v>-</v>
      </c>
      <c r="V55" s="647" t="str">
        <f t="shared" si="3"/>
        <v>-</v>
      </c>
      <c r="W55" s="648" t="str">
        <f t="shared" si="4"/>
        <v>-</v>
      </c>
    </row>
    <row r="56" spans="3:23" ht="15" x14ac:dyDescent="0.25">
      <c r="C56" s="570"/>
      <c r="D56" s="570"/>
      <c r="E56" s="570"/>
      <c r="F56" s="570"/>
      <c r="G56" s="570"/>
      <c r="H56" s="570"/>
      <c r="I56" s="570"/>
      <c r="J56" s="570"/>
      <c r="K56" s="570"/>
      <c r="L56" s="570"/>
      <c r="M56" s="570"/>
      <c r="N56" s="570"/>
      <c r="P56" s="589"/>
      <c r="Q56" s="22"/>
      <c r="R56" s="15" t="str">
        <f t="shared" si="0"/>
        <v>Quarterly</v>
      </c>
      <c r="S56" s="150"/>
      <c r="T56" s="649" t="str">
        <f t="shared" si="1"/>
        <v>-</v>
      </c>
      <c r="U56" s="650" t="str">
        <f t="shared" si="2"/>
        <v>-</v>
      </c>
      <c r="V56" s="651" t="str">
        <f t="shared" si="3"/>
        <v>-</v>
      </c>
      <c r="W56" s="652" t="str">
        <f t="shared" si="4"/>
        <v>-</v>
      </c>
    </row>
    <row r="57" spans="3:23" ht="15" x14ac:dyDescent="0.25">
      <c r="C57" s="570"/>
      <c r="D57" s="570"/>
      <c r="E57" s="570"/>
      <c r="F57" s="570"/>
      <c r="G57" s="570"/>
      <c r="H57" s="570"/>
      <c r="I57" s="570"/>
      <c r="J57" s="570"/>
      <c r="K57" s="570"/>
      <c r="L57" s="570"/>
      <c r="M57" s="570"/>
      <c r="N57" s="570"/>
      <c r="P57" s="589"/>
      <c r="Q57" s="22"/>
      <c r="R57" s="15" t="str">
        <f t="shared" si="0"/>
        <v>Monthly</v>
      </c>
      <c r="S57" s="150"/>
      <c r="T57" s="649" t="str">
        <f t="shared" si="1"/>
        <v>-</v>
      </c>
      <c r="U57" s="650" t="str">
        <f t="shared" si="2"/>
        <v>-</v>
      </c>
      <c r="V57" s="651" t="str">
        <f t="shared" si="3"/>
        <v>-</v>
      </c>
      <c r="W57" s="652" t="str">
        <f t="shared" si="4"/>
        <v>-</v>
      </c>
    </row>
    <row r="58" spans="3:23" ht="15" x14ac:dyDescent="0.25">
      <c r="C58" s="570"/>
      <c r="D58" s="570"/>
      <c r="E58" s="570"/>
      <c r="F58" s="570"/>
      <c r="G58" s="570"/>
      <c r="H58" s="570"/>
      <c r="I58" s="570"/>
      <c r="J58" s="570"/>
      <c r="K58" s="570"/>
      <c r="L58" s="570"/>
      <c r="M58" s="570"/>
      <c r="N58" s="570"/>
      <c r="P58" s="589"/>
      <c r="Q58" s="22"/>
      <c r="R58" s="15" t="str">
        <f t="shared" si="0"/>
        <v>Daily</v>
      </c>
      <c r="S58" s="574"/>
      <c r="T58" s="649" t="str">
        <f t="shared" si="1"/>
        <v>-</v>
      </c>
      <c r="U58" s="650" t="str">
        <f t="shared" si="2"/>
        <v>-</v>
      </c>
      <c r="V58" s="651" t="str">
        <f t="shared" si="3"/>
        <v>-</v>
      </c>
      <c r="W58" s="652" t="str">
        <f t="shared" si="4"/>
        <v>-</v>
      </c>
    </row>
    <row r="59" spans="3:23" ht="15.75" thickBot="1" x14ac:dyDescent="0.3">
      <c r="C59" s="570"/>
      <c r="D59" s="570"/>
      <c r="E59" s="570"/>
      <c r="F59" s="570"/>
      <c r="G59" s="570"/>
      <c r="H59" s="570"/>
      <c r="I59" s="570"/>
      <c r="J59" s="570"/>
      <c r="K59" s="570"/>
      <c r="L59" s="570"/>
      <c r="M59" s="570"/>
      <c r="N59" s="570"/>
      <c r="P59" s="589"/>
      <c r="Q59" s="23"/>
      <c r="R59" s="18" t="str">
        <f t="shared" si="0"/>
        <v>Intraday</v>
      </c>
      <c r="S59" s="570"/>
      <c r="T59" s="653" t="str">
        <f t="shared" si="1"/>
        <v>-</v>
      </c>
      <c r="U59" s="654" t="str">
        <f t="shared" si="2"/>
        <v>-</v>
      </c>
      <c r="V59" s="655" t="str">
        <f t="shared" si="3"/>
        <v>-</v>
      </c>
      <c r="W59" s="656" t="str">
        <f t="shared" si="4"/>
        <v>-</v>
      </c>
    </row>
    <row r="60" spans="3:23" ht="15" x14ac:dyDescent="0.25">
      <c r="C60" s="570"/>
      <c r="D60" s="570"/>
      <c r="E60" s="570"/>
      <c r="F60" s="570"/>
      <c r="G60" s="570"/>
      <c r="H60" s="570"/>
      <c r="I60" s="570"/>
      <c r="J60" s="570"/>
      <c r="K60" s="570"/>
      <c r="L60" s="570"/>
      <c r="M60" s="570"/>
      <c r="N60" s="570"/>
      <c r="P60" s="589"/>
      <c r="Q60" s="21" t="str">
        <f>+D27</f>
        <v>Underground Storage</v>
      </c>
      <c r="R60" s="356" t="str">
        <f t="shared" si="0"/>
        <v>Daily</v>
      </c>
      <c r="S60" s="150"/>
      <c r="T60" s="645" t="str">
        <f t="shared" si="1"/>
        <v>-</v>
      </c>
      <c r="U60" s="646" t="str">
        <f t="shared" si="2"/>
        <v>-</v>
      </c>
      <c r="V60" s="647" t="str">
        <f t="shared" si="3"/>
        <v>-</v>
      </c>
      <c r="W60" s="648" t="str">
        <f t="shared" si="4"/>
        <v>-</v>
      </c>
    </row>
    <row r="61" spans="3:23" ht="15.75" thickBot="1" x14ac:dyDescent="0.3">
      <c r="C61" s="570"/>
      <c r="D61" s="570"/>
      <c r="E61" s="570"/>
      <c r="F61" s="570"/>
      <c r="G61" s="570"/>
      <c r="H61" s="570"/>
      <c r="I61" s="570"/>
      <c r="J61" s="570"/>
      <c r="K61" s="570"/>
      <c r="L61" s="570"/>
      <c r="M61" s="570"/>
      <c r="N61" s="570"/>
      <c r="P61" s="589"/>
      <c r="Q61" s="23"/>
      <c r="R61" s="18" t="str">
        <f t="shared" si="0"/>
        <v>Intraday</v>
      </c>
      <c r="S61" s="150"/>
      <c r="T61" s="653" t="str">
        <f t="shared" si="1"/>
        <v>-</v>
      </c>
      <c r="U61" s="654" t="str">
        <f t="shared" si="2"/>
        <v>-</v>
      </c>
      <c r="V61" s="655" t="str">
        <f t="shared" si="3"/>
        <v>-</v>
      </c>
      <c r="W61" s="656" t="str">
        <f t="shared" si="4"/>
        <v>-</v>
      </c>
    </row>
    <row r="62" spans="3:23" ht="15.75" thickBot="1" x14ac:dyDescent="0.3">
      <c r="C62" s="570"/>
      <c r="D62" s="570"/>
      <c r="E62" s="570"/>
      <c r="F62" s="570"/>
      <c r="G62" s="570"/>
      <c r="H62" s="570"/>
      <c r="I62" s="570"/>
      <c r="J62" s="570"/>
      <c r="K62" s="570"/>
      <c r="L62" s="570"/>
      <c r="M62" s="570"/>
      <c r="N62" s="570"/>
      <c r="P62" s="589"/>
      <c r="Q62" s="19" t="str">
        <f>+D29</f>
        <v>Distribution networks and HP Customers</v>
      </c>
      <c r="R62" s="416" t="str">
        <f t="shared" si="0"/>
        <v>Long Uses</v>
      </c>
      <c r="S62" s="574"/>
      <c r="T62" s="657">
        <f t="shared" si="1"/>
        <v>-0.18862559241706167</v>
      </c>
      <c r="U62" s="658">
        <f t="shared" si="2"/>
        <v>0</v>
      </c>
      <c r="V62" s="659">
        <f t="shared" si="3"/>
        <v>0</v>
      </c>
      <c r="W62" s="660">
        <f t="shared" si="4"/>
        <v>0</v>
      </c>
    </row>
    <row r="63" spans="3:23" ht="15" x14ac:dyDescent="0.25">
      <c r="C63" s="570"/>
      <c r="D63" s="570"/>
      <c r="E63" s="570"/>
      <c r="F63" s="570"/>
      <c r="G63" s="570"/>
      <c r="H63" s="570"/>
      <c r="I63" s="570"/>
      <c r="J63" s="570"/>
      <c r="K63" s="570"/>
      <c r="L63" s="570"/>
      <c r="M63" s="570"/>
      <c r="N63" s="570"/>
      <c r="P63" s="589"/>
      <c r="Q63" s="21" t="str">
        <f>+D30</f>
        <v>HP Customers</v>
      </c>
      <c r="R63" s="356" t="str">
        <f t="shared" si="0"/>
        <v>Annual Flexible Rate - Annual Base Capacity</v>
      </c>
      <c r="S63" s="570"/>
      <c r="T63" s="645">
        <f t="shared" si="1"/>
        <v>-0.18862559241706167</v>
      </c>
      <c r="U63" s="646">
        <f t="shared" si="2"/>
        <v>0</v>
      </c>
      <c r="V63" s="647">
        <f t="shared" si="3"/>
        <v>0</v>
      </c>
      <c r="W63" s="648">
        <f t="shared" si="4"/>
        <v>0</v>
      </c>
    </row>
    <row r="64" spans="3:23" ht="15" x14ac:dyDescent="0.25">
      <c r="C64" s="570"/>
      <c r="D64" s="570"/>
      <c r="E64" s="570"/>
      <c r="F64" s="570"/>
      <c r="G64" s="570"/>
      <c r="H64" s="570"/>
      <c r="I64" s="570"/>
      <c r="J64" s="570"/>
      <c r="K64" s="570"/>
      <c r="L64" s="570"/>
      <c r="M64" s="570"/>
      <c r="N64" s="570"/>
      <c r="P64" s="589"/>
      <c r="Q64" s="22"/>
      <c r="R64" s="15" t="str">
        <f t="shared" si="0"/>
        <v>Annual Flexible Rate - Additional Monthly Capacity (April to September)</v>
      </c>
      <c r="S64" s="150"/>
      <c r="T64" s="649">
        <f t="shared" si="1"/>
        <v>-0.18894154818325437</v>
      </c>
      <c r="U64" s="650">
        <f t="shared" si="2"/>
        <v>0</v>
      </c>
      <c r="V64" s="651">
        <f t="shared" si="3"/>
        <v>0</v>
      </c>
      <c r="W64" s="652">
        <f t="shared" si="4"/>
        <v>0</v>
      </c>
    </row>
    <row r="65" spans="3:23" ht="15" x14ac:dyDescent="0.25">
      <c r="C65" s="570"/>
      <c r="D65" s="570"/>
      <c r="E65" s="570"/>
      <c r="F65" s="570"/>
      <c r="G65" s="570"/>
      <c r="H65" s="570"/>
      <c r="I65" s="570"/>
      <c r="J65" s="570"/>
      <c r="K65" s="570"/>
      <c r="L65" s="570"/>
      <c r="M65" s="570"/>
      <c r="N65" s="570"/>
      <c r="P65" s="589"/>
      <c r="Q65" s="22"/>
      <c r="R65" s="15" t="str">
        <f t="shared" si="0"/>
        <v>Flexible Monthly Rate - Monthly Capacity (October to March)</v>
      </c>
      <c r="S65" s="150"/>
      <c r="T65" s="649">
        <f t="shared" si="1"/>
        <v>-0.18865539579712443</v>
      </c>
      <c r="U65" s="650">
        <f t="shared" si="2"/>
        <v>0</v>
      </c>
      <c r="V65" s="651">
        <f t="shared" si="3"/>
        <v>0</v>
      </c>
      <c r="W65" s="652">
        <f t="shared" si="4"/>
        <v>0</v>
      </c>
    </row>
    <row r="66" spans="3:23" ht="15" x14ac:dyDescent="0.25">
      <c r="C66" s="570"/>
      <c r="D66" s="570"/>
      <c r="E66" s="570"/>
      <c r="F66" s="570"/>
      <c r="G66" s="570"/>
      <c r="H66" s="570"/>
      <c r="I66" s="570"/>
      <c r="J66" s="570"/>
      <c r="K66" s="570"/>
      <c r="L66" s="570"/>
      <c r="M66" s="570"/>
      <c r="N66" s="570"/>
      <c r="P66" s="589"/>
      <c r="Q66" s="22"/>
      <c r="R66" s="15" t="str">
        <f t="shared" si="0"/>
        <v>Flexible Monthly Rate - Monthly Capacity (April to September)</v>
      </c>
      <c r="S66" s="574"/>
      <c r="T66" s="649">
        <f t="shared" si="1"/>
        <v>-0.18894154818325437</v>
      </c>
      <c r="U66" s="650">
        <f t="shared" si="2"/>
        <v>0</v>
      </c>
      <c r="V66" s="651">
        <f t="shared" si="3"/>
        <v>0</v>
      </c>
      <c r="W66" s="652">
        <f t="shared" si="4"/>
        <v>0</v>
      </c>
    </row>
    <row r="67" spans="3:23" ht="15" x14ac:dyDescent="0.25">
      <c r="C67" s="570"/>
      <c r="D67" s="570"/>
      <c r="E67" s="570"/>
      <c r="F67" s="570"/>
      <c r="G67" s="570"/>
      <c r="H67" s="570"/>
      <c r="I67" s="570"/>
      <c r="J67" s="570"/>
      <c r="K67" s="570"/>
      <c r="L67" s="570"/>
      <c r="M67" s="570"/>
      <c r="N67" s="570"/>
      <c r="P67" s="589"/>
      <c r="Q67" s="22"/>
      <c r="R67" s="15" t="str">
        <f t="shared" si="0"/>
        <v>Daily Flexible Rate - Daily Capacity (October to March)</v>
      </c>
      <c r="S67" s="570"/>
      <c r="T67" s="649">
        <f t="shared" si="1"/>
        <v>-0.18874721524387361</v>
      </c>
      <c r="U67" s="650">
        <f t="shared" si="2"/>
        <v>0</v>
      </c>
      <c r="V67" s="651">
        <f t="shared" si="3"/>
        <v>0</v>
      </c>
      <c r="W67" s="652">
        <f t="shared" si="4"/>
        <v>0</v>
      </c>
    </row>
    <row r="68" spans="3:23" ht="15.75" thickBot="1" x14ac:dyDescent="0.3">
      <c r="C68" s="570"/>
      <c r="D68" s="570"/>
      <c r="E68" s="570"/>
      <c r="F68" s="570"/>
      <c r="G68" s="570"/>
      <c r="H68" s="570"/>
      <c r="I68" s="570"/>
      <c r="J68" s="570"/>
      <c r="K68" s="570"/>
      <c r="L68" s="570"/>
      <c r="M68" s="570"/>
      <c r="N68" s="570"/>
      <c r="P68" s="590"/>
      <c r="Q68" s="23"/>
      <c r="R68" s="18" t="str">
        <f t="shared" si="0"/>
        <v>Daily Flexible Rate - Daily Capacity (April to September)</v>
      </c>
      <c r="S68" s="150"/>
      <c r="T68" s="653">
        <f t="shared" si="1"/>
        <v>-0.18873439721914997</v>
      </c>
      <c r="U68" s="654">
        <f t="shared" si="2"/>
        <v>0</v>
      </c>
      <c r="V68" s="655">
        <f t="shared" si="3"/>
        <v>0</v>
      </c>
      <c r="W68" s="656">
        <f t="shared" si="4"/>
        <v>0</v>
      </c>
    </row>
    <row r="69" spans="3:23" ht="15" x14ac:dyDescent="0.25">
      <c r="C69" s="570"/>
      <c r="D69" s="570"/>
      <c r="E69" s="570"/>
      <c r="F69" s="570"/>
      <c r="G69" s="570"/>
      <c r="H69" s="570"/>
      <c r="I69" s="570"/>
      <c r="J69" s="570"/>
      <c r="K69" s="570"/>
      <c r="L69" s="570"/>
      <c r="M69" s="570"/>
      <c r="N69" s="570"/>
    </row>
    <row r="70" spans="3:23" ht="15" x14ac:dyDescent="0.25">
      <c r="C70" s="570"/>
      <c r="D70" s="570"/>
      <c r="E70" s="570"/>
      <c r="F70" s="570"/>
      <c r="G70" s="570"/>
      <c r="H70" s="570"/>
      <c r="I70" s="570"/>
      <c r="J70" s="570"/>
      <c r="K70" s="570"/>
      <c r="L70" s="570"/>
      <c r="M70" s="570"/>
      <c r="N70" s="570"/>
    </row>
    <row r="71" spans="3:23" ht="15" x14ac:dyDescent="0.25">
      <c r="C71" s="570"/>
      <c r="D71" s="570"/>
      <c r="E71" s="570"/>
      <c r="F71" s="570"/>
      <c r="G71" s="570"/>
      <c r="H71" s="570"/>
      <c r="I71" s="570"/>
      <c r="J71" s="570"/>
      <c r="K71" s="570"/>
      <c r="L71" s="570"/>
      <c r="M71" s="570"/>
      <c r="N71" s="570"/>
    </row>
    <row r="72" spans="3:23" ht="15" x14ac:dyDescent="0.25">
      <c r="C72" s="570"/>
      <c r="D72" s="570"/>
      <c r="E72" s="570"/>
      <c r="F72" s="570"/>
      <c r="G72" s="570"/>
      <c r="H72" s="570"/>
      <c r="I72" s="570"/>
      <c r="J72" s="570"/>
      <c r="K72" s="570"/>
      <c r="L72" s="570"/>
      <c r="M72" s="570"/>
      <c r="N72" s="570"/>
    </row>
    <row r="73" spans="3:23" ht="15" x14ac:dyDescent="0.25">
      <c r="C73" s="570"/>
      <c r="D73" s="570"/>
      <c r="E73" s="570"/>
      <c r="F73" s="570"/>
      <c r="G73" s="570"/>
      <c r="H73" s="570"/>
      <c r="I73" s="570"/>
      <c r="J73" s="570"/>
      <c r="K73" s="570"/>
      <c r="L73" s="570"/>
      <c r="M73" s="570"/>
      <c r="N73" s="570"/>
    </row>
    <row r="74" spans="3:23" ht="15" x14ac:dyDescent="0.25">
      <c r="C74" s="570"/>
      <c r="D74" s="570"/>
      <c r="E74" s="570"/>
      <c r="F74" s="570"/>
      <c r="G74" s="570"/>
      <c r="H74" s="570"/>
      <c r="I74" s="570"/>
      <c r="J74" s="570"/>
      <c r="K74" s="570"/>
      <c r="L74" s="570"/>
      <c r="M74" s="570"/>
      <c r="N74" s="570"/>
    </row>
    <row r="75" spans="3:23" ht="15" x14ac:dyDescent="0.25">
      <c r="C75" s="570"/>
      <c r="D75" s="570"/>
      <c r="E75" s="570"/>
      <c r="F75" s="570"/>
      <c r="G75" s="570"/>
      <c r="H75" s="570"/>
      <c r="I75" s="570"/>
      <c r="J75" s="570"/>
      <c r="K75" s="570"/>
      <c r="L75" s="570"/>
      <c r="M75" s="570"/>
      <c r="N75" s="570"/>
    </row>
    <row r="76" spans="3:23" ht="15" x14ac:dyDescent="0.25">
      <c r="C76" s="570"/>
      <c r="D76" s="570"/>
      <c r="E76" s="570"/>
      <c r="F76" s="570"/>
      <c r="G76" s="570"/>
      <c r="H76" s="570"/>
      <c r="I76" s="570"/>
      <c r="J76" s="570"/>
      <c r="K76" s="570"/>
      <c r="L76" s="570"/>
      <c r="M76" s="570"/>
      <c r="N76" s="570"/>
    </row>
    <row r="77" spans="3:23" ht="15" x14ac:dyDescent="0.25">
      <c r="C77" s="570"/>
      <c r="D77" s="570"/>
      <c r="E77" s="570"/>
      <c r="F77" s="570"/>
      <c r="G77" s="570"/>
      <c r="H77" s="570"/>
      <c r="I77" s="570"/>
      <c r="J77" s="570"/>
      <c r="K77" s="570"/>
      <c r="L77" s="570"/>
      <c r="M77" s="570"/>
      <c r="N77" s="570"/>
    </row>
    <row r="78" spans="3:23" ht="15" x14ac:dyDescent="0.25">
      <c r="C78" s="570"/>
      <c r="D78" s="570"/>
      <c r="E78" s="570"/>
      <c r="F78" s="570"/>
      <c r="G78" s="570"/>
      <c r="H78" s="570"/>
      <c r="I78" s="570"/>
      <c r="J78" s="570"/>
      <c r="K78" s="570"/>
      <c r="L78" s="570"/>
      <c r="M78" s="570"/>
      <c r="N78" s="570"/>
    </row>
    <row r="79" spans="3:23" ht="15" x14ac:dyDescent="0.25">
      <c r="C79" s="570"/>
      <c r="D79" s="570"/>
      <c r="E79" s="570"/>
      <c r="F79" s="570"/>
      <c r="G79" s="570"/>
      <c r="H79" s="570"/>
      <c r="I79" s="570"/>
      <c r="J79" s="570"/>
      <c r="K79" s="570"/>
      <c r="L79" s="570"/>
      <c r="M79" s="570"/>
      <c r="N79" s="570"/>
    </row>
    <row r="80" spans="3:23" ht="15" x14ac:dyDescent="0.25">
      <c r="C80" s="570"/>
      <c r="D80" s="570"/>
      <c r="E80" s="570"/>
      <c r="F80" s="570"/>
      <c r="G80" s="570"/>
      <c r="H80" s="570"/>
      <c r="I80" s="570"/>
      <c r="J80" s="570"/>
      <c r="K80" s="570"/>
      <c r="L80" s="570"/>
      <c r="M80" s="570"/>
      <c r="N80" s="570"/>
    </row>
    <row r="81" spans="3:14" ht="15" x14ac:dyDescent="0.25">
      <c r="C81" s="570"/>
      <c r="D81" s="570"/>
      <c r="E81" s="570"/>
      <c r="F81" s="570"/>
      <c r="G81" s="570"/>
      <c r="H81" s="570"/>
      <c r="I81" s="570"/>
      <c r="J81" s="570"/>
      <c r="K81" s="570"/>
      <c r="L81" s="570"/>
      <c r="M81" s="570"/>
      <c r="N81" s="570"/>
    </row>
    <row r="82" spans="3:14" ht="0" hidden="1" customHeight="1" x14ac:dyDescent="0.25">
      <c r="E82" s="570"/>
    </row>
    <row r="116" ht="0" hidden="1" customHeight="1" x14ac:dyDescent="0.25"/>
  </sheetData>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25"/>
  </sheetPr>
  <dimension ref="A1:F100"/>
  <sheetViews>
    <sheetView showGridLines="0" topLeftCell="A34" workbookViewId="0">
      <selection activeCell="B22" sqref="B22"/>
    </sheetView>
  </sheetViews>
  <sheetFormatPr defaultColWidth="0" defaultRowHeight="15" x14ac:dyDescent="0.25"/>
  <cols>
    <col min="1" max="1" width="16.140625" customWidth="1"/>
    <col min="2" max="2" width="50.5703125" customWidth="1"/>
    <col min="3" max="3" width="9.140625" customWidth="1"/>
    <col min="4" max="5" width="50.5703125" customWidth="1"/>
    <col min="6" max="6" width="9.140625" customWidth="1"/>
    <col min="7" max="16384" width="9.140625" hidden="1"/>
  </cols>
  <sheetData>
    <row r="1" spans="1:6" x14ac:dyDescent="0.25">
      <c r="B1" s="272" t="s">
        <v>367</v>
      </c>
      <c r="D1" s="272"/>
      <c r="E1" s="272"/>
    </row>
    <row r="2" spans="1:6" ht="15.75" thickBot="1" x14ac:dyDescent="0.3">
      <c r="A2" s="161"/>
      <c r="B2" s="529" t="str">
        <f>+Information!R3</f>
        <v>English</v>
      </c>
      <c r="C2" s="161"/>
      <c r="D2" s="530" t="s">
        <v>364</v>
      </c>
      <c r="E2" s="530" t="s">
        <v>365</v>
      </c>
      <c r="F2" s="161"/>
    </row>
    <row r="3" spans="1:6" x14ac:dyDescent="0.25">
      <c r="A3" s="522" t="s">
        <v>366</v>
      </c>
      <c r="B3" s="528" t="str">
        <f>IF($B$2=$D$2,D3,E3)</f>
        <v>Transmission tariffs for natural gas</v>
      </c>
      <c r="C3" s="524"/>
      <c r="D3" s="525" t="s">
        <v>372</v>
      </c>
      <c r="E3" s="525" t="s">
        <v>373</v>
      </c>
    </row>
    <row r="4" spans="1:6" x14ac:dyDescent="0.25">
      <c r="B4" s="523" t="str">
        <f t="shared" ref="B4:B25" si="0">IF($B$2=$D$2,D4,E4)</f>
        <v>Simplified tariff model</v>
      </c>
      <c r="D4" s="471" t="s">
        <v>352</v>
      </c>
      <c r="E4" s="471" t="s">
        <v>369</v>
      </c>
    </row>
    <row r="5" spans="1:6" ht="60" x14ac:dyDescent="0.25">
      <c r="B5" s="472" t="str">
        <f t="shared" si="0"/>
        <v>This simplified tariff model presents the transmission tariffs for natural gas for the gas year 2019-2020 and allows the estimation of these tariffs until the gas year 2022-2023.</v>
      </c>
      <c r="D5" s="471" t="s">
        <v>401</v>
      </c>
      <c r="E5" s="471" t="s">
        <v>403</v>
      </c>
    </row>
    <row r="6" spans="1:6" ht="30" x14ac:dyDescent="0.25">
      <c r="B6" s="472" t="str">
        <f t="shared" si="0"/>
        <v>All calculated data are for information purposes only.</v>
      </c>
      <c r="D6" s="471" t="s">
        <v>353</v>
      </c>
      <c r="E6" s="471" t="s">
        <v>370</v>
      </c>
    </row>
    <row r="7" spans="1:6" ht="30" x14ac:dyDescent="0.25">
      <c r="B7" s="472" t="str">
        <f t="shared" si="0"/>
        <v>The calculated prices do not include value-added tax (VAT).</v>
      </c>
      <c r="D7" s="471" t="s">
        <v>354</v>
      </c>
      <c r="E7" s="471" t="s">
        <v>374</v>
      </c>
    </row>
    <row r="8" spans="1:6" x14ac:dyDescent="0.25">
      <c r="B8" s="472" t="str">
        <f t="shared" si="0"/>
        <v>Description of the simplified tariff model</v>
      </c>
      <c r="D8" s="471" t="s">
        <v>356</v>
      </c>
      <c r="E8" s="471" t="s">
        <v>371</v>
      </c>
    </row>
    <row r="9" spans="1:6" ht="30" x14ac:dyDescent="0.25">
      <c r="B9" s="472" t="str">
        <f t="shared" si="0"/>
        <v>This model includes two additional worksheets, with the following purposes:</v>
      </c>
      <c r="D9" s="471" t="s">
        <v>357</v>
      </c>
      <c r="E9" s="471" t="s">
        <v>375</v>
      </c>
    </row>
    <row r="10" spans="1:6" x14ac:dyDescent="0.25">
      <c r="B10" s="472" t="str">
        <f t="shared" si="0"/>
        <v xml:space="preserve">Input - </v>
      </c>
      <c r="D10" s="471" t="s">
        <v>358</v>
      </c>
      <c r="E10" s="471" t="s">
        <v>358</v>
      </c>
    </row>
    <row r="11" spans="1:6" x14ac:dyDescent="0.25">
      <c r="B11" s="472" t="str">
        <f t="shared" si="0"/>
        <v xml:space="preserve">Output - </v>
      </c>
      <c r="D11" s="471" t="s">
        <v>359</v>
      </c>
      <c r="E11" s="471" t="s">
        <v>359</v>
      </c>
    </row>
    <row r="12" spans="1:6" ht="45" x14ac:dyDescent="0.25">
      <c r="B12" s="472" t="str">
        <f t="shared" si="0"/>
        <v>This worksheet includes the allowed revenues of the transmission system operator and the forecasted capacity demand.</v>
      </c>
      <c r="D12" s="471" t="s">
        <v>405</v>
      </c>
      <c r="E12" s="471" t="s">
        <v>404</v>
      </c>
    </row>
    <row r="13" spans="1:6" ht="45" x14ac:dyDescent="0.25">
      <c r="B13" s="472" t="str">
        <f t="shared" si="0"/>
        <v>This worksheet computes the transmission tariffs applicable for the use of the transmission system based on the values from the 'Input' worksheet.</v>
      </c>
      <c r="D13" s="471" t="s">
        <v>360</v>
      </c>
      <c r="E13" s="471" t="s">
        <v>376</v>
      </c>
    </row>
    <row r="14" spans="1:6" ht="30" x14ac:dyDescent="0.25">
      <c r="B14" s="472" t="str">
        <f t="shared" si="0"/>
        <v>The values that can be changed by the user are the yellow cells included in the 'Input' worksheet.</v>
      </c>
      <c r="D14" s="471" t="s">
        <v>363</v>
      </c>
      <c r="E14" s="471" t="s">
        <v>377</v>
      </c>
    </row>
    <row r="15" spans="1:6" ht="30" x14ac:dyDescent="0.25">
      <c r="B15" s="472" t="str">
        <f t="shared" si="0"/>
        <v>Color legend</v>
      </c>
      <c r="D15" s="550" t="s">
        <v>411</v>
      </c>
      <c r="E15" s="550" t="s">
        <v>406</v>
      </c>
    </row>
    <row r="16" spans="1:6" ht="30" x14ac:dyDescent="0.25">
      <c r="B16" s="472" t="str">
        <f t="shared" si="0"/>
        <v>Yellow cells in the worksheet 'Input' can be changed by the user.</v>
      </c>
      <c r="D16" s="550" t="s">
        <v>408</v>
      </c>
      <c r="E16" s="550" t="s">
        <v>407</v>
      </c>
    </row>
    <row r="17" spans="1:6" ht="45" x14ac:dyDescent="0.25">
      <c r="B17" s="472" t="str">
        <f t="shared" si="0"/>
        <v>Green cells in the worksheet 'Output' are estimated values based on the values entered in the yellow cells in the 'Input' worksheet.</v>
      </c>
      <c r="D17" s="550" t="s">
        <v>409</v>
      </c>
      <c r="E17" s="550" t="s">
        <v>410</v>
      </c>
    </row>
    <row r="18" spans="1:6" ht="15.75" thickBot="1" x14ac:dyDescent="0.3">
      <c r="A18" s="161"/>
      <c r="B18" s="526" t="str">
        <f t="shared" si="0"/>
        <v>Last update:</v>
      </c>
      <c r="C18" s="161"/>
      <c r="D18" s="527" t="s">
        <v>355</v>
      </c>
      <c r="E18" s="527" t="s">
        <v>368</v>
      </c>
      <c r="F18" s="161"/>
    </row>
    <row r="19" spans="1:6" x14ac:dyDescent="0.25">
      <c r="A19" s="1" t="s">
        <v>318</v>
      </c>
      <c r="B19" s="523" t="str">
        <f t="shared" si="0"/>
        <v>Allowed revenues</v>
      </c>
      <c r="D19" s="525" t="s">
        <v>361</v>
      </c>
      <c r="E19" s="525" t="s">
        <v>395</v>
      </c>
    </row>
    <row r="20" spans="1:6" ht="30" x14ac:dyDescent="0.25">
      <c r="B20" s="472" t="str">
        <f t="shared" si="0"/>
        <v>Allowed revenues of the transmission system operator</v>
      </c>
      <c r="D20" s="471" t="s">
        <v>378</v>
      </c>
      <c r="E20" s="471" t="s">
        <v>396</v>
      </c>
    </row>
    <row r="21" spans="1:6" x14ac:dyDescent="0.25">
      <c r="B21" s="472" t="str">
        <f t="shared" si="0"/>
        <v>Forecasted capacity demand</v>
      </c>
      <c r="D21" s="471" t="s">
        <v>362</v>
      </c>
      <c r="E21" s="471" t="s">
        <v>201</v>
      </c>
    </row>
    <row r="22" spans="1:6" x14ac:dyDescent="0.25">
      <c r="B22" s="472" t="str">
        <f t="shared" si="0"/>
        <v>Point</v>
      </c>
      <c r="D22" s="471" t="s">
        <v>4</v>
      </c>
      <c r="E22" s="471" t="s">
        <v>204</v>
      </c>
    </row>
    <row r="23" spans="1:6" x14ac:dyDescent="0.25">
      <c r="B23" s="472" t="str">
        <f t="shared" si="0"/>
        <v>Product</v>
      </c>
      <c r="D23" s="471" t="s">
        <v>10</v>
      </c>
      <c r="E23" s="471" t="s">
        <v>397</v>
      </c>
    </row>
    <row r="24" spans="1:6" x14ac:dyDescent="0.25">
      <c r="B24" s="472" t="str">
        <f t="shared" si="0"/>
        <v>Entry</v>
      </c>
      <c r="D24" s="471" t="s">
        <v>0</v>
      </c>
      <c r="E24" s="471" t="s">
        <v>159</v>
      </c>
    </row>
    <row r="25" spans="1:6" x14ac:dyDescent="0.25">
      <c r="B25" s="472" t="str">
        <f t="shared" si="0"/>
        <v>Exit</v>
      </c>
      <c r="D25" s="471" t="s">
        <v>22</v>
      </c>
      <c r="E25" s="471" t="s">
        <v>160</v>
      </c>
    </row>
    <row r="26" spans="1:6" x14ac:dyDescent="0.25">
      <c r="B26" s="472" t="str">
        <f t="shared" ref="B26:B49" si="1">IF($B$2=$D$2,D26,E26)</f>
        <v>Interconnection points (VIP)</v>
      </c>
      <c r="D26" s="471" t="s">
        <v>454</v>
      </c>
      <c r="E26" s="471" t="s">
        <v>453</v>
      </c>
    </row>
    <row r="27" spans="1:6" x14ac:dyDescent="0.25">
      <c r="B27" s="472" t="str">
        <f t="shared" si="1"/>
        <v>LNG terminal</v>
      </c>
      <c r="D27" s="471" t="s">
        <v>2</v>
      </c>
      <c r="E27" s="471" t="s">
        <v>383</v>
      </c>
    </row>
    <row r="28" spans="1:6" x14ac:dyDescent="0.25">
      <c r="B28" s="472" t="str">
        <f t="shared" si="1"/>
        <v>Underground Storage</v>
      </c>
      <c r="D28" s="471" t="s">
        <v>380</v>
      </c>
      <c r="E28" s="471" t="s">
        <v>384</v>
      </c>
    </row>
    <row r="29" spans="1:6" x14ac:dyDescent="0.25">
      <c r="B29" s="472" t="str">
        <f t="shared" si="1"/>
        <v>Distribution networks and HP Customers</v>
      </c>
      <c r="D29" s="471" t="s">
        <v>382</v>
      </c>
      <c r="E29" s="471" t="s">
        <v>385</v>
      </c>
    </row>
    <row r="30" spans="1:6" x14ac:dyDescent="0.25">
      <c r="B30" s="472" t="str">
        <f t="shared" si="1"/>
        <v>HP Customers</v>
      </c>
      <c r="D30" s="471" t="s">
        <v>381</v>
      </c>
      <c r="E30" s="471" t="s">
        <v>216</v>
      </c>
    </row>
    <row r="31" spans="1:6" x14ac:dyDescent="0.25">
      <c r="B31" s="472" t="str">
        <f t="shared" si="1"/>
        <v>Yearly</v>
      </c>
      <c r="D31" s="471" t="s">
        <v>386</v>
      </c>
      <c r="E31" s="471" t="s">
        <v>208</v>
      </c>
    </row>
    <row r="32" spans="1:6" x14ac:dyDescent="0.25">
      <c r="B32" s="472" t="str">
        <f t="shared" si="1"/>
        <v>Quarterly</v>
      </c>
      <c r="D32" s="471" t="s">
        <v>12</v>
      </c>
      <c r="E32" s="471" t="s">
        <v>209</v>
      </c>
    </row>
    <row r="33" spans="1:6" x14ac:dyDescent="0.25">
      <c r="B33" s="472" t="str">
        <f t="shared" si="1"/>
        <v>Monthly</v>
      </c>
      <c r="D33" s="471" t="s">
        <v>13</v>
      </c>
      <c r="E33" s="471" t="s">
        <v>210</v>
      </c>
    </row>
    <row r="34" spans="1:6" x14ac:dyDescent="0.25">
      <c r="B34" s="472" t="str">
        <f t="shared" si="1"/>
        <v>Daily</v>
      </c>
      <c r="D34" s="471" t="s">
        <v>14</v>
      </c>
      <c r="E34" s="471" t="s">
        <v>211</v>
      </c>
    </row>
    <row r="35" spans="1:6" x14ac:dyDescent="0.25">
      <c r="B35" s="472" t="str">
        <f t="shared" si="1"/>
        <v>Intraday</v>
      </c>
      <c r="D35" s="471" t="s">
        <v>387</v>
      </c>
      <c r="E35" s="471" t="s">
        <v>213</v>
      </c>
    </row>
    <row r="36" spans="1:6" x14ac:dyDescent="0.25">
      <c r="B36" s="472" t="str">
        <f t="shared" si="1"/>
        <v>Long Uses</v>
      </c>
      <c r="D36" s="471" t="s">
        <v>388</v>
      </c>
      <c r="E36" s="471" t="s">
        <v>214</v>
      </c>
    </row>
    <row r="37" spans="1:6" x14ac:dyDescent="0.25">
      <c r="B37" s="472" t="str">
        <f t="shared" si="1"/>
        <v>Annual Flexible Rate - Annual Base Capacity</v>
      </c>
      <c r="D37" s="471" t="s">
        <v>389</v>
      </c>
      <c r="E37" s="471" t="s">
        <v>217</v>
      </c>
    </row>
    <row r="38" spans="1:6" ht="30" x14ac:dyDescent="0.25">
      <c r="B38" s="472" t="str">
        <f t="shared" si="1"/>
        <v>Annual Flexible Rate - Additional Monthly Capacity (April to September)</v>
      </c>
      <c r="D38" s="471" t="s">
        <v>390</v>
      </c>
      <c r="E38" s="471" t="s">
        <v>218</v>
      </c>
    </row>
    <row r="39" spans="1:6" ht="30" x14ac:dyDescent="0.25">
      <c r="B39" s="472" t="str">
        <f t="shared" si="1"/>
        <v>Flexible Monthly Rate - Monthly Capacity (October to March)</v>
      </c>
      <c r="D39" s="471" t="s">
        <v>391</v>
      </c>
      <c r="E39" s="471" t="s">
        <v>219</v>
      </c>
    </row>
    <row r="40" spans="1:6" ht="30" x14ac:dyDescent="0.25">
      <c r="B40" s="472" t="str">
        <f t="shared" si="1"/>
        <v>Flexible Monthly Rate - Monthly Capacity (April to September)</v>
      </c>
      <c r="D40" s="471" t="s">
        <v>392</v>
      </c>
      <c r="E40" s="471" t="s">
        <v>220</v>
      </c>
    </row>
    <row r="41" spans="1:6" ht="30" x14ac:dyDescent="0.25">
      <c r="B41" s="472" t="str">
        <f t="shared" si="1"/>
        <v>Daily Flexible Rate - Daily Capacity (October to March)</v>
      </c>
      <c r="D41" s="471" t="s">
        <v>393</v>
      </c>
      <c r="E41" s="471" t="s">
        <v>221</v>
      </c>
    </row>
    <row r="42" spans="1:6" ht="30" x14ac:dyDescent="0.25">
      <c r="B42" s="472" t="str">
        <f t="shared" si="1"/>
        <v>Daily Flexible Rate - Daily Capacity (April to September)</v>
      </c>
      <c r="D42" s="471" t="s">
        <v>394</v>
      </c>
      <c r="E42" s="471" t="s">
        <v>222</v>
      </c>
    </row>
    <row r="43" spans="1:6" x14ac:dyDescent="0.25">
      <c r="B43" s="472" t="str">
        <f t="shared" si="1"/>
        <v>Unit</v>
      </c>
      <c r="D43" s="471" t="s">
        <v>5</v>
      </c>
      <c r="E43" s="471" t="s">
        <v>206</v>
      </c>
    </row>
    <row r="44" spans="1:6" x14ac:dyDescent="0.25">
      <c r="B44" s="472" t="str">
        <f t="shared" si="1"/>
        <v>kWh/day</v>
      </c>
      <c r="D44" s="471" t="s">
        <v>3</v>
      </c>
      <c r="E44" s="471" t="s">
        <v>207</v>
      </c>
    </row>
    <row r="45" spans="1:6" x14ac:dyDescent="0.25">
      <c r="B45" s="472" t="str">
        <f t="shared" si="1"/>
        <v>kWh/h</v>
      </c>
      <c r="D45" s="471" t="s">
        <v>25</v>
      </c>
      <c r="E45" s="471" t="s">
        <v>25</v>
      </c>
    </row>
    <row r="46" spans="1:6" ht="15.75" thickBot="1" x14ac:dyDescent="0.3">
      <c r="A46" s="161"/>
      <c r="B46" s="526" t="str">
        <f t="shared" si="1"/>
        <v>Yellow cells can be changed by the user</v>
      </c>
      <c r="C46" s="161"/>
      <c r="D46" s="527" t="s">
        <v>412</v>
      </c>
      <c r="E46" s="527" t="s">
        <v>415</v>
      </c>
      <c r="F46" s="161"/>
    </row>
    <row r="47" spans="1:6" x14ac:dyDescent="0.25">
      <c r="A47" s="1" t="s">
        <v>319</v>
      </c>
      <c r="B47" s="523" t="str">
        <f t="shared" si="1"/>
        <v>Transmission tariffs</v>
      </c>
      <c r="D47" s="525" t="s">
        <v>379</v>
      </c>
      <c r="E47" s="525" t="s">
        <v>400</v>
      </c>
    </row>
    <row r="48" spans="1:6" x14ac:dyDescent="0.25">
      <c r="B48" s="472" t="str">
        <f t="shared" si="1"/>
        <v>€/(kWh/day)/year</v>
      </c>
      <c r="D48" s="471" t="s">
        <v>398</v>
      </c>
      <c r="E48" s="471" t="s">
        <v>273</v>
      </c>
    </row>
    <row r="49" spans="1:5" x14ac:dyDescent="0.25">
      <c r="B49" s="472" t="str">
        <f t="shared" si="1"/>
        <v>€/(kWh/h)/year</v>
      </c>
      <c r="D49" s="471" t="s">
        <v>399</v>
      </c>
      <c r="E49" s="471" t="s">
        <v>274</v>
      </c>
    </row>
    <row r="50" spans="1:5" ht="15.75" thickBot="1" x14ac:dyDescent="0.3">
      <c r="A50" s="161"/>
      <c r="B50" s="526" t="str">
        <f t="shared" ref="B50" si="2">IF($B$2=$D$2,D50,E50)</f>
        <v>Green cells are estimates</v>
      </c>
      <c r="C50" s="161"/>
      <c r="D50" s="527" t="s">
        <v>413</v>
      </c>
      <c r="E50" s="527" t="s">
        <v>414</v>
      </c>
    </row>
    <row r="51" spans="1:5" x14ac:dyDescent="0.25">
      <c r="A51" s="1" t="s">
        <v>417</v>
      </c>
      <c r="B51" s="523" t="str">
        <f t="shared" ref="B51:B100" si="3">IF($B$2=$D$2,D51,E51)</f>
        <v>Interconnection point (Campo Maior)</v>
      </c>
      <c r="D51" s="525" t="s">
        <v>436</v>
      </c>
      <c r="E51" s="525" t="s">
        <v>434</v>
      </c>
    </row>
    <row r="52" spans="1:5" x14ac:dyDescent="0.25">
      <c r="B52" s="472" t="str">
        <f t="shared" si="3"/>
        <v>Interconnection point (Valença do Minho)</v>
      </c>
      <c r="D52" s="471" t="s">
        <v>437</v>
      </c>
      <c r="E52" s="525" t="s">
        <v>435</v>
      </c>
    </row>
    <row r="53" spans="1:5" x14ac:dyDescent="0.25">
      <c r="B53" s="472" t="str">
        <f t="shared" si="3"/>
        <v>LNG terminal</v>
      </c>
      <c r="D53" s="471" t="s">
        <v>2</v>
      </c>
      <c r="E53" s="471" t="s">
        <v>432</v>
      </c>
    </row>
    <row r="54" spans="1:5" x14ac:dyDescent="0.25">
      <c r="B54" s="472" t="str">
        <f t="shared" si="3"/>
        <v>Underground storage</v>
      </c>
      <c r="D54" s="471" t="s">
        <v>9</v>
      </c>
      <c r="E54" s="471" t="s">
        <v>433</v>
      </c>
    </row>
    <row r="55" spans="1:5" x14ac:dyDescent="0.25">
      <c r="B55" s="472" t="str">
        <f t="shared" si="3"/>
        <v>Type</v>
      </c>
      <c r="D55" s="471" t="s">
        <v>438</v>
      </c>
      <c r="E55" s="471" t="s">
        <v>419</v>
      </c>
    </row>
    <row r="56" spans="1:5" x14ac:dyDescent="0.25">
      <c r="B56" s="472" t="str">
        <f t="shared" si="3"/>
        <v>Contracted</v>
      </c>
      <c r="D56" s="471" t="s">
        <v>439</v>
      </c>
      <c r="E56" s="471" t="s">
        <v>420</v>
      </c>
    </row>
    <row r="57" spans="1:5" x14ac:dyDescent="0.25">
      <c r="B57" s="472" t="str">
        <f t="shared" si="3"/>
        <v>Used</v>
      </c>
      <c r="D57" s="471" t="s">
        <v>455</v>
      </c>
      <c r="E57" s="471" t="s">
        <v>421</v>
      </c>
    </row>
    <row r="58" spans="1:5" x14ac:dyDescent="0.25">
      <c r="B58" s="472" t="str">
        <f t="shared" si="3"/>
        <v>Type of point</v>
      </c>
      <c r="D58" s="471" t="s">
        <v>440</v>
      </c>
      <c r="E58" s="471" t="s">
        <v>182</v>
      </c>
    </row>
    <row r="59" spans="1:5" x14ac:dyDescent="0.25">
      <c r="B59" s="472" t="str">
        <f t="shared" si="3"/>
        <v>Campo Maior</v>
      </c>
      <c r="D59" s="471" t="s">
        <v>115</v>
      </c>
      <c r="E59" s="471" t="s">
        <v>115</v>
      </c>
    </row>
    <row r="60" spans="1:5" x14ac:dyDescent="0.25">
      <c r="B60" s="472" t="str">
        <f t="shared" si="3"/>
        <v>Valença do Minho</v>
      </c>
      <c r="D60" s="471" t="s">
        <v>116</v>
      </c>
      <c r="E60" s="471" t="s">
        <v>116</v>
      </c>
    </row>
    <row r="61" spans="1:5" x14ac:dyDescent="0.25">
      <c r="B61" s="472" t="str">
        <f t="shared" si="3"/>
        <v>LNG terminal (Sines)</v>
      </c>
      <c r="D61" s="471" t="s">
        <v>444</v>
      </c>
      <c r="E61" s="471" t="s">
        <v>117</v>
      </c>
    </row>
    <row r="62" spans="1:5" x14ac:dyDescent="0.25">
      <c r="B62" s="472" t="str">
        <f t="shared" si="3"/>
        <v>Underground storage (Carriço)</v>
      </c>
      <c r="D62" s="471" t="s">
        <v>445</v>
      </c>
      <c r="E62" s="471" t="s">
        <v>118</v>
      </c>
    </row>
    <row r="63" spans="1:5" x14ac:dyDescent="0.25">
      <c r="B63" s="472" t="str">
        <f t="shared" si="3"/>
        <v>Lisboagás, Setgás, Carregado, Ribatejo</v>
      </c>
      <c r="D63" s="471" t="s">
        <v>119</v>
      </c>
      <c r="E63" s="471" t="s">
        <v>119</v>
      </c>
    </row>
    <row r="64" spans="1:5" x14ac:dyDescent="0.25">
      <c r="B64" s="472" t="str">
        <f t="shared" si="3"/>
        <v>Portgás, Outeiro power plant</v>
      </c>
      <c r="D64" s="471" t="s">
        <v>446</v>
      </c>
      <c r="E64" s="471" t="s">
        <v>120</v>
      </c>
    </row>
    <row r="65" spans="2:5" ht="30" x14ac:dyDescent="0.25">
      <c r="B65" s="472" t="str">
        <f t="shared" si="3"/>
        <v>Lusitâniagás, Lares power plant, Figueira da Foz power plant</v>
      </c>
      <c r="D65" s="471" t="s">
        <v>447</v>
      </c>
      <c r="E65" s="471" t="s">
        <v>121</v>
      </c>
    </row>
    <row r="66" spans="2:5" x14ac:dyDescent="0.25">
      <c r="B66" s="472" t="str">
        <f t="shared" si="3"/>
        <v>Tagusgás, Pego power plant</v>
      </c>
      <c r="D66" s="471" t="s">
        <v>448</v>
      </c>
      <c r="E66" s="471" t="s">
        <v>122</v>
      </c>
    </row>
    <row r="67" spans="2:5" x14ac:dyDescent="0.25">
      <c r="B67" s="472" t="str">
        <f t="shared" si="3"/>
        <v>Portucel</v>
      </c>
      <c r="D67" s="471" t="s">
        <v>123</v>
      </c>
      <c r="E67" s="471" t="s">
        <v>123</v>
      </c>
    </row>
    <row r="68" spans="2:5" x14ac:dyDescent="0.25">
      <c r="B68" s="472" t="str">
        <f t="shared" si="3"/>
        <v>Sines Refinary, Portucel</v>
      </c>
      <c r="D68" s="471" t="s">
        <v>449</v>
      </c>
      <c r="E68" s="471" t="s">
        <v>124</v>
      </c>
    </row>
    <row r="69" spans="2:5" x14ac:dyDescent="0.25">
      <c r="B69" s="472" t="str">
        <f t="shared" si="3"/>
        <v>Beiragás</v>
      </c>
      <c r="D69" s="471" t="s">
        <v>125</v>
      </c>
      <c r="E69" s="471" t="s">
        <v>125</v>
      </c>
    </row>
    <row r="70" spans="2:5" x14ac:dyDescent="0.25">
      <c r="B70" s="472" t="str">
        <f t="shared" si="3"/>
        <v>Interconnection point</v>
      </c>
      <c r="D70" s="471" t="s">
        <v>441</v>
      </c>
      <c r="E70" s="471" t="s">
        <v>430</v>
      </c>
    </row>
    <row r="71" spans="2:5" x14ac:dyDescent="0.25">
      <c r="B71" s="472" t="str">
        <f t="shared" si="3"/>
        <v>LNG terminal</v>
      </c>
      <c r="D71" s="471" t="s">
        <v>2</v>
      </c>
      <c r="E71" s="471" t="s">
        <v>202</v>
      </c>
    </row>
    <row r="72" spans="2:5" x14ac:dyDescent="0.25">
      <c r="B72" s="472" t="str">
        <f t="shared" si="3"/>
        <v>Storage</v>
      </c>
      <c r="D72" s="471" t="s">
        <v>442</v>
      </c>
      <c r="E72" s="471" t="s">
        <v>167</v>
      </c>
    </row>
    <row r="73" spans="2:5" x14ac:dyDescent="0.25">
      <c r="B73" s="472" t="str">
        <f t="shared" si="3"/>
        <v>Consumption</v>
      </c>
      <c r="D73" s="471" t="s">
        <v>443</v>
      </c>
      <c r="E73" s="471" t="s">
        <v>168</v>
      </c>
    </row>
    <row r="74" spans="2:5" x14ac:dyDescent="0.25">
      <c r="B74" s="472" t="str">
        <f t="shared" si="3"/>
        <v>Technical capacity</v>
      </c>
      <c r="D74" s="471" t="s">
        <v>450</v>
      </c>
      <c r="E74" s="471" t="s">
        <v>224</v>
      </c>
    </row>
    <row r="75" spans="2:5" x14ac:dyDescent="0.25">
      <c r="B75" s="472" t="str">
        <f t="shared" si="3"/>
        <v>Physical flow</v>
      </c>
      <c r="D75" s="471" t="s">
        <v>451</v>
      </c>
      <c r="E75" s="471" t="s">
        <v>422</v>
      </c>
    </row>
    <row r="76" spans="2:5" x14ac:dyDescent="0.25">
      <c r="B76" s="472" t="str">
        <f t="shared" si="3"/>
        <v>Physical utilization factor</v>
      </c>
      <c r="D76" s="471" t="s">
        <v>452</v>
      </c>
      <c r="E76" s="471" t="s">
        <v>300</v>
      </c>
    </row>
    <row r="77" spans="2:5" x14ac:dyDescent="0.25">
      <c r="B77" s="472">
        <f t="shared" si="3"/>
        <v>0</v>
      </c>
      <c r="D77" s="471"/>
      <c r="E77" s="471"/>
    </row>
    <row r="78" spans="2:5" x14ac:dyDescent="0.25">
      <c r="B78" s="472">
        <f t="shared" si="3"/>
        <v>0</v>
      </c>
      <c r="D78" s="471"/>
      <c r="E78" s="471"/>
    </row>
    <row r="79" spans="2:5" x14ac:dyDescent="0.25">
      <c r="B79" s="472">
        <f t="shared" si="3"/>
        <v>0</v>
      </c>
      <c r="D79" s="471"/>
      <c r="E79" s="471"/>
    </row>
    <row r="80" spans="2:5" x14ac:dyDescent="0.25">
      <c r="B80" s="472">
        <f t="shared" si="3"/>
        <v>0</v>
      </c>
      <c r="D80" s="471"/>
      <c r="E80" s="471"/>
    </row>
    <row r="81" spans="2:5" x14ac:dyDescent="0.25">
      <c r="B81" s="472">
        <f t="shared" si="3"/>
        <v>0</v>
      </c>
      <c r="D81" s="471"/>
      <c r="E81" s="471"/>
    </row>
    <row r="82" spans="2:5" x14ac:dyDescent="0.25">
      <c r="B82" s="472">
        <f t="shared" si="3"/>
        <v>0</v>
      </c>
      <c r="D82" s="471"/>
      <c r="E82" s="471"/>
    </row>
    <row r="83" spans="2:5" x14ac:dyDescent="0.25">
      <c r="B83" s="472">
        <f t="shared" si="3"/>
        <v>0</v>
      </c>
      <c r="D83" s="471"/>
      <c r="E83" s="471"/>
    </row>
    <row r="84" spans="2:5" x14ac:dyDescent="0.25">
      <c r="B84" s="472">
        <f t="shared" si="3"/>
        <v>0</v>
      </c>
      <c r="D84" s="471"/>
      <c r="E84" s="471"/>
    </row>
    <row r="85" spans="2:5" x14ac:dyDescent="0.25">
      <c r="B85" s="472">
        <f t="shared" si="3"/>
        <v>0</v>
      </c>
      <c r="D85" s="471"/>
      <c r="E85" s="471"/>
    </row>
    <row r="86" spans="2:5" x14ac:dyDescent="0.25">
      <c r="B86" s="472">
        <f t="shared" si="3"/>
        <v>0</v>
      </c>
      <c r="D86" s="471"/>
      <c r="E86" s="471"/>
    </row>
    <row r="87" spans="2:5" x14ac:dyDescent="0.25">
      <c r="B87" s="472">
        <f t="shared" si="3"/>
        <v>0</v>
      </c>
      <c r="D87" s="471"/>
      <c r="E87" s="471"/>
    </row>
    <row r="88" spans="2:5" x14ac:dyDescent="0.25">
      <c r="B88" s="472">
        <f t="shared" si="3"/>
        <v>0</v>
      </c>
      <c r="D88" s="471"/>
      <c r="E88" s="471"/>
    </row>
    <row r="89" spans="2:5" x14ac:dyDescent="0.25">
      <c r="B89" s="472">
        <f t="shared" si="3"/>
        <v>0</v>
      </c>
      <c r="D89" s="471"/>
      <c r="E89" s="471"/>
    </row>
    <row r="90" spans="2:5" x14ac:dyDescent="0.25">
      <c r="B90" s="472">
        <f t="shared" si="3"/>
        <v>0</v>
      </c>
      <c r="D90" s="471"/>
      <c r="E90" s="471"/>
    </row>
    <row r="91" spans="2:5" x14ac:dyDescent="0.25">
      <c r="B91" s="472">
        <f t="shared" si="3"/>
        <v>0</v>
      </c>
      <c r="D91" s="471"/>
      <c r="E91" s="471"/>
    </row>
    <row r="92" spans="2:5" x14ac:dyDescent="0.25">
      <c r="B92" s="472">
        <f t="shared" si="3"/>
        <v>0</v>
      </c>
      <c r="D92" s="471"/>
      <c r="E92" s="471"/>
    </row>
    <row r="93" spans="2:5" x14ac:dyDescent="0.25">
      <c r="B93" s="472">
        <f t="shared" si="3"/>
        <v>0</v>
      </c>
      <c r="D93" s="471"/>
      <c r="E93" s="471"/>
    </row>
    <row r="94" spans="2:5" x14ac:dyDescent="0.25">
      <c r="B94" s="472">
        <f t="shared" si="3"/>
        <v>0</v>
      </c>
      <c r="D94" s="471"/>
      <c r="E94" s="471"/>
    </row>
    <row r="95" spans="2:5" x14ac:dyDescent="0.25">
      <c r="B95" s="472">
        <f t="shared" si="3"/>
        <v>0</v>
      </c>
      <c r="D95" s="471"/>
      <c r="E95" s="471"/>
    </row>
    <row r="96" spans="2:5" x14ac:dyDescent="0.25">
      <c r="B96" s="472">
        <f t="shared" si="3"/>
        <v>0</v>
      </c>
      <c r="D96" s="471"/>
      <c r="E96" s="471"/>
    </row>
    <row r="97" spans="2:5" x14ac:dyDescent="0.25">
      <c r="B97" s="472">
        <f t="shared" si="3"/>
        <v>0</v>
      </c>
      <c r="D97" s="471"/>
      <c r="E97" s="471"/>
    </row>
    <row r="98" spans="2:5" x14ac:dyDescent="0.25">
      <c r="B98" s="472">
        <f t="shared" si="3"/>
        <v>0</v>
      </c>
      <c r="D98" s="471"/>
      <c r="E98" s="471"/>
    </row>
    <row r="99" spans="2:5" x14ac:dyDescent="0.25">
      <c r="B99" s="472">
        <f t="shared" si="3"/>
        <v>0</v>
      </c>
      <c r="D99" s="471"/>
      <c r="E99" s="471"/>
    </row>
    <row r="100" spans="2:5" x14ac:dyDescent="0.25">
      <c r="B100" s="472">
        <f t="shared" si="3"/>
        <v>0</v>
      </c>
      <c r="D100" s="471"/>
      <c r="E100" s="47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25"/>
  </sheetPr>
  <dimension ref="A1:S60"/>
  <sheetViews>
    <sheetView showGridLines="0" showRowColHeaders="0" zoomScaleNormal="100" workbookViewId="0">
      <selection activeCell="G5" sqref="G5"/>
    </sheetView>
  </sheetViews>
  <sheetFormatPr defaultColWidth="0" defaultRowHeight="15" customHeight="1" zeroHeight="1" x14ac:dyDescent="0.25"/>
  <cols>
    <col min="1" max="2" width="3.7109375" style="418" customWidth="1"/>
    <col min="3" max="3" width="11" style="418" customWidth="1"/>
    <col min="4" max="4" width="37.5703125" style="418" bestFit="1" customWidth="1"/>
    <col min="5" max="5" width="66.42578125" style="418" bestFit="1" customWidth="1"/>
    <col min="6" max="6" width="3.7109375" style="418" customWidth="1"/>
    <col min="7" max="10" width="13.85546875" style="418" customWidth="1"/>
    <col min="11" max="11" width="3.7109375" style="418" customWidth="1"/>
    <col min="12" max="12" width="18.7109375" style="418" customWidth="1"/>
    <col min="13" max="14" width="3.7109375" style="418" customWidth="1"/>
    <col min="15" max="15" width="1.7109375" style="417" customWidth="1"/>
    <col min="16" max="16" width="5.7109375" style="417" customWidth="1"/>
    <col min="17" max="17" width="31.7109375" style="417" customWidth="1"/>
    <col min="18" max="18" width="1.7109375" style="417" customWidth="1"/>
    <col min="19" max="19" width="3.7109375" style="417" customWidth="1"/>
    <col min="20" max="16384" width="9.140625" style="417" hidden="1"/>
  </cols>
  <sheetData>
    <row r="1" spans="1:19" customFormat="1" ht="24.95" customHeight="1" thickBot="1" x14ac:dyDescent="0.3">
      <c r="A1" s="418"/>
      <c r="B1" s="418"/>
      <c r="C1" s="418"/>
      <c r="D1" s="418"/>
      <c r="E1" s="418"/>
      <c r="F1" s="418"/>
      <c r="G1" s="418"/>
      <c r="H1" s="418"/>
      <c r="I1" s="418"/>
      <c r="J1" s="418"/>
      <c r="K1" s="418"/>
      <c r="L1" s="418"/>
      <c r="M1" s="418"/>
      <c r="N1" s="418"/>
      <c r="O1" s="418"/>
      <c r="P1" s="418"/>
      <c r="Q1" s="418"/>
      <c r="R1" s="418"/>
      <c r="S1" s="418"/>
    </row>
    <row r="2" spans="1:19" s="27" customFormat="1" ht="18.75" x14ac:dyDescent="0.3">
      <c r="A2" s="418"/>
      <c r="B2" s="501" t="str">
        <f>+Labels!B47</f>
        <v>Transmission tariffs</v>
      </c>
      <c r="C2" s="490"/>
      <c r="D2" s="490"/>
      <c r="E2" s="490"/>
      <c r="F2" s="490"/>
      <c r="G2" s="490"/>
      <c r="H2" s="490"/>
      <c r="I2" s="490"/>
      <c r="J2" s="490"/>
      <c r="K2" s="490"/>
      <c r="L2" s="490"/>
      <c r="M2" s="491"/>
      <c r="N2" s="418"/>
      <c r="O2" s="462"/>
      <c r="P2" s="470"/>
      <c r="Q2" s="463"/>
      <c r="R2" s="464"/>
      <c r="S2" s="418"/>
    </row>
    <row r="3" spans="1:19" s="27" customFormat="1" ht="15.75" thickBot="1" x14ac:dyDescent="0.3">
      <c r="A3" s="418"/>
      <c r="B3" s="492"/>
      <c r="C3" s="493"/>
      <c r="D3" s="493"/>
      <c r="E3" s="493"/>
      <c r="F3" s="493"/>
      <c r="G3" s="493"/>
      <c r="H3" s="493"/>
      <c r="I3" s="493"/>
      <c r="J3" s="493"/>
      <c r="K3" s="493"/>
      <c r="L3" s="493"/>
      <c r="M3" s="499"/>
      <c r="N3" s="418"/>
      <c r="O3" s="465"/>
      <c r="P3" s="546"/>
      <c r="Q3" s="469" t="str">
        <f>+Labels!B50</f>
        <v>Green cells are estimates</v>
      </c>
      <c r="R3" s="466"/>
      <c r="S3" s="418"/>
    </row>
    <row r="4" spans="1:19" s="27" customFormat="1" ht="15.75" thickBot="1" x14ac:dyDescent="0.3">
      <c r="A4" s="418"/>
      <c r="B4" s="492"/>
      <c r="C4" s="493"/>
      <c r="D4" s="424" t="str">
        <f>+Input!D9</f>
        <v>Point</v>
      </c>
      <c r="E4" s="425" t="str">
        <f>+Input!E9</f>
        <v>Product</v>
      </c>
      <c r="F4" s="493"/>
      <c r="G4" s="426" t="str">
        <f>+Input!G9</f>
        <v>2019-2020</v>
      </c>
      <c r="H4" s="426" t="str">
        <f>+Input!H9</f>
        <v>2020-2021</v>
      </c>
      <c r="I4" s="426" t="str">
        <f>+Input!I9</f>
        <v>2021-2022</v>
      </c>
      <c r="J4" s="426" t="str">
        <f>+Input!J9</f>
        <v>2022-2023</v>
      </c>
      <c r="K4" s="499"/>
      <c r="L4" s="426" t="str">
        <f>+Input!L9</f>
        <v>Unit</v>
      </c>
      <c r="M4" s="499"/>
      <c r="N4" s="418"/>
      <c r="O4" s="467"/>
      <c r="P4" s="461"/>
      <c r="Q4" s="461"/>
      <c r="R4" s="468"/>
      <c r="S4" s="418"/>
    </row>
    <row r="5" spans="1:19" s="27" customFormat="1" x14ac:dyDescent="0.25">
      <c r="A5" s="418"/>
      <c r="B5" s="492"/>
      <c r="C5" s="419" t="str">
        <f>+Input!C10</f>
        <v>Entry</v>
      </c>
      <c r="D5" s="21" t="str">
        <f>+Input!D10</f>
        <v>Interconnection points (VIP)</v>
      </c>
      <c r="E5" s="356" t="str">
        <f>+Input!E10</f>
        <v>Yearly</v>
      </c>
      <c r="F5" s="502"/>
      <c r="G5" s="506">
        <f>ROUND('Reference prices RPM'!AE5,4)</f>
        <v>9.69E-2</v>
      </c>
      <c r="H5" s="534">
        <f>ROUND('Reference prices RPM'!AF5,4)</f>
        <v>9.69E-2</v>
      </c>
      <c r="I5" s="535">
        <f>ROUND('Reference prices RPM'!AG5,4)</f>
        <v>9.69E-2</v>
      </c>
      <c r="J5" s="536">
        <f>ROUND('Reference prices RPM'!AH5,4)</f>
        <v>9.69E-2</v>
      </c>
      <c r="K5" s="503"/>
      <c r="L5" s="414" t="str">
        <f>+Labels!B48</f>
        <v>€/(kWh/day)/year</v>
      </c>
      <c r="M5" s="499"/>
      <c r="N5" s="418"/>
      <c r="O5" s="418"/>
      <c r="P5" s="418"/>
      <c r="Q5" s="418"/>
      <c r="R5" s="418"/>
      <c r="S5" s="418"/>
    </row>
    <row r="6" spans="1:19" s="27" customFormat="1" x14ac:dyDescent="0.25">
      <c r="A6" s="418"/>
      <c r="B6" s="492"/>
      <c r="C6" s="420"/>
      <c r="D6" s="22"/>
      <c r="E6" s="15" t="str">
        <f>+Input!E11</f>
        <v>Quarterly</v>
      </c>
      <c r="F6" s="493"/>
      <c r="G6" s="510">
        <f>ROUND('Reference prices RPM'!AE6,4)</f>
        <v>0.126</v>
      </c>
      <c r="H6" s="537">
        <f>ROUND('Reference prices RPM'!AF6,4)</f>
        <v>0.126</v>
      </c>
      <c r="I6" s="538">
        <f>ROUND('Reference prices RPM'!AG6,4)</f>
        <v>0.126</v>
      </c>
      <c r="J6" s="539">
        <f>ROUND('Reference prices RPM'!AH6,4)</f>
        <v>0.126</v>
      </c>
      <c r="K6" s="493"/>
      <c r="L6" s="47" t="str">
        <f>+$L$5</f>
        <v>€/(kWh/day)/year</v>
      </c>
      <c r="M6" s="499"/>
      <c r="N6" s="418"/>
      <c r="O6" s="418"/>
      <c r="P6" s="418"/>
      <c r="Q6" s="418"/>
      <c r="R6" s="418"/>
      <c r="S6" s="418"/>
    </row>
    <row r="7" spans="1:19" s="27" customFormat="1" x14ac:dyDescent="0.25">
      <c r="A7" s="418"/>
      <c r="B7" s="492"/>
      <c r="C7" s="420"/>
      <c r="D7" s="22"/>
      <c r="E7" s="15" t="str">
        <f>+Input!E12</f>
        <v>Monthly</v>
      </c>
      <c r="F7" s="505"/>
      <c r="G7" s="510">
        <f>ROUND('Reference prices RPM'!AE7,4)</f>
        <v>0.1454</v>
      </c>
      <c r="H7" s="537">
        <f>ROUND('Reference prices RPM'!AF7,4)</f>
        <v>0.1454</v>
      </c>
      <c r="I7" s="538">
        <f>ROUND('Reference prices RPM'!AG7,4)</f>
        <v>0.1454</v>
      </c>
      <c r="J7" s="539">
        <f>ROUND('Reference prices RPM'!AH7,4)</f>
        <v>0.1454</v>
      </c>
      <c r="K7" s="504"/>
      <c r="L7" s="47" t="str">
        <f t="shared" ref="L7:L8" si="0">+$L$5</f>
        <v>€/(kWh/day)/year</v>
      </c>
      <c r="M7" s="499"/>
      <c r="N7" s="418"/>
      <c r="O7" s="418"/>
      <c r="P7" s="418"/>
      <c r="Q7" s="418"/>
      <c r="R7" s="418"/>
      <c r="S7" s="418"/>
    </row>
    <row r="8" spans="1:19" s="27" customFormat="1" x14ac:dyDescent="0.25">
      <c r="A8" s="418"/>
      <c r="B8" s="492"/>
      <c r="C8" s="420"/>
      <c r="D8" s="22"/>
      <c r="E8" s="15" t="str">
        <f>+Input!E13</f>
        <v>Daily</v>
      </c>
      <c r="F8" s="505"/>
      <c r="G8" s="510">
        <f>ROUND('Reference prices RPM'!AE8,4)</f>
        <v>0.1938</v>
      </c>
      <c r="H8" s="537">
        <f>ROUND('Reference prices RPM'!AF8,4)</f>
        <v>0.1938</v>
      </c>
      <c r="I8" s="538">
        <f>ROUND('Reference prices RPM'!AG8,4)</f>
        <v>0.1938</v>
      </c>
      <c r="J8" s="539">
        <f>ROUND('Reference prices RPM'!AH8,4)</f>
        <v>0.1938</v>
      </c>
      <c r="K8" s="505"/>
      <c r="L8" s="47" t="str">
        <f t="shared" si="0"/>
        <v>€/(kWh/day)/year</v>
      </c>
      <c r="M8" s="499"/>
      <c r="N8" s="418"/>
      <c r="O8" s="418"/>
      <c r="P8" s="418"/>
      <c r="Q8" s="418"/>
      <c r="R8" s="418"/>
      <c r="S8" s="418"/>
    </row>
    <row r="9" spans="1:19" s="27" customFormat="1" ht="15.75" thickBot="1" x14ac:dyDescent="0.3">
      <c r="A9" s="418"/>
      <c r="B9" s="492"/>
      <c r="C9" s="420"/>
      <c r="D9" s="23"/>
      <c r="E9" s="18" t="str">
        <f>+Input!E14</f>
        <v>Intraday</v>
      </c>
      <c r="F9" s="502"/>
      <c r="G9" s="514">
        <f>ROUND('Reference prices RPM'!AE9,4)</f>
        <v>5.1167999999999996</v>
      </c>
      <c r="H9" s="540">
        <f>ROUND('Reference prices RPM'!AF9,4)</f>
        <v>5.1167999999999996</v>
      </c>
      <c r="I9" s="541">
        <f>ROUND('Reference prices RPM'!AG9,4)</f>
        <v>5.1167999999999996</v>
      </c>
      <c r="J9" s="542">
        <f>ROUND('Reference prices RPM'!AH9,4)</f>
        <v>5.1167999999999996</v>
      </c>
      <c r="K9" s="503"/>
      <c r="L9" s="48" t="str">
        <f>+Labels!B49</f>
        <v>€/(kWh/h)/year</v>
      </c>
      <c r="M9" s="499"/>
      <c r="N9" s="418"/>
      <c r="O9" s="418"/>
      <c r="P9" s="418"/>
      <c r="Q9" s="418"/>
      <c r="R9" s="418"/>
      <c r="S9" s="418"/>
    </row>
    <row r="10" spans="1:19" s="27" customFormat="1" x14ac:dyDescent="0.25">
      <c r="A10" s="418"/>
      <c r="B10" s="492"/>
      <c r="C10" s="420"/>
      <c r="D10" s="21" t="str">
        <f>+Input!D15</f>
        <v>LNG terminal</v>
      </c>
      <c r="E10" s="356" t="str">
        <f>+Input!E15</f>
        <v>Yearly</v>
      </c>
      <c r="F10" s="493"/>
      <c r="G10" s="506">
        <f>ROUND('Reference prices RPM'!AE10,4)</f>
        <v>8.9300000000000004E-2</v>
      </c>
      <c r="H10" s="534">
        <f>ROUND('Reference prices RPM'!AF10,4)</f>
        <v>8.9300000000000004E-2</v>
      </c>
      <c r="I10" s="535">
        <f>ROUND('Reference prices RPM'!AG10,4)</f>
        <v>8.9300000000000004E-2</v>
      </c>
      <c r="J10" s="536">
        <f>ROUND('Reference prices RPM'!AH10,4)</f>
        <v>8.9300000000000004E-2</v>
      </c>
      <c r="K10" s="493"/>
      <c r="L10" s="414" t="str">
        <f t="shared" ref="L10:L13" si="1">+$L$5</f>
        <v>€/(kWh/day)/year</v>
      </c>
      <c r="M10" s="499"/>
      <c r="N10" s="418"/>
      <c r="O10" s="418"/>
      <c r="P10" s="418"/>
      <c r="Q10" s="418"/>
      <c r="R10" s="418"/>
      <c r="S10" s="418"/>
    </row>
    <row r="11" spans="1:19" s="27" customFormat="1" x14ac:dyDescent="0.25">
      <c r="A11" s="418"/>
      <c r="B11" s="492"/>
      <c r="C11" s="420"/>
      <c r="D11" s="22"/>
      <c r="E11" s="15" t="str">
        <f>+Input!E16</f>
        <v>Quarterly</v>
      </c>
      <c r="F11" s="505"/>
      <c r="G11" s="510">
        <f>ROUND('Reference prices RPM'!AE11,4)</f>
        <v>0.11600000000000001</v>
      </c>
      <c r="H11" s="537">
        <f>ROUND('Reference prices RPM'!AF11,4)</f>
        <v>0.11600000000000001</v>
      </c>
      <c r="I11" s="538">
        <f>ROUND('Reference prices RPM'!AG11,4)</f>
        <v>0.11600000000000001</v>
      </c>
      <c r="J11" s="539">
        <f>ROUND('Reference prices RPM'!AH11,4)</f>
        <v>0.11600000000000001</v>
      </c>
      <c r="K11" s="504"/>
      <c r="L11" s="47" t="str">
        <f t="shared" si="1"/>
        <v>€/(kWh/day)/year</v>
      </c>
      <c r="M11" s="499"/>
      <c r="N11" s="418"/>
      <c r="O11" s="418"/>
      <c r="P11" s="418"/>
      <c r="Q11" s="418"/>
      <c r="R11" s="418"/>
      <c r="S11" s="418"/>
    </row>
    <row r="12" spans="1:19" s="27" customFormat="1" x14ac:dyDescent="0.25">
      <c r="A12" s="418"/>
      <c r="B12" s="492"/>
      <c r="C12" s="420"/>
      <c r="D12" s="22"/>
      <c r="E12" s="15" t="str">
        <f>+Input!E17</f>
        <v>Monthly</v>
      </c>
      <c r="F12" s="505"/>
      <c r="G12" s="510">
        <f>ROUND('Reference prices RPM'!AE12,4)</f>
        <v>0.13389999999999999</v>
      </c>
      <c r="H12" s="537">
        <f>ROUND('Reference prices RPM'!AF12,4)</f>
        <v>0.13389999999999999</v>
      </c>
      <c r="I12" s="538">
        <f>ROUND('Reference prices RPM'!AG12,4)</f>
        <v>0.13389999999999999</v>
      </c>
      <c r="J12" s="539">
        <f>ROUND('Reference prices RPM'!AH12,4)</f>
        <v>0.13389999999999999</v>
      </c>
      <c r="K12" s="505"/>
      <c r="L12" s="47" t="str">
        <f t="shared" si="1"/>
        <v>€/(kWh/day)/year</v>
      </c>
      <c r="M12" s="499"/>
      <c r="N12" s="418"/>
      <c r="O12" s="418"/>
      <c r="P12" s="418"/>
      <c r="Q12" s="418"/>
      <c r="R12" s="418"/>
      <c r="S12" s="418"/>
    </row>
    <row r="13" spans="1:19" s="27" customFormat="1" x14ac:dyDescent="0.25">
      <c r="A13" s="418"/>
      <c r="B13" s="492"/>
      <c r="C13" s="420"/>
      <c r="D13" s="22"/>
      <c r="E13" s="15" t="str">
        <f>+Input!E18</f>
        <v>Daily</v>
      </c>
      <c r="F13" s="502"/>
      <c r="G13" s="510">
        <f>ROUND('Reference prices RPM'!AE13,4)</f>
        <v>0.17849999999999999</v>
      </c>
      <c r="H13" s="537">
        <f>ROUND('Reference prices RPM'!AF13,4)</f>
        <v>0.17849999999999999</v>
      </c>
      <c r="I13" s="538">
        <f>ROUND('Reference prices RPM'!AG13,4)</f>
        <v>0.17849999999999999</v>
      </c>
      <c r="J13" s="539">
        <f>ROUND('Reference prices RPM'!AH13,4)</f>
        <v>0.17849999999999999</v>
      </c>
      <c r="K13" s="503"/>
      <c r="L13" s="47" t="str">
        <f t="shared" si="1"/>
        <v>€/(kWh/day)/year</v>
      </c>
      <c r="M13" s="499"/>
      <c r="N13" s="418"/>
      <c r="O13" s="418"/>
      <c r="P13" s="418"/>
      <c r="Q13" s="418"/>
      <c r="R13" s="418"/>
      <c r="S13" s="418"/>
    </row>
    <row r="14" spans="1:19" s="27" customFormat="1" ht="15.75" thickBot="1" x14ac:dyDescent="0.3">
      <c r="A14" s="418"/>
      <c r="B14" s="492"/>
      <c r="C14" s="420"/>
      <c r="D14" s="23"/>
      <c r="E14" s="18" t="str">
        <f>+Input!E19</f>
        <v>Intraday</v>
      </c>
      <c r="F14" s="493"/>
      <c r="G14" s="514">
        <f>ROUND('Reference prices RPM'!AE14,4)</f>
        <v>4.7127999999999997</v>
      </c>
      <c r="H14" s="540">
        <f>ROUND('Reference prices RPM'!AF14,4)</f>
        <v>4.7127999999999997</v>
      </c>
      <c r="I14" s="541">
        <f>ROUND('Reference prices RPM'!AG14,4)</f>
        <v>4.7127999999999997</v>
      </c>
      <c r="J14" s="542">
        <f>ROUND('Reference prices RPM'!AH14,4)</f>
        <v>4.7127999999999997</v>
      </c>
      <c r="K14" s="493"/>
      <c r="L14" s="48" t="str">
        <f>+$L$9</f>
        <v>€/(kWh/h)/year</v>
      </c>
      <c r="M14" s="499"/>
      <c r="N14" s="418"/>
      <c r="O14" s="418"/>
      <c r="P14" s="418"/>
      <c r="Q14" s="418"/>
      <c r="R14" s="418"/>
      <c r="S14" s="418"/>
    </row>
    <row r="15" spans="1:19" s="27" customFormat="1" x14ac:dyDescent="0.25">
      <c r="A15" s="418"/>
      <c r="B15" s="492"/>
      <c r="C15" s="420"/>
      <c r="D15" s="21" t="str">
        <f>+Input!D20</f>
        <v>Underground Storage</v>
      </c>
      <c r="E15" s="356" t="str">
        <f>+Input!E20</f>
        <v>Daily</v>
      </c>
      <c r="F15" s="505"/>
      <c r="G15" s="506">
        <f>ROUND('Reference prices RPM'!AE15,4)</f>
        <v>0</v>
      </c>
      <c r="H15" s="534">
        <f>ROUND('Reference prices RPM'!AF15,4)</f>
        <v>0</v>
      </c>
      <c r="I15" s="535">
        <f>ROUND('Reference prices RPM'!AG15,4)</f>
        <v>0</v>
      </c>
      <c r="J15" s="536">
        <f>ROUND('Reference prices RPM'!AH15,4)</f>
        <v>0</v>
      </c>
      <c r="K15" s="504"/>
      <c r="L15" s="414" t="str">
        <f>+$L$5</f>
        <v>€/(kWh/day)/year</v>
      </c>
      <c r="M15" s="499"/>
      <c r="N15" s="418"/>
      <c r="O15" s="418"/>
      <c r="P15" s="418"/>
      <c r="Q15" s="418"/>
      <c r="R15" s="418"/>
      <c r="S15" s="418"/>
    </row>
    <row r="16" spans="1:19" s="27" customFormat="1" ht="15.75" thickBot="1" x14ac:dyDescent="0.3">
      <c r="A16" s="418"/>
      <c r="B16" s="492"/>
      <c r="C16" s="421"/>
      <c r="D16" s="23"/>
      <c r="E16" s="18" t="str">
        <f>+Input!E21</f>
        <v>Intraday</v>
      </c>
      <c r="F16" s="505"/>
      <c r="G16" s="514">
        <f>ROUND('Reference prices RPM'!AE16,4)</f>
        <v>0</v>
      </c>
      <c r="H16" s="540">
        <f>ROUND('Reference prices RPM'!AF16,4)</f>
        <v>0</v>
      </c>
      <c r="I16" s="541">
        <f>ROUND('Reference prices RPM'!AG16,4)</f>
        <v>0</v>
      </c>
      <c r="J16" s="542">
        <f>ROUND('Reference prices RPM'!AH16,4)</f>
        <v>0</v>
      </c>
      <c r="K16" s="505"/>
      <c r="L16" s="48" t="str">
        <f>+$L$9</f>
        <v>€/(kWh/h)/year</v>
      </c>
      <c r="M16" s="499"/>
      <c r="N16" s="418"/>
      <c r="O16" s="418"/>
      <c r="P16" s="418"/>
      <c r="Q16" s="418"/>
      <c r="R16" s="418"/>
      <c r="S16" s="418"/>
    </row>
    <row r="17" spans="1:19" s="27" customFormat="1" x14ac:dyDescent="0.25">
      <c r="A17" s="418"/>
      <c r="B17" s="492"/>
      <c r="C17" s="419" t="str">
        <f>+Input!C22</f>
        <v>Exit</v>
      </c>
      <c r="D17" s="21" t="str">
        <f>+Input!D22</f>
        <v>Interconnection points (VIP)</v>
      </c>
      <c r="E17" s="356" t="str">
        <f>+Input!E22</f>
        <v>Yearly</v>
      </c>
      <c r="F17" s="502"/>
      <c r="G17" s="506">
        <f>ROUND('Reference prices RPM'!AE17,4)</f>
        <v>2.1299999999999999E-2</v>
      </c>
      <c r="H17" s="534">
        <f>ROUND('Reference prices RPM'!AF17,4)</f>
        <v>2.1299999999999999E-2</v>
      </c>
      <c r="I17" s="535">
        <f>ROUND('Reference prices RPM'!AG17,4)</f>
        <v>2.1299999999999999E-2</v>
      </c>
      <c r="J17" s="536">
        <f>ROUND('Reference prices RPM'!AH17,4)</f>
        <v>2.1299999999999999E-2</v>
      </c>
      <c r="K17" s="503"/>
      <c r="L17" s="414" t="str">
        <f t="shared" ref="L17:L20" si="2">+$L$5</f>
        <v>€/(kWh/day)/year</v>
      </c>
      <c r="M17" s="499"/>
      <c r="N17" s="418"/>
      <c r="O17" s="418"/>
      <c r="P17" s="418"/>
      <c r="Q17" s="418"/>
      <c r="R17" s="418"/>
      <c r="S17" s="418"/>
    </row>
    <row r="18" spans="1:19" s="27" customFormat="1" x14ac:dyDescent="0.25">
      <c r="A18" s="418"/>
      <c r="B18" s="492"/>
      <c r="C18" s="422"/>
      <c r="D18" s="22"/>
      <c r="E18" s="15" t="str">
        <f>+Input!E23</f>
        <v>Quarterly</v>
      </c>
      <c r="F18" s="493"/>
      <c r="G18" s="510">
        <f>ROUND('Reference prices RPM'!AE18,4)</f>
        <v>2.7699999999999999E-2</v>
      </c>
      <c r="H18" s="537">
        <f>ROUND('Reference prices RPM'!AF18,4)</f>
        <v>2.7699999999999999E-2</v>
      </c>
      <c r="I18" s="538">
        <f>ROUND('Reference prices RPM'!AG18,4)</f>
        <v>2.7699999999999999E-2</v>
      </c>
      <c r="J18" s="539">
        <f>ROUND('Reference prices RPM'!AH18,4)</f>
        <v>2.7699999999999999E-2</v>
      </c>
      <c r="K18" s="493"/>
      <c r="L18" s="47" t="str">
        <f t="shared" si="2"/>
        <v>€/(kWh/day)/year</v>
      </c>
      <c r="M18" s="499"/>
      <c r="N18" s="418"/>
      <c r="O18" s="418"/>
      <c r="P18" s="418"/>
      <c r="Q18" s="418"/>
      <c r="R18" s="418"/>
      <c r="S18" s="418"/>
    </row>
    <row r="19" spans="1:19" s="27" customFormat="1" x14ac:dyDescent="0.25">
      <c r="A19" s="418"/>
      <c r="B19" s="492"/>
      <c r="C19" s="422"/>
      <c r="D19" s="22"/>
      <c r="E19" s="15" t="str">
        <f>+Input!E24</f>
        <v>Monthly</v>
      </c>
      <c r="F19" s="505"/>
      <c r="G19" s="510">
        <f>ROUND('Reference prices RPM'!AE19,4)</f>
        <v>3.1899999999999998E-2</v>
      </c>
      <c r="H19" s="537">
        <f>ROUND('Reference prices RPM'!AF19,4)</f>
        <v>3.1899999999999998E-2</v>
      </c>
      <c r="I19" s="538">
        <f>ROUND('Reference prices RPM'!AG19,4)</f>
        <v>3.1899999999999998E-2</v>
      </c>
      <c r="J19" s="539">
        <f>ROUND('Reference prices RPM'!AH19,4)</f>
        <v>3.1899999999999998E-2</v>
      </c>
      <c r="K19" s="504"/>
      <c r="L19" s="47" t="str">
        <f t="shared" si="2"/>
        <v>€/(kWh/day)/year</v>
      </c>
      <c r="M19" s="499"/>
      <c r="N19" s="418"/>
      <c r="O19" s="418"/>
      <c r="P19" s="418"/>
      <c r="Q19" s="418"/>
      <c r="R19" s="418"/>
      <c r="S19" s="418"/>
    </row>
    <row r="20" spans="1:19" s="27" customFormat="1" x14ac:dyDescent="0.25">
      <c r="A20" s="418"/>
      <c r="B20" s="492"/>
      <c r="C20" s="422"/>
      <c r="D20" s="22"/>
      <c r="E20" s="15" t="str">
        <f>+Input!E25</f>
        <v>Daily</v>
      </c>
      <c r="F20" s="505"/>
      <c r="G20" s="510">
        <f>ROUND('Reference prices RPM'!AE20,4)</f>
        <v>4.2599999999999999E-2</v>
      </c>
      <c r="H20" s="537">
        <f>ROUND('Reference prices RPM'!AF20,4)</f>
        <v>4.2599999999999999E-2</v>
      </c>
      <c r="I20" s="538">
        <f>ROUND('Reference prices RPM'!AG20,4)</f>
        <v>4.2599999999999999E-2</v>
      </c>
      <c r="J20" s="539">
        <f>ROUND('Reference prices RPM'!AH20,4)</f>
        <v>4.2599999999999999E-2</v>
      </c>
      <c r="K20" s="505"/>
      <c r="L20" s="47" t="str">
        <f t="shared" si="2"/>
        <v>€/(kWh/day)/year</v>
      </c>
      <c r="M20" s="499"/>
      <c r="N20" s="418"/>
      <c r="O20" s="418"/>
      <c r="P20" s="418"/>
      <c r="Q20" s="418"/>
      <c r="R20" s="418"/>
      <c r="S20" s="418"/>
    </row>
    <row r="21" spans="1:19" s="27" customFormat="1" ht="15.75" thickBot="1" x14ac:dyDescent="0.3">
      <c r="A21" s="418"/>
      <c r="B21" s="492"/>
      <c r="C21" s="422"/>
      <c r="D21" s="23"/>
      <c r="E21" s="18" t="str">
        <f>+Input!E26</f>
        <v>Intraday</v>
      </c>
      <c r="F21" s="502"/>
      <c r="G21" s="514">
        <f>ROUND('Reference prices RPM'!AE21,4)</f>
        <v>1.1236999999999999</v>
      </c>
      <c r="H21" s="540">
        <f>ROUND('Reference prices RPM'!AF21,4)</f>
        <v>1.1236999999999999</v>
      </c>
      <c r="I21" s="541">
        <f>ROUND('Reference prices RPM'!AG21,4)</f>
        <v>1.1236999999999999</v>
      </c>
      <c r="J21" s="542">
        <f>ROUND('Reference prices RPM'!AH21,4)</f>
        <v>1.1236999999999999</v>
      </c>
      <c r="K21" s="503"/>
      <c r="L21" s="48" t="str">
        <f>+$L$9</f>
        <v>€/(kWh/h)/year</v>
      </c>
      <c r="M21" s="499"/>
      <c r="N21" s="418"/>
      <c r="O21" s="418"/>
      <c r="P21" s="418"/>
      <c r="Q21" s="418"/>
      <c r="R21" s="418"/>
      <c r="S21" s="418"/>
    </row>
    <row r="22" spans="1:19" s="27" customFormat="1" x14ac:dyDescent="0.25">
      <c r="A22" s="418"/>
      <c r="B22" s="492"/>
      <c r="C22" s="422"/>
      <c r="D22" s="21" t="str">
        <f>+Input!D27</f>
        <v>LNG terminal</v>
      </c>
      <c r="E22" s="356" t="str">
        <f>+Input!E27</f>
        <v>Yearly</v>
      </c>
      <c r="F22" s="493"/>
      <c r="G22" s="506">
        <f>ROUND('Reference prices RPM'!AE22,4)</f>
        <v>0</v>
      </c>
      <c r="H22" s="534">
        <f>ROUND('Reference prices RPM'!AF22,4)</f>
        <v>0</v>
      </c>
      <c r="I22" s="535">
        <f>ROUND('Reference prices RPM'!AG22,4)</f>
        <v>0</v>
      </c>
      <c r="J22" s="536">
        <f>ROUND('Reference prices RPM'!AH22,4)</f>
        <v>0</v>
      </c>
      <c r="K22" s="493"/>
      <c r="L22" s="414" t="str">
        <f t="shared" ref="L22:L25" si="3">+$L$5</f>
        <v>€/(kWh/day)/year</v>
      </c>
      <c r="M22" s="499"/>
      <c r="N22" s="418"/>
      <c r="O22" s="418"/>
      <c r="P22" s="418"/>
      <c r="Q22" s="418"/>
      <c r="R22" s="418"/>
      <c r="S22" s="418"/>
    </row>
    <row r="23" spans="1:19" s="27" customFormat="1" x14ac:dyDescent="0.25">
      <c r="A23" s="418"/>
      <c r="B23" s="492"/>
      <c r="C23" s="422"/>
      <c r="D23" s="22"/>
      <c r="E23" s="15" t="str">
        <f>+Input!E28</f>
        <v>Quarterly</v>
      </c>
      <c r="F23" s="505"/>
      <c r="G23" s="510">
        <f>ROUND('Reference prices RPM'!AE23,4)</f>
        <v>0</v>
      </c>
      <c r="H23" s="537">
        <f>ROUND('Reference prices RPM'!AF23,4)</f>
        <v>0</v>
      </c>
      <c r="I23" s="538">
        <f>ROUND('Reference prices RPM'!AG23,4)</f>
        <v>0</v>
      </c>
      <c r="J23" s="539">
        <f>ROUND('Reference prices RPM'!AH23,4)</f>
        <v>0</v>
      </c>
      <c r="K23" s="504"/>
      <c r="L23" s="47" t="str">
        <f t="shared" si="3"/>
        <v>€/(kWh/day)/year</v>
      </c>
      <c r="M23" s="499"/>
      <c r="N23" s="418"/>
      <c r="O23" s="418"/>
      <c r="P23" s="418"/>
      <c r="Q23" s="418"/>
      <c r="R23" s="418"/>
      <c r="S23" s="418"/>
    </row>
    <row r="24" spans="1:19" s="27" customFormat="1" x14ac:dyDescent="0.25">
      <c r="A24" s="418"/>
      <c r="B24" s="492"/>
      <c r="C24" s="422"/>
      <c r="D24" s="22"/>
      <c r="E24" s="15" t="str">
        <f>+Input!E29</f>
        <v>Monthly</v>
      </c>
      <c r="F24" s="505"/>
      <c r="G24" s="510">
        <f>ROUND('Reference prices RPM'!AE24,4)</f>
        <v>0</v>
      </c>
      <c r="H24" s="537">
        <f>ROUND('Reference prices RPM'!AF24,4)</f>
        <v>0</v>
      </c>
      <c r="I24" s="538">
        <f>ROUND('Reference prices RPM'!AG24,4)</f>
        <v>0</v>
      </c>
      <c r="J24" s="539">
        <f>ROUND('Reference prices RPM'!AH24,4)</f>
        <v>0</v>
      </c>
      <c r="K24" s="505"/>
      <c r="L24" s="47" t="str">
        <f t="shared" si="3"/>
        <v>€/(kWh/day)/year</v>
      </c>
      <c r="M24" s="499"/>
      <c r="N24" s="418"/>
      <c r="O24" s="418"/>
      <c r="P24" s="418"/>
      <c r="Q24" s="418"/>
      <c r="R24" s="418"/>
      <c r="S24" s="418"/>
    </row>
    <row r="25" spans="1:19" s="27" customFormat="1" x14ac:dyDescent="0.25">
      <c r="A25" s="418"/>
      <c r="B25" s="492"/>
      <c r="C25" s="422"/>
      <c r="D25" s="22"/>
      <c r="E25" s="15" t="str">
        <f>+Input!E30</f>
        <v>Daily</v>
      </c>
      <c r="F25" s="502"/>
      <c r="G25" s="510">
        <f>ROUND('Reference prices RPM'!AE25,4)</f>
        <v>0</v>
      </c>
      <c r="H25" s="537">
        <f>ROUND('Reference prices RPM'!AF25,4)</f>
        <v>0</v>
      </c>
      <c r="I25" s="538">
        <f>ROUND('Reference prices RPM'!AG25,4)</f>
        <v>0</v>
      </c>
      <c r="J25" s="539">
        <f>ROUND('Reference prices RPM'!AH25,4)</f>
        <v>0</v>
      </c>
      <c r="K25" s="503"/>
      <c r="L25" s="47" t="str">
        <f t="shared" si="3"/>
        <v>€/(kWh/day)/year</v>
      </c>
      <c r="M25" s="499"/>
      <c r="N25" s="418"/>
      <c r="O25" s="418"/>
      <c r="P25" s="418"/>
      <c r="Q25" s="418"/>
      <c r="R25" s="418"/>
      <c r="S25" s="418"/>
    </row>
    <row r="26" spans="1:19" s="27" customFormat="1" ht="15.75" thickBot="1" x14ac:dyDescent="0.3">
      <c r="A26" s="418"/>
      <c r="B26" s="492"/>
      <c r="C26" s="422"/>
      <c r="D26" s="23"/>
      <c r="E26" s="18" t="str">
        <f>+Input!E31</f>
        <v>Intraday</v>
      </c>
      <c r="F26" s="493"/>
      <c r="G26" s="514">
        <f>ROUND('Reference prices RPM'!AE26,4)</f>
        <v>0</v>
      </c>
      <c r="H26" s="540">
        <f>ROUND('Reference prices RPM'!AF26,4)</f>
        <v>0</v>
      </c>
      <c r="I26" s="541">
        <f>ROUND('Reference prices RPM'!AG26,4)</f>
        <v>0</v>
      </c>
      <c r="J26" s="542">
        <f>ROUND('Reference prices RPM'!AH26,4)</f>
        <v>0</v>
      </c>
      <c r="K26" s="493"/>
      <c r="L26" s="48" t="str">
        <f>+$L$9</f>
        <v>€/(kWh/h)/year</v>
      </c>
      <c r="M26" s="499"/>
      <c r="N26" s="418"/>
      <c r="O26" s="418"/>
      <c r="P26" s="418"/>
      <c r="Q26" s="418"/>
      <c r="R26" s="418"/>
      <c r="S26" s="418"/>
    </row>
    <row r="27" spans="1:19" s="27" customFormat="1" x14ac:dyDescent="0.25">
      <c r="A27" s="418"/>
      <c r="B27" s="492"/>
      <c r="C27" s="422"/>
      <c r="D27" s="21" t="str">
        <f>+Input!D32</f>
        <v>Underground Storage</v>
      </c>
      <c r="E27" s="356" t="str">
        <f>+Input!E32</f>
        <v>Daily</v>
      </c>
      <c r="F27" s="505"/>
      <c r="G27" s="506">
        <f>ROUND('Reference prices RPM'!AE27,4)</f>
        <v>0</v>
      </c>
      <c r="H27" s="534">
        <f>ROUND('Reference prices RPM'!AF27,4)</f>
        <v>0</v>
      </c>
      <c r="I27" s="535">
        <f>ROUND('Reference prices RPM'!AG27,4)</f>
        <v>0</v>
      </c>
      <c r="J27" s="536">
        <f>ROUND('Reference prices RPM'!AH27,4)</f>
        <v>0</v>
      </c>
      <c r="K27" s="504"/>
      <c r="L27" s="414" t="str">
        <f>+$L$5</f>
        <v>€/(kWh/day)/year</v>
      </c>
      <c r="M27" s="499"/>
      <c r="N27" s="418"/>
      <c r="O27" s="418"/>
      <c r="P27" s="418"/>
      <c r="Q27" s="418"/>
      <c r="R27" s="418"/>
      <c r="S27" s="418"/>
    </row>
    <row r="28" spans="1:19" s="27" customFormat="1" ht="15.75" thickBot="1" x14ac:dyDescent="0.3">
      <c r="A28" s="418"/>
      <c r="B28" s="492"/>
      <c r="C28" s="422"/>
      <c r="D28" s="23"/>
      <c r="E28" s="18" t="str">
        <f>+Input!E33</f>
        <v>Intraday</v>
      </c>
      <c r="F28" s="505"/>
      <c r="G28" s="514">
        <f>ROUND('Reference prices RPM'!AE28,4)</f>
        <v>0</v>
      </c>
      <c r="H28" s="540">
        <f>ROUND('Reference prices RPM'!AF28,4)</f>
        <v>0</v>
      </c>
      <c r="I28" s="541">
        <f>ROUND('Reference prices RPM'!AG28,4)</f>
        <v>0</v>
      </c>
      <c r="J28" s="542">
        <f>ROUND('Reference prices RPM'!AH28,4)</f>
        <v>0</v>
      </c>
      <c r="K28" s="505"/>
      <c r="L28" s="48" t="str">
        <f>+$L$9</f>
        <v>€/(kWh/h)/year</v>
      </c>
      <c r="M28" s="499"/>
      <c r="N28" s="418"/>
      <c r="O28" s="418"/>
      <c r="P28" s="418"/>
      <c r="Q28" s="418"/>
      <c r="R28" s="418"/>
      <c r="S28" s="418"/>
    </row>
    <row r="29" spans="1:19" s="27" customFormat="1" ht="15.75" thickBot="1" x14ac:dyDescent="0.3">
      <c r="A29" s="418"/>
      <c r="B29" s="492"/>
      <c r="C29" s="422"/>
      <c r="D29" s="19" t="str">
        <f>+Input!D34</f>
        <v>Distribution networks and HP Customers</v>
      </c>
      <c r="E29" s="416" t="str">
        <f>+Input!E34</f>
        <v>Long Uses</v>
      </c>
      <c r="F29" s="502"/>
      <c r="G29" s="518">
        <f>ROUND('Reference prices RPM'!AE29,4)</f>
        <v>0.17119999999999999</v>
      </c>
      <c r="H29" s="543">
        <f>ROUND('Reference prices RPM'!AF29,4)</f>
        <v>0.17119999999999999</v>
      </c>
      <c r="I29" s="544">
        <f>ROUND('Reference prices RPM'!AG29,4)</f>
        <v>0.17119999999999999</v>
      </c>
      <c r="J29" s="545">
        <f>ROUND('Reference prices RPM'!AH29,4)</f>
        <v>0.17119999999999999</v>
      </c>
      <c r="K29" s="503"/>
      <c r="L29" s="415" t="str">
        <f t="shared" ref="L29:L35" si="4">+$L$5</f>
        <v>€/(kWh/day)/year</v>
      </c>
      <c r="M29" s="499"/>
      <c r="N29" s="418"/>
      <c r="O29" s="418"/>
      <c r="P29" s="418"/>
      <c r="Q29" s="418"/>
      <c r="R29" s="418"/>
      <c r="S29" s="418"/>
    </row>
    <row r="30" spans="1:19" s="27" customFormat="1" x14ac:dyDescent="0.25">
      <c r="A30" s="418"/>
      <c r="B30" s="492"/>
      <c r="C30" s="422"/>
      <c r="D30" s="21" t="str">
        <f>+Input!D35</f>
        <v>HP Customers</v>
      </c>
      <c r="E30" s="356" t="str">
        <f>+Input!E35</f>
        <v>Annual Flexible Rate - Annual Base Capacity</v>
      </c>
      <c r="F30" s="493"/>
      <c r="G30" s="506">
        <f>ROUND('Reference prices RPM'!AE30,4)</f>
        <v>0.17119999999999999</v>
      </c>
      <c r="H30" s="534">
        <f>ROUND('Reference prices RPM'!AF30,4)</f>
        <v>0.17119999999999999</v>
      </c>
      <c r="I30" s="535">
        <f>ROUND('Reference prices RPM'!AG30,4)</f>
        <v>0.17119999999999999</v>
      </c>
      <c r="J30" s="536">
        <f>ROUND('Reference prices RPM'!AH30,4)</f>
        <v>0.17119999999999999</v>
      </c>
      <c r="K30" s="493"/>
      <c r="L30" s="49" t="str">
        <f t="shared" si="4"/>
        <v>€/(kWh/day)/year</v>
      </c>
      <c r="M30" s="499"/>
      <c r="N30" s="418"/>
      <c r="O30" s="418"/>
      <c r="P30" s="418"/>
      <c r="Q30" s="418"/>
      <c r="R30" s="418"/>
      <c r="S30" s="418"/>
    </row>
    <row r="31" spans="1:19" s="27" customFormat="1" x14ac:dyDescent="0.25">
      <c r="A31" s="418"/>
      <c r="B31" s="492"/>
      <c r="C31" s="422"/>
      <c r="D31" s="22"/>
      <c r="E31" s="15" t="str">
        <f>+Input!E36</f>
        <v>Annual Flexible Rate - Additional Monthly Capacity (April to September)</v>
      </c>
      <c r="F31" s="505"/>
      <c r="G31" s="510">
        <f>ROUND('Reference prices RPM'!AE31,4)</f>
        <v>0.25669999999999998</v>
      </c>
      <c r="H31" s="537">
        <f>ROUND('Reference prices RPM'!AF31,4)</f>
        <v>0.25669999999999998</v>
      </c>
      <c r="I31" s="538">
        <f>ROUND('Reference prices RPM'!AG31,4)</f>
        <v>0.25669999999999998</v>
      </c>
      <c r="J31" s="539">
        <f>ROUND('Reference prices RPM'!AH31,4)</f>
        <v>0.25669999999999998</v>
      </c>
      <c r="K31" s="504"/>
      <c r="L31" s="47" t="str">
        <f t="shared" si="4"/>
        <v>€/(kWh/day)/year</v>
      </c>
      <c r="M31" s="499"/>
      <c r="N31" s="418"/>
      <c r="O31" s="418"/>
      <c r="P31" s="418"/>
      <c r="Q31" s="418"/>
      <c r="R31" s="418"/>
      <c r="S31" s="418"/>
    </row>
    <row r="32" spans="1:19" s="27" customFormat="1" x14ac:dyDescent="0.25">
      <c r="A32" s="418"/>
      <c r="B32" s="492"/>
      <c r="C32" s="422"/>
      <c r="D32" s="22"/>
      <c r="E32" s="15" t="str">
        <f>+Input!E37</f>
        <v>Flexible Monthly Rate - Monthly Capacity (October to March)</v>
      </c>
      <c r="F32" s="505"/>
      <c r="G32" s="510">
        <f>ROUND('Reference prices RPM'!AE32,4)</f>
        <v>0.51349999999999996</v>
      </c>
      <c r="H32" s="537">
        <f>ROUND('Reference prices RPM'!AF32,4)</f>
        <v>0.51349999999999996</v>
      </c>
      <c r="I32" s="538">
        <f>ROUND('Reference prices RPM'!AG32,4)</f>
        <v>0.51349999999999996</v>
      </c>
      <c r="J32" s="539">
        <f>ROUND('Reference prices RPM'!AH32,4)</f>
        <v>0.51349999999999996</v>
      </c>
      <c r="K32" s="505"/>
      <c r="L32" s="47" t="str">
        <f t="shared" si="4"/>
        <v>€/(kWh/day)/year</v>
      </c>
      <c r="M32" s="499"/>
      <c r="N32" s="418"/>
      <c r="O32" s="418"/>
      <c r="P32" s="418"/>
      <c r="Q32" s="418"/>
      <c r="R32" s="418"/>
      <c r="S32" s="418"/>
    </row>
    <row r="33" spans="1:19" s="27" customFormat="1" x14ac:dyDescent="0.25">
      <c r="A33" s="418"/>
      <c r="B33" s="492"/>
      <c r="C33" s="422"/>
      <c r="D33" s="22"/>
      <c r="E33" s="15" t="str">
        <f>+Input!E38</f>
        <v>Flexible Monthly Rate - Monthly Capacity (April to September)</v>
      </c>
      <c r="F33" s="502"/>
      <c r="G33" s="510">
        <f>ROUND('Reference prices RPM'!AE33,4)</f>
        <v>0.25669999999999998</v>
      </c>
      <c r="H33" s="537">
        <f>ROUND('Reference prices RPM'!AF33,4)</f>
        <v>0.25669999999999998</v>
      </c>
      <c r="I33" s="538">
        <f>ROUND('Reference prices RPM'!AG33,4)</f>
        <v>0.25669999999999998</v>
      </c>
      <c r="J33" s="539">
        <f>ROUND('Reference prices RPM'!AH33,4)</f>
        <v>0.25669999999999998</v>
      </c>
      <c r="K33" s="503"/>
      <c r="L33" s="47" t="str">
        <f t="shared" si="4"/>
        <v>€/(kWh/day)/year</v>
      </c>
      <c r="M33" s="499"/>
      <c r="N33" s="418"/>
      <c r="O33" s="418"/>
      <c r="P33" s="418"/>
      <c r="Q33" s="418"/>
      <c r="R33" s="418"/>
      <c r="S33" s="418"/>
    </row>
    <row r="34" spans="1:19" s="27" customFormat="1" x14ac:dyDescent="0.25">
      <c r="A34" s="418"/>
      <c r="B34" s="492"/>
      <c r="C34" s="422"/>
      <c r="D34" s="22"/>
      <c r="E34" s="15" t="str">
        <f>+Input!E39</f>
        <v>Daily Flexible Rate - Daily Capacity (October to March)</v>
      </c>
      <c r="F34" s="493"/>
      <c r="G34" s="510">
        <f>ROUND('Reference prices RPM'!AE34,4)</f>
        <v>1.7115</v>
      </c>
      <c r="H34" s="537">
        <f>ROUND('Reference prices RPM'!AF34,4)</f>
        <v>1.7115</v>
      </c>
      <c r="I34" s="538">
        <f>ROUND('Reference prices RPM'!AG34,4)</f>
        <v>1.7115</v>
      </c>
      <c r="J34" s="539">
        <f>ROUND('Reference prices RPM'!AH34,4)</f>
        <v>1.7115</v>
      </c>
      <c r="K34" s="493"/>
      <c r="L34" s="47" t="str">
        <f t="shared" si="4"/>
        <v>€/(kWh/day)/year</v>
      </c>
      <c r="M34" s="499"/>
      <c r="N34" s="418"/>
      <c r="O34" s="418"/>
      <c r="P34" s="418"/>
      <c r="Q34" s="418"/>
      <c r="R34" s="418"/>
      <c r="S34" s="418"/>
    </row>
    <row r="35" spans="1:19" s="27" customFormat="1" ht="15.75" thickBot="1" x14ac:dyDescent="0.3">
      <c r="A35" s="418"/>
      <c r="B35" s="492"/>
      <c r="C35" s="423"/>
      <c r="D35" s="23"/>
      <c r="E35" s="18" t="str">
        <f>+Input!E40</f>
        <v>Daily Flexible Rate - Daily Capacity (April to September)</v>
      </c>
      <c r="F35" s="505"/>
      <c r="G35" s="514">
        <f>ROUND('Reference prices RPM'!AE35,4)</f>
        <v>1.0268999999999999</v>
      </c>
      <c r="H35" s="540">
        <f>ROUND('Reference prices RPM'!AF35,4)</f>
        <v>1.0268999999999999</v>
      </c>
      <c r="I35" s="541">
        <f>ROUND('Reference prices RPM'!AG35,4)</f>
        <v>1.0268999999999999</v>
      </c>
      <c r="J35" s="542">
        <f>ROUND('Reference prices RPM'!AH35,4)</f>
        <v>1.0268999999999999</v>
      </c>
      <c r="K35" s="504"/>
      <c r="L35" s="48" t="str">
        <f t="shared" si="4"/>
        <v>€/(kWh/day)/year</v>
      </c>
      <c r="M35" s="499"/>
      <c r="N35" s="418"/>
      <c r="O35" s="418"/>
      <c r="P35" s="418"/>
      <c r="Q35" s="418"/>
      <c r="R35" s="418"/>
      <c r="S35" s="418"/>
    </row>
    <row r="36" spans="1:19" s="27" customFormat="1" ht="15.75" thickBot="1" x14ac:dyDescent="0.3">
      <c r="A36" s="418"/>
      <c r="B36" s="494"/>
      <c r="C36" s="495"/>
      <c r="D36" s="495"/>
      <c r="E36" s="495"/>
      <c r="F36" s="495"/>
      <c r="G36" s="495"/>
      <c r="H36" s="495"/>
      <c r="I36" s="495"/>
      <c r="J36" s="495"/>
      <c r="K36" s="495"/>
      <c r="L36" s="495"/>
      <c r="M36" s="497"/>
      <c r="N36" s="418"/>
      <c r="O36" s="418"/>
      <c r="P36" s="418"/>
      <c r="Q36" s="418"/>
      <c r="R36" s="418"/>
      <c r="S36" s="418"/>
    </row>
    <row r="37" spans="1:19" s="27" customFormat="1" x14ac:dyDescent="0.25">
      <c r="A37" s="418"/>
      <c r="B37" s="418"/>
      <c r="C37" s="418"/>
      <c r="D37" s="418"/>
      <c r="E37" s="418"/>
      <c r="F37" s="418"/>
      <c r="G37" s="418"/>
      <c r="H37" s="418"/>
      <c r="I37" s="418"/>
      <c r="J37" s="418"/>
      <c r="K37" s="418"/>
      <c r="L37" s="418"/>
      <c r="M37" s="418"/>
      <c r="N37" s="418"/>
      <c r="O37" s="418"/>
      <c r="P37" s="418"/>
      <c r="Q37" s="418"/>
      <c r="R37" s="418"/>
      <c r="S37" s="418"/>
    </row>
    <row r="38" spans="1:19" hidden="1" x14ac:dyDescent="0.25"/>
    <row r="39" spans="1:19" hidden="1" x14ac:dyDescent="0.25"/>
    <row r="40" spans="1:19" hidden="1" x14ac:dyDescent="0.25"/>
    <row r="41" spans="1:19" hidden="1" x14ac:dyDescent="0.25"/>
    <row r="42" spans="1:19" hidden="1" x14ac:dyDescent="0.25"/>
    <row r="43" spans="1:19" hidden="1" x14ac:dyDescent="0.25"/>
    <row r="44" spans="1:19" hidden="1" x14ac:dyDescent="0.25"/>
    <row r="45" spans="1:19" hidden="1" x14ac:dyDescent="0.25"/>
    <row r="46" spans="1:19" hidden="1" x14ac:dyDescent="0.25"/>
    <row r="47" spans="1:19" hidden="1" x14ac:dyDescent="0.25"/>
    <row r="48" spans="1:19" hidden="1" x14ac:dyDescent="0.25"/>
    <row r="49" hidden="1" x14ac:dyDescent="0.25"/>
    <row r="50" hidden="1" x14ac:dyDescent="0.25"/>
    <row r="51" hidden="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sheetData>
  <sheetProtection algorithmName="SHA-512" hashValue="QY/THFCxx4Y+lYiPXgW6LJ/J/0YkG7T+1yse02OH7ui6fxeavcCJABsHObbp/zZurDM2mW4xe7A+vFH6JjtjQQ==" saltValue="osjinDn69v5XaPkFKhDAhg==" spinCount="100000" sheet="1" objects="1" scenarios="1"/>
  <pageMargins left="0.7" right="0.7" top="0.75" bottom="0.75" header="0.3" footer="0.3"/>
  <pageSetup paperSize="9" orientation="portrait" r:id="rId1"/>
  <ignoredErrors>
    <ignoredError sqref="G5:J35" unlockedFormula="1"/>
    <ignoredError sqref="L9:L2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B30"/>
  <sheetViews>
    <sheetView showGridLines="0" zoomScale="90" zoomScaleNormal="90" zoomScaleSheetLayoutView="90" workbookViewId="0">
      <selection activeCell="B22" sqref="B22"/>
    </sheetView>
  </sheetViews>
  <sheetFormatPr defaultColWidth="0" defaultRowHeight="15" customHeight="1" zeroHeight="1" x14ac:dyDescent="0.25"/>
  <cols>
    <col min="1" max="1" width="30.140625" customWidth="1"/>
    <col min="2" max="2" width="173.28515625" customWidth="1"/>
    <col min="3" max="16384" width="8.85546875" hidden="1"/>
  </cols>
  <sheetData>
    <row r="1" spans="1:2" x14ac:dyDescent="0.25">
      <c r="A1" s="661" t="s">
        <v>317</v>
      </c>
      <c r="B1" s="661"/>
    </row>
    <row r="2" spans="1:2" x14ac:dyDescent="0.25">
      <c r="B2" s="404" t="s">
        <v>344</v>
      </c>
    </row>
    <row r="3" spans="1:2" ht="222" customHeight="1" x14ac:dyDescent="0.25">
      <c r="A3" s="662" t="s">
        <v>338</v>
      </c>
      <c r="B3" s="662"/>
    </row>
    <row r="4" spans="1:2" x14ac:dyDescent="0.25">
      <c r="A4" s="1" t="s">
        <v>314</v>
      </c>
    </row>
    <row r="5" spans="1:2" x14ac:dyDescent="0.25">
      <c r="A5" s="1"/>
    </row>
    <row r="6" spans="1:2" x14ac:dyDescent="0.25">
      <c r="A6" s="407" t="s">
        <v>315</v>
      </c>
      <c r="B6" s="407" t="s">
        <v>316</v>
      </c>
    </row>
    <row r="7" spans="1:2" ht="30" x14ac:dyDescent="0.25">
      <c r="A7" s="408" t="s">
        <v>318</v>
      </c>
      <c r="B7" s="405" t="s">
        <v>328</v>
      </c>
    </row>
    <row r="8" spans="1:2" x14ac:dyDescent="0.25">
      <c r="A8" s="408" t="s">
        <v>319</v>
      </c>
      <c r="B8" s="405" t="s">
        <v>329</v>
      </c>
    </row>
    <row r="9" spans="1:2" x14ac:dyDescent="0.25">
      <c r="A9" s="408" t="s">
        <v>320</v>
      </c>
      <c r="B9" s="406" t="s">
        <v>330</v>
      </c>
    </row>
    <row r="10" spans="1:2" x14ac:dyDescent="0.25">
      <c r="A10" s="408" t="s">
        <v>309</v>
      </c>
      <c r="B10" s="405" t="s">
        <v>331</v>
      </c>
    </row>
    <row r="11" spans="1:2" ht="30" x14ac:dyDescent="0.25">
      <c r="A11" s="408" t="s">
        <v>321</v>
      </c>
      <c r="B11" s="405" t="s">
        <v>340</v>
      </c>
    </row>
    <row r="12" spans="1:2" ht="45" x14ac:dyDescent="0.25">
      <c r="A12" s="408" t="s">
        <v>322</v>
      </c>
      <c r="B12" s="405" t="s">
        <v>332</v>
      </c>
    </row>
    <row r="13" spans="1:2" ht="30" x14ac:dyDescent="0.25">
      <c r="A13" s="408" t="s">
        <v>323</v>
      </c>
      <c r="B13" s="405" t="s">
        <v>341</v>
      </c>
    </row>
    <row r="14" spans="1:2" x14ac:dyDescent="0.25">
      <c r="A14" s="408" t="s">
        <v>324</v>
      </c>
      <c r="B14" s="405" t="s">
        <v>333</v>
      </c>
    </row>
    <row r="15" spans="1:2" x14ac:dyDescent="0.25">
      <c r="A15" s="408" t="s">
        <v>325</v>
      </c>
      <c r="B15" s="405" t="s">
        <v>342</v>
      </c>
    </row>
    <row r="16" spans="1:2" ht="45" x14ac:dyDescent="0.25">
      <c r="A16" s="409" t="s">
        <v>326</v>
      </c>
      <c r="B16" s="405" t="s">
        <v>343</v>
      </c>
    </row>
    <row r="17" spans="1:2" ht="45" x14ac:dyDescent="0.25">
      <c r="A17" s="409" t="s">
        <v>327</v>
      </c>
      <c r="B17" s="405" t="s">
        <v>339</v>
      </c>
    </row>
    <row r="18" spans="1:2" x14ac:dyDescent="0.25">
      <c r="A18" s="410" t="s">
        <v>310</v>
      </c>
      <c r="B18" s="405" t="s">
        <v>334</v>
      </c>
    </row>
    <row r="19" spans="1:2" x14ac:dyDescent="0.25">
      <c r="A19" s="410" t="s">
        <v>311</v>
      </c>
      <c r="B19" s="405" t="s">
        <v>335</v>
      </c>
    </row>
    <row r="20" spans="1:2" x14ac:dyDescent="0.25">
      <c r="A20" s="410" t="s">
        <v>312</v>
      </c>
      <c r="B20" s="405" t="s">
        <v>336</v>
      </c>
    </row>
    <row r="21" spans="1:2" x14ac:dyDescent="0.25">
      <c r="A21" s="410" t="s">
        <v>313</v>
      </c>
      <c r="B21" s="405" t="s">
        <v>337</v>
      </c>
    </row>
    <row r="22" spans="1:2" ht="15" customHeight="1" x14ac:dyDescent="0.25"/>
    <row r="23" spans="1:2" ht="15" hidden="1" customHeight="1" x14ac:dyDescent="0.25"/>
    <row r="24" spans="1:2" ht="15" hidden="1" customHeight="1" x14ac:dyDescent="0.25"/>
    <row r="25" spans="1:2" ht="15" hidden="1" customHeight="1" x14ac:dyDescent="0.25"/>
    <row r="26" spans="1:2" ht="15" hidden="1" customHeight="1" x14ac:dyDescent="0.25"/>
    <row r="27" spans="1:2" ht="15" hidden="1" customHeight="1" x14ac:dyDescent="0.25"/>
    <row r="28" spans="1:2" ht="15" hidden="1" customHeight="1" x14ac:dyDescent="0.25"/>
    <row r="29" spans="1:2" ht="15" hidden="1" customHeight="1" x14ac:dyDescent="0.25"/>
    <row r="30" spans="1:2" ht="15" hidden="1" customHeight="1" x14ac:dyDescent="0.25"/>
  </sheetData>
  <mergeCells count="2">
    <mergeCell ref="A1:B1"/>
    <mergeCell ref="A3:B3"/>
  </mergeCells>
  <hyperlinks>
    <hyperlink ref="A7" location="Input!A1" display="Input"/>
    <hyperlink ref="A8" location="Output!A1" display="Output"/>
    <hyperlink ref="A9" location="'RPM inputs'!A1" display="RPM inputs"/>
    <hyperlink ref="A10" location="RPM!A1" display="RPM"/>
    <hyperlink ref="A11" location="'Pre-scaling RPM'!A1" display="Pre-scaling RPM"/>
    <hyperlink ref="A12" location="'Reference prices RPM'!A1" display="Reference prices RPM"/>
    <hyperlink ref="A13" location="CWDvsRPM!A1" display="CWDvsRPM"/>
    <hyperlink ref="A14" location="'Tariff Evolution'!A1" display="Tariff Evolution"/>
    <hyperlink ref="A15" location="CAA!A1" display="CAA"/>
    <hyperlink ref="A16" location="CWD!A1" display="CWD!A1"/>
    <hyperlink ref="A17" location="'CWD 28-72'!A1" display="'CWD 28-72'!A1"/>
    <hyperlink ref="A18" location="Data_a!A1" display="Data_a"/>
    <hyperlink ref="A19" location="Data_b!A1" display="Data_b"/>
    <hyperlink ref="A20" location="Data_c!A1" display="Data_c"/>
    <hyperlink ref="A21" location="Data_d!A1" display="Data_d"/>
  </hyperlinks>
  <pageMargins left="0.7" right="0.7" top="0.75" bottom="0.75" header="0.3" footer="0.3"/>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K32"/>
  <sheetViews>
    <sheetView showGridLines="0" workbookViewId="0">
      <selection activeCell="B22" sqref="B22"/>
    </sheetView>
  </sheetViews>
  <sheetFormatPr defaultColWidth="0" defaultRowHeight="15" zeroHeight="1" x14ac:dyDescent="0.25"/>
  <cols>
    <col min="1" max="2" width="9.140625" customWidth="1"/>
    <col min="3" max="3" width="4.140625" customWidth="1"/>
    <col min="4" max="4" width="46.42578125" bestFit="1" customWidth="1"/>
    <col min="5" max="5" width="31.42578125" bestFit="1" customWidth="1"/>
    <col min="6" max="6" width="24.28515625" bestFit="1" customWidth="1"/>
    <col min="7" max="7" width="9.140625" customWidth="1"/>
    <col min="8" max="9" width="21.140625" bestFit="1" customWidth="1"/>
    <col min="10" max="11" width="9.140625" customWidth="1"/>
    <col min="12" max="16384" width="9.140625" hidden="1"/>
  </cols>
  <sheetData>
    <row r="1" spans="2:9" ht="15.75" thickBot="1" x14ac:dyDescent="0.3"/>
    <row r="2" spans="2:9" ht="15.75" thickBot="1" x14ac:dyDescent="0.3">
      <c r="E2" s="132" t="s">
        <v>304</v>
      </c>
      <c r="F2" s="132" t="s">
        <v>300</v>
      </c>
      <c r="H2" s="132" t="s">
        <v>223</v>
      </c>
      <c r="I2" s="132" t="s">
        <v>224</v>
      </c>
    </row>
    <row r="3" spans="2:9" ht="15.75" thickBot="1" x14ac:dyDescent="0.3">
      <c r="E3" s="131" t="s">
        <v>207</v>
      </c>
      <c r="F3" s="131" t="s">
        <v>28</v>
      </c>
      <c r="H3" s="131" t="s">
        <v>207</v>
      </c>
      <c r="I3" s="131" t="s">
        <v>207</v>
      </c>
    </row>
    <row r="4" spans="2:9" x14ac:dyDescent="0.25">
      <c r="B4" s="5" t="s">
        <v>159</v>
      </c>
      <c r="C4" s="128" t="s">
        <v>30</v>
      </c>
      <c r="D4" s="88" t="s">
        <v>115</v>
      </c>
      <c r="E4" s="181">
        <f>+SUM(Data_a!G6:G10)*I4/($I$4+$I$5)</f>
        <v>74364888.60000585</v>
      </c>
      <c r="F4" s="173">
        <f>SUM($H$4:$H$5)/SUM($I$4:$I$5)</f>
        <v>0.90419775503312938</v>
      </c>
      <c r="H4" s="167">
        <f>Data_a!$Q$40*I4/($I$4+$I$5)</f>
        <v>121162499.17443934</v>
      </c>
      <c r="I4" s="168">
        <f>+Data_a!V51</f>
        <v>134000000</v>
      </c>
    </row>
    <row r="5" spans="2:9" x14ac:dyDescent="0.25">
      <c r="B5" s="6"/>
      <c r="C5" s="129" t="s">
        <v>31</v>
      </c>
      <c r="D5" s="89" t="s">
        <v>116</v>
      </c>
      <c r="E5" s="182">
        <f>SUM(Data_a!G6:G10)*I5/($I$4+$I$5)</f>
        <v>5549618.552239242</v>
      </c>
      <c r="F5" s="174">
        <f>SUM($H$4:$H$5)/SUM($I$4:$I$5)</f>
        <v>0.90419775503312938</v>
      </c>
      <c r="H5" s="169">
        <f>Data_a!$Q$40*I5/($I$4+$I$5)</f>
        <v>9041977.5503312927</v>
      </c>
      <c r="I5" s="170">
        <f>+Data_a!V52</f>
        <v>10000000</v>
      </c>
    </row>
    <row r="6" spans="2:9" x14ac:dyDescent="0.25">
      <c r="B6" s="6"/>
      <c r="C6" s="129" t="s">
        <v>32</v>
      </c>
      <c r="D6" s="89" t="s">
        <v>117</v>
      </c>
      <c r="E6" s="182">
        <f>+SUM(Data_a!G11:G15)</f>
        <v>115905087.64993787</v>
      </c>
      <c r="F6" s="174">
        <f>+H6/I6</f>
        <v>0.8940959594036697</v>
      </c>
      <c r="H6" s="169">
        <f>Data_a!$Q$41</f>
        <v>178819191.88073394</v>
      </c>
      <c r="I6" s="170">
        <f>+Data_a!V53</f>
        <v>200000000</v>
      </c>
    </row>
    <row r="7" spans="2:9" ht="15.75" thickBot="1" x14ac:dyDescent="0.3">
      <c r="B7" s="7"/>
      <c r="C7" s="130" t="s">
        <v>33</v>
      </c>
      <c r="D7" s="90" t="s">
        <v>118</v>
      </c>
      <c r="E7" s="183">
        <f>+SUM(Data_a!G16:G17)</f>
        <v>8631715.4602739699</v>
      </c>
      <c r="F7" s="175">
        <f>+H7/I7</f>
        <v>0.49262302658066282</v>
      </c>
      <c r="H7" s="171">
        <f>Data_a!$Q$42</f>
        <v>42207940.917431191</v>
      </c>
      <c r="I7" s="172">
        <f>+Data_a!V54</f>
        <v>85680000</v>
      </c>
    </row>
    <row r="8" spans="2:9" x14ac:dyDescent="0.25">
      <c r="B8" s="5" t="s">
        <v>160</v>
      </c>
      <c r="C8" s="128" t="s">
        <v>30</v>
      </c>
      <c r="D8" s="88" t="s">
        <v>115</v>
      </c>
      <c r="E8" s="181">
        <f>+SUM(Data_a!G18:G22)*I8/($I$8+$I$9)</f>
        <v>280977.50819672126</v>
      </c>
      <c r="F8" s="173">
        <f>SUM($H$8:$H$9)/SUM($I$8:$I$9)</f>
        <v>6.6988626720183478E-2</v>
      </c>
      <c r="H8" s="167">
        <f>Data_a!$Q$43*I8/($I$8+$I$9)</f>
        <v>3684374.4696100913</v>
      </c>
      <c r="I8" s="168">
        <f>+Data_a!V55</f>
        <v>55000000</v>
      </c>
    </row>
    <row r="9" spans="2:9" x14ac:dyDescent="0.25">
      <c r="B9" s="3"/>
      <c r="C9" s="129" t="s">
        <v>31</v>
      </c>
      <c r="D9" s="89" t="s">
        <v>116</v>
      </c>
      <c r="E9" s="182">
        <f>+SUM(Data_a!G18:G22)*I9/($I$8+$I$9)</f>
        <v>127717.04918032786</v>
      </c>
      <c r="F9" s="174">
        <f>SUM($H$8:$H$9)/SUM($I$8:$I$9)</f>
        <v>6.6988626720183478E-2</v>
      </c>
      <c r="H9" s="169">
        <f>Data_a!$Q$43*I9/($I$8+$I$9)</f>
        <v>1674715.6680045871</v>
      </c>
      <c r="I9" s="170">
        <f>+Data_a!V56</f>
        <v>25000000</v>
      </c>
    </row>
    <row r="10" spans="2:9" x14ac:dyDescent="0.25">
      <c r="B10" s="3"/>
      <c r="C10" s="129" t="s">
        <v>32</v>
      </c>
      <c r="D10" s="89" t="s">
        <v>117</v>
      </c>
      <c r="E10" s="182">
        <f>+SUM(Data_a!G23:G27)</f>
        <v>0</v>
      </c>
      <c r="F10" s="174">
        <f t="shared" ref="F10:F18" si="0">+H10/I10</f>
        <v>0</v>
      </c>
      <c r="H10" s="169">
        <f>Data_a!$Q$44</f>
        <v>0</v>
      </c>
      <c r="I10" s="170">
        <f>+Data_a!V57</f>
        <v>5000000</v>
      </c>
    </row>
    <row r="11" spans="2:9" x14ac:dyDescent="0.25">
      <c r="B11" s="3"/>
      <c r="C11" s="129" t="s">
        <v>33</v>
      </c>
      <c r="D11" s="89" t="s">
        <v>118</v>
      </c>
      <c r="E11" s="182">
        <f>SUM(Data_a!G28:G29)</f>
        <v>8631715.4602739699</v>
      </c>
      <c r="F11" s="174">
        <f t="shared" si="0"/>
        <v>0.28108548364299851</v>
      </c>
      <c r="H11" s="169">
        <f>Data_a!$Q$45</f>
        <v>24083404.238532111</v>
      </c>
      <c r="I11" s="170">
        <f>+Data_a!V58</f>
        <v>85680000</v>
      </c>
    </row>
    <row r="12" spans="2:9" x14ac:dyDescent="0.25">
      <c r="B12" s="3"/>
      <c r="C12" s="129" t="s">
        <v>34</v>
      </c>
      <c r="D12" s="89" t="s">
        <v>119</v>
      </c>
      <c r="E12" s="182">
        <f>(Data_a!$G$30+Data_a!$G$31+Data_a!$G$33/2+Data_a!$G$34/2)*Data_a!Z64/Data_a!$Z$71</f>
        <v>63163802.957976975</v>
      </c>
      <c r="F12" s="174">
        <f>+H12/I12</f>
        <v>0.58863487865516284</v>
      </c>
      <c r="H12" s="169">
        <f>Data_a!$Q$46*Data_a!Z64/Data_a!$Z$71</f>
        <v>58579524.505568646</v>
      </c>
      <c r="I12" s="170">
        <f>(Data_a!$V$59+Data_a!$V$60)*Data_a!Z64/Data_a!$Z$71</f>
        <v>99517589.986178875</v>
      </c>
    </row>
    <row r="13" spans="2:9" x14ac:dyDescent="0.25">
      <c r="B13" s="3"/>
      <c r="C13" s="129" t="s">
        <v>35</v>
      </c>
      <c r="D13" s="89" t="s">
        <v>120</v>
      </c>
      <c r="E13" s="182">
        <f>(Data_a!$G$30+Data_a!$G$31+Data_a!$G$33/2+Data_a!$G$34/2)*Data_a!Z65/Data_a!$Z$71</f>
        <v>75549719.636263147</v>
      </c>
      <c r="F13" s="174">
        <f t="shared" si="0"/>
        <v>0.58863487865516284</v>
      </c>
      <c r="H13" s="169">
        <f>Data_a!$Q$46*Data_a!Z65/Data_a!$Z$71</f>
        <v>70066500.83697027</v>
      </c>
      <c r="I13" s="170">
        <f>(Data_a!$V$59+Data_a!$V$60)*Data_a!Z65/Data_a!$Z$71</f>
        <v>119032193.60199855</v>
      </c>
    </row>
    <row r="14" spans="2:9" x14ac:dyDescent="0.25">
      <c r="B14" s="3"/>
      <c r="C14" s="129" t="s">
        <v>36</v>
      </c>
      <c r="D14" s="89" t="s">
        <v>121</v>
      </c>
      <c r="E14" s="182">
        <f>(Data_a!$G$30+Data_a!$G$31+Data_a!$G$33/2+Data_a!$G$34/2)*Data_a!Z66/Data_a!$Z$71</f>
        <v>65554137.757273704</v>
      </c>
      <c r="F14" s="174">
        <f t="shared" si="0"/>
        <v>0.58863487865516284</v>
      </c>
      <c r="H14" s="169">
        <f>Data_a!$Q$46*Data_a!Z66/Data_a!$Z$71</f>
        <v>60796374.495507911</v>
      </c>
      <c r="I14" s="170">
        <f>(Data_a!$V$59+Data_a!$V$60)*Data_a!Z66/Data_a!$Z$71</f>
        <v>103283676.69005214</v>
      </c>
    </row>
    <row r="15" spans="2:9" x14ac:dyDescent="0.25">
      <c r="B15" s="3"/>
      <c r="C15" s="129" t="s">
        <v>37</v>
      </c>
      <c r="D15" s="89" t="s">
        <v>122</v>
      </c>
      <c r="E15" s="182">
        <f>(Data_a!$G$30+Data_a!$G$31+Data_a!$G$33/2+Data_a!$G$34/2)*Data_a!Z67/Data_a!$Z$71</f>
        <v>32233256.928010706</v>
      </c>
      <c r="F15" s="174">
        <f t="shared" si="0"/>
        <v>0.58863487865516284</v>
      </c>
      <c r="H15" s="169">
        <f>Data_a!$Q$46*Data_a!Z67/Data_a!$Z$71</f>
        <v>29893843.873918153</v>
      </c>
      <c r="I15" s="170">
        <f>(Data_a!$V$59+Data_a!$V$60)*Data_a!Z67/Data_a!$Z$71</f>
        <v>50785036.629524499</v>
      </c>
    </row>
    <row r="16" spans="2:9" x14ac:dyDescent="0.25">
      <c r="B16" s="3"/>
      <c r="C16" s="129" t="s">
        <v>38</v>
      </c>
      <c r="D16" s="89" t="s">
        <v>123</v>
      </c>
      <c r="E16" s="182">
        <f>(Data_a!$G$30+Data_a!$G$31+Data_a!$G$33/2+Data_a!$G$34/2)*Data_a!Z68/Data_a!$Z$71</f>
        <v>4542292.6721454207</v>
      </c>
      <c r="F16" s="174">
        <f t="shared" si="0"/>
        <v>0.58863487865516284</v>
      </c>
      <c r="H16" s="169">
        <f>Data_a!$Q$46*Data_a!Z68/Data_a!$Z$71</f>
        <v>4212623.8832774963</v>
      </c>
      <c r="I16" s="170">
        <f>(Data_a!$V$59+Data_a!$V$60)*Data_a!Z68/Data_a!$Z$71</f>
        <v>7156599.1687443955</v>
      </c>
    </row>
    <row r="17" spans="2:9" x14ac:dyDescent="0.25">
      <c r="B17" s="3"/>
      <c r="C17" s="129" t="s">
        <v>39</v>
      </c>
      <c r="D17" s="89" t="s">
        <v>124</v>
      </c>
      <c r="E17" s="182">
        <f>(Data_a!$G$30+Data_a!$G$31+Data_a!$G$33/2+Data_a!$G$34/2)*Data_a!Z69/Data_a!$Z$71</f>
        <v>28314076.568865161</v>
      </c>
      <c r="F17" s="174">
        <f t="shared" si="0"/>
        <v>0.58863487865516284</v>
      </c>
      <c r="H17" s="169">
        <f>Data_a!$Q$46*Data_a!Z69/Data_a!$Z$71</f>
        <v>26259108.295329701</v>
      </c>
      <c r="I17" s="170">
        <f>(Data_a!$V$59+Data_a!$V$60)*Data_a!Z69/Data_a!$Z$71</f>
        <v>44610180.686749533</v>
      </c>
    </row>
    <row r="18" spans="2:9" ht="15.75" thickBot="1" x14ac:dyDescent="0.3">
      <c r="B18" s="4"/>
      <c r="C18" s="130" t="s">
        <v>40</v>
      </c>
      <c r="D18" s="90" t="s">
        <v>125</v>
      </c>
      <c r="E18" s="183">
        <f>(Data_a!$G$30+Data_a!$G$31+Data_a!$G$33/2+Data_a!$G$34/2)*Data_a!Z70/Data_a!$Z$71</f>
        <v>3360560.23150955</v>
      </c>
      <c r="F18" s="175">
        <f t="shared" si="0"/>
        <v>0.58863487865516284</v>
      </c>
      <c r="H18" s="171">
        <f>Data_a!$Q$46*Data_a!Z70/Data_a!$Z$71</f>
        <v>3116658.769978188</v>
      </c>
      <c r="I18" s="172">
        <f>(Data_a!$V$59+Data_a!$V$60)*Data_a!Z70/Data_a!$Z$71</f>
        <v>5294723.2367520062</v>
      </c>
    </row>
    <row r="19" spans="2:9" x14ac:dyDescent="0.25"/>
    <row r="20" spans="2:9" ht="15.75" thickBot="1" x14ac:dyDescent="0.3">
      <c r="F20" s="396"/>
    </row>
    <row r="21" spans="2:9" ht="15.75" thickBot="1" x14ac:dyDescent="0.3">
      <c r="D21" s="2" t="s">
        <v>225</v>
      </c>
      <c r="E21" s="68"/>
    </row>
    <row r="22" spans="2:9" x14ac:dyDescent="0.25">
      <c r="D22" s="143" t="s">
        <v>226</v>
      </c>
      <c r="E22" s="34">
        <f>+Input!G4</f>
        <v>73191263.39469777</v>
      </c>
    </row>
    <row r="23" spans="2:9" ht="15.75" thickBot="1" x14ac:dyDescent="0.3">
      <c r="D23" s="144" t="s">
        <v>227</v>
      </c>
      <c r="E23" s="133">
        <f>+Data_b!D4</f>
        <v>0.28000000000000003</v>
      </c>
    </row>
    <row r="24" spans="2:9" ht="15.75" thickBot="1" x14ac:dyDescent="0.3">
      <c r="D24" s="224"/>
      <c r="E24" s="225"/>
    </row>
    <row r="25" spans="2:9" ht="15.75" thickBot="1" x14ac:dyDescent="0.3">
      <c r="D25" s="2" t="s">
        <v>198</v>
      </c>
      <c r="E25" s="68"/>
    </row>
    <row r="26" spans="2:9" x14ac:dyDescent="0.25">
      <c r="D26" s="143" t="s">
        <v>229</v>
      </c>
      <c r="E26" s="226">
        <f>SUM(Data_b!$I$4:$I$5)/SUM(Data_b!$I$4:$I$5)</f>
        <v>1</v>
      </c>
    </row>
    <row r="27" spans="2:9" ht="15.75" thickBot="1" x14ac:dyDescent="0.3">
      <c r="D27" s="144" t="s">
        <v>228</v>
      </c>
      <c r="E27" s="133">
        <f>SUM(Data_b!$I$4:$I$6)/SUM(Data_b!$I$4:$I$5)</f>
        <v>1.3157894736842106</v>
      </c>
    </row>
    <row r="28" spans="2:9" x14ac:dyDescent="0.25"/>
    <row r="29" spans="2:9" hidden="1" x14ac:dyDescent="0.25"/>
    <row r="30" spans="2:9" hidden="1" x14ac:dyDescent="0.25"/>
    <row r="31" spans="2:9" hidden="1" x14ac:dyDescent="0.25"/>
    <row r="32" spans="2:9" hidden="1"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Y43"/>
  <sheetViews>
    <sheetView showGridLines="0" zoomScale="90" zoomScaleNormal="90" workbookViewId="0">
      <selection activeCell="B22" sqref="B22"/>
    </sheetView>
  </sheetViews>
  <sheetFormatPr defaultColWidth="0" defaultRowHeight="15" zeroHeight="1" x14ac:dyDescent="0.25"/>
  <cols>
    <col min="1" max="1" width="3.42578125" customWidth="1"/>
    <col min="2" max="2" width="9.140625" customWidth="1"/>
    <col min="3" max="6" width="9.7109375" customWidth="1"/>
    <col min="7" max="13" width="11" customWidth="1"/>
    <col min="14" max="14" width="2.85546875" customWidth="1"/>
    <col min="15" max="15" width="4" customWidth="1"/>
    <col min="16" max="16" width="12" customWidth="1"/>
    <col min="17" max="17" width="6.7109375" bestFit="1" customWidth="1"/>
    <col min="18" max="18" width="11.85546875" customWidth="1"/>
    <col min="19" max="19" width="6.5703125" bestFit="1" customWidth="1"/>
    <col min="20" max="20" width="6.42578125" bestFit="1" customWidth="1"/>
    <col min="21" max="21" width="7.28515625" customWidth="1"/>
    <col min="22" max="22" width="7.7109375" customWidth="1"/>
    <col min="23" max="23" width="6.5703125" bestFit="1" customWidth="1"/>
    <col min="24" max="24" width="2.28515625" customWidth="1"/>
    <col min="25" max="25" width="90.85546875" bestFit="1" customWidth="1"/>
    <col min="26" max="16384" width="9.140625" hidden="1"/>
  </cols>
  <sheetData>
    <row r="1" spans="2:21" x14ac:dyDescent="0.25"/>
    <row r="2" spans="2:21" x14ac:dyDescent="0.25">
      <c r="B2" s="612" t="s">
        <v>195</v>
      </c>
      <c r="C2" s="610"/>
      <c r="D2" s="610"/>
      <c r="E2" s="610"/>
      <c r="F2" s="610"/>
      <c r="G2" s="610"/>
      <c r="H2" s="610"/>
      <c r="I2" s="610"/>
      <c r="J2" s="610"/>
      <c r="K2" s="610"/>
      <c r="L2" s="610"/>
      <c r="M2" s="611"/>
    </row>
    <row r="3" spans="2:21" x14ac:dyDescent="0.25">
      <c r="B3" s="102" t="s">
        <v>29</v>
      </c>
      <c r="C3" s="26" t="s">
        <v>30</v>
      </c>
      <c r="D3" s="26" t="s">
        <v>31</v>
      </c>
      <c r="E3" s="26" t="s">
        <v>32</v>
      </c>
      <c r="F3" s="26" t="s">
        <v>33</v>
      </c>
      <c r="G3" s="26" t="s">
        <v>34</v>
      </c>
      <c r="H3" s="26" t="s">
        <v>35</v>
      </c>
      <c r="I3" s="26" t="s">
        <v>36</v>
      </c>
      <c r="J3" s="26" t="s">
        <v>37</v>
      </c>
      <c r="K3" s="26" t="s">
        <v>38</v>
      </c>
      <c r="L3" s="26" t="s">
        <v>39</v>
      </c>
      <c r="M3" s="26" t="s">
        <v>40</v>
      </c>
    </row>
    <row r="4" spans="2:21" x14ac:dyDescent="0.25">
      <c r="B4" s="26" t="s">
        <v>30</v>
      </c>
      <c r="C4" s="127">
        <f>INDEX(Data_d!$F$27:$F$70,MATCH($B4&amp;C$3,Data_d!$E$27:$E$70,0))</f>
        <v>0</v>
      </c>
      <c r="D4" s="127">
        <f>INDEX(Data_d!$F$27:$F$70,MATCH($B4&amp;D$3,Data_d!$E$27:$E$70,0))</f>
        <v>509.03899999999999</v>
      </c>
      <c r="E4" s="127">
        <f>INDEX(Data_d!$F$27:$F$70,MATCH($B4&amp;E$3,Data_d!$E$27:$E$70,0))</f>
        <v>481.84000000000003</v>
      </c>
      <c r="F4" s="127">
        <f>INDEX(Data_d!$F$27:$F$70,MATCH($B4&amp;F$3,Data_d!$E$27:$E$70,0))</f>
        <v>254.26299999999998</v>
      </c>
      <c r="G4" s="127">
        <f>INDEX(Data_d!$F$27:$F$70,MATCH($B4&amp;G$3,Data_d!$E$27:$E$70,0))</f>
        <v>416.85699999999997</v>
      </c>
      <c r="H4" s="127">
        <f>INDEX(Data_d!$F$27:$F$70,MATCH($B4&amp;H$3,Data_d!$E$27:$E$70,0))</f>
        <v>434.01900000000001</v>
      </c>
      <c r="I4" s="127">
        <f>INDEX(Data_d!$F$27:$F$70,MATCH($B4&amp;I$3,Data_d!$E$27:$E$70,0))</f>
        <v>290.23699999999997</v>
      </c>
      <c r="J4" s="127">
        <f>INDEX(Data_d!$F$27:$F$70,MATCH($B4&amp;J$3,Data_d!$E$27:$E$70,0))</f>
        <v>148.19899999999998</v>
      </c>
      <c r="K4" s="127">
        <f>INDEX(Data_d!$F$27:$F$70,MATCH($B4&amp;K$3,Data_d!$E$27:$E$70,0))</f>
        <v>477.80899999999997</v>
      </c>
      <c r="L4" s="127">
        <f>INDEX(Data_d!$F$27:$F$70,MATCH($B4&amp;L$3,Data_d!$E$27:$E$70,0))</f>
        <v>441.00900000000001</v>
      </c>
      <c r="M4" s="127">
        <f>INDEX(Data_d!$F$27:$F$70,MATCH($B4&amp;M$3,Data_d!$E$27:$E$70,0))</f>
        <v>274.86</v>
      </c>
    </row>
    <row r="5" spans="2:21" x14ac:dyDescent="0.25">
      <c r="B5" s="26" t="s">
        <v>31</v>
      </c>
      <c r="C5" s="127">
        <f>INDEX(Data_d!$F$27:$F$70,MATCH($B5&amp;C$3,Data_d!$E$27:$E$70,0))</f>
        <v>509.03899999999999</v>
      </c>
      <c r="D5" s="127">
        <f>INDEX(Data_d!$F$27:$F$70,MATCH($B5&amp;D$3,Data_d!$E$27:$E$70,0))</f>
        <v>0</v>
      </c>
      <c r="E5" s="127">
        <f>INDEX(Data_d!$F$27:$F$70,MATCH($B5&amp;E$3,Data_d!$E$27:$E$70,0))</f>
        <v>549.45300000000009</v>
      </c>
      <c r="F5" s="127">
        <f>INDEX(Data_d!$F$27:$F$70,MATCH($B5&amp;F$3,Data_d!$E$27:$E$70,0))</f>
        <v>321.87600000000003</v>
      </c>
      <c r="G5" s="127">
        <f>INDEX(Data_d!$F$27:$F$70,MATCH($B5&amp;G$3,Data_d!$E$27:$E$70,0))</f>
        <v>484.47</v>
      </c>
      <c r="H5" s="127">
        <f>INDEX(Data_d!$F$27:$F$70,MATCH($B5&amp;H$3,Data_d!$E$27:$E$70,0))</f>
        <v>190.702</v>
      </c>
      <c r="I5" s="127">
        <f>INDEX(Data_d!$F$27:$F$70,MATCH($B5&amp;I$3,Data_d!$E$27:$E$70,0))</f>
        <v>357.85</v>
      </c>
      <c r="J5" s="127">
        <f>INDEX(Data_d!$F$27:$F$70,MATCH($B5&amp;J$3,Data_d!$E$27:$E$70,0))</f>
        <v>370.96000000000004</v>
      </c>
      <c r="K5" s="127">
        <f>INDEX(Data_d!$F$27:$F$70,MATCH($B5&amp;K$3,Data_d!$E$27:$E$70,0))</f>
        <v>71.706000000000003</v>
      </c>
      <c r="L5" s="127">
        <f>INDEX(Data_d!$F$27:$F$70,MATCH($B5&amp;L$3,Data_d!$E$27:$E$70,0))</f>
        <v>508.62200000000007</v>
      </c>
      <c r="M5" s="127">
        <f>INDEX(Data_d!$F$27:$F$70,MATCH($B5&amp;M$3,Data_d!$E$27:$E$70,0))</f>
        <v>334.01</v>
      </c>
    </row>
    <row r="6" spans="2:21" x14ac:dyDescent="0.25">
      <c r="B6" s="26" t="s">
        <v>32</v>
      </c>
      <c r="C6" s="127">
        <f>INDEX(Data_d!$F$27:$F$70,MATCH($B6&amp;C$3,Data_d!$E$27:$E$70,0))</f>
        <v>481.84000000000003</v>
      </c>
      <c r="D6" s="127">
        <f>INDEX(Data_d!$F$27:$F$70,MATCH($B6&amp;D$3,Data_d!$E$27:$E$70,0))</f>
        <v>549.45300000000009</v>
      </c>
      <c r="E6" s="127">
        <f>INDEX(Data_d!$F$27:$F$70,MATCH($B6&amp;E$3,Data_d!$E$27:$E$70,0))</f>
        <v>0</v>
      </c>
      <c r="F6" s="127">
        <f>INDEX(Data_d!$F$27:$F$70,MATCH($B6&amp;F$3,Data_d!$E$27:$E$70,0))</f>
        <v>294.67700000000002</v>
      </c>
      <c r="G6" s="127">
        <f>INDEX(Data_d!$F$27:$F$70,MATCH($B6&amp;G$3,Data_d!$E$27:$E$70,0))</f>
        <v>276.803</v>
      </c>
      <c r="H6" s="127">
        <f>INDEX(Data_d!$F$27:$F$70,MATCH($B6&amp;H$3,Data_d!$E$27:$E$70,0))</f>
        <v>474.43299999999999</v>
      </c>
      <c r="I6" s="127">
        <f>INDEX(Data_d!$F$27:$F$70,MATCH($B6&amp;I$3,Data_d!$E$27:$E$70,0))</f>
        <v>330.65100000000001</v>
      </c>
      <c r="J6" s="127">
        <f>INDEX(Data_d!$F$27:$F$70,MATCH($B6&amp;J$3,Data_d!$E$27:$E$70,0))</f>
        <v>343.76099999999997</v>
      </c>
      <c r="K6" s="127">
        <f>INDEX(Data_d!$F$27:$F$70,MATCH($B6&amp;K$3,Data_d!$E$27:$E$70,0))</f>
        <v>518.22300000000007</v>
      </c>
      <c r="L6" s="127">
        <f>INDEX(Data_d!$F$27:$F$70,MATCH($B6&amp;L$3,Data_d!$E$27:$E$70,0))</f>
        <v>51.051000000000002</v>
      </c>
      <c r="M6" s="127">
        <f>INDEX(Data_d!$F$27:$F$70,MATCH($B6&amp;M$3,Data_d!$E$27:$E$70,0))</f>
        <v>462.79100000000005</v>
      </c>
    </row>
    <row r="7" spans="2:21" x14ac:dyDescent="0.25">
      <c r="B7" s="26" t="s">
        <v>33</v>
      </c>
      <c r="C7" s="127">
        <f>INDEX(Data_d!$F$27:$F$70,MATCH($B7&amp;C$3,Data_d!$E$27:$E$70,0))</f>
        <v>254.26299999999998</v>
      </c>
      <c r="D7" s="127">
        <f>INDEX(Data_d!$F$27:$F$70,MATCH($B7&amp;D$3,Data_d!$E$27:$E$70,0))</f>
        <v>321.87600000000003</v>
      </c>
      <c r="E7" s="127">
        <f>INDEX(Data_d!$F$27:$F$70,MATCH($B7&amp;E$3,Data_d!$E$27:$E$70,0))</f>
        <v>294.67700000000002</v>
      </c>
      <c r="F7" s="127">
        <f>INDEX(Data_d!$F$27:$F$70,MATCH($B7&amp;F$3,Data_d!$E$27:$E$70,0))</f>
        <v>0</v>
      </c>
      <c r="G7" s="127">
        <f>INDEX(Data_d!$F$27:$F$70,MATCH($B7&amp;G$3,Data_d!$E$27:$E$70,0))</f>
        <v>229.69400000000002</v>
      </c>
      <c r="H7" s="127">
        <f>INDEX(Data_d!$F$27:$F$70,MATCH($B7&amp;H$3,Data_d!$E$27:$E$70,0))</f>
        <v>246.85599999999999</v>
      </c>
      <c r="I7" s="127">
        <f>INDEX(Data_d!$F$27:$F$70,MATCH($B7&amp;I$3,Data_d!$E$27:$E$70,0))</f>
        <v>35.974000000000004</v>
      </c>
      <c r="J7" s="127">
        <f>INDEX(Data_d!$F$27:$F$70,MATCH($B7&amp;J$3,Data_d!$E$27:$E$70,0))</f>
        <v>116.184</v>
      </c>
      <c r="K7" s="127">
        <f>INDEX(Data_d!$F$27:$F$70,MATCH($B7&amp;K$3,Data_d!$E$27:$E$70,0))</f>
        <v>290.64600000000002</v>
      </c>
      <c r="L7" s="127">
        <f>INDEX(Data_d!$F$27:$F$70,MATCH($B7&amp;L$3,Data_d!$E$27:$E$70,0))</f>
        <v>253.846</v>
      </c>
      <c r="M7" s="127">
        <f>INDEX(Data_d!$F$27:$F$70,MATCH($B7&amp;M$3,Data_d!$E$27:$E$70,0))</f>
        <v>235.214</v>
      </c>
    </row>
    <row r="8" spans="2:21" x14ac:dyDescent="0.25"/>
    <row r="9" spans="2:21" x14ac:dyDescent="0.25">
      <c r="B9" s="612" t="s">
        <v>196</v>
      </c>
      <c r="C9" s="610"/>
      <c r="D9" s="610"/>
      <c r="E9" s="610"/>
      <c r="F9" s="610"/>
      <c r="G9" s="610"/>
      <c r="H9" s="610"/>
      <c r="I9" s="610"/>
      <c r="J9" s="610"/>
      <c r="K9" s="610"/>
      <c r="L9" s="610"/>
      <c r="M9" s="611"/>
    </row>
    <row r="10" spans="2:21" x14ac:dyDescent="0.25">
      <c r="B10" s="103" t="s">
        <v>28</v>
      </c>
      <c r="C10" s="28" t="s">
        <v>30</v>
      </c>
      <c r="D10" s="28" t="s">
        <v>31</v>
      </c>
      <c r="E10" s="28" t="s">
        <v>32</v>
      </c>
      <c r="F10" s="28" t="s">
        <v>33</v>
      </c>
      <c r="G10" s="28" t="s">
        <v>34</v>
      </c>
      <c r="H10" s="28" t="s">
        <v>35</v>
      </c>
      <c r="I10" s="28" t="s">
        <v>36</v>
      </c>
      <c r="J10" s="28" t="s">
        <v>37</v>
      </c>
      <c r="K10" s="28" t="s">
        <v>38</v>
      </c>
      <c r="L10" s="28" t="s">
        <v>39</v>
      </c>
      <c r="M10" s="28" t="s">
        <v>40</v>
      </c>
      <c r="N10" s="27"/>
      <c r="O10" s="27"/>
      <c r="P10" s="27"/>
      <c r="Q10" s="27"/>
      <c r="R10" s="27"/>
      <c r="S10" s="27"/>
      <c r="T10" s="27"/>
      <c r="U10" s="27"/>
    </row>
    <row r="11" spans="2:21" x14ac:dyDescent="0.25">
      <c r="B11" s="26" t="s">
        <v>30</v>
      </c>
      <c r="C11" s="29">
        <f>'RPM inputs'!$E$26</f>
        <v>1</v>
      </c>
      <c r="D11" s="29">
        <f>'RPM inputs'!$E$26</f>
        <v>1</v>
      </c>
      <c r="E11" s="29">
        <f>'RPM inputs'!$E$26</f>
        <v>1</v>
      </c>
      <c r="F11" s="29">
        <f>'RPM inputs'!$E$26</f>
        <v>1</v>
      </c>
      <c r="G11" s="29">
        <f>'RPM inputs'!$E$27</f>
        <v>1.3157894736842106</v>
      </c>
      <c r="H11" s="29">
        <f>'RPM inputs'!$E$27</f>
        <v>1.3157894736842106</v>
      </c>
      <c r="I11" s="29">
        <f>'RPM inputs'!$E$27</f>
        <v>1.3157894736842106</v>
      </c>
      <c r="J11" s="29">
        <f>'RPM inputs'!$E$27</f>
        <v>1.3157894736842106</v>
      </c>
      <c r="K11" s="29">
        <f>'RPM inputs'!$E$27</f>
        <v>1.3157894736842106</v>
      </c>
      <c r="L11" s="29">
        <f>'RPM inputs'!$E$27</f>
        <v>1.3157894736842106</v>
      </c>
      <c r="M11" s="29">
        <f>'RPM inputs'!$E$27</f>
        <v>1.3157894736842106</v>
      </c>
      <c r="N11" s="27"/>
      <c r="O11" s="27"/>
      <c r="P11" s="27"/>
      <c r="Q11" s="27"/>
      <c r="R11" s="27"/>
      <c r="S11" s="27"/>
      <c r="T11" s="27"/>
      <c r="U11" s="27"/>
    </row>
    <row r="12" spans="2:21" x14ac:dyDescent="0.25">
      <c r="B12" s="26" t="s">
        <v>31</v>
      </c>
      <c r="C12" s="29">
        <f>'RPM inputs'!$E$26</f>
        <v>1</v>
      </c>
      <c r="D12" s="29">
        <f>'RPM inputs'!$E$26</f>
        <v>1</v>
      </c>
      <c r="E12" s="29">
        <f>'RPM inputs'!$E$26</f>
        <v>1</v>
      </c>
      <c r="F12" s="29">
        <f>'RPM inputs'!$E$26</f>
        <v>1</v>
      </c>
      <c r="G12" s="29">
        <f>'RPM inputs'!$E$27</f>
        <v>1.3157894736842106</v>
      </c>
      <c r="H12" s="29">
        <f>'RPM inputs'!$E$27</f>
        <v>1.3157894736842106</v>
      </c>
      <c r="I12" s="29">
        <f>'RPM inputs'!$E$27</f>
        <v>1.3157894736842106</v>
      </c>
      <c r="J12" s="29">
        <f>'RPM inputs'!$E$27</f>
        <v>1.3157894736842106</v>
      </c>
      <c r="K12" s="29">
        <f>'RPM inputs'!$E$27</f>
        <v>1.3157894736842106</v>
      </c>
      <c r="L12" s="29">
        <f>'RPM inputs'!$E$27</f>
        <v>1.3157894736842106</v>
      </c>
      <c r="M12" s="29">
        <f>'RPM inputs'!$E$27</f>
        <v>1.3157894736842106</v>
      </c>
      <c r="N12" s="27"/>
      <c r="O12" s="27"/>
      <c r="P12" s="27"/>
      <c r="Q12" s="27"/>
      <c r="R12" s="27"/>
      <c r="S12" s="27"/>
      <c r="T12" s="27"/>
      <c r="U12" s="27"/>
    </row>
    <row r="13" spans="2:21" x14ac:dyDescent="0.25">
      <c r="B13" s="26" t="s">
        <v>32</v>
      </c>
      <c r="C13" s="29">
        <f>'RPM inputs'!$E$26</f>
        <v>1</v>
      </c>
      <c r="D13" s="29">
        <f>'RPM inputs'!$E$26</f>
        <v>1</v>
      </c>
      <c r="E13" s="29">
        <f>'RPM inputs'!$E$26</f>
        <v>1</v>
      </c>
      <c r="F13" s="29">
        <f>'RPM inputs'!$E$26</f>
        <v>1</v>
      </c>
      <c r="G13" s="29">
        <f>'RPM inputs'!$E$27</f>
        <v>1.3157894736842106</v>
      </c>
      <c r="H13" s="281">
        <f>'RPM inputs'!$E$27</f>
        <v>1.3157894736842106</v>
      </c>
      <c r="I13" s="29">
        <f>'RPM inputs'!$E$27</f>
        <v>1.3157894736842106</v>
      </c>
      <c r="J13" s="29">
        <f>'RPM inputs'!$E$27</f>
        <v>1.3157894736842106</v>
      </c>
      <c r="K13" s="29">
        <f>'RPM inputs'!$E$27</f>
        <v>1.3157894736842106</v>
      </c>
      <c r="L13" s="29">
        <f>'RPM inputs'!$E$27</f>
        <v>1.3157894736842106</v>
      </c>
      <c r="M13" s="29">
        <f>'RPM inputs'!$E$27</f>
        <v>1.3157894736842106</v>
      </c>
      <c r="N13" s="27"/>
      <c r="O13" s="27"/>
      <c r="P13" s="27"/>
      <c r="Q13" s="27"/>
      <c r="R13" s="27"/>
      <c r="S13" s="27"/>
      <c r="T13" s="27"/>
      <c r="U13" s="27"/>
    </row>
    <row r="14" spans="2:21" x14ac:dyDescent="0.25">
      <c r="B14" s="26" t="s">
        <v>33</v>
      </c>
      <c r="C14" s="29">
        <f>'RPM inputs'!$E$26</f>
        <v>1</v>
      </c>
      <c r="D14" s="29">
        <f>'RPM inputs'!$E$26</f>
        <v>1</v>
      </c>
      <c r="E14" s="29">
        <f>'RPM inputs'!$E$26</f>
        <v>1</v>
      </c>
      <c r="F14" s="29">
        <f>'RPM inputs'!$E$26</f>
        <v>1</v>
      </c>
      <c r="G14" s="29">
        <f>'RPM inputs'!$E$27</f>
        <v>1.3157894736842106</v>
      </c>
      <c r="H14" s="29">
        <f>'RPM inputs'!$E$27</f>
        <v>1.3157894736842106</v>
      </c>
      <c r="I14" s="29">
        <f>'RPM inputs'!$E$27</f>
        <v>1.3157894736842106</v>
      </c>
      <c r="J14" s="29">
        <f>'RPM inputs'!$E$27</f>
        <v>1.3157894736842106</v>
      </c>
      <c r="K14" s="29">
        <f>'RPM inputs'!$E$27</f>
        <v>1.3157894736842106</v>
      </c>
      <c r="L14" s="29">
        <f>'RPM inputs'!$E$27</f>
        <v>1.3157894736842106</v>
      </c>
      <c r="M14" s="29">
        <f>'RPM inputs'!$E$27</f>
        <v>1.3157894736842106</v>
      </c>
      <c r="N14" s="27"/>
      <c r="O14" s="27"/>
      <c r="P14" s="27"/>
      <c r="Q14" s="27"/>
      <c r="R14" s="27"/>
      <c r="S14" s="27"/>
      <c r="T14" s="27"/>
      <c r="U14" s="27"/>
    </row>
    <row r="15" spans="2:21" x14ac:dyDescent="0.25">
      <c r="N15" s="27"/>
      <c r="O15" s="27"/>
      <c r="P15" s="27"/>
      <c r="Q15" s="27"/>
      <c r="R15" s="27"/>
      <c r="S15" s="27"/>
      <c r="T15" s="27"/>
      <c r="U15" s="27"/>
    </row>
    <row r="16" spans="2:21" x14ac:dyDescent="0.25">
      <c r="B16" s="612" t="s">
        <v>197</v>
      </c>
      <c r="C16" s="610"/>
      <c r="D16" s="610"/>
      <c r="E16" s="610"/>
      <c r="F16" s="610"/>
      <c r="G16" s="610"/>
      <c r="H16" s="610"/>
      <c r="I16" s="610"/>
      <c r="J16" s="610"/>
      <c r="K16" s="610"/>
      <c r="L16" s="610"/>
      <c r="M16" s="611"/>
      <c r="N16" s="51"/>
      <c r="O16" s="51"/>
      <c r="P16" s="613" t="s">
        <v>231</v>
      </c>
      <c r="Q16" s="610"/>
      <c r="R16" s="610"/>
      <c r="S16" s="610"/>
      <c r="T16" s="610"/>
      <c r="U16" s="611"/>
    </row>
    <row r="17" spans="2:25" ht="18.75" x14ac:dyDescent="0.35">
      <c r="B17" s="102" t="s">
        <v>29</v>
      </c>
      <c r="C17" s="28" t="s">
        <v>30</v>
      </c>
      <c r="D17" s="28" t="s">
        <v>31</v>
      </c>
      <c r="E17" s="28" t="s">
        <v>32</v>
      </c>
      <c r="F17" s="28" t="s">
        <v>33</v>
      </c>
      <c r="G17" s="28" t="s">
        <v>34</v>
      </c>
      <c r="H17" s="28" t="s">
        <v>35</v>
      </c>
      <c r="I17" s="28" t="s">
        <v>36</v>
      </c>
      <c r="J17" s="28" t="s">
        <v>37</v>
      </c>
      <c r="K17" s="28" t="s">
        <v>38</v>
      </c>
      <c r="L17" s="28" t="s">
        <v>39</v>
      </c>
      <c r="M17" s="28" t="s">
        <v>40</v>
      </c>
      <c r="N17" s="51"/>
      <c r="O17" s="51"/>
      <c r="P17" s="387" t="s">
        <v>233</v>
      </c>
      <c r="Q17" s="387" t="s">
        <v>234</v>
      </c>
      <c r="R17" s="387" t="s">
        <v>235</v>
      </c>
      <c r="S17" s="387" t="s">
        <v>236</v>
      </c>
      <c r="T17" s="387" t="s">
        <v>237</v>
      </c>
      <c r="U17" s="387" t="s">
        <v>238</v>
      </c>
    </row>
    <row r="18" spans="2:25" x14ac:dyDescent="0.25">
      <c r="B18" s="26" t="s">
        <v>30</v>
      </c>
      <c r="C18" s="357">
        <f>+C4*C11</f>
        <v>0</v>
      </c>
      <c r="D18" s="357">
        <f t="shared" ref="D18:M18" si="0">+D4*D11</f>
        <v>509.03899999999999</v>
      </c>
      <c r="E18" s="357">
        <f t="shared" si="0"/>
        <v>481.84000000000003</v>
      </c>
      <c r="F18" s="357">
        <f t="shared" si="0"/>
        <v>254.26299999999998</v>
      </c>
      <c r="G18" s="357">
        <f t="shared" si="0"/>
        <v>548.496052631579</v>
      </c>
      <c r="H18" s="357">
        <f t="shared" si="0"/>
        <v>571.07763157894738</v>
      </c>
      <c r="I18" s="357">
        <f t="shared" si="0"/>
        <v>381.89078947368421</v>
      </c>
      <c r="J18" s="357">
        <f t="shared" si="0"/>
        <v>194.99868421052631</v>
      </c>
      <c r="K18" s="357">
        <f t="shared" si="0"/>
        <v>628.69605263157894</v>
      </c>
      <c r="L18" s="357">
        <f t="shared" si="0"/>
        <v>580.27500000000009</v>
      </c>
      <c r="M18" s="357">
        <f t="shared" si="0"/>
        <v>361.65789473684214</v>
      </c>
      <c r="N18" s="51"/>
      <c r="O18" s="26" t="s">
        <v>30</v>
      </c>
      <c r="P18" s="134">
        <f>+'RPM inputs'!E4</f>
        <v>74364888.60000585</v>
      </c>
      <c r="Q18" s="135">
        <f>+'RPM inputs'!F4</f>
        <v>0.90419775503312938</v>
      </c>
      <c r="R18" s="31">
        <f>+P18*Q18</f>
        <v>67240565.325414047</v>
      </c>
      <c r="S18" s="32">
        <f>SUMPRODUCT(C$27:M$27,C18:M18)/SUMIFS(C$27:M$27,C18:M18,"&gt;0")</f>
        <v>471.96786011580548</v>
      </c>
      <c r="T18" s="33">
        <f>R18*S18/SUMPRODUCT(R$18:R$21,S$18:S$21)</f>
        <v>0.39400928564835247</v>
      </c>
      <c r="U18" s="36">
        <f>IF(P18=0,0,'RPM inputs'!$E$23*T18*'RPM inputs'!$E$22/P18)</f>
        <v>0.10858149088434246</v>
      </c>
    </row>
    <row r="19" spans="2:25" x14ac:dyDescent="0.25">
      <c r="B19" s="26" t="s">
        <v>31</v>
      </c>
      <c r="C19" s="357">
        <f>+C5*C12</f>
        <v>509.03899999999999</v>
      </c>
      <c r="D19" s="357">
        <f t="shared" ref="D19:M19" si="1">+D5*D12</f>
        <v>0</v>
      </c>
      <c r="E19" s="357">
        <f t="shared" si="1"/>
        <v>549.45300000000009</v>
      </c>
      <c r="F19" s="357">
        <f t="shared" si="1"/>
        <v>321.87600000000003</v>
      </c>
      <c r="G19" s="357">
        <f t="shared" si="1"/>
        <v>637.46052631578959</v>
      </c>
      <c r="H19" s="357">
        <f t="shared" si="1"/>
        <v>250.92368421052632</v>
      </c>
      <c r="I19" s="357">
        <f t="shared" si="1"/>
        <v>470.8552631578948</v>
      </c>
      <c r="J19" s="357">
        <f t="shared" si="1"/>
        <v>488.1052631578948</v>
      </c>
      <c r="K19" s="357">
        <f t="shared" si="1"/>
        <v>94.350000000000009</v>
      </c>
      <c r="L19" s="357">
        <f t="shared" si="1"/>
        <v>669.23947368421068</v>
      </c>
      <c r="M19" s="357">
        <f t="shared" si="1"/>
        <v>439.48684210526318</v>
      </c>
      <c r="N19" s="51"/>
      <c r="O19" s="26" t="s">
        <v>31</v>
      </c>
      <c r="P19" s="134">
        <f>+'RPM inputs'!E5</f>
        <v>5549618.552239242</v>
      </c>
      <c r="Q19" s="135">
        <f>+'RPM inputs'!F5</f>
        <v>0.90419775503312938</v>
      </c>
      <c r="R19" s="31">
        <f t="shared" ref="R19:R21" si="2">+P19*Q19</f>
        <v>5017952.6362249283</v>
      </c>
      <c r="S19" s="32">
        <f>SUMPRODUCT(C$27:M$27,C19:M19)/SUMIFS(C$27:M$27,C19:M19,"&gt;0")</f>
        <v>462.37582598828425</v>
      </c>
      <c r="T19" s="33">
        <f>R19*S19/SUMPRODUCT(R$18:R$21,S$18:S$21)</f>
        <v>2.8806092674357811E-2</v>
      </c>
      <c r="U19" s="36">
        <f>IF(P19=0,0,'RPM inputs'!$E$23*T19*'RPM inputs'!$E$22/P19)</f>
        <v>0.10637473603047552</v>
      </c>
    </row>
    <row r="20" spans="2:25" x14ac:dyDescent="0.25">
      <c r="B20" s="26" t="s">
        <v>32</v>
      </c>
      <c r="C20" s="357">
        <f>+C6*C13</f>
        <v>481.84000000000003</v>
      </c>
      <c r="D20" s="357">
        <f t="shared" ref="D20:M20" si="3">+D6*D13</f>
        <v>549.45300000000009</v>
      </c>
      <c r="E20" s="357">
        <f t="shared" si="3"/>
        <v>0</v>
      </c>
      <c r="F20" s="357">
        <f t="shared" si="3"/>
        <v>294.67700000000002</v>
      </c>
      <c r="G20" s="357">
        <f t="shared" si="3"/>
        <v>364.21447368421053</v>
      </c>
      <c r="H20" s="357">
        <f t="shared" si="3"/>
        <v>624.25394736842111</v>
      </c>
      <c r="I20" s="357">
        <f t="shared" si="3"/>
        <v>435.06710526315794</v>
      </c>
      <c r="J20" s="357">
        <f t="shared" si="3"/>
        <v>452.31710526315788</v>
      </c>
      <c r="K20" s="357">
        <f t="shared" si="3"/>
        <v>681.87236842105278</v>
      </c>
      <c r="L20" s="357">
        <f t="shared" si="3"/>
        <v>67.172368421052639</v>
      </c>
      <c r="M20" s="357">
        <f t="shared" si="3"/>
        <v>608.93552631578962</v>
      </c>
      <c r="N20" s="51"/>
      <c r="O20" s="26" t="s">
        <v>32</v>
      </c>
      <c r="P20" s="134">
        <f>+'RPM inputs'!E6</f>
        <v>115905087.64993787</v>
      </c>
      <c r="Q20" s="135">
        <f>+'RPM inputs'!F6</f>
        <v>0.8940959594036697</v>
      </c>
      <c r="R20" s="31">
        <f t="shared" si="2"/>
        <v>103630270.54213762</v>
      </c>
      <c r="S20" s="32">
        <f>SUMPRODUCT(C$27:M$27,C20:M20)/SUMIFS(C$27:M$27,C20:M20,"&gt;0")</f>
        <v>438.99278665155413</v>
      </c>
      <c r="T20" s="33">
        <f t="shared" ref="T20:T21" si="4">R20*S20/SUMPRODUCT(R$18:R$21,S$18:S$21)</f>
        <v>0.56481561104668476</v>
      </c>
      <c r="U20" s="36">
        <f>IF(P20=0,0,'RPM inputs'!$E$23*T20*'RPM inputs'!$E$22/P20)</f>
        <v>9.9866876586772735E-2</v>
      </c>
    </row>
    <row r="21" spans="2:25" x14ac:dyDescent="0.25">
      <c r="B21" s="26" t="s">
        <v>33</v>
      </c>
      <c r="C21" s="357">
        <f>+C7*C14</f>
        <v>254.26299999999998</v>
      </c>
      <c r="D21" s="357">
        <f t="shared" ref="D21:M21" si="5">+D7*D14</f>
        <v>321.87600000000003</v>
      </c>
      <c r="E21" s="357">
        <f t="shared" si="5"/>
        <v>294.67700000000002</v>
      </c>
      <c r="F21" s="357">
        <f t="shared" si="5"/>
        <v>0</v>
      </c>
      <c r="G21" s="357">
        <f t="shared" si="5"/>
        <v>302.22894736842107</v>
      </c>
      <c r="H21" s="357">
        <f t="shared" si="5"/>
        <v>324.8105263157895</v>
      </c>
      <c r="I21" s="357">
        <f t="shared" si="5"/>
        <v>47.3342105263158</v>
      </c>
      <c r="J21" s="357">
        <f t="shared" si="5"/>
        <v>152.87368421052633</v>
      </c>
      <c r="K21" s="357">
        <f t="shared" si="5"/>
        <v>382.42894736842112</v>
      </c>
      <c r="L21" s="357">
        <f t="shared" si="5"/>
        <v>334.00789473684216</v>
      </c>
      <c r="M21" s="357">
        <f t="shared" si="5"/>
        <v>309.4921052631579</v>
      </c>
      <c r="N21" s="51"/>
      <c r="O21" s="26" t="s">
        <v>33</v>
      </c>
      <c r="P21" s="134">
        <f>+'RPM inputs'!E7</f>
        <v>8631715.4602739699</v>
      </c>
      <c r="Q21" s="135">
        <f>+'RPM inputs'!F7</f>
        <v>0.49262302658066282</v>
      </c>
      <c r="R21" s="31">
        <f t="shared" si="2"/>
        <v>4252181.7946232622</v>
      </c>
      <c r="S21" s="32">
        <f>SUMPRODUCT(C$27:M$27,C21:M21)/SUMIFS(C$27:M$27,C21:M21,"&gt;0")</f>
        <v>234.29362042603941</v>
      </c>
      <c r="T21" s="33">
        <f t="shared" si="4"/>
        <v>1.2369010630604908E-2</v>
      </c>
      <c r="U21" s="36">
        <f>IF(P21=0,0,'RPM inputs'!$E$23*T21*'RPM inputs'!$E$22/P21)</f>
        <v>2.9366698353950633E-2</v>
      </c>
    </row>
    <row r="22" spans="2:25" x14ac:dyDescent="0.25">
      <c r="N22" s="51"/>
      <c r="O22" s="51"/>
      <c r="P22" s="51"/>
      <c r="Q22" s="51"/>
      <c r="R22" s="51"/>
      <c r="S22" s="51"/>
      <c r="T22" s="51"/>
      <c r="U22" s="51"/>
    </row>
    <row r="23" spans="2:25" x14ac:dyDescent="0.25">
      <c r="B23" s="612" t="s">
        <v>230</v>
      </c>
      <c r="C23" s="610"/>
      <c r="D23" s="610"/>
      <c r="E23" s="610"/>
      <c r="F23" s="610"/>
      <c r="G23" s="610"/>
      <c r="H23" s="610"/>
      <c r="I23" s="610"/>
      <c r="J23" s="610"/>
      <c r="K23" s="610"/>
      <c r="L23" s="610"/>
      <c r="M23" s="611"/>
      <c r="N23" s="51"/>
      <c r="O23" s="51"/>
      <c r="P23" s="51"/>
      <c r="Q23" s="51"/>
      <c r="R23" s="51"/>
      <c r="S23" s="51"/>
      <c r="T23" s="51"/>
      <c r="U23" s="51"/>
    </row>
    <row r="24" spans="2:25" x14ac:dyDescent="0.25">
      <c r="B24" s="102"/>
      <c r="C24" s="28" t="s">
        <v>30</v>
      </c>
      <c r="D24" s="28" t="s">
        <v>31</v>
      </c>
      <c r="E24" s="28" t="s">
        <v>32</v>
      </c>
      <c r="F24" s="28" t="s">
        <v>33</v>
      </c>
      <c r="G24" s="28" t="s">
        <v>34</v>
      </c>
      <c r="H24" s="28" t="s">
        <v>35</v>
      </c>
      <c r="I24" s="28" t="s">
        <v>36</v>
      </c>
      <c r="J24" s="28" t="s">
        <v>37</v>
      </c>
      <c r="K24" s="28" t="s">
        <v>38</v>
      </c>
      <c r="L24" s="28" t="s">
        <v>39</v>
      </c>
      <c r="M24" s="28" t="s">
        <v>40</v>
      </c>
      <c r="N24" s="51"/>
      <c r="O24" s="51"/>
      <c r="P24" s="51"/>
      <c r="Q24" s="51"/>
      <c r="R24" s="51"/>
      <c r="S24" s="51"/>
      <c r="T24" s="51"/>
      <c r="U24" s="51"/>
    </row>
    <row r="25" spans="2:25" ht="18" x14ac:dyDescent="0.35">
      <c r="B25" s="388" t="s">
        <v>239</v>
      </c>
      <c r="C25" s="134">
        <f t="array" ref="C25:M25">TRANSPOSE('RPM inputs'!$E$8:$E$18)</f>
        <v>280977.50819672126</v>
      </c>
      <c r="D25" s="134">
        <v>127717.04918032786</v>
      </c>
      <c r="E25" s="134">
        <v>0</v>
      </c>
      <c r="F25" s="134">
        <v>8631715.4602739699</v>
      </c>
      <c r="G25" s="134">
        <v>63163802.957976975</v>
      </c>
      <c r="H25" s="134">
        <v>75549719.636263147</v>
      </c>
      <c r="I25" s="134">
        <v>65554137.757273704</v>
      </c>
      <c r="J25" s="134">
        <v>32233256.928010706</v>
      </c>
      <c r="K25" s="134">
        <v>4542292.6721454207</v>
      </c>
      <c r="L25" s="134">
        <v>28314076.568865161</v>
      </c>
      <c r="M25" s="134">
        <v>3360560.23150955</v>
      </c>
      <c r="N25" s="51"/>
      <c r="O25" s="51"/>
      <c r="P25" s="51"/>
      <c r="Q25" s="51"/>
      <c r="R25" s="51"/>
      <c r="S25" s="51"/>
      <c r="T25" s="51"/>
      <c r="U25" s="51"/>
    </row>
    <row r="26" spans="2:25" ht="18" x14ac:dyDescent="0.35">
      <c r="B26" s="387" t="s">
        <v>240</v>
      </c>
      <c r="C26" s="176">
        <f t="array" ref="C26:M26">TRANSPOSE('RPM inputs'!$F$8:$F$18)</f>
        <v>6.6988626720183478E-2</v>
      </c>
      <c r="D26" s="176">
        <v>6.6988626720183478E-2</v>
      </c>
      <c r="E26" s="176">
        <v>0</v>
      </c>
      <c r="F26" s="176">
        <v>0.28108548364299851</v>
      </c>
      <c r="G26" s="176">
        <v>0.58863487865516284</v>
      </c>
      <c r="H26" s="176">
        <v>0.58863487865516284</v>
      </c>
      <c r="I26" s="176">
        <v>0.58863487865516284</v>
      </c>
      <c r="J26" s="176">
        <v>0.58863487865516284</v>
      </c>
      <c r="K26" s="176">
        <v>0.58863487865516284</v>
      </c>
      <c r="L26" s="176">
        <v>0.58863487865516284</v>
      </c>
      <c r="M26" s="176">
        <v>0.58863487865516284</v>
      </c>
      <c r="N26" s="51"/>
      <c r="O26" s="51"/>
      <c r="P26" s="51"/>
      <c r="Q26" s="51"/>
      <c r="R26" s="51"/>
      <c r="S26" s="51"/>
      <c r="T26" s="51"/>
      <c r="U26" s="51"/>
    </row>
    <row r="27" spans="2:25" ht="18.75" x14ac:dyDescent="0.35">
      <c r="B27" s="387" t="s">
        <v>241</v>
      </c>
      <c r="C27" s="31">
        <f>+C25*C26</f>
        <v>18822.297413357453</v>
      </c>
      <c r="D27" s="31">
        <f t="shared" ref="D27:M27" si="6">+D25*D26</f>
        <v>8555.5897333442972</v>
      </c>
      <c r="E27" s="31">
        <f t="shared" si="6"/>
        <v>0</v>
      </c>
      <c r="F27" s="31">
        <f t="shared" si="6"/>
        <v>2426249.9148198562</v>
      </c>
      <c r="G27" s="31">
        <f t="shared" si="6"/>
        <v>37180417.489567392</v>
      </c>
      <c r="H27" s="31">
        <f t="shared" si="6"/>
        <v>44471200.050523333</v>
      </c>
      <c r="I27" s="31">
        <f t="shared" si="6"/>
        <v>38587451.924096636</v>
      </c>
      <c r="J27" s="31">
        <f t="shared" si="6"/>
        <v>18973619.280480269</v>
      </c>
      <c r="K27" s="31">
        <f t="shared" si="6"/>
        <v>2673751.8958845553</v>
      </c>
      <c r="L27" s="31">
        <f t="shared" si="6"/>
        <v>16666653.025346933</v>
      </c>
      <c r="M27" s="31">
        <f t="shared" si="6"/>
        <v>1978142.9640879899</v>
      </c>
      <c r="N27" s="51"/>
      <c r="O27" s="51"/>
      <c r="P27" s="51"/>
      <c r="Q27" s="51"/>
      <c r="R27" s="51"/>
      <c r="S27" s="51"/>
      <c r="T27" s="51"/>
      <c r="U27" s="51"/>
    </row>
    <row r="28" spans="2:25" ht="18" x14ac:dyDescent="0.35">
      <c r="B28" s="387" t="s">
        <v>242</v>
      </c>
      <c r="C28" s="32">
        <f>SUMPRODUCT($R18:$R21,C18:C21)/SUMIFS($R18:$R21,C18:C21,"&gt;0")</f>
        <v>474.4776217807086</v>
      </c>
      <c r="D28" s="32">
        <f t="shared" ref="D28:M28" si="7">SUMPRODUCT($R18:$R21,D18:D21)/SUMIFS($R18:$R21,D18:D21,"&gt;0")</f>
        <v>528.40974119523685</v>
      </c>
      <c r="E28" s="32">
        <f t="shared" si="7"/>
        <v>475.87256967863999</v>
      </c>
      <c r="F28" s="32">
        <f t="shared" si="7"/>
        <v>280.00308624310816</v>
      </c>
      <c r="G28" s="32">
        <f t="shared" si="7"/>
        <v>439.14889614641396</v>
      </c>
      <c r="H28" s="32">
        <f t="shared" si="7"/>
        <v>586.9373560000771</v>
      </c>
      <c r="I28" s="32">
        <f t="shared" si="7"/>
        <v>407.0627428897705</v>
      </c>
      <c r="J28" s="32">
        <f t="shared" si="7"/>
        <v>350.19741171418042</v>
      </c>
      <c r="K28" s="32">
        <f t="shared" si="7"/>
        <v>638.58930625218272</v>
      </c>
      <c r="L28" s="32">
        <f t="shared" si="7"/>
        <v>281.76590779463146</v>
      </c>
      <c r="M28" s="32">
        <f t="shared" si="7"/>
        <v>504.84670607796937</v>
      </c>
      <c r="N28" s="51"/>
      <c r="O28" s="51"/>
      <c r="P28" s="51"/>
      <c r="Q28" s="51"/>
      <c r="R28" s="51"/>
      <c r="S28" s="51"/>
      <c r="T28" s="51"/>
      <c r="U28" s="51"/>
    </row>
    <row r="29" spans="2:25" ht="18" x14ac:dyDescent="0.35">
      <c r="B29" s="387" t="s">
        <v>243</v>
      </c>
      <c r="C29" s="33">
        <f>C27*C28/SUMPRODUCT($C27:$M27,$C28:$M28)</f>
        <v>1.2254637352225196E-4</v>
      </c>
      <c r="D29" s="33">
        <f t="shared" ref="D29:M29" si="8">D27*D28/SUMPRODUCT($C27:$M27,$C28:$M28)</f>
        <v>6.2034439699164119E-5</v>
      </c>
      <c r="E29" s="33">
        <f t="shared" si="8"/>
        <v>0</v>
      </c>
      <c r="F29" s="33">
        <f t="shared" si="8"/>
        <v>9.3220289973298225E-3</v>
      </c>
      <c r="G29" s="33">
        <f t="shared" si="8"/>
        <v>0.22404649575096255</v>
      </c>
      <c r="H29" s="33">
        <f t="shared" si="8"/>
        <v>0.35816463241784996</v>
      </c>
      <c r="I29" s="33">
        <f t="shared" si="8"/>
        <v>0.21553586868574254</v>
      </c>
      <c r="J29" s="33">
        <f t="shared" si="8"/>
        <v>9.1174882427526416E-2</v>
      </c>
      <c r="K29" s="33">
        <f t="shared" si="8"/>
        <v>2.3429058959444339E-2</v>
      </c>
      <c r="L29" s="33">
        <f t="shared" si="8"/>
        <v>6.4439021470038479E-2</v>
      </c>
      <c r="M29" s="33">
        <f t="shared" si="8"/>
        <v>1.3703430477884445E-2</v>
      </c>
      <c r="N29" s="51"/>
      <c r="O29" s="51"/>
      <c r="P29" s="51"/>
      <c r="Q29" s="51"/>
      <c r="R29" s="51"/>
      <c r="S29" s="51"/>
      <c r="T29" s="51"/>
      <c r="U29" s="51"/>
    </row>
    <row r="30" spans="2:25" ht="18" x14ac:dyDescent="0.35">
      <c r="B30" s="387" t="s">
        <v>244</v>
      </c>
      <c r="C30" s="35">
        <f>IF(C25=0,0,(1-'RPM inputs'!$E$23)*C29*'RPM inputs'!$E$22/C25)</f>
        <v>2.2983737208252857E-2</v>
      </c>
      <c r="D30" s="35">
        <f>IF(D25=0,0,(1-'RPM inputs'!$E$23)*D29*'RPM inputs'!$E$22/D25)</f>
        <v>2.5596213756789683E-2</v>
      </c>
      <c r="E30" s="35">
        <f>IF(E25=0,0,(1-'RPM inputs'!$E$23)*E29*'RPM inputs'!$E$22/E25)</f>
        <v>0</v>
      </c>
      <c r="F30" s="35">
        <f>IF(F25=0,0,(1-'RPM inputs'!$E$23)*F29*'RPM inputs'!$E$22/F25)</f>
        <v>5.6912160700480677E-2</v>
      </c>
      <c r="G30" s="35">
        <f>IF(G25=0,0,(1-'RPM inputs'!$E$23)*G29*'RPM inputs'!$E$22/G25)</f>
        <v>0.18692251933810602</v>
      </c>
      <c r="H30" s="35">
        <f>IF(H25=0,0,(1-'RPM inputs'!$E$23)*H29*'RPM inputs'!$E$22/H25)</f>
        <v>0.24982827063876509</v>
      </c>
      <c r="I30" s="35">
        <f>IF(I25=0,0,(1-'RPM inputs'!$E$23)*I29*'RPM inputs'!$E$22/I25)</f>
        <v>0.17326513648862091</v>
      </c>
      <c r="J30" s="35">
        <f>IF(J25=0,0,(1-'RPM inputs'!$E$23)*J29*'RPM inputs'!$E$22/J25)</f>
        <v>0.14906056473719115</v>
      </c>
      <c r="K30" s="35">
        <f>IF(K25=0,0,(1-'RPM inputs'!$E$23)*K29*'RPM inputs'!$E$22/K25)</f>
        <v>0.27181378114459387</v>
      </c>
      <c r="L30" s="35">
        <f>IF(L25=0,0,(1-'RPM inputs'!$E$23)*L29*'RPM inputs'!$E$22/L25)</f>
        <v>0.1199328833813148</v>
      </c>
      <c r="M30" s="35">
        <f>IF(M25=0,0,(1-'RPM inputs'!$E$23)*M29*'RPM inputs'!$E$22/M25)</f>
        <v>0.21488661136967985</v>
      </c>
      <c r="N30" s="51"/>
      <c r="O30" s="51"/>
      <c r="P30" s="51"/>
      <c r="Q30" s="51"/>
      <c r="R30" s="51"/>
      <c r="S30" s="51"/>
      <c r="T30" s="51"/>
      <c r="U30" s="51"/>
    </row>
    <row r="31" spans="2:25" x14ac:dyDescent="0.25">
      <c r="N31" s="51"/>
      <c r="O31" s="51"/>
      <c r="P31" s="51"/>
      <c r="Q31" s="51"/>
      <c r="R31" s="51"/>
      <c r="S31" s="51"/>
      <c r="T31" s="51"/>
      <c r="U31" s="51"/>
      <c r="W31" s="384" t="s">
        <v>232</v>
      </c>
    </row>
    <row r="32" spans="2:25" ht="18" x14ac:dyDescent="0.35">
      <c r="N32" s="51"/>
      <c r="O32" s="51"/>
      <c r="P32" s="51"/>
      <c r="Q32" s="51"/>
      <c r="R32" s="51"/>
      <c r="S32" s="51"/>
      <c r="T32" s="51"/>
      <c r="W32" s="385" t="s">
        <v>245</v>
      </c>
      <c r="X32" s="386" t="s">
        <v>199</v>
      </c>
      <c r="Y32" t="s">
        <v>251</v>
      </c>
    </row>
    <row r="33" spans="14:25" ht="18" x14ac:dyDescent="0.35">
      <c r="N33" s="51"/>
      <c r="O33" s="51"/>
      <c r="P33" s="51"/>
      <c r="Q33" s="51"/>
      <c r="R33" s="51"/>
      <c r="S33" s="51"/>
      <c r="T33" s="51"/>
      <c r="W33" s="385" t="s">
        <v>246</v>
      </c>
      <c r="X33" t="s">
        <v>199</v>
      </c>
      <c r="Y33" t="s">
        <v>252</v>
      </c>
    </row>
    <row r="34" spans="14:25" ht="18.75" x14ac:dyDescent="0.35">
      <c r="N34" s="51"/>
      <c r="O34" s="51"/>
      <c r="P34" s="51"/>
      <c r="Q34" s="51"/>
      <c r="R34" s="51"/>
      <c r="S34" s="51"/>
      <c r="T34" s="51"/>
      <c r="W34" s="385" t="s">
        <v>247</v>
      </c>
      <c r="X34" t="s">
        <v>199</v>
      </c>
      <c r="Y34" t="s">
        <v>253</v>
      </c>
    </row>
    <row r="35" spans="14:25" ht="18" x14ac:dyDescent="0.35">
      <c r="N35" s="51"/>
      <c r="O35" s="51"/>
      <c r="P35" s="51"/>
      <c r="Q35" s="51"/>
      <c r="R35" s="51"/>
      <c r="S35" s="51"/>
      <c r="T35" s="51"/>
      <c r="W35" s="385" t="s">
        <v>248</v>
      </c>
      <c r="X35" t="s">
        <v>199</v>
      </c>
      <c r="Y35" t="s">
        <v>254</v>
      </c>
    </row>
    <row r="36" spans="14:25" ht="18" x14ac:dyDescent="0.35">
      <c r="N36" s="51"/>
      <c r="O36" s="51"/>
      <c r="P36" s="51"/>
      <c r="Q36" s="51"/>
      <c r="R36" s="51"/>
      <c r="S36" s="51"/>
      <c r="T36" s="51"/>
      <c r="W36" s="385" t="s">
        <v>249</v>
      </c>
      <c r="X36" t="s">
        <v>199</v>
      </c>
      <c r="Y36" t="s">
        <v>255</v>
      </c>
    </row>
    <row r="37" spans="14:25" ht="18" x14ac:dyDescent="0.35">
      <c r="N37" s="51"/>
      <c r="O37" s="51"/>
      <c r="P37" s="51"/>
      <c r="Q37" s="51"/>
      <c r="R37" s="51"/>
      <c r="S37" s="51"/>
      <c r="T37" s="51"/>
      <c r="W37" s="385" t="s">
        <v>250</v>
      </c>
      <c r="X37" t="s">
        <v>199</v>
      </c>
      <c r="Y37" t="s">
        <v>256</v>
      </c>
    </row>
    <row r="38" spans="14:25" ht="18" x14ac:dyDescent="0.35">
      <c r="N38" s="51"/>
      <c r="O38" s="51"/>
      <c r="P38" s="51"/>
      <c r="Q38" s="51"/>
      <c r="R38" s="51"/>
      <c r="S38" s="51"/>
      <c r="T38" s="51"/>
      <c r="W38" s="385" t="s">
        <v>257</v>
      </c>
      <c r="X38" s="386" t="s">
        <v>199</v>
      </c>
      <c r="Y38" t="s">
        <v>263</v>
      </c>
    </row>
    <row r="39" spans="14:25" ht="18" x14ac:dyDescent="0.35">
      <c r="W39" s="385" t="s">
        <v>258</v>
      </c>
      <c r="X39" t="s">
        <v>199</v>
      </c>
      <c r="Y39" t="s">
        <v>264</v>
      </c>
    </row>
    <row r="40" spans="14:25" ht="18.75" x14ac:dyDescent="0.35">
      <c r="W40" s="385" t="s">
        <v>259</v>
      </c>
      <c r="X40" t="s">
        <v>199</v>
      </c>
      <c r="Y40" t="s">
        <v>265</v>
      </c>
    </row>
    <row r="41" spans="14:25" ht="18" x14ac:dyDescent="0.35">
      <c r="W41" s="385" t="s">
        <v>260</v>
      </c>
      <c r="X41" t="s">
        <v>199</v>
      </c>
      <c r="Y41" t="s">
        <v>266</v>
      </c>
    </row>
    <row r="42" spans="14:25" ht="18" x14ac:dyDescent="0.35">
      <c r="W42" s="385" t="s">
        <v>261</v>
      </c>
      <c r="X42" t="s">
        <v>199</v>
      </c>
      <c r="Y42" t="s">
        <v>267</v>
      </c>
    </row>
    <row r="43" spans="14:25" ht="18" x14ac:dyDescent="0.35">
      <c r="W43" s="385" t="s">
        <v>262</v>
      </c>
      <c r="X43" t="s">
        <v>199</v>
      </c>
      <c r="Y43" t="s">
        <v>268</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T53"/>
  <sheetViews>
    <sheetView showGridLines="0" zoomScale="120" zoomScaleNormal="120" workbookViewId="0">
      <selection activeCell="B22" sqref="B22"/>
    </sheetView>
  </sheetViews>
  <sheetFormatPr defaultColWidth="0" defaultRowHeight="0" customHeight="1" zeroHeight="1" x14ac:dyDescent="0.25"/>
  <cols>
    <col min="1" max="1" width="9.140625" customWidth="1"/>
    <col min="2" max="2" width="23.28515625" customWidth="1"/>
    <col min="3" max="3" width="15.42578125" bestFit="1" customWidth="1"/>
    <col min="4" max="4" width="2.7109375" customWidth="1"/>
    <col min="5" max="5" width="11" customWidth="1"/>
    <col min="6" max="6" width="35.140625" bestFit="1" customWidth="1"/>
    <col min="7" max="7" width="64" bestFit="1" customWidth="1"/>
    <col min="8" max="8" width="32.140625" customWidth="1"/>
    <col min="9" max="9" width="13.85546875" customWidth="1"/>
    <col min="10" max="10" width="2.7109375" customWidth="1"/>
    <col min="11" max="11" width="13.140625" bestFit="1" customWidth="1"/>
    <col min="12" max="12" width="2.7109375" customWidth="1"/>
    <col min="13" max="13" width="9.28515625" bestFit="1" customWidth="1"/>
    <col min="14" max="14" width="2.7109375" customWidth="1"/>
    <col min="15" max="15" width="26.140625" bestFit="1" customWidth="1"/>
    <col min="16" max="16" width="13.85546875" customWidth="1"/>
    <col min="17" max="17" width="9.140625" customWidth="1"/>
    <col min="18" max="19" width="9.140625" hidden="1" customWidth="1"/>
    <col min="20" max="20" width="11.7109375" hidden="1" customWidth="1"/>
    <col min="21" max="16384" width="9.140625" hidden="1"/>
  </cols>
  <sheetData>
    <row r="1" spans="1:16" ht="15.75" thickBot="1" x14ac:dyDescent="0.3"/>
    <row r="2" spans="1:16" ht="15.75" thickBot="1" x14ac:dyDescent="0.3">
      <c r="A2" s="2" t="s">
        <v>269</v>
      </c>
      <c r="B2" s="79"/>
      <c r="C2" s="80"/>
      <c r="H2" s="177"/>
    </row>
    <row r="3" spans="1:16" ht="15.75" thickBot="1" x14ac:dyDescent="0.3">
      <c r="A3" s="81"/>
      <c r="B3" s="44" t="s">
        <v>204</v>
      </c>
      <c r="C3" s="76" t="s">
        <v>273</v>
      </c>
    </row>
    <row r="4" spans="1:16" ht="15" x14ac:dyDescent="0.25">
      <c r="A4" s="37" t="s">
        <v>159</v>
      </c>
      <c r="B4" s="11" t="s">
        <v>345</v>
      </c>
      <c r="C4" s="230">
        <f>'RPM inputs'!$E$23*(RPM!T18+RPM!T19)*'RPM inputs'!$E$22/(RPM!P18+RPM!P19)</f>
        <v>0.1084282440194906</v>
      </c>
      <c r="E4" s="233"/>
    </row>
    <row r="5" spans="1:16" ht="15" x14ac:dyDescent="0.25">
      <c r="A5" s="38"/>
      <c r="B5" s="14" t="s">
        <v>346</v>
      </c>
      <c r="C5" s="231">
        <f>+RPM!U20</f>
        <v>9.9866876586772735E-2</v>
      </c>
    </row>
    <row r="6" spans="1:16" ht="15.75" thickBot="1" x14ac:dyDescent="0.3">
      <c r="A6" s="39"/>
      <c r="B6" s="16" t="s">
        <v>347</v>
      </c>
      <c r="C6" s="232">
        <f>+RPM!U21</f>
        <v>2.9366698353950633E-2</v>
      </c>
    </row>
    <row r="7" spans="1:16" ht="15" x14ac:dyDescent="0.25">
      <c r="A7" s="37" t="s">
        <v>160</v>
      </c>
      <c r="B7" s="11" t="str">
        <f>+B4</f>
        <v>VIP [A+B]</v>
      </c>
      <c r="C7" s="230">
        <f>IF((RPM!C25+RPM!D25)=0,0,(1-'RPM inputs'!$E$23)*(RPM!C29+RPM!D29)*'RPM inputs'!$E$22/(RPM!C25+RPM!D25))</f>
        <v>2.3800136129670614E-2</v>
      </c>
    </row>
    <row r="8" spans="1:16" ht="15" x14ac:dyDescent="0.25">
      <c r="A8" s="38"/>
      <c r="B8" s="14" t="str">
        <f t="shared" ref="B8:B9" si="0">+B5</f>
        <v>Terminal GNL [C]</v>
      </c>
      <c r="C8" s="231">
        <f>+RPM!E30</f>
        <v>0</v>
      </c>
    </row>
    <row r="9" spans="1:16" ht="15" x14ac:dyDescent="0.25">
      <c r="A9" s="38"/>
      <c r="B9" s="14" t="str">
        <f t="shared" si="0"/>
        <v>Armazenamento [D]</v>
      </c>
      <c r="C9" s="231">
        <f>+RPM!F30</f>
        <v>5.6912160700480677E-2</v>
      </c>
    </row>
    <row r="10" spans="1:16" ht="15.75" thickBot="1" x14ac:dyDescent="0.3">
      <c r="A10" s="39"/>
      <c r="B10" s="16" t="s">
        <v>348</v>
      </c>
      <c r="C10" s="232">
        <f>(1-'RPM inputs'!$E$23)*SUM(RPM!G29:M29)*'RPM inputs'!$E$22/SUM(RPM!G25:M25)</f>
        <v>0.19139463625988049</v>
      </c>
    </row>
    <row r="11" spans="1:16" ht="15.75" thickBot="1" x14ac:dyDescent="0.3"/>
    <row r="12" spans="1:16" ht="15.75" thickBot="1" x14ac:dyDescent="0.3">
      <c r="H12" s="25" t="str">
        <f>+A2</f>
        <v>Preços pós-equalização</v>
      </c>
      <c r="I12" s="24" t="str">
        <f>+Data_a!$L$4</f>
        <v>2019-2020</v>
      </c>
      <c r="K12" s="25" t="s">
        <v>270</v>
      </c>
      <c r="M12" s="25" t="s">
        <v>271</v>
      </c>
      <c r="O12" s="25" t="s">
        <v>272</v>
      </c>
      <c r="P12" s="24" t="str">
        <f>+Data_a!$L$4</f>
        <v>2019-2020</v>
      </c>
    </row>
    <row r="13" spans="1:16" ht="15.75" thickBot="1" x14ac:dyDescent="0.3">
      <c r="F13" s="8" t="e">
        <f>+Input!#REF!</f>
        <v>#REF!</v>
      </c>
      <c r="G13" s="8" t="e">
        <f>+Input!#REF!</f>
        <v>#REF!</v>
      </c>
      <c r="H13" s="8" t="e">
        <f>+Input!#REF!</f>
        <v>#REF!</v>
      </c>
      <c r="I13" s="45"/>
      <c r="K13" s="50"/>
      <c r="M13" s="50"/>
      <c r="O13" s="8" t="e">
        <f>+H13</f>
        <v>#REF!</v>
      </c>
      <c r="P13" s="45"/>
    </row>
    <row r="14" spans="1:16" ht="15" x14ac:dyDescent="0.25">
      <c r="E14" s="5" t="str">
        <f>+Input!C10</f>
        <v>Entry</v>
      </c>
      <c r="F14" s="21" t="str">
        <f>+Input!D10</f>
        <v>Interconnection points (VIP)</v>
      </c>
      <c r="G14" s="12" t="str">
        <f>+Input!E10</f>
        <v>Yearly</v>
      </c>
      <c r="H14" s="46" t="s">
        <v>273</v>
      </c>
      <c r="I14" s="43">
        <f>$C$4</f>
        <v>0.1084282440194906</v>
      </c>
      <c r="K14" s="60">
        <f>+Data_b!D18</f>
        <v>1</v>
      </c>
      <c r="M14" s="178">
        <f>+Data_b!$D$13</f>
        <v>0</v>
      </c>
      <c r="O14" s="46" t="str">
        <f>+H14</f>
        <v>€/(kWh/dia)/ano</v>
      </c>
      <c r="P14" s="43">
        <f>+I14*K14*(1-M14)</f>
        <v>0.1084282440194906</v>
      </c>
    </row>
    <row r="15" spans="1:16" ht="15" x14ac:dyDescent="0.25">
      <c r="E15" s="6"/>
      <c r="F15" s="22"/>
      <c r="G15" s="10" t="str">
        <f>+Input!E11</f>
        <v>Quarterly</v>
      </c>
      <c r="H15" s="14" t="s">
        <v>273</v>
      </c>
      <c r="I15" s="40">
        <f>$C$4</f>
        <v>0.1084282440194906</v>
      </c>
      <c r="K15" s="61">
        <f>+Data_b!D19</f>
        <v>1.3</v>
      </c>
      <c r="M15" s="228">
        <f>+Data_b!$D$13</f>
        <v>0</v>
      </c>
      <c r="O15" s="14" t="str">
        <f t="shared" ref="O15:O44" si="1">+H15</f>
        <v>€/(kWh/dia)/ano</v>
      </c>
      <c r="P15" s="40">
        <f t="shared" ref="P15:P44" si="2">+I15*K15*(1-M15)</f>
        <v>0.14095671722533779</v>
      </c>
    </row>
    <row r="16" spans="1:16" ht="15" x14ac:dyDescent="0.25">
      <c r="E16" s="6"/>
      <c r="F16" s="22"/>
      <c r="G16" s="10" t="str">
        <f>+Input!E12</f>
        <v>Monthly</v>
      </c>
      <c r="H16" s="14" t="s">
        <v>273</v>
      </c>
      <c r="I16" s="40">
        <f>$C$4</f>
        <v>0.1084282440194906</v>
      </c>
      <c r="K16" s="61">
        <f>+Data_b!D20</f>
        <v>1.5</v>
      </c>
      <c r="M16" s="228">
        <f>+Data_b!$D$13</f>
        <v>0</v>
      </c>
      <c r="O16" s="14" t="str">
        <f t="shared" si="1"/>
        <v>€/(kWh/dia)/ano</v>
      </c>
      <c r="P16" s="40">
        <f t="shared" si="2"/>
        <v>0.1626423660292359</v>
      </c>
    </row>
    <row r="17" spans="5:16" ht="15" x14ac:dyDescent="0.25">
      <c r="E17" s="6"/>
      <c r="F17" s="22"/>
      <c r="G17" s="10" t="str">
        <f>+Input!E13</f>
        <v>Daily</v>
      </c>
      <c r="H17" s="14" t="s">
        <v>273</v>
      </c>
      <c r="I17" s="40">
        <f>$C$4</f>
        <v>0.1084282440194906</v>
      </c>
      <c r="K17" s="61">
        <f>+Data_b!D21</f>
        <v>2</v>
      </c>
      <c r="M17" s="228">
        <f>+Data_b!$D$13</f>
        <v>0</v>
      </c>
      <c r="O17" s="14" t="str">
        <f t="shared" si="1"/>
        <v>€/(kWh/dia)/ano</v>
      </c>
      <c r="P17" s="40">
        <f t="shared" si="2"/>
        <v>0.21685648803898119</v>
      </c>
    </row>
    <row r="18" spans="5:16" ht="15.75" thickBot="1" x14ac:dyDescent="0.3">
      <c r="E18" s="6"/>
      <c r="F18" s="23"/>
      <c r="G18" s="17" t="str">
        <f>+Input!E14</f>
        <v>Intraday</v>
      </c>
      <c r="H18" s="16" t="s">
        <v>274</v>
      </c>
      <c r="I18" s="41">
        <f>$C$4*24</f>
        <v>2.6022778564677744</v>
      </c>
      <c r="K18" s="62">
        <f>+Data_b!D22</f>
        <v>2.2000000000000002</v>
      </c>
      <c r="M18" s="179">
        <f>+Data_b!$D$13</f>
        <v>0</v>
      </c>
      <c r="O18" s="16" t="str">
        <f t="shared" si="1"/>
        <v>€/(kWh/h)/ano</v>
      </c>
      <c r="P18" s="41">
        <f t="shared" si="2"/>
        <v>5.7250112842291045</v>
      </c>
    </row>
    <row r="19" spans="5:16" ht="15" x14ac:dyDescent="0.25">
      <c r="E19" s="6"/>
      <c r="F19" s="21" t="str">
        <f>+Input!D15</f>
        <v>LNG terminal</v>
      </c>
      <c r="G19" s="12" t="str">
        <f>+Input!E15</f>
        <v>Yearly</v>
      </c>
      <c r="H19" s="46" t="s">
        <v>273</v>
      </c>
      <c r="I19" s="43">
        <f>$C$5</f>
        <v>9.9866876586772735E-2</v>
      </c>
      <c r="K19" s="60">
        <f>+Data_b!D23</f>
        <v>1</v>
      </c>
      <c r="M19" s="178">
        <f>+Data_b!$D$13</f>
        <v>0</v>
      </c>
      <c r="O19" s="46" t="str">
        <f t="shared" si="1"/>
        <v>€/(kWh/dia)/ano</v>
      </c>
      <c r="P19" s="43">
        <f t="shared" si="2"/>
        <v>9.9866876586772735E-2</v>
      </c>
    </row>
    <row r="20" spans="5:16" ht="15" x14ac:dyDescent="0.25">
      <c r="E20" s="6"/>
      <c r="F20" s="22"/>
      <c r="G20" s="10" t="str">
        <f>+Input!E16</f>
        <v>Quarterly</v>
      </c>
      <c r="H20" s="14" t="s">
        <v>273</v>
      </c>
      <c r="I20" s="40">
        <f>$C$5</f>
        <v>9.9866876586772735E-2</v>
      </c>
      <c r="K20" s="61">
        <f>+Data_b!D24</f>
        <v>1.3</v>
      </c>
      <c r="M20" s="228">
        <f>+Data_b!$D$13</f>
        <v>0</v>
      </c>
      <c r="O20" s="14" t="str">
        <f t="shared" si="1"/>
        <v>€/(kWh/dia)/ano</v>
      </c>
      <c r="P20" s="40">
        <f t="shared" si="2"/>
        <v>0.12982693956280456</v>
      </c>
    </row>
    <row r="21" spans="5:16" ht="15" x14ac:dyDescent="0.25">
      <c r="E21" s="6"/>
      <c r="F21" s="22"/>
      <c r="G21" s="10" t="str">
        <f>+Input!E17</f>
        <v>Monthly</v>
      </c>
      <c r="H21" s="14" t="s">
        <v>273</v>
      </c>
      <c r="I21" s="40">
        <f>$C$5</f>
        <v>9.9866876586772735E-2</v>
      </c>
      <c r="K21" s="61">
        <f>+Data_b!D25</f>
        <v>1.5</v>
      </c>
      <c r="M21" s="228">
        <f>+Data_b!$D$13</f>
        <v>0</v>
      </c>
      <c r="O21" s="14" t="str">
        <f t="shared" si="1"/>
        <v>€/(kWh/dia)/ano</v>
      </c>
      <c r="P21" s="40">
        <f t="shared" si="2"/>
        <v>0.1498003148801591</v>
      </c>
    </row>
    <row r="22" spans="5:16" ht="15" x14ac:dyDescent="0.25">
      <c r="E22" s="6"/>
      <c r="F22" s="22"/>
      <c r="G22" s="10" t="str">
        <f>+Input!E18</f>
        <v>Daily</v>
      </c>
      <c r="H22" s="14" t="s">
        <v>273</v>
      </c>
      <c r="I22" s="40">
        <f>$C$5</f>
        <v>9.9866876586772735E-2</v>
      </c>
      <c r="K22" s="61">
        <f>+Data_b!D26</f>
        <v>2</v>
      </c>
      <c r="M22" s="228">
        <f>+Data_b!$D$13</f>
        <v>0</v>
      </c>
      <c r="O22" s="14" t="str">
        <f t="shared" si="1"/>
        <v>€/(kWh/dia)/ano</v>
      </c>
      <c r="P22" s="40">
        <f t="shared" si="2"/>
        <v>0.19973375317354547</v>
      </c>
    </row>
    <row r="23" spans="5:16" ht="15.75" thickBot="1" x14ac:dyDescent="0.3">
      <c r="E23" s="6"/>
      <c r="F23" s="23"/>
      <c r="G23" s="17" t="str">
        <f>+Input!E19</f>
        <v>Intraday</v>
      </c>
      <c r="H23" s="16" t="s">
        <v>274</v>
      </c>
      <c r="I23" s="41">
        <f>$C$5*24</f>
        <v>2.3968050380825456</v>
      </c>
      <c r="K23" s="62">
        <f>+Data_b!D27</f>
        <v>2.2000000000000002</v>
      </c>
      <c r="M23" s="179">
        <f>+Data_b!$D$13</f>
        <v>0</v>
      </c>
      <c r="O23" s="16" t="str">
        <f t="shared" si="1"/>
        <v>€/(kWh/h)/ano</v>
      </c>
      <c r="P23" s="41">
        <f t="shared" si="2"/>
        <v>5.2729710837816004</v>
      </c>
    </row>
    <row r="24" spans="5:16" ht="15" x14ac:dyDescent="0.25">
      <c r="E24" s="6"/>
      <c r="F24" s="21" t="str">
        <f>+Input!D20</f>
        <v>Underground Storage</v>
      </c>
      <c r="G24" s="12" t="str">
        <f>+Input!E20</f>
        <v>Daily</v>
      </c>
      <c r="H24" s="46" t="s">
        <v>273</v>
      </c>
      <c r="I24" s="43">
        <f>$C$6</f>
        <v>2.9366698353950633E-2</v>
      </c>
      <c r="K24" s="60">
        <f>+Data_b!D28</f>
        <v>1</v>
      </c>
      <c r="M24" s="178">
        <f>+Data_b!$D$11</f>
        <v>1</v>
      </c>
      <c r="O24" s="46" t="str">
        <f t="shared" si="1"/>
        <v>€/(kWh/dia)/ano</v>
      </c>
      <c r="P24" s="43">
        <f t="shared" si="2"/>
        <v>0</v>
      </c>
    </row>
    <row r="25" spans="5:16" ht="15.75" thickBot="1" x14ac:dyDescent="0.3">
      <c r="E25" s="7"/>
      <c r="F25" s="23"/>
      <c r="G25" s="17" t="str">
        <f>+Input!E21</f>
        <v>Intraday</v>
      </c>
      <c r="H25" s="16" t="s">
        <v>274</v>
      </c>
      <c r="I25" s="41">
        <f>$C$6*24</f>
        <v>0.70480076049481521</v>
      </c>
      <c r="K25" s="62">
        <f>+Data_b!D29</f>
        <v>1.1000000000000001</v>
      </c>
      <c r="M25" s="179">
        <f>+Data_b!$D$11</f>
        <v>1</v>
      </c>
      <c r="O25" s="16" t="str">
        <f t="shared" si="1"/>
        <v>€/(kWh/h)/ano</v>
      </c>
      <c r="P25" s="41">
        <f t="shared" si="2"/>
        <v>0</v>
      </c>
    </row>
    <row r="26" spans="5:16" ht="15" x14ac:dyDescent="0.25">
      <c r="E26" s="5" t="str">
        <f>+Input!C22</f>
        <v>Exit</v>
      </c>
      <c r="F26" s="21" t="str">
        <f>+Input!D22</f>
        <v>Interconnection points (VIP)</v>
      </c>
      <c r="G26" s="12" t="str">
        <f>+Input!E22</f>
        <v>Yearly</v>
      </c>
      <c r="H26" s="46" t="s">
        <v>273</v>
      </c>
      <c r="I26" s="43">
        <f>$C$7</f>
        <v>2.3800136129670614E-2</v>
      </c>
      <c r="K26" s="60">
        <f>+Data_b!D30</f>
        <v>1</v>
      </c>
      <c r="M26" s="178">
        <f>+Data_b!$D$13</f>
        <v>0</v>
      </c>
      <c r="O26" s="46" t="str">
        <f t="shared" si="1"/>
        <v>€/(kWh/dia)/ano</v>
      </c>
      <c r="P26" s="43">
        <f t="shared" si="2"/>
        <v>2.3800136129670614E-2</v>
      </c>
    </row>
    <row r="27" spans="5:16" ht="15" x14ac:dyDescent="0.25">
      <c r="E27" s="3"/>
      <c r="F27" s="22"/>
      <c r="G27" s="10" t="str">
        <f>+Input!E23</f>
        <v>Quarterly</v>
      </c>
      <c r="H27" s="14" t="s">
        <v>273</v>
      </c>
      <c r="I27" s="40">
        <f>$C$7</f>
        <v>2.3800136129670614E-2</v>
      </c>
      <c r="K27" s="61">
        <f>+Data_b!D31</f>
        <v>1.3</v>
      </c>
      <c r="M27" s="228">
        <f>+Data_b!$D$13</f>
        <v>0</v>
      </c>
      <c r="O27" s="14" t="str">
        <f t="shared" si="1"/>
        <v>€/(kWh/dia)/ano</v>
      </c>
      <c r="P27" s="40">
        <f t="shared" si="2"/>
        <v>3.0940176968571799E-2</v>
      </c>
    </row>
    <row r="28" spans="5:16" ht="15" x14ac:dyDescent="0.25">
      <c r="E28" s="3"/>
      <c r="F28" s="22"/>
      <c r="G28" s="10" t="str">
        <f>+Input!E24</f>
        <v>Monthly</v>
      </c>
      <c r="H28" s="14" t="s">
        <v>273</v>
      </c>
      <c r="I28" s="40">
        <f>$C$7</f>
        <v>2.3800136129670614E-2</v>
      </c>
      <c r="K28" s="61">
        <f>+Data_b!D32</f>
        <v>1.5</v>
      </c>
      <c r="M28" s="228">
        <f>+Data_b!$D$13</f>
        <v>0</v>
      </c>
      <c r="O28" s="14" t="str">
        <f t="shared" si="1"/>
        <v>€/(kWh/dia)/ano</v>
      </c>
      <c r="P28" s="40">
        <f t="shared" si="2"/>
        <v>3.5700204194505925E-2</v>
      </c>
    </row>
    <row r="29" spans="5:16" ht="15" x14ac:dyDescent="0.25">
      <c r="E29" s="3"/>
      <c r="F29" s="22"/>
      <c r="G29" s="10" t="str">
        <f>+Input!E25</f>
        <v>Daily</v>
      </c>
      <c r="H29" s="14" t="s">
        <v>273</v>
      </c>
      <c r="I29" s="40">
        <f>$C$7</f>
        <v>2.3800136129670614E-2</v>
      </c>
      <c r="K29" s="61">
        <f>+Data_b!D33</f>
        <v>2</v>
      </c>
      <c r="M29" s="228">
        <f>+Data_b!$D$13</f>
        <v>0</v>
      </c>
      <c r="O29" s="14" t="str">
        <f t="shared" si="1"/>
        <v>€/(kWh/dia)/ano</v>
      </c>
      <c r="P29" s="40">
        <f t="shared" si="2"/>
        <v>4.7600272259341228E-2</v>
      </c>
    </row>
    <row r="30" spans="5:16" ht="15.75" thickBot="1" x14ac:dyDescent="0.3">
      <c r="E30" s="3"/>
      <c r="F30" s="23"/>
      <c r="G30" s="17" t="str">
        <f>+Input!E26</f>
        <v>Intraday</v>
      </c>
      <c r="H30" s="16" t="s">
        <v>274</v>
      </c>
      <c r="I30" s="41">
        <f>$C$7*24</f>
        <v>0.57120326711209479</v>
      </c>
      <c r="K30" s="62">
        <f>+Data_b!D34</f>
        <v>2.2000000000000002</v>
      </c>
      <c r="M30" s="179">
        <f>+Data_b!$D$13</f>
        <v>0</v>
      </c>
      <c r="O30" s="16" t="str">
        <f t="shared" si="1"/>
        <v>€/(kWh/h)/ano</v>
      </c>
      <c r="P30" s="41">
        <f t="shared" si="2"/>
        <v>1.2566471876466085</v>
      </c>
    </row>
    <row r="31" spans="5:16" ht="15" x14ac:dyDescent="0.25">
      <c r="E31" s="3"/>
      <c r="F31" s="21" t="str">
        <f>+Input!D27</f>
        <v>LNG terminal</v>
      </c>
      <c r="G31" s="12" t="str">
        <f>+Input!E27</f>
        <v>Yearly</v>
      </c>
      <c r="H31" s="46" t="s">
        <v>273</v>
      </c>
      <c r="I31" s="43">
        <f>$C$8</f>
        <v>0</v>
      </c>
      <c r="K31" s="60">
        <f>+Data_b!D35</f>
        <v>1</v>
      </c>
      <c r="M31" s="178">
        <f>+Data_b!$D$13</f>
        <v>0</v>
      </c>
      <c r="O31" s="46" t="str">
        <f t="shared" si="1"/>
        <v>€/(kWh/dia)/ano</v>
      </c>
      <c r="P31" s="43">
        <f t="shared" si="2"/>
        <v>0</v>
      </c>
    </row>
    <row r="32" spans="5:16" ht="15" x14ac:dyDescent="0.25">
      <c r="E32" s="3"/>
      <c r="F32" s="22"/>
      <c r="G32" s="10" t="str">
        <f>+Input!E28</f>
        <v>Quarterly</v>
      </c>
      <c r="H32" s="14" t="s">
        <v>273</v>
      </c>
      <c r="I32" s="40">
        <f>$C$8</f>
        <v>0</v>
      </c>
      <c r="K32" s="61">
        <f>+Data_b!D36</f>
        <v>1.3</v>
      </c>
      <c r="M32" s="228">
        <f>+Data_b!$D$13</f>
        <v>0</v>
      </c>
      <c r="O32" s="14" t="str">
        <f t="shared" si="1"/>
        <v>€/(kWh/dia)/ano</v>
      </c>
      <c r="P32" s="40">
        <f t="shared" si="2"/>
        <v>0</v>
      </c>
    </row>
    <row r="33" spans="5:16" ht="15" x14ac:dyDescent="0.25">
      <c r="E33" s="3"/>
      <c r="F33" s="22"/>
      <c r="G33" s="10" t="str">
        <f>+Input!E29</f>
        <v>Monthly</v>
      </c>
      <c r="H33" s="14" t="s">
        <v>273</v>
      </c>
      <c r="I33" s="40">
        <f>$C$8</f>
        <v>0</v>
      </c>
      <c r="K33" s="61">
        <f>+Data_b!D37</f>
        <v>1.5</v>
      </c>
      <c r="M33" s="228">
        <f>+Data_b!$D$13</f>
        <v>0</v>
      </c>
      <c r="O33" s="14" t="str">
        <f t="shared" si="1"/>
        <v>€/(kWh/dia)/ano</v>
      </c>
      <c r="P33" s="40">
        <f t="shared" si="2"/>
        <v>0</v>
      </c>
    </row>
    <row r="34" spans="5:16" ht="15" x14ac:dyDescent="0.25">
      <c r="E34" s="3"/>
      <c r="F34" s="22"/>
      <c r="G34" s="10" t="str">
        <f>+Input!E30</f>
        <v>Daily</v>
      </c>
      <c r="H34" s="14" t="s">
        <v>273</v>
      </c>
      <c r="I34" s="40">
        <f>$C$8</f>
        <v>0</v>
      </c>
      <c r="K34" s="61">
        <f>+Data_b!D38</f>
        <v>2</v>
      </c>
      <c r="M34" s="228">
        <f>+Data_b!$D$13</f>
        <v>0</v>
      </c>
      <c r="O34" s="14" t="str">
        <f t="shared" si="1"/>
        <v>€/(kWh/dia)/ano</v>
      </c>
      <c r="P34" s="40">
        <f t="shared" si="2"/>
        <v>0</v>
      </c>
    </row>
    <row r="35" spans="5:16" ht="15.75" thickBot="1" x14ac:dyDescent="0.3">
      <c r="E35" s="3"/>
      <c r="F35" s="23"/>
      <c r="G35" s="17" t="str">
        <f>+Input!E31</f>
        <v>Intraday</v>
      </c>
      <c r="H35" s="16" t="s">
        <v>274</v>
      </c>
      <c r="I35" s="41">
        <f>$C$8*24</f>
        <v>0</v>
      </c>
      <c r="K35" s="62">
        <f>+Data_b!D39</f>
        <v>2.2000000000000002</v>
      </c>
      <c r="M35" s="179">
        <f>+Data_b!$D$13</f>
        <v>0</v>
      </c>
      <c r="O35" s="16" t="str">
        <f t="shared" si="1"/>
        <v>€/(kWh/h)/ano</v>
      </c>
      <c r="P35" s="41">
        <f t="shared" si="2"/>
        <v>0</v>
      </c>
    </row>
    <row r="36" spans="5:16" ht="15" x14ac:dyDescent="0.25">
      <c r="E36" s="3"/>
      <c r="F36" s="21" t="str">
        <f>+Input!D32</f>
        <v>Underground Storage</v>
      </c>
      <c r="G36" s="12" t="str">
        <f>+Input!E32</f>
        <v>Daily</v>
      </c>
      <c r="H36" s="46" t="s">
        <v>273</v>
      </c>
      <c r="I36" s="43">
        <f>$C$9</f>
        <v>5.6912160700480677E-2</v>
      </c>
      <c r="K36" s="60">
        <f>+Data_b!D40</f>
        <v>1</v>
      </c>
      <c r="M36" s="178">
        <f>+Data_b!$D$12</f>
        <v>1</v>
      </c>
      <c r="O36" s="46" t="str">
        <f t="shared" si="1"/>
        <v>€/(kWh/dia)/ano</v>
      </c>
      <c r="P36" s="43">
        <f t="shared" si="2"/>
        <v>0</v>
      </c>
    </row>
    <row r="37" spans="5:16" ht="15.75" thickBot="1" x14ac:dyDescent="0.3">
      <c r="E37" s="3"/>
      <c r="F37" s="23"/>
      <c r="G37" s="17" t="str">
        <f>+Input!E33</f>
        <v>Intraday</v>
      </c>
      <c r="H37" s="16" t="s">
        <v>274</v>
      </c>
      <c r="I37" s="41">
        <f>$C$9*24</f>
        <v>1.3658918568115364</v>
      </c>
      <c r="K37" s="62">
        <f>+Data_b!D41</f>
        <v>1.1000000000000001</v>
      </c>
      <c r="M37" s="179">
        <f>+Data_b!$D$12</f>
        <v>1</v>
      </c>
      <c r="O37" s="16" t="str">
        <f t="shared" si="1"/>
        <v>€/(kWh/h)/ano</v>
      </c>
      <c r="P37" s="41">
        <f t="shared" si="2"/>
        <v>0</v>
      </c>
    </row>
    <row r="38" spans="5:16" ht="15.75" thickBot="1" x14ac:dyDescent="0.3">
      <c r="E38" s="3"/>
      <c r="F38" s="19" t="str">
        <f>+Input!D34</f>
        <v>Distribution networks and HP Customers</v>
      </c>
      <c r="G38" s="20" t="str">
        <f>+Input!E34</f>
        <v>Long Uses</v>
      </c>
      <c r="H38" s="19" t="s">
        <v>273</v>
      </c>
      <c r="I38" s="59">
        <f t="shared" ref="I38:I44" si="3">$C$10</f>
        <v>0.19139463625988049</v>
      </c>
      <c r="K38" s="63">
        <f>+Data_b!D42</f>
        <v>1</v>
      </c>
      <c r="M38" s="229">
        <f>+Data_b!$D$13</f>
        <v>0</v>
      </c>
      <c r="O38" s="19" t="str">
        <f t="shared" si="1"/>
        <v>€/(kWh/dia)/ano</v>
      </c>
      <c r="P38" s="59">
        <f t="shared" si="2"/>
        <v>0.19139463625988049</v>
      </c>
    </row>
    <row r="39" spans="5:16" ht="15" x14ac:dyDescent="0.25">
      <c r="E39" s="3"/>
      <c r="F39" s="21" t="str">
        <f>+Input!D35</f>
        <v>HP Customers</v>
      </c>
      <c r="G39" s="12" t="str">
        <f>+Input!E35</f>
        <v>Annual Flexible Rate - Annual Base Capacity</v>
      </c>
      <c r="H39" s="11" t="s">
        <v>273</v>
      </c>
      <c r="I39" s="43">
        <f t="shared" si="3"/>
        <v>0.19139463625988049</v>
      </c>
      <c r="K39" s="60">
        <f>+Data_b!D43</f>
        <v>1</v>
      </c>
      <c r="M39" s="178">
        <f>+Data_b!$D$13</f>
        <v>0</v>
      </c>
      <c r="O39" s="11" t="str">
        <f t="shared" si="1"/>
        <v>€/(kWh/dia)/ano</v>
      </c>
      <c r="P39" s="43">
        <f t="shared" si="2"/>
        <v>0.19139463625988049</v>
      </c>
    </row>
    <row r="40" spans="5:16" ht="15" x14ac:dyDescent="0.25">
      <c r="E40" s="3"/>
      <c r="F40" s="22"/>
      <c r="G40" s="10" t="str">
        <f>+Input!E36</f>
        <v>Annual Flexible Rate - Additional Monthly Capacity (April to September)</v>
      </c>
      <c r="H40" s="14" t="s">
        <v>273</v>
      </c>
      <c r="I40" s="40">
        <f t="shared" si="3"/>
        <v>0.19139463625988049</v>
      </c>
      <c r="K40" s="61">
        <f>+Data_b!D44</f>
        <v>1.5</v>
      </c>
      <c r="M40" s="228">
        <f>+Data_b!$D$13</f>
        <v>0</v>
      </c>
      <c r="O40" s="14" t="str">
        <f t="shared" si="1"/>
        <v>€/(kWh/dia)/ano</v>
      </c>
      <c r="P40" s="40">
        <f t="shared" si="2"/>
        <v>0.28709195438982071</v>
      </c>
    </row>
    <row r="41" spans="5:16" ht="15" x14ac:dyDescent="0.25">
      <c r="E41" s="3"/>
      <c r="F41" s="22"/>
      <c r="G41" s="10" t="str">
        <f>+Input!E37</f>
        <v>Flexible Monthly Rate - Monthly Capacity (October to March)</v>
      </c>
      <c r="H41" s="14" t="s">
        <v>273</v>
      </c>
      <c r="I41" s="40">
        <f t="shared" si="3"/>
        <v>0.19139463625988049</v>
      </c>
      <c r="K41" s="61">
        <f>+Data_b!D45</f>
        <v>3</v>
      </c>
      <c r="M41" s="228">
        <f>+Data_b!$D$13</f>
        <v>0</v>
      </c>
      <c r="O41" s="14" t="str">
        <f t="shared" si="1"/>
        <v>€/(kWh/dia)/ano</v>
      </c>
      <c r="P41" s="40">
        <f t="shared" si="2"/>
        <v>0.57418390877964143</v>
      </c>
    </row>
    <row r="42" spans="5:16" ht="15" x14ac:dyDescent="0.25">
      <c r="E42" s="3"/>
      <c r="F42" s="22"/>
      <c r="G42" s="10" t="str">
        <f>+Input!E38</f>
        <v>Flexible Monthly Rate - Monthly Capacity (April to September)</v>
      </c>
      <c r="H42" s="14" t="s">
        <v>273</v>
      </c>
      <c r="I42" s="40">
        <f t="shared" si="3"/>
        <v>0.19139463625988049</v>
      </c>
      <c r="K42" s="61">
        <f>+Data_b!D46</f>
        <v>1.5</v>
      </c>
      <c r="M42" s="228">
        <f>+Data_b!$D$13</f>
        <v>0</v>
      </c>
      <c r="O42" s="14" t="str">
        <f t="shared" si="1"/>
        <v>€/(kWh/dia)/ano</v>
      </c>
      <c r="P42" s="40">
        <f t="shared" si="2"/>
        <v>0.28709195438982071</v>
      </c>
    </row>
    <row r="43" spans="5:16" ht="15" x14ac:dyDescent="0.25">
      <c r="E43" s="3"/>
      <c r="F43" s="22"/>
      <c r="G43" s="10" t="str">
        <f>+Input!E39</f>
        <v>Daily Flexible Rate - Daily Capacity (October to March)</v>
      </c>
      <c r="H43" s="14" t="s">
        <v>273</v>
      </c>
      <c r="I43" s="40">
        <f t="shared" si="3"/>
        <v>0.19139463625988049</v>
      </c>
      <c r="K43" s="61">
        <f>+Data_b!D47</f>
        <v>10</v>
      </c>
      <c r="M43" s="228">
        <f>+Data_b!$D$13</f>
        <v>0</v>
      </c>
      <c r="O43" s="14" t="str">
        <f t="shared" si="1"/>
        <v>€/(kWh/dia)/ano</v>
      </c>
      <c r="P43" s="40">
        <f t="shared" si="2"/>
        <v>1.9139463625988049</v>
      </c>
    </row>
    <row r="44" spans="5:16" ht="15.75" thickBot="1" x14ac:dyDescent="0.3">
      <c r="E44" s="4"/>
      <c r="F44" s="23"/>
      <c r="G44" s="17" t="str">
        <f>+Input!E40</f>
        <v>Daily Flexible Rate - Daily Capacity (April to September)</v>
      </c>
      <c r="H44" s="16" t="s">
        <v>273</v>
      </c>
      <c r="I44" s="41">
        <f t="shared" si="3"/>
        <v>0.19139463625988049</v>
      </c>
      <c r="K44" s="62">
        <f>+Data_b!D48</f>
        <v>6</v>
      </c>
      <c r="M44" s="179">
        <f>+Data_b!$D$13</f>
        <v>0</v>
      </c>
      <c r="O44" s="16" t="str">
        <f t="shared" si="1"/>
        <v>€/(kWh/dia)/ano</v>
      </c>
      <c r="P44" s="41">
        <f t="shared" si="2"/>
        <v>1.1483678175592829</v>
      </c>
    </row>
    <row r="45" spans="5:16" ht="15" x14ac:dyDescent="0.25"/>
    <row r="46" spans="5:16" ht="15" hidden="1" x14ac:dyDescent="0.25"/>
    <row r="47" spans="5:16" ht="15" hidden="1" x14ac:dyDescent="0.25"/>
    <row r="48" spans="5:16"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sheetData>
  <pageMargins left="0.7" right="0.7" top="0.75" bottom="0.75" header="0.3" footer="0.3"/>
  <pageSetup paperSize="9" orientation="portrait" r:id="rId1"/>
  <ignoredErrors>
    <ignoredError sqref="C1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AO44"/>
  <sheetViews>
    <sheetView showGridLines="0" topLeftCell="M1" zoomScale="80" zoomScaleNormal="80" workbookViewId="0">
      <selection activeCell="B22" sqref="B22"/>
    </sheetView>
  </sheetViews>
  <sheetFormatPr defaultColWidth="0" defaultRowHeight="0" customHeight="1" zeroHeight="1" x14ac:dyDescent="0.25"/>
  <cols>
    <col min="1" max="1" width="9.140625" customWidth="1"/>
    <col min="2" max="2" width="11" customWidth="1"/>
    <col min="3" max="3" width="35.7109375" customWidth="1"/>
    <col min="4" max="4" width="64" bestFit="1" customWidth="1"/>
    <col min="5" max="5" width="20.140625" bestFit="1" customWidth="1"/>
    <col min="6" max="6" width="9.7109375" bestFit="1" customWidth="1"/>
    <col min="7" max="10" width="13.85546875" customWidth="1"/>
    <col min="11" max="11" width="2.7109375" customWidth="1"/>
    <col min="12" max="12" width="30.140625" bestFit="1" customWidth="1"/>
    <col min="13" max="15" width="12.85546875" customWidth="1"/>
    <col min="16" max="16" width="13.85546875" customWidth="1"/>
    <col min="17" max="17" width="2.7109375" customWidth="1"/>
    <col min="18" max="18" width="53" bestFit="1" customWidth="1"/>
    <col min="19" max="22" width="11.5703125" customWidth="1"/>
    <col min="23" max="23" width="2.7109375" customWidth="1"/>
    <col min="24" max="24" width="22.7109375" bestFit="1" customWidth="1"/>
    <col min="25" max="28" width="22.7109375" customWidth="1"/>
    <col min="29" max="29" width="2.7109375" customWidth="1"/>
    <col min="30" max="30" width="25.7109375" bestFit="1" customWidth="1"/>
    <col min="31" max="33" width="13.7109375" customWidth="1"/>
    <col min="34" max="34" width="13.85546875" customWidth="1"/>
    <col min="35" max="35" width="9.140625" customWidth="1"/>
    <col min="36" max="36" width="25" bestFit="1" customWidth="1"/>
    <col min="37" max="40" width="13.7109375" customWidth="1"/>
    <col min="41" max="41" width="9.140625" customWidth="1"/>
    <col min="42" max="16384" width="9.140625" hidden="1"/>
  </cols>
  <sheetData>
    <row r="1" spans="2:40" ht="15" x14ac:dyDescent="0.25"/>
    <row r="2" spans="2:40" ht="15.75" thickBot="1" x14ac:dyDescent="0.3"/>
    <row r="3" spans="2:40" ht="15.75" thickBot="1" x14ac:dyDescent="0.3">
      <c r="E3" s="2"/>
      <c r="F3" s="145"/>
      <c r="G3" s="413" t="str">
        <f>+Input!G3</f>
        <v>2019-2020</v>
      </c>
      <c r="H3" s="413" t="str">
        <f>+Input!H3</f>
        <v>2020-2021</v>
      </c>
      <c r="I3" s="413" t="str">
        <f>+Input!I3</f>
        <v>2021-2022</v>
      </c>
      <c r="J3" s="24" t="str">
        <f>+Input!J3</f>
        <v>2022-2023</v>
      </c>
      <c r="L3" s="2" t="str">
        <f>+'Pre-scaling RPM'!O12</f>
        <v>Preços pré-escalamento</v>
      </c>
      <c r="M3" s="413" t="str">
        <f>+G3</f>
        <v>2019-2020</v>
      </c>
      <c r="N3" s="413" t="str">
        <f t="shared" ref="N3:P3" si="0">+H3</f>
        <v>2020-2021</v>
      </c>
      <c r="O3" s="413" t="str">
        <f t="shared" si="0"/>
        <v>2021-2022</v>
      </c>
      <c r="P3" s="24" t="str">
        <f t="shared" si="0"/>
        <v>2022-2023</v>
      </c>
      <c r="R3" s="2" t="s">
        <v>281</v>
      </c>
      <c r="S3" s="413" t="str">
        <f>+M3</f>
        <v>2019-2020</v>
      </c>
      <c r="T3" s="413" t="str">
        <f t="shared" ref="T3" si="1">+N3</f>
        <v>2020-2021</v>
      </c>
      <c r="U3" s="413" t="str">
        <f t="shared" ref="U3" si="2">+O3</f>
        <v>2021-2022</v>
      </c>
      <c r="V3" s="24" t="str">
        <f t="shared" ref="V3" si="3">+P3</f>
        <v>2022-2023</v>
      </c>
      <c r="X3" s="25" t="s">
        <v>276</v>
      </c>
      <c r="Y3" s="413" t="str">
        <f>+S3</f>
        <v>2019-2020</v>
      </c>
      <c r="Z3" s="413" t="str">
        <f t="shared" ref="Z3" si="4">+T3</f>
        <v>2020-2021</v>
      </c>
      <c r="AA3" s="413" t="str">
        <f t="shared" ref="AA3" si="5">+U3</f>
        <v>2021-2022</v>
      </c>
      <c r="AB3" s="24" t="str">
        <f t="shared" ref="AB3" si="6">+V3</f>
        <v>2022-2023</v>
      </c>
      <c r="AD3" s="2" t="s">
        <v>280</v>
      </c>
      <c r="AE3" s="413" t="str">
        <f>+Y3</f>
        <v>2019-2020</v>
      </c>
      <c r="AF3" s="413" t="str">
        <f t="shared" ref="AF3" si="7">+Z3</f>
        <v>2020-2021</v>
      </c>
      <c r="AG3" s="413" t="str">
        <f t="shared" ref="AG3" si="8">+AA3</f>
        <v>2021-2022</v>
      </c>
      <c r="AH3" s="24" t="str">
        <f t="shared" ref="AH3" si="9">+AB3</f>
        <v>2022-2023</v>
      </c>
      <c r="AJ3" s="2" t="s">
        <v>282</v>
      </c>
      <c r="AK3" s="413" t="str">
        <f>+AE3</f>
        <v>2019-2020</v>
      </c>
      <c r="AL3" s="413" t="str">
        <f t="shared" ref="AL3" si="10">+AF3</f>
        <v>2020-2021</v>
      </c>
      <c r="AM3" s="413" t="str">
        <f t="shared" ref="AM3" si="11">+AG3</f>
        <v>2021-2022</v>
      </c>
      <c r="AN3" s="24" t="str">
        <f t="shared" ref="AN3" si="12">+AH3</f>
        <v>2022-2023</v>
      </c>
    </row>
    <row r="4" spans="2:40" ht="15.75" thickBot="1" x14ac:dyDescent="0.3">
      <c r="C4" s="8" t="e">
        <f>+Input!#REF!</f>
        <v>#REF!</v>
      </c>
      <c r="D4" s="8" t="e">
        <f>+Input!#REF!</f>
        <v>#REF!</v>
      </c>
      <c r="E4" s="8" t="e">
        <f>+Input!#REF!</f>
        <v>#REF!</v>
      </c>
      <c r="F4" s="8" t="s">
        <v>275</v>
      </c>
      <c r="G4" s="8"/>
      <c r="H4" s="8"/>
      <c r="I4" s="8"/>
      <c r="J4" s="45"/>
      <c r="L4" s="252"/>
      <c r="M4" s="412"/>
      <c r="N4" s="412"/>
      <c r="O4" s="412"/>
      <c r="P4" s="253"/>
      <c r="R4" s="252"/>
      <c r="S4" s="412"/>
      <c r="T4" s="412"/>
      <c r="U4" s="412"/>
      <c r="V4" s="253"/>
      <c r="X4" s="50" t="s">
        <v>277</v>
      </c>
      <c r="Y4" s="412"/>
      <c r="Z4" s="412"/>
      <c r="AA4" s="412"/>
      <c r="AB4" s="253"/>
      <c r="AD4" s="252"/>
      <c r="AE4" s="412"/>
      <c r="AF4" s="412"/>
      <c r="AG4" s="412"/>
      <c r="AH4" s="253"/>
      <c r="AI4" s="256"/>
      <c r="AJ4" s="252"/>
      <c r="AK4" s="412"/>
      <c r="AL4" s="412"/>
      <c r="AM4" s="412"/>
      <c r="AN4" s="253"/>
    </row>
    <row r="5" spans="2:40" ht="15" x14ac:dyDescent="0.25">
      <c r="B5" s="5" t="str">
        <f>+Input!C10</f>
        <v>Entry</v>
      </c>
      <c r="C5" s="21" t="str">
        <f>+Input!D10</f>
        <v>Interconnection points (VIP)</v>
      </c>
      <c r="D5" s="12" t="str">
        <f>+Input!E10</f>
        <v>Yearly</v>
      </c>
      <c r="E5" s="13">
        <f>+Input!F10</f>
        <v>0</v>
      </c>
      <c r="F5" s="246">
        <f>Data_b!$D$53</f>
        <v>12</v>
      </c>
      <c r="G5" s="427">
        <f>+Input!G10</f>
        <v>65554935.292646319</v>
      </c>
      <c r="H5" s="427">
        <f>+Input!H10</f>
        <v>65554935.292646319</v>
      </c>
      <c r="I5" s="427">
        <f>+Input!I10</f>
        <v>65554935.292646319</v>
      </c>
      <c r="J5" s="53">
        <f>+Input!J10</f>
        <v>65554935.292646319</v>
      </c>
      <c r="L5" s="46" t="str">
        <f>+'Pre-scaling RPM'!H14</f>
        <v>€/(kWh/dia)/ano</v>
      </c>
      <c r="M5" s="431">
        <f>+'Pre-scaling RPM'!P14</f>
        <v>0.1084282440194906</v>
      </c>
      <c r="N5" s="431">
        <f>+$M5</f>
        <v>0.1084282440194906</v>
      </c>
      <c r="O5" s="431">
        <f t="shared" ref="O5:P35" si="13">+$M5</f>
        <v>0.1084282440194906</v>
      </c>
      <c r="P5" s="432">
        <f t="shared" si="13"/>
        <v>0.1084282440194906</v>
      </c>
      <c r="R5" s="46" t="s">
        <v>41</v>
      </c>
      <c r="S5" s="438">
        <f t="shared" ref="S5:S35" si="14">+G5*M5*$F5/12</f>
        <v>7108006.5205929717</v>
      </c>
      <c r="T5" s="438">
        <f t="shared" ref="T5:T35" si="15">+H5*N5*$F5/12</f>
        <v>7108006.5205929717</v>
      </c>
      <c r="U5" s="438">
        <f t="shared" ref="U5:U35" si="16">+I5*O5*$F5/12</f>
        <v>7108006.5205929717</v>
      </c>
      <c r="V5" s="439">
        <f>+J5*P5*$F5/12</f>
        <v>7108006.5205929717</v>
      </c>
      <c r="X5" s="456" t="str">
        <f t="shared" ref="X5:AA16" si="17">X$38</f>
        <v>Entry</v>
      </c>
      <c r="Y5" s="431">
        <f t="shared" si="17"/>
        <v>0.89377035643462743</v>
      </c>
      <c r="Z5" s="431">
        <f t="shared" si="17"/>
        <v>0.89377035643462743</v>
      </c>
      <c r="AA5" s="431">
        <f t="shared" si="17"/>
        <v>0.89377035643462743</v>
      </c>
      <c r="AB5" s="432">
        <f>AB$38</f>
        <v>0.89377035643462743</v>
      </c>
      <c r="AD5" s="46" t="str">
        <f>+L5</f>
        <v>€/(kWh/dia)/ano</v>
      </c>
      <c r="AE5" s="431">
        <f t="shared" ref="AE5:AE35" si="18">+M5*Y5</f>
        <v>9.6909950304880865E-2</v>
      </c>
      <c r="AF5" s="431">
        <f t="shared" ref="AF5:AF35" si="19">+N5*Z5</f>
        <v>9.6909950304880865E-2</v>
      </c>
      <c r="AG5" s="431">
        <f t="shared" ref="AG5:AG35" si="20">+O5*AA5</f>
        <v>9.6909950304880865E-2</v>
      </c>
      <c r="AH5" s="432">
        <f>+P5*AB5</f>
        <v>9.6909950304880865E-2</v>
      </c>
      <c r="AI5" s="257"/>
      <c r="AJ5" s="46" t="s">
        <v>41</v>
      </c>
      <c r="AK5" s="438">
        <f t="shared" ref="AK5:AK35" si="21">+G5*AE5*$F5/12</f>
        <v>6352925.5214500353</v>
      </c>
      <c r="AL5" s="438">
        <f t="shared" ref="AL5:AL35" si="22">+H5*AF5*$F5/12</f>
        <v>6352925.5214500353</v>
      </c>
      <c r="AM5" s="438">
        <f t="shared" ref="AM5:AM35" si="23">+I5*AG5*$F5/12</f>
        <v>6352925.5214500353</v>
      </c>
      <c r="AN5" s="439">
        <f>+J5*AH5*$F5/12</f>
        <v>6352925.5214500353</v>
      </c>
    </row>
    <row r="6" spans="2:40" ht="15" x14ac:dyDescent="0.25">
      <c r="B6" s="6"/>
      <c r="C6" s="22"/>
      <c r="D6" s="10" t="str">
        <f>+Input!E11</f>
        <v>Quarterly</v>
      </c>
      <c r="E6" s="10">
        <f>+Input!F11</f>
        <v>0</v>
      </c>
      <c r="F6" s="247">
        <f>Data_b!$D$53</f>
        <v>12</v>
      </c>
      <c r="G6" s="428">
        <f>+Input!G11</f>
        <v>231556.19844696461</v>
      </c>
      <c r="H6" s="428">
        <f>+Input!H11</f>
        <v>231556.19844696461</v>
      </c>
      <c r="I6" s="428">
        <f>+Input!I11</f>
        <v>231556.19844696461</v>
      </c>
      <c r="J6" s="55">
        <f>+Input!J11</f>
        <v>231556.19844696461</v>
      </c>
      <c r="L6" s="14" t="str">
        <f>+'Pre-scaling RPM'!H15</f>
        <v>€/(kWh/dia)/ano</v>
      </c>
      <c r="M6" s="433">
        <f>+'Pre-scaling RPM'!P15</f>
        <v>0.14095671722533779</v>
      </c>
      <c r="N6" s="433">
        <f t="shared" ref="N6:N35" si="24">+$M6</f>
        <v>0.14095671722533779</v>
      </c>
      <c r="O6" s="433">
        <f t="shared" si="13"/>
        <v>0.14095671722533779</v>
      </c>
      <c r="P6" s="42">
        <f t="shared" si="13"/>
        <v>0.14095671722533779</v>
      </c>
      <c r="R6" s="14" t="s">
        <v>41</v>
      </c>
      <c r="S6" s="440">
        <f t="shared" si="14"/>
        <v>32639.401586262993</v>
      </c>
      <c r="T6" s="440">
        <f t="shared" si="15"/>
        <v>32639.401586262993</v>
      </c>
      <c r="U6" s="440">
        <f t="shared" si="16"/>
        <v>32639.401586262993</v>
      </c>
      <c r="V6" s="441">
        <f t="shared" ref="V6:V35" si="25">+J6*P6*$F6/12</f>
        <v>32639.401586262993</v>
      </c>
      <c r="X6" s="457" t="str">
        <f t="shared" si="17"/>
        <v>Entry</v>
      </c>
      <c r="Y6" s="433">
        <f t="shared" si="17"/>
        <v>0.89377035643462743</v>
      </c>
      <c r="Z6" s="433">
        <f t="shared" si="17"/>
        <v>0.89377035643462743</v>
      </c>
      <c r="AA6" s="433">
        <f t="shared" si="17"/>
        <v>0.89377035643462743</v>
      </c>
      <c r="AB6" s="42">
        <f t="shared" ref="AB6:AB16" si="26">AB$38</f>
        <v>0.89377035643462743</v>
      </c>
      <c r="AD6" s="14" t="str">
        <f t="shared" ref="AD6:AD35" si="27">+L6</f>
        <v>€/(kWh/dia)/ano</v>
      </c>
      <c r="AE6" s="433">
        <f t="shared" si="18"/>
        <v>0.12598293539634514</v>
      </c>
      <c r="AF6" s="433">
        <f t="shared" si="19"/>
        <v>0.12598293539634514</v>
      </c>
      <c r="AG6" s="433">
        <f t="shared" si="20"/>
        <v>0.12598293539634514</v>
      </c>
      <c r="AH6" s="42">
        <f t="shared" ref="AH6:AH35" si="28">+P6*AB6</f>
        <v>0.12598293539634514</v>
      </c>
      <c r="AI6" s="257"/>
      <c r="AJ6" s="14" t="s">
        <v>41</v>
      </c>
      <c r="AK6" s="440">
        <f t="shared" si="21"/>
        <v>29172.129589567219</v>
      </c>
      <c r="AL6" s="440">
        <f t="shared" si="22"/>
        <v>29172.129589567219</v>
      </c>
      <c r="AM6" s="440">
        <f t="shared" si="23"/>
        <v>29172.129589567219</v>
      </c>
      <c r="AN6" s="441">
        <f t="shared" ref="AN6:AN35" si="29">+J6*AH6*$F6/12</f>
        <v>29172.129589567219</v>
      </c>
    </row>
    <row r="7" spans="2:40" ht="15" x14ac:dyDescent="0.25">
      <c r="B7" s="6"/>
      <c r="C7" s="22"/>
      <c r="D7" s="10" t="str">
        <f>+Input!E12</f>
        <v>Monthly</v>
      </c>
      <c r="E7" s="10">
        <f>+Input!F12</f>
        <v>0</v>
      </c>
      <c r="F7" s="247">
        <f>Data_b!$D$53</f>
        <v>12</v>
      </c>
      <c r="G7" s="428">
        <f>+Input!G12</f>
        <v>6472593.694010146</v>
      </c>
      <c r="H7" s="428">
        <f>+Input!H12</f>
        <v>6472593.694010146</v>
      </c>
      <c r="I7" s="428">
        <f>+Input!I12</f>
        <v>6472593.694010146</v>
      </c>
      <c r="J7" s="55">
        <f>+Input!J12</f>
        <v>6472593.694010146</v>
      </c>
      <c r="L7" s="14" t="str">
        <f>+'Pre-scaling RPM'!H16</f>
        <v>€/(kWh/dia)/ano</v>
      </c>
      <c r="M7" s="433">
        <f>+'Pre-scaling RPM'!P16</f>
        <v>0.1626423660292359</v>
      </c>
      <c r="N7" s="433">
        <f t="shared" si="24"/>
        <v>0.1626423660292359</v>
      </c>
      <c r="O7" s="433">
        <f t="shared" si="13"/>
        <v>0.1626423660292359</v>
      </c>
      <c r="P7" s="42">
        <f t="shared" si="13"/>
        <v>0.1626423660292359</v>
      </c>
      <c r="R7" s="14" t="s">
        <v>41</v>
      </c>
      <c r="S7" s="440">
        <f t="shared" si="14"/>
        <v>1052717.9527397223</v>
      </c>
      <c r="T7" s="440">
        <f t="shared" si="15"/>
        <v>1052717.9527397223</v>
      </c>
      <c r="U7" s="440">
        <f t="shared" si="16"/>
        <v>1052717.9527397223</v>
      </c>
      <c r="V7" s="441">
        <f t="shared" si="25"/>
        <v>1052717.9527397223</v>
      </c>
      <c r="X7" s="457" t="str">
        <f t="shared" si="17"/>
        <v>Entry</v>
      </c>
      <c r="Y7" s="433">
        <f t="shared" si="17"/>
        <v>0.89377035643462743</v>
      </c>
      <c r="Z7" s="433">
        <f t="shared" si="17"/>
        <v>0.89377035643462743</v>
      </c>
      <c r="AA7" s="433">
        <f t="shared" si="17"/>
        <v>0.89377035643462743</v>
      </c>
      <c r="AB7" s="42">
        <f t="shared" si="26"/>
        <v>0.89377035643462743</v>
      </c>
      <c r="AD7" s="14" t="str">
        <f t="shared" si="27"/>
        <v>€/(kWh/dia)/ano</v>
      </c>
      <c r="AE7" s="433">
        <f t="shared" si="18"/>
        <v>0.14536492545732133</v>
      </c>
      <c r="AF7" s="433">
        <f t="shared" si="19"/>
        <v>0.14536492545732133</v>
      </c>
      <c r="AG7" s="433">
        <f t="shared" si="20"/>
        <v>0.14536492545732133</v>
      </c>
      <c r="AH7" s="42">
        <f t="shared" si="28"/>
        <v>0.14536492545732133</v>
      </c>
      <c r="AI7" s="257"/>
      <c r="AJ7" s="14" t="s">
        <v>41</v>
      </c>
      <c r="AK7" s="440">
        <f t="shared" si="21"/>
        <v>940888.099845313</v>
      </c>
      <c r="AL7" s="440">
        <f t="shared" si="22"/>
        <v>940888.099845313</v>
      </c>
      <c r="AM7" s="440">
        <f t="shared" si="23"/>
        <v>940888.099845313</v>
      </c>
      <c r="AN7" s="441">
        <f t="shared" si="29"/>
        <v>940888.099845313</v>
      </c>
    </row>
    <row r="8" spans="2:40" ht="15" x14ac:dyDescent="0.25">
      <c r="B8" s="6"/>
      <c r="C8" s="22"/>
      <c r="D8" s="10" t="str">
        <f>+Input!E13</f>
        <v>Daily</v>
      </c>
      <c r="E8" s="10">
        <f>+Input!F13</f>
        <v>0</v>
      </c>
      <c r="F8" s="247">
        <f>Data_b!$D$53</f>
        <v>12</v>
      </c>
      <c r="G8" s="428">
        <f>+Input!G13</f>
        <v>7655421.9671416637</v>
      </c>
      <c r="H8" s="428">
        <f>+Input!H13</f>
        <v>7655421.9671416637</v>
      </c>
      <c r="I8" s="428">
        <f>+Input!I13</f>
        <v>7655421.9671416637</v>
      </c>
      <c r="J8" s="55">
        <f>+Input!J13</f>
        <v>7655421.9671416637</v>
      </c>
      <c r="L8" s="14" t="str">
        <f>+'Pre-scaling RPM'!H17</f>
        <v>€/(kWh/dia)/ano</v>
      </c>
      <c r="M8" s="433">
        <f>+'Pre-scaling RPM'!P17</f>
        <v>0.21685648803898119</v>
      </c>
      <c r="N8" s="433">
        <f t="shared" si="24"/>
        <v>0.21685648803898119</v>
      </c>
      <c r="O8" s="433">
        <f t="shared" si="13"/>
        <v>0.21685648803898119</v>
      </c>
      <c r="P8" s="42">
        <f t="shared" si="13"/>
        <v>0.21685648803898119</v>
      </c>
      <c r="R8" s="14" t="s">
        <v>41</v>
      </c>
      <c r="S8" s="440">
        <f t="shared" si="14"/>
        <v>1660127.9222508101</v>
      </c>
      <c r="T8" s="440">
        <f t="shared" si="15"/>
        <v>1660127.9222508101</v>
      </c>
      <c r="U8" s="440">
        <f t="shared" si="16"/>
        <v>1660127.9222508101</v>
      </c>
      <c r="V8" s="441">
        <f t="shared" si="25"/>
        <v>1660127.9222508101</v>
      </c>
      <c r="X8" s="457" t="str">
        <f t="shared" si="17"/>
        <v>Entry</v>
      </c>
      <c r="Y8" s="433">
        <f t="shared" si="17"/>
        <v>0.89377035643462743</v>
      </c>
      <c r="Z8" s="433">
        <f t="shared" si="17"/>
        <v>0.89377035643462743</v>
      </c>
      <c r="AA8" s="433">
        <f t="shared" si="17"/>
        <v>0.89377035643462743</v>
      </c>
      <c r="AB8" s="42">
        <f t="shared" si="26"/>
        <v>0.89377035643462743</v>
      </c>
      <c r="AD8" s="14" t="str">
        <f t="shared" si="27"/>
        <v>€/(kWh/dia)/ano</v>
      </c>
      <c r="AE8" s="433">
        <f t="shared" si="18"/>
        <v>0.19381990060976173</v>
      </c>
      <c r="AF8" s="433">
        <f t="shared" si="19"/>
        <v>0.19381990060976173</v>
      </c>
      <c r="AG8" s="433">
        <f t="shared" si="20"/>
        <v>0.19381990060976173</v>
      </c>
      <c r="AH8" s="42">
        <f t="shared" si="28"/>
        <v>0.19381990060976173</v>
      </c>
      <c r="AI8" s="257"/>
      <c r="AJ8" s="14" t="s">
        <v>41</v>
      </c>
      <c r="AK8" s="440">
        <f t="shared" si="21"/>
        <v>1483773.1247971838</v>
      </c>
      <c r="AL8" s="440">
        <f t="shared" si="22"/>
        <v>1483773.1247971838</v>
      </c>
      <c r="AM8" s="440">
        <f t="shared" si="23"/>
        <v>1483773.1247971838</v>
      </c>
      <c r="AN8" s="441">
        <f t="shared" si="29"/>
        <v>1483773.1247971838</v>
      </c>
    </row>
    <row r="9" spans="2:40" ht="15.75" thickBot="1" x14ac:dyDescent="0.3">
      <c r="B9" s="6"/>
      <c r="C9" s="23"/>
      <c r="D9" s="17" t="str">
        <f>+Input!E14</f>
        <v>Intraday</v>
      </c>
      <c r="E9" s="17">
        <f>+Input!F14</f>
        <v>0</v>
      </c>
      <c r="F9" s="248">
        <f>Data_b!$D$53</f>
        <v>12</v>
      </c>
      <c r="G9" s="429">
        <f>+Input!G14</f>
        <v>0</v>
      </c>
      <c r="H9" s="429">
        <f>+Input!H14</f>
        <v>0</v>
      </c>
      <c r="I9" s="429">
        <f>+Input!I14</f>
        <v>0</v>
      </c>
      <c r="J9" s="57">
        <f>+Input!J14</f>
        <v>0</v>
      </c>
      <c r="L9" s="16" t="str">
        <f>+'Pre-scaling RPM'!H18</f>
        <v>€/(kWh/h)/ano</v>
      </c>
      <c r="M9" s="434">
        <f>+'Pre-scaling RPM'!P18</f>
        <v>5.7250112842291045</v>
      </c>
      <c r="N9" s="434">
        <f t="shared" si="24"/>
        <v>5.7250112842291045</v>
      </c>
      <c r="O9" s="434">
        <f t="shared" si="13"/>
        <v>5.7250112842291045</v>
      </c>
      <c r="P9" s="435">
        <f t="shared" si="13"/>
        <v>5.7250112842291045</v>
      </c>
      <c r="R9" s="16" t="s">
        <v>41</v>
      </c>
      <c r="S9" s="442">
        <f t="shared" si="14"/>
        <v>0</v>
      </c>
      <c r="T9" s="442">
        <f t="shared" si="15"/>
        <v>0</v>
      </c>
      <c r="U9" s="442">
        <f t="shared" si="16"/>
        <v>0</v>
      </c>
      <c r="V9" s="443">
        <f t="shared" si="25"/>
        <v>0</v>
      </c>
      <c r="X9" s="458" t="str">
        <f t="shared" si="17"/>
        <v>Entry</v>
      </c>
      <c r="Y9" s="434">
        <f t="shared" si="17"/>
        <v>0.89377035643462743</v>
      </c>
      <c r="Z9" s="434">
        <f t="shared" si="17"/>
        <v>0.89377035643462743</v>
      </c>
      <c r="AA9" s="434">
        <f t="shared" si="17"/>
        <v>0.89377035643462743</v>
      </c>
      <c r="AB9" s="435">
        <f t="shared" si="26"/>
        <v>0.89377035643462743</v>
      </c>
      <c r="AD9" s="16" t="str">
        <f t="shared" si="27"/>
        <v>€/(kWh/h)/ano</v>
      </c>
      <c r="AE9" s="434">
        <f t="shared" si="18"/>
        <v>5.1168453760977108</v>
      </c>
      <c r="AF9" s="434">
        <f t="shared" si="19"/>
        <v>5.1168453760977108</v>
      </c>
      <c r="AG9" s="434">
        <f t="shared" si="20"/>
        <v>5.1168453760977108</v>
      </c>
      <c r="AH9" s="435">
        <f t="shared" si="28"/>
        <v>5.1168453760977108</v>
      </c>
      <c r="AI9" s="257"/>
      <c r="AJ9" s="16" t="s">
        <v>41</v>
      </c>
      <c r="AK9" s="442">
        <f t="shared" si="21"/>
        <v>0</v>
      </c>
      <c r="AL9" s="442">
        <f t="shared" si="22"/>
        <v>0</v>
      </c>
      <c r="AM9" s="442">
        <f t="shared" si="23"/>
        <v>0</v>
      </c>
      <c r="AN9" s="443">
        <f t="shared" si="29"/>
        <v>0</v>
      </c>
    </row>
    <row r="10" spans="2:40" ht="15" x14ac:dyDescent="0.25">
      <c r="B10" s="6"/>
      <c r="C10" s="21" t="str">
        <f>+Input!D15</f>
        <v>LNG terminal</v>
      </c>
      <c r="D10" s="12" t="str">
        <f>+Input!E15</f>
        <v>Yearly</v>
      </c>
      <c r="E10" s="13">
        <f>+Input!F15</f>
        <v>0</v>
      </c>
      <c r="F10" s="249">
        <f>Data_b!$D$53</f>
        <v>12</v>
      </c>
      <c r="G10" s="427">
        <f>+Input!G15</f>
        <v>95181945.454248399</v>
      </c>
      <c r="H10" s="427">
        <f>+Input!H15</f>
        <v>95181945.454248399</v>
      </c>
      <c r="I10" s="427">
        <f>+Input!I15</f>
        <v>95181945.454248399</v>
      </c>
      <c r="J10" s="53">
        <f>+Input!J15</f>
        <v>95181945.454248399</v>
      </c>
      <c r="L10" s="46" t="str">
        <f>+'Pre-scaling RPM'!H19</f>
        <v>€/(kWh/dia)/ano</v>
      </c>
      <c r="M10" s="431">
        <f>+'Pre-scaling RPM'!P19</f>
        <v>9.9866876586772735E-2</v>
      </c>
      <c r="N10" s="431">
        <f t="shared" si="24"/>
        <v>9.9866876586772735E-2</v>
      </c>
      <c r="O10" s="431">
        <f t="shared" si="13"/>
        <v>9.9866876586772735E-2</v>
      </c>
      <c r="P10" s="432">
        <f t="shared" si="13"/>
        <v>9.9866876586772735E-2</v>
      </c>
      <c r="R10" s="46" t="s">
        <v>41</v>
      </c>
      <c r="S10" s="438">
        <f t="shared" si="14"/>
        <v>9505523.5999683589</v>
      </c>
      <c r="T10" s="438">
        <f t="shared" si="15"/>
        <v>9505523.5999683589</v>
      </c>
      <c r="U10" s="438">
        <f t="shared" si="16"/>
        <v>9505523.5999683589</v>
      </c>
      <c r="V10" s="439">
        <f t="shared" si="25"/>
        <v>9505523.5999683589</v>
      </c>
      <c r="X10" s="456" t="str">
        <f t="shared" si="17"/>
        <v>Entry</v>
      </c>
      <c r="Y10" s="431">
        <f t="shared" si="17"/>
        <v>0.89377035643462743</v>
      </c>
      <c r="Z10" s="431">
        <f t="shared" si="17"/>
        <v>0.89377035643462743</v>
      </c>
      <c r="AA10" s="431">
        <f t="shared" si="17"/>
        <v>0.89377035643462743</v>
      </c>
      <c r="AB10" s="432">
        <f t="shared" si="26"/>
        <v>0.89377035643462743</v>
      </c>
      <c r="AD10" s="46" t="str">
        <f t="shared" si="27"/>
        <v>€/(kWh/dia)/ano</v>
      </c>
      <c r="AE10" s="431">
        <f t="shared" si="18"/>
        <v>8.925805388297281E-2</v>
      </c>
      <c r="AF10" s="431">
        <f t="shared" si="19"/>
        <v>8.925805388297281E-2</v>
      </c>
      <c r="AG10" s="431">
        <f t="shared" si="20"/>
        <v>8.925805388297281E-2</v>
      </c>
      <c r="AH10" s="432">
        <f t="shared" si="28"/>
        <v>8.925805388297281E-2</v>
      </c>
      <c r="AI10" s="257"/>
      <c r="AJ10" s="46" t="s">
        <v>41</v>
      </c>
      <c r="AK10" s="438">
        <f t="shared" si="21"/>
        <v>8495755.216041483</v>
      </c>
      <c r="AL10" s="438">
        <f t="shared" si="22"/>
        <v>8495755.216041483</v>
      </c>
      <c r="AM10" s="438">
        <f t="shared" si="23"/>
        <v>8495755.216041483</v>
      </c>
      <c r="AN10" s="439">
        <f t="shared" si="29"/>
        <v>8495755.216041483</v>
      </c>
    </row>
    <row r="11" spans="2:40" ht="15" x14ac:dyDescent="0.25">
      <c r="B11" s="6"/>
      <c r="C11" s="22"/>
      <c r="D11" s="10" t="str">
        <f>+Input!E16</f>
        <v>Quarterly</v>
      </c>
      <c r="E11" s="10">
        <f>+Input!F16</f>
        <v>0</v>
      </c>
      <c r="F11" s="247">
        <f>Data_b!$D$53</f>
        <v>12</v>
      </c>
      <c r="G11" s="428">
        <f>+Input!G16</f>
        <v>7113057.264897964</v>
      </c>
      <c r="H11" s="428">
        <f>+Input!H16</f>
        <v>7113057.264897964</v>
      </c>
      <c r="I11" s="428">
        <f>+Input!I16</f>
        <v>7113057.264897964</v>
      </c>
      <c r="J11" s="55">
        <f>+Input!J16</f>
        <v>7113057.264897964</v>
      </c>
      <c r="L11" s="14" t="str">
        <f>+'Pre-scaling RPM'!H20</f>
        <v>€/(kWh/dia)/ano</v>
      </c>
      <c r="M11" s="433">
        <f>+'Pre-scaling RPM'!P20</f>
        <v>0.12982693956280456</v>
      </c>
      <c r="N11" s="433">
        <f t="shared" si="24"/>
        <v>0.12982693956280456</v>
      </c>
      <c r="O11" s="433">
        <f t="shared" si="13"/>
        <v>0.12982693956280456</v>
      </c>
      <c r="P11" s="42">
        <f t="shared" si="13"/>
        <v>0.12982693956280456</v>
      </c>
      <c r="R11" s="14" t="s">
        <v>41</v>
      </c>
      <c r="S11" s="440">
        <f t="shared" si="14"/>
        <v>923466.45563667582</v>
      </c>
      <c r="T11" s="440">
        <f t="shared" si="15"/>
        <v>923466.45563667582</v>
      </c>
      <c r="U11" s="440">
        <f t="shared" si="16"/>
        <v>923466.45563667582</v>
      </c>
      <c r="V11" s="441">
        <f t="shared" si="25"/>
        <v>923466.45563667582</v>
      </c>
      <c r="X11" s="457" t="str">
        <f t="shared" si="17"/>
        <v>Entry</v>
      </c>
      <c r="Y11" s="433">
        <f t="shared" si="17"/>
        <v>0.89377035643462743</v>
      </c>
      <c r="Z11" s="433">
        <f t="shared" si="17"/>
        <v>0.89377035643462743</v>
      </c>
      <c r="AA11" s="433">
        <f t="shared" si="17"/>
        <v>0.89377035643462743</v>
      </c>
      <c r="AB11" s="42">
        <f t="shared" si="26"/>
        <v>0.89377035643462743</v>
      </c>
      <c r="AD11" s="14" t="str">
        <f t="shared" si="27"/>
        <v>€/(kWh/dia)/ano</v>
      </c>
      <c r="AE11" s="433">
        <f t="shared" si="18"/>
        <v>0.11603547004786466</v>
      </c>
      <c r="AF11" s="433">
        <f t="shared" si="19"/>
        <v>0.11603547004786466</v>
      </c>
      <c r="AG11" s="433">
        <f t="shared" si="20"/>
        <v>0.11603547004786466</v>
      </c>
      <c r="AH11" s="42">
        <f t="shared" si="28"/>
        <v>0.11603547004786466</v>
      </c>
      <c r="AI11" s="257"/>
      <c r="AJ11" s="14" t="s">
        <v>41</v>
      </c>
      <c r="AK11" s="440">
        <f t="shared" si="21"/>
        <v>825366.94320981379</v>
      </c>
      <c r="AL11" s="440">
        <f t="shared" si="22"/>
        <v>825366.94320981379</v>
      </c>
      <c r="AM11" s="440">
        <f t="shared" si="23"/>
        <v>825366.94320981379</v>
      </c>
      <c r="AN11" s="441">
        <f t="shared" si="29"/>
        <v>825366.94320981379</v>
      </c>
    </row>
    <row r="12" spans="2:40" ht="15" x14ac:dyDescent="0.25">
      <c r="B12" s="6"/>
      <c r="C12" s="22"/>
      <c r="D12" s="10" t="str">
        <f>+Input!E17</f>
        <v>Monthly</v>
      </c>
      <c r="E12" s="10">
        <f>+Input!F17</f>
        <v>0</v>
      </c>
      <c r="F12" s="247">
        <f>Data_b!$D$53</f>
        <v>12</v>
      </c>
      <c r="G12" s="428">
        <f>+Input!G17</f>
        <v>1432849.3585735292</v>
      </c>
      <c r="H12" s="428">
        <f>+Input!H17</f>
        <v>1432849.3585735292</v>
      </c>
      <c r="I12" s="428">
        <f>+Input!I17</f>
        <v>1432849.3585735292</v>
      </c>
      <c r="J12" s="55">
        <f>+Input!J17</f>
        <v>1432849.3585735292</v>
      </c>
      <c r="L12" s="14" t="str">
        <f>+'Pre-scaling RPM'!H21</f>
        <v>€/(kWh/dia)/ano</v>
      </c>
      <c r="M12" s="433">
        <f>+'Pre-scaling RPM'!P21</f>
        <v>0.1498003148801591</v>
      </c>
      <c r="N12" s="433">
        <f t="shared" si="24"/>
        <v>0.1498003148801591</v>
      </c>
      <c r="O12" s="433">
        <f t="shared" si="13"/>
        <v>0.1498003148801591</v>
      </c>
      <c r="P12" s="42">
        <f t="shared" si="13"/>
        <v>0.1498003148801591</v>
      </c>
      <c r="R12" s="14" t="s">
        <v>41</v>
      </c>
      <c r="S12" s="440">
        <f t="shared" si="14"/>
        <v>214641.28509014865</v>
      </c>
      <c r="T12" s="440">
        <f t="shared" si="15"/>
        <v>214641.28509014865</v>
      </c>
      <c r="U12" s="440">
        <f t="shared" si="16"/>
        <v>214641.28509014865</v>
      </c>
      <c r="V12" s="441">
        <f t="shared" si="25"/>
        <v>214641.28509014865</v>
      </c>
      <c r="X12" s="457" t="str">
        <f t="shared" si="17"/>
        <v>Entry</v>
      </c>
      <c r="Y12" s="433">
        <f t="shared" si="17"/>
        <v>0.89377035643462743</v>
      </c>
      <c r="Z12" s="433">
        <f t="shared" si="17"/>
        <v>0.89377035643462743</v>
      </c>
      <c r="AA12" s="433">
        <f t="shared" si="17"/>
        <v>0.89377035643462743</v>
      </c>
      <c r="AB12" s="42">
        <f t="shared" si="26"/>
        <v>0.89377035643462743</v>
      </c>
      <c r="AD12" s="14" t="str">
        <f t="shared" si="27"/>
        <v>€/(kWh/dia)/ano</v>
      </c>
      <c r="AE12" s="433">
        <f t="shared" si="18"/>
        <v>0.13388708082445921</v>
      </c>
      <c r="AF12" s="433">
        <f t="shared" si="19"/>
        <v>0.13388708082445921</v>
      </c>
      <c r="AG12" s="433">
        <f t="shared" si="20"/>
        <v>0.13388708082445921</v>
      </c>
      <c r="AH12" s="42">
        <f t="shared" si="28"/>
        <v>0.13388708082445921</v>
      </c>
      <c r="AI12" s="257"/>
      <c r="AJ12" s="14" t="s">
        <v>41</v>
      </c>
      <c r="AK12" s="440">
        <f t="shared" si="21"/>
        <v>191840.01788060865</v>
      </c>
      <c r="AL12" s="440">
        <f t="shared" si="22"/>
        <v>191840.01788060865</v>
      </c>
      <c r="AM12" s="440">
        <f t="shared" si="23"/>
        <v>191840.01788060865</v>
      </c>
      <c r="AN12" s="441">
        <f t="shared" si="29"/>
        <v>191840.01788060865</v>
      </c>
    </row>
    <row r="13" spans="2:40" ht="15" x14ac:dyDescent="0.25">
      <c r="B13" s="6"/>
      <c r="C13" s="22"/>
      <c r="D13" s="10" t="str">
        <f>+Input!E18</f>
        <v>Daily</v>
      </c>
      <c r="E13" s="10">
        <f>+Input!F18</f>
        <v>0</v>
      </c>
      <c r="F13" s="247">
        <f>Data_b!$D$53</f>
        <v>12</v>
      </c>
      <c r="G13" s="428">
        <f>+Input!G18</f>
        <v>12177235.572217982</v>
      </c>
      <c r="H13" s="428">
        <f>+Input!H18</f>
        <v>12177235.572217982</v>
      </c>
      <c r="I13" s="428">
        <f>+Input!I18</f>
        <v>12177235.572217982</v>
      </c>
      <c r="J13" s="55">
        <f>+Input!J18</f>
        <v>12177235.572217982</v>
      </c>
      <c r="L13" s="14" t="str">
        <f>+'Pre-scaling RPM'!H22</f>
        <v>€/(kWh/dia)/ano</v>
      </c>
      <c r="M13" s="433">
        <f>+'Pre-scaling RPM'!P22</f>
        <v>0.19973375317354547</v>
      </c>
      <c r="N13" s="433">
        <f t="shared" si="24"/>
        <v>0.19973375317354547</v>
      </c>
      <c r="O13" s="433">
        <f t="shared" si="13"/>
        <v>0.19973375317354547</v>
      </c>
      <c r="P13" s="42">
        <f t="shared" si="13"/>
        <v>0.19973375317354547</v>
      </c>
      <c r="R13" s="14" t="s">
        <v>41</v>
      </c>
      <c r="S13" s="440">
        <f t="shared" si="14"/>
        <v>2432204.9641175042</v>
      </c>
      <c r="T13" s="440">
        <f t="shared" si="15"/>
        <v>2432204.9641175042</v>
      </c>
      <c r="U13" s="440">
        <f t="shared" si="16"/>
        <v>2432204.9641175042</v>
      </c>
      <c r="V13" s="441">
        <f t="shared" si="25"/>
        <v>2432204.9641175042</v>
      </c>
      <c r="X13" s="457" t="str">
        <f t="shared" si="17"/>
        <v>Entry</v>
      </c>
      <c r="Y13" s="433">
        <f t="shared" si="17"/>
        <v>0.89377035643462743</v>
      </c>
      <c r="Z13" s="433">
        <f t="shared" si="17"/>
        <v>0.89377035643462743</v>
      </c>
      <c r="AA13" s="433">
        <f t="shared" si="17"/>
        <v>0.89377035643462743</v>
      </c>
      <c r="AB13" s="42">
        <f t="shared" si="26"/>
        <v>0.89377035643462743</v>
      </c>
      <c r="AD13" s="14" t="str">
        <f t="shared" si="27"/>
        <v>€/(kWh/dia)/ano</v>
      </c>
      <c r="AE13" s="433">
        <f t="shared" si="18"/>
        <v>0.17851610776594562</v>
      </c>
      <c r="AF13" s="433">
        <f t="shared" si="19"/>
        <v>0.17851610776594562</v>
      </c>
      <c r="AG13" s="433">
        <f t="shared" si="20"/>
        <v>0.17851610776594562</v>
      </c>
      <c r="AH13" s="42">
        <f t="shared" si="28"/>
        <v>0.17851610776594562</v>
      </c>
      <c r="AI13" s="257"/>
      <c r="AJ13" s="14" t="s">
        <v>41</v>
      </c>
      <c r="AK13" s="440">
        <f t="shared" si="21"/>
        <v>2173832.6977013717</v>
      </c>
      <c r="AL13" s="440">
        <f t="shared" si="22"/>
        <v>2173832.6977013717</v>
      </c>
      <c r="AM13" s="440">
        <f t="shared" si="23"/>
        <v>2173832.6977013717</v>
      </c>
      <c r="AN13" s="441">
        <f t="shared" si="29"/>
        <v>2173832.6977013717</v>
      </c>
    </row>
    <row r="14" spans="2:40" ht="15.75" thickBot="1" x14ac:dyDescent="0.3">
      <c r="B14" s="6"/>
      <c r="C14" s="23"/>
      <c r="D14" s="17" t="str">
        <f>+Input!E19</f>
        <v>Intraday</v>
      </c>
      <c r="E14" s="17">
        <f>+Input!F19</f>
        <v>0</v>
      </c>
      <c r="F14" s="248">
        <f>Data_b!$D$53</f>
        <v>12</v>
      </c>
      <c r="G14" s="429">
        <f>+Input!G19</f>
        <v>0</v>
      </c>
      <c r="H14" s="429">
        <f>+Input!H19</f>
        <v>0</v>
      </c>
      <c r="I14" s="429">
        <f>+Input!I19</f>
        <v>0</v>
      </c>
      <c r="J14" s="57">
        <f>+Input!J19</f>
        <v>0</v>
      </c>
      <c r="L14" s="16" t="str">
        <f>+'Pre-scaling RPM'!H23</f>
        <v>€/(kWh/h)/ano</v>
      </c>
      <c r="M14" s="434">
        <f>+'Pre-scaling RPM'!P23</f>
        <v>5.2729710837816004</v>
      </c>
      <c r="N14" s="434">
        <f t="shared" si="24"/>
        <v>5.2729710837816004</v>
      </c>
      <c r="O14" s="434">
        <f t="shared" si="13"/>
        <v>5.2729710837816004</v>
      </c>
      <c r="P14" s="435">
        <f t="shared" si="13"/>
        <v>5.2729710837816004</v>
      </c>
      <c r="R14" s="16" t="s">
        <v>41</v>
      </c>
      <c r="S14" s="442">
        <f t="shared" si="14"/>
        <v>0</v>
      </c>
      <c r="T14" s="442">
        <f t="shared" si="15"/>
        <v>0</v>
      </c>
      <c r="U14" s="442">
        <f t="shared" si="16"/>
        <v>0</v>
      </c>
      <c r="V14" s="443">
        <f t="shared" si="25"/>
        <v>0</v>
      </c>
      <c r="X14" s="458" t="str">
        <f t="shared" si="17"/>
        <v>Entry</v>
      </c>
      <c r="Y14" s="434">
        <f t="shared" si="17"/>
        <v>0.89377035643462743</v>
      </c>
      <c r="Z14" s="434">
        <f t="shared" si="17"/>
        <v>0.89377035643462743</v>
      </c>
      <c r="AA14" s="434">
        <f t="shared" si="17"/>
        <v>0.89377035643462743</v>
      </c>
      <c r="AB14" s="435">
        <f t="shared" si="26"/>
        <v>0.89377035643462743</v>
      </c>
      <c r="AD14" s="16" t="str">
        <f t="shared" si="27"/>
        <v>€/(kWh/h)/ano</v>
      </c>
      <c r="AE14" s="434">
        <f t="shared" si="18"/>
        <v>4.7128252450209649</v>
      </c>
      <c r="AF14" s="434">
        <f t="shared" si="19"/>
        <v>4.7128252450209649</v>
      </c>
      <c r="AG14" s="434">
        <f t="shared" si="20"/>
        <v>4.7128252450209649</v>
      </c>
      <c r="AH14" s="435">
        <f t="shared" si="28"/>
        <v>4.7128252450209649</v>
      </c>
      <c r="AI14" s="257"/>
      <c r="AJ14" s="16" t="s">
        <v>41</v>
      </c>
      <c r="AK14" s="442">
        <f t="shared" si="21"/>
        <v>0</v>
      </c>
      <c r="AL14" s="442">
        <f t="shared" si="22"/>
        <v>0</v>
      </c>
      <c r="AM14" s="442">
        <f t="shared" si="23"/>
        <v>0</v>
      </c>
      <c r="AN14" s="443">
        <f t="shared" si="29"/>
        <v>0</v>
      </c>
    </row>
    <row r="15" spans="2:40" ht="15" x14ac:dyDescent="0.25">
      <c r="B15" s="6"/>
      <c r="C15" s="21" t="str">
        <f>+Input!D20</f>
        <v>Underground Storage</v>
      </c>
      <c r="D15" s="12" t="str">
        <f>+Input!E20</f>
        <v>Daily</v>
      </c>
      <c r="E15" s="13">
        <f>+Input!F20</f>
        <v>0</v>
      </c>
      <c r="F15" s="249">
        <f>Data_b!$D$53</f>
        <v>12</v>
      </c>
      <c r="G15" s="427">
        <f>+Input!G20</f>
        <v>8631715.4602739699</v>
      </c>
      <c r="H15" s="427">
        <f>+Input!H20</f>
        <v>8631715.4602739699</v>
      </c>
      <c r="I15" s="427">
        <f>+Input!I20</f>
        <v>8631715.4602739699</v>
      </c>
      <c r="J15" s="53">
        <f>+Input!J20</f>
        <v>8631715.4602739699</v>
      </c>
      <c r="L15" s="46" t="str">
        <f>+'Pre-scaling RPM'!H24</f>
        <v>€/(kWh/dia)/ano</v>
      </c>
      <c r="M15" s="431">
        <f>+'Pre-scaling RPM'!P24</f>
        <v>0</v>
      </c>
      <c r="N15" s="431">
        <f t="shared" si="24"/>
        <v>0</v>
      </c>
      <c r="O15" s="431">
        <f t="shared" si="13"/>
        <v>0</v>
      </c>
      <c r="P15" s="432">
        <f t="shared" si="13"/>
        <v>0</v>
      </c>
      <c r="R15" s="46" t="s">
        <v>41</v>
      </c>
      <c r="S15" s="438">
        <f t="shared" si="14"/>
        <v>0</v>
      </c>
      <c r="T15" s="438">
        <f t="shared" si="15"/>
        <v>0</v>
      </c>
      <c r="U15" s="438">
        <f t="shared" si="16"/>
        <v>0</v>
      </c>
      <c r="V15" s="439">
        <f t="shared" si="25"/>
        <v>0</v>
      </c>
      <c r="X15" s="456" t="str">
        <f t="shared" si="17"/>
        <v>Entry</v>
      </c>
      <c r="Y15" s="431">
        <f t="shared" si="17"/>
        <v>0.89377035643462743</v>
      </c>
      <c r="Z15" s="431">
        <f t="shared" si="17"/>
        <v>0.89377035643462743</v>
      </c>
      <c r="AA15" s="431">
        <f t="shared" si="17"/>
        <v>0.89377035643462743</v>
      </c>
      <c r="AB15" s="432">
        <f t="shared" si="26"/>
        <v>0.89377035643462743</v>
      </c>
      <c r="AD15" s="46" t="str">
        <f t="shared" si="27"/>
        <v>€/(kWh/dia)/ano</v>
      </c>
      <c r="AE15" s="431">
        <f t="shared" si="18"/>
        <v>0</v>
      </c>
      <c r="AF15" s="431">
        <f t="shared" si="19"/>
        <v>0</v>
      </c>
      <c r="AG15" s="431">
        <f t="shared" si="20"/>
        <v>0</v>
      </c>
      <c r="AH15" s="432">
        <f t="shared" si="28"/>
        <v>0</v>
      </c>
      <c r="AI15" s="257"/>
      <c r="AJ15" s="46" t="s">
        <v>41</v>
      </c>
      <c r="AK15" s="438">
        <f t="shared" si="21"/>
        <v>0</v>
      </c>
      <c r="AL15" s="438">
        <f t="shared" si="22"/>
        <v>0</v>
      </c>
      <c r="AM15" s="438">
        <f t="shared" si="23"/>
        <v>0</v>
      </c>
      <c r="AN15" s="439">
        <f t="shared" si="29"/>
        <v>0</v>
      </c>
    </row>
    <row r="16" spans="2:40" ht="15.75" thickBot="1" x14ac:dyDescent="0.3">
      <c r="B16" s="7"/>
      <c r="C16" s="23"/>
      <c r="D16" s="17" t="str">
        <f>+Input!E21</f>
        <v>Intraday</v>
      </c>
      <c r="E16" s="17">
        <f>+Input!F21</f>
        <v>0</v>
      </c>
      <c r="F16" s="248">
        <f>Data_b!$D$53</f>
        <v>12</v>
      </c>
      <c r="G16" s="429">
        <f>+Input!G21</f>
        <v>0</v>
      </c>
      <c r="H16" s="429">
        <f>+Input!H21</f>
        <v>0</v>
      </c>
      <c r="I16" s="429">
        <f>+Input!I21</f>
        <v>0</v>
      </c>
      <c r="J16" s="57">
        <f>+Input!J21</f>
        <v>0</v>
      </c>
      <c r="L16" s="16" t="str">
        <f>+'Pre-scaling RPM'!H25</f>
        <v>€/(kWh/h)/ano</v>
      </c>
      <c r="M16" s="434">
        <f>+'Pre-scaling RPM'!P25</f>
        <v>0</v>
      </c>
      <c r="N16" s="434">
        <f t="shared" si="24"/>
        <v>0</v>
      </c>
      <c r="O16" s="434">
        <f t="shared" si="13"/>
        <v>0</v>
      </c>
      <c r="P16" s="435">
        <f t="shared" si="13"/>
        <v>0</v>
      </c>
      <c r="R16" s="16" t="s">
        <v>41</v>
      </c>
      <c r="S16" s="442">
        <f t="shared" si="14"/>
        <v>0</v>
      </c>
      <c r="T16" s="442">
        <f t="shared" si="15"/>
        <v>0</v>
      </c>
      <c r="U16" s="442">
        <f t="shared" si="16"/>
        <v>0</v>
      </c>
      <c r="V16" s="443">
        <f t="shared" si="25"/>
        <v>0</v>
      </c>
      <c r="X16" s="458" t="str">
        <f t="shared" si="17"/>
        <v>Entry</v>
      </c>
      <c r="Y16" s="434">
        <f t="shared" si="17"/>
        <v>0.89377035643462743</v>
      </c>
      <c r="Z16" s="434">
        <f t="shared" si="17"/>
        <v>0.89377035643462743</v>
      </c>
      <c r="AA16" s="434">
        <f t="shared" si="17"/>
        <v>0.89377035643462743</v>
      </c>
      <c r="AB16" s="435">
        <f t="shared" si="26"/>
        <v>0.89377035643462743</v>
      </c>
      <c r="AD16" s="16" t="str">
        <f t="shared" si="27"/>
        <v>€/(kWh/h)/ano</v>
      </c>
      <c r="AE16" s="434">
        <f t="shared" si="18"/>
        <v>0</v>
      </c>
      <c r="AF16" s="434">
        <f t="shared" si="19"/>
        <v>0</v>
      </c>
      <c r="AG16" s="434">
        <f t="shared" si="20"/>
        <v>0</v>
      </c>
      <c r="AH16" s="435">
        <f t="shared" si="28"/>
        <v>0</v>
      </c>
      <c r="AI16" s="257"/>
      <c r="AJ16" s="16" t="s">
        <v>41</v>
      </c>
      <c r="AK16" s="442">
        <f t="shared" si="21"/>
        <v>0</v>
      </c>
      <c r="AL16" s="442">
        <f t="shared" si="22"/>
        <v>0</v>
      </c>
      <c r="AM16" s="442">
        <f t="shared" si="23"/>
        <v>0</v>
      </c>
      <c r="AN16" s="443">
        <f t="shared" si="29"/>
        <v>0</v>
      </c>
    </row>
    <row r="17" spans="2:40" ht="15" x14ac:dyDescent="0.25">
      <c r="B17" s="5" t="str">
        <f>+Input!C22</f>
        <v>Exit</v>
      </c>
      <c r="C17" s="21" t="str">
        <f>+Input!D22</f>
        <v>Interconnection points (VIP)</v>
      </c>
      <c r="D17" s="12" t="str">
        <f>+Input!E22</f>
        <v>Yearly</v>
      </c>
      <c r="E17" s="13">
        <f>+Input!F22</f>
        <v>0</v>
      </c>
      <c r="F17" s="249">
        <f>Data_b!$D$53</f>
        <v>12</v>
      </c>
      <c r="G17" s="427">
        <f>+Input!G22</f>
        <v>0</v>
      </c>
      <c r="H17" s="427">
        <f>+Input!H22</f>
        <v>0</v>
      </c>
      <c r="I17" s="427">
        <f>+Input!I22</f>
        <v>0</v>
      </c>
      <c r="J17" s="53">
        <f>+Input!J22</f>
        <v>0</v>
      </c>
      <c r="L17" s="46" t="str">
        <f>+'Pre-scaling RPM'!H26</f>
        <v>€/(kWh/dia)/ano</v>
      </c>
      <c r="M17" s="431">
        <f>+'Pre-scaling RPM'!P26</f>
        <v>2.3800136129670614E-2</v>
      </c>
      <c r="N17" s="431">
        <f t="shared" si="24"/>
        <v>2.3800136129670614E-2</v>
      </c>
      <c r="O17" s="431">
        <f t="shared" si="13"/>
        <v>2.3800136129670614E-2</v>
      </c>
      <c r="P17" s="432">
        <f t="shared" si="13"/>
        <v>2.3800136129670614E-2</v>
      </c>
      <c r="R17" s="46" t="s">
        <v>41</v>
      </c>
      <c r="S17" s="438">
        <f t="shared" si="14"/>
        <v>0</v>
      </c>
      <c r="T17" s="438">
        <f t="shared" si="15"/>
        <v>0</v>
      </c>
      <c r="U17" s="438">
        <f t="shared" si="16"/>
        <v>0</v>
      </c>
      <c r="V17" s="439">
        <f t="shared" si="25"/>
        <v>0</v>
      </c>
      <c r="X17" s="456" t="str">
        <f t="shared" ref="X17:AA32" si="30">X$39</f>
        <v>Exit</v>
      </c>
      <c r="Y17" s="431">
        <f t="shared" si="30"/>
        <v>0.89423928195573155</v>
      </c>
      <c r="Z17" s="431">
        <f t="shared" si="30"/>
        <v>0.89423928195573155</v>
      </c>
      <c r="AA17" s="431">
        <f t="shared" si="30"/>
        <v>0.89423928195573155</v>
      </c>
      <c r="AB17" s="432">
        <f>AB$39</f>
        <v>0.89423928195573155</v>
      </c>
      <c r="AD17" s="46" t="str">
        <f t="shared" si="27"/>
        <v>€/(kWh/dia)/ano</v>
      </c>
      <c r="AE17" s="431">
        <f t="shared" si="18"/>
        <v>2.1283016643045313E-2</v>
      </c>
      <c r="AF17" s="431">
        <f t="shared" si="19"/>
        <v>2.1283016643045313E-2</v>
      </c>
      <c r="AG17" s="431">
        <f t="shared" si="20"/>
        <v>2.1283016643045313E-2</v>
      </c>
      <c r="AH17" s="432">
        <f t="shared" si="28"/>
        <v>2.1283016643045313E-2</v>
      </c>
      <c r="AI17" s="257"/>
      <c r="AJ17" s="46" t="s">
        <v>41</v>
      </c>
      <c r="AK17" s="438">
        <f t="shared" si="21"/>
        <v>0</v>
      </c>
      <c r="AL17" s="438">
        <f t="shared" si="22"/>
        <v>0</v>
      </c>
      <c r="AM17" s="438">
        <f t="shared" si="23"/>
        <v>0</v>
      </c>
      <c r="AN17" s="439">
        <f t="shared" si="29"/>
        <v>0</v>
      </c>
    </row>
    <row r="18" spans="2:40" ht="15" x14ac:dyDescent="0.25">
      <c r="B18" s="3"/>
      <c r="C18" s="22"/>
      <c r="D18" s="10" t="str">
        <f>+Input!E23</f>
        <v>Quarterly</v>
      </c>
      <c r="E18" s="10">
        <f>+Input!F23</f>
        <v>0</v>
      </c>
      <c r="F18" s="247">
        <f>Data_b!$D$53</f>
        <v>12</v>
      </c>
      <c r="G18" s="428">
        <f>+Input!G23</f>
        <v>0</v>
      </c>
      <c r="H18" s="428">
        <f>+Input!H23</f>
        <v>0</v>
      </c>
      <c r="I18" s="428">
        <f>+Input!I23</f>
        <v>0</v>
      </c>
      <c r="J18" s="55">
        <f>+Input!J23</f>
        <v>0</v>
      </c>
      <c r="L18" s="14" t="str">
        <f>+'Pre-scaling RPM'!H27</f>
        <v>€/(kWh/dia)/ano</v>
      </c>
      <c r="M18" s="433">
        <f>+'Pre-scaling RPM'!P27</f>
        <v>3.0940176968571799E-2</v>
      </c>
      <c r="N18" s="433">
        <f t="shared" si="24"/>
        <v>3.0940176968571799E-2</v>
      </c>
      <c r="O18" s="433">
        <f t="shared" si="13"/>
        <v>3.0940176968571799E-2</v>
      </c>
      <c r="P18" s="42">
        <f t="shared" si="13"/>
        <v>3.0940176968571799E-2</v>
      </c>
      <c r="R18" s="14" t="s">
        <v>41</v>
      </c>
      <c r="S18" s="440">
        <f t="shared" si="14"/>
        <v>0</v>
      </c>
      <c r="T18" s="440">
        <f t="shared" si="15"/>
        <v>0</v>
      </c>
      <c r="U18" s="440">
        <f t="shared" si="16"/>
        <v>0</v>
      </c>
      <c r="V18" s="441">
        <f t="shared" si="25"/>
        <v>0</v>
      </c>
      <c r="X18" s="457" t="str">
        <f t="shared" si="30"/>
        <v>Exit</v>
      </c>
      <c r="Y18" s="433">
        <f t="shared" si="30"/>
        <v>0.89423928195573155</v>
      </c>
      <c r="Z18" s="433">
        <f t="shared" si="30"/>
        <v>0.89423928195573155</v>
      </c>
      <c r="AA18" s="433">
        <f t="shared" si="30"/>
        <v>0.89423928195573155</v>
      </c>
      <c r="AB18" s="42">
        <f t="shared" ref="AB18:AB35" si="31">AB$39</f>
        <v>0.89423928195573155</v>
      </c>
      <c r="AD18" s="14" t="str">
        <f t="shared" si="27"/>
        <v>€/(kWh/dia)/ano</v>
      </c>
      <c r="AE18" s="433">
        <f t="shared" si="18"/>
        <v>2.7667921635958909E-2</v>
      </c>
      <c r="AF18" s="433">
        <f t="shared" si="19"/>
        <v>2.7667921635958909E-2</v>
      </c>
      <c r="AG18" s="433">
        <f t="shared" si="20"/>
        <v>2.7667921635958909E-2</v>
      </c>
      <c r="AH18" s="42">
        <f t="shared" si="28"/>
        <v>2.7667921635958909E-2</v>
      </c>
      <c r="AI18" s="257"/>
      <c r="AJ18" s="14" t="s">
        <v>41</v>
      </c>
      <c r="AK18" s="440">
        <f t="shared" si="21"/>
        <v>0</v>
      </c>
      <c r="AL18" s="440">
        <f t="shared" si="22"/>
        <v>0</v>
      </c>
      <c r="AM18" s="440">
        <f t="shared" si="23"/>
        <v>0</v>
      </c>
      <c r="AN18" s="441">
        <f t="shared" si="29"/>
        <v>0</v>
      </c>
    </row>
    <row r="19" spans="2:40" ht="15" x14ac:dyDescent="0.25">
      <c r="B19" s="3"/>
      <c r="C19" s="22"/>
      <c r="D19" s="10" t="str">
        <f>+Input!E24</f>
        <v>Monthly</v>
      </c>
      <c r="E19" s="10">
        <f>+Input!F24</f>
        <v>0</v>
      </c>
      <c r="F19" s="247">
        <f>Data_b!$D$53</f>
        <v>12</v>
      </c>
      <c r="G19" s="428">
        <f>+Input!G24</f>
        <v>0</v>
      </c>
      <c r="H19" s="428">
        <f>+Input!H24</f>
        <v>0</v>
      </c>
      <c r="I19" s="428">
        <f>+Input!I24</f>
        <v>0</v>
      </c>
      <c r="J19" s="55">
        <f>+Input!J24</f>
        <v>0</v>
      </c>
      <c r="L19" s="14" t="str">
        <f>+'Pre-scaling RPM'!H28</f>
        <v>€/(kWh/dia)/ano</v>
      </c>
      <c r="M19" s="433">
        <f>+'Pre-scaling RPM'!P28</f>
        <v>3.5700204194505925E-2</v>
      </c>
      <c r="N19" s="433">
        <f t="shared" si="24"/>
        <v>3.5700204194505925E-2</v>
      </c>
      <c r="O19" s="433">
        <f t="shared" si="13"/>
        <v>3.5700204194505925E-2</v>
      </c>
      <c r="P19" s="42">
        <f t="shared" si="13"/>
        <v>3.5700204194505925E-2</v>
      </c>
      <c r="R19" s="14" t="s">
        <v>41</v>
      </c>
      <c r="S19" s="440">
        <f t="shared" si="14"/>
        <v>0</v>
      </c>
      <c r="T19" s="440">
        <f t="shared" si="15"/>
        <v>0</v>
      </c>
      <c r="U19" s="440">
        <f t="shared" si="16"/>
        <v>0</v>
      </c>
      <c r="V19" s="441">
        <f t="shared" si="25"/>
        <v>0</v>
      </c>
      <c r="X19" s="457" t="str">
        <f t="shared" si="30"/>
        <v>Exit</v>
      </c>
      <c r="Y19" s="433">
        <f t="shared" si="30"/>
        <v>0.89423928195573155</v>
      </c>
      <c r="Z19" s="433">
        <f t="shared" si="30"/>
        <v>0.89423928195573155</v>
      </c>
      <c r="AA19" s="433">
        <f t="shared" si="30"/>
        <v>0.89423928195573155</v>
      </c>
      <c r="AB19" s="42">
        <f t="shared" si="31"/>
        <v>0.89423928195573155</v>
      </c>
      <c r="AD19" s="14" t="str">
        <f t="shared" si="27"/>
        <v>€/(kWh/dia)/ano</v>
      </c>
      <c r="AE19" s="433">
        <f t="shared" si="18"/>
        <v>3.1924524964567977E-2</v>
      </c>
      <c r="AF19" s="433">
        <f t="shared" si="19"/>
        <v>3.1924524964567977E-2</v>
      </c>
      <c r="AG19" s="433">
        <f t="shared" si="20"/>
        <v>3.1924524964567977E-2</v>
      </c>
      <c r="AH19" s="42">
        <f t="shared" si="28"/>
        <v>3.1924524964567977E-2</v>
      </c>
      <c r="AI19" s="257"/>
      <c r="AJ19" s="14" t="s">
        <v>41</v>
      </c>
      <c r="AK19" s="440">
        <f t="shared" si="21"/>
        <v>0</v>
      </c>
      <c r="AL19" s="440">
        <f t="shared" si="22"/>
        <v>0</v>
      </c>
      <c r="AM19" s="440">
        <f t="shared" si="23"/>
        <v>0</v>
      </c>
      <c r="AN19" s="441">
        <f t="shared" si="29"/>
        <v>0</v>
      </c>
    </row>
    <row r="20" spans="2:40" ht="15" x14ac:dyDescent="0.25">
      <c r="B20" s="3"/>
      <c r="C20" s="22"/>
      <c r="D20" s="10" t="str">
        <f>+Input!E25</f>
        <v>Daily</v>
      </c>
      <c r="E20" s="10">
        <f>+Input!F25</f>
        <v>0</v>
      </c>
      <c r="F20" s="247">
        <f>Data_b!$D$53</f>
        <v>12</v>
      </c>
      <c r="G20" s="428">
        <f>+Input!G25</f>
        <v>408694.55737704912</v>
      </c>
      <c r="H20" s="428">
        <f>+Input!H25</f>
        <v>408694.55737704912</v>
      </c>
      <c r="I20" s="428">
        <f>+Input!I25</f>
        <v>408694.55737704912</v>
      </c>
      <c r="J20" s="55">
        <f>+Input!J25</f>
        <v>408694.55737704912</v>
      </c>
      <c r="L20" s="14" t="str">
        <f>+'Pre-scaling RPM'!H29</f>
        <v>€/(kWh/dia)/ano</v>
      </c>
      <c r="M20" s="433">
        <f>+'Pre-scaling RPM'!P29</f>
        <v>4.7600272259341228E-2</v>
      </c>
      <c r="N20" s="433">
        <f t="shared" si="24"/>
        <v>4.7600272259341228E-2</v>
      </c>
      <c r="O20" s="433">
        <f t="shared" si="13"/>
        <v>4.7600272259341228E-2</v>
      </c>
      <c r="P20" s="42">
        <f t="shared" si="13"/>
        <v>4.7600272259341228E-2</v>
      </c>
      <c r="R20" s="14" t="s">
        <v>41</v>
      </c>
      <c r="S20" s="440">
        <f t="shared" si="14"/>
        <v>19453.972202058492</v>
      </c>
      <c r="T20" s="440">
        <f t="shared" si="15"/>
        <v>19453.972202058492</v>
      </c>
      <c r="U20" s="440">
        <f t="shared" si="16"/>
        <v>19453.972202058492</v>
      </c>
      <c r="V20" s="441">
        <f t="shared" si="25"/>
        <v>19453.972202058492</v>
      </c>
      <c r="X20" s="457" t="str">
        <f t="shared" si="30"/>
        <v>Exit</v>
      </c>
      <c r="Y20" s="433">
        <f t="shared" si="30"/>
        <v>0.89423928195573155</v>
      </c>
      <c r="Z20" s="433">
        <f t="shared" si="30"/>
        <v>0.89423928195573155</v>
      </c>
      <c r="AA20" s="433">
        <f t="shared" si="30"/>
        <v>0.89423928195573155</v>
      </c>
      <c r="AB20" s="42">
        <f t="shared" si="31"/>
        <v>0.89423928195573155</v>
      </c>
      <c r="AD20" s="14" t="str">
        <f t="shared" si="27"/>
        <v>€/(kWh/dia)/ano</v>
      </c>
      <c r="AE20" s="433">
        <f t="shared" si="18"/>
        <v>4.2566033286090627E-2</v>
      </c>
      <c r="AF20" s="433">
        <f t="shared" si="19"/>
        <v>4.2566033286090627E-2</v>
      </c>
      <c r="AG20" s="433">
        <f t="shared" si="20"/>
        <v>4.2566033286090627E-2</v>
      </c>
      <c r="AH20" s="42">
        <f t="shared" si="28"/>
        <v>4.2566033286090627E-2</v>
      </c>
      <c r="AI20" s="257"/>
      <c r="AJ20" s="14" t="s">
        <v>41</v>
      </c>
      <c r="AK20" s="440">
        <f t="shared" si="21"/>
        <v>17396.506133155548</v>
      </c>
      <c r="AL20" s="440">
        <f t="shared" si="22"/>
        <v>17396.506133155548</v>
      </c>
      <c r="AM20" s="440">
        <f t="shared" si="23"/>
        <v>17396.506133155548</v>
      </c>
      <c r="AN20" s="441">
        <f t="shared" si="29"/>
        <v>17396.506133155548</v>
      </c>
    </row>
    <row r="21" spans="2:40" ht="15.75" thickBot="1" x14ac:dyDescent="0.3">
      <c r="B21" s="3"/>
      <c r="C21" s="23"/>
      <c r="D21" s="17" t="str">
        <f>+Input!E26</f>
        <v>Intraday</v>
      </c>
      <c r="E21" s="17">
        <f>+Input!F26</f>
        <v>0</v>
      </c>
      <c r="F21" s="248">
        <f>Data_b!$D$53</f>
        <v>12</v>
      </c>
      <c r="G21" s="429">
        <f>+Input!G26</f>
        <v>0</v>
      </c>
      <c r="H21" s="429">
        <f>+Input!H26</f>
        <v>0</v>
      </c>
      <c r="I21" s="429">
        <f>+Input!I26</f>
        <v>0</v>
      </c>
      <c r="J21" s="57">
        <f>+Input!J26</f>
        <v>0</v>
      </c>
      <c r="L21" s="16" t="str">
        <f>+'Pre-scaling RPM'!H30</f>
        <v>€/(kWh/h)/ano</v>
      </c>
      <c r="M21" s="434">
        <f>+'Pre-scaling RPM'!P30</f>
        <v>1.2566471876466085</v>
      </c>
      <c r="N21" s="434">
        <f t="shared" si="24"/>
        <v>1.2566471876466085</v>
      </c>
      <c r="O21" s="434">
        <f t="shared" si="13"/>
        <v>1.2566471876466085</v>
      </c>
      <c r="P21" s="435">
        <f t="shared" si="13"/>
        <v>1.2566471876466085</v>
      </c>
      <c r="R21" s="16" t="s">
        <v>41</v>
      </c>
      <c r="S21" s="442">
        <f t="shared" si="14"/>
        <v>0</v>
      </c>
      <c r="T21" s="442">
        <f t="shared" si="15"/>
        <v>0</v>
      </c>
      <c r="U21" s="442">
        <f t="shared" si="16"/>
        <v>0</v>
      </c>
      <c r="V21" s="443">
        <f t="shared" si="25"/>
        <v>0</v>
      </c>
      <c r="X21" s="458" t="str">
        <f t="shared" si="30"/>
        <v>Exit</v>
      </c>
      <c r="Y21" s="434">
        <f t="shared" si="30"/>
        <v>0.89423928195573155</v>
      </c>
      <c r="Z21" s="434">
        <f t="shared" si="30"/>
        <v>0.89423928195573155</v>
      </c>
      <c r="AA21" s="434">
        <f t="shared" si="30"/>
        <v>0.89423928195573155</v>
      </c>
      <c r="AB21" s="435">
        <f t="shared" si="31"/>
        <v>0.89423928195573155</v>
      </c>
      <c r="AD21" s="16" t="str">
        <f t="shared" si="27"/>
        <v>€/(kWh/h)/ano</v>
      </c>
      <c r="AE21" s="434">
        <f t="shared" si="18"/>
        <v>1.1237432787527926</v>
      </c>
      <c r="AF21" s="434">
        <f t="shared" si="19"/>
        <v>1.1237432787527926</v>
      </c>
      <c r="AG21" s="434">
        <f t="shared" si="20"/>
        <v>1.1237432787527926</v>
      </c>
      <c r="AH21" s="435">
        <f t="shared" si="28"/>
        <v>1.1237432787527926</v>
      </c>
      <c r="AI21" s="257"/>
      <c r="AJ21" s="16" t="s">
        <v>41</v>
      </c>
      <c r="AK21" s="442">
        <f t="shared" si="21"/>
        <v>0</v>
      </c>
      <c r="AL21" s="442">
        <f t="shared" si="22"/>
        <v>0</v>
      </c>
      <c r="AM21" s="442">
        <f t="shared" si="23"/>
        <v>0</v>
      </c>
      <c r="AN21" s="443">
        <f t="shared" si="29"/>
        <v>0</v>
      </c>
    </row>
    <row r="22" spans="2:40" ht="15" x14ac:dyDescent="0.25">
      <c r="B22" s="3"/>
      <c r="C22" s="21" t="str">
        <f>+Input!D27</f>
        <v>LNG terminal</v>
      </c>
      <c r="D22" s="12" t="str">
        <f>+Input!E27</f>
        <v>Yearly</v>
      </c>
      <c r="E22" s="13">
        <f>+Input!F27</f>
        <v>0</v>
      </c>
      <c r="F22" s="249">
        <f>Data_b!$D$53</f>
        <v>12</v>
      </c>
      <c r="G22" s="427">
        <f>+Input!G27</f>
        <v>0</v>
      </c>
      <c r="H22" s="427">
        <f>+Input!H27</f>
        <v>0</v>
      </c>
      <c r="I22" s="427">
        <f>+Input!I27</f>
        <v>0</v>
      </c>
      <c r="J22" s="53">
        <f>+Input!J27</f>
        <v>0</v>
      </c>
      <c r="L22" s="46" t="str">
        <f>+'Pre-scaling RPM'!H31</f>
        <v>€/(kWh/dia)/ano</v>
      </c>
      <c r="M22" s="431">
        <f>+'Pre-scaling RPM'!P31</f>
        <v>0</v>
      </c>
      <c r="N22" s="431">
        <f t="shared" si="24"/>
        <v>0</v>
      </c>
      <c r="O22" s="431">
        <f t="shared" si="13"/>
        <v>0</v>
      </c>
      <c r="P22" s="432">
        <f t="shared" si="13"/>
        <v>0</v>
      </c>
      <c r="R22" s="46" t="s">
        <v>41</v>
      </c>
      <c r="S22" s="438">
        <f t="shared" si="14"/>
        <v>0</v>
      </c>
      <c r="T22" s="438">
        <f t="shared" si="15"/>
        <v>0</v>
      </c>
      <c r="U22" s="438">
        <f t="shared" si="16"/>
        <v>0</v>
      </c>
      <c r="V22" s="439">
        <f t="shared" si="25"/>
        <v>0</v>
      </c>
      <c r="X22" s="456" t="str">
        <f t="shared" si="30"/>
        <v>Exit</v>
      </c>
      <c r="Y22" s="431">
        <f t="shared" si="30"/>
        <v>0.89423928195573155</v>
      </c>
      <c r="Z22" s="431">
        <f t="shared" si="30"/>
        <v>0.89423928195573155</v>
      </c>
      <c r="AA22" s="431">
        <f t="shared" si="30"/>
        <v>0.89423928195573155</v>
      </c>
      <c r="AB22" s="432">
        <f t="shared" si="31"/>
        <v>0.89423928195573155</v>
      </c>
      <c r="AD22" s="46" t="str">
        <f t="shared" si="27"/>
        <v>€/(kWh/dia)/ano</v>
      </c>
      <c r="AE22" s="431">
        <f t="shared" si="18"/>
        <v>0</v>
      </c>
      <c r="AF22" s="431">
        <f t="shared" si="19"/>
        <v>0</v>
      </c>
      <c r="AG22" s="431">
        <f t="shared" si="20"/>
        <v>0</v>
      </c>
      <c r="AH22" s="432">
        <f t="shared" si="28"/>
        <v>0</v>
      </c>
      <c r="AI22" s="257"/>
      <c r="AJ22" s="46" t="s">
        <v>41</v>
      </c>
      <c r="AK22" s="438">
        <f t="shared" si="21"/>
        <v>0</v>
      </c>
      <c r="AL22" s="438">
        <f t="shared" si="22"/>
        <v>0</v>
      </c>
      <c r="AM22" s="438">
        <f t="shared" si="23"/>
        <v>0</v>
      </c>
      <c r="AN22" s="439">
        <f t="shared" si="29"/>
        <v>0</v>
      </c>
    </row>
    <row r="23" spans="2:40" ht="15" x14ac:dyDescent="0.25">
      <c r="B23" s="3"/>
      <c r="C23" s="22"/>
      <c r="D23" s="10" t="str">
        <f>+Input!E28</f>
        <v>Quarterly</v>
      </c>
      <c r="E23" s="10">
        <f>+Input!F28</f>
        <v>0</v>
      </c>
      <c r="F23" s="247">
        <f>Data_b!$D$53</f>
        <v>12</v>
      </c>
      <c r="G23" s="428">
        <f>+Input!G28</f>
        <v>0</v>
      </c>
      <c r="H23" s="428">
        <f>+Input!H28</f>
        <v>0</v>
      </c>
      <c r="I23" s="428">
        <f>+Input!I28</f>
        <v>0</v>
      </c>
      <c r="J23" s="55">
        <f>+Input!J28</f>
        <v>0</v>
      </c>
      <c r="L23" s="14" t="str">
        <f>+'Pre-scaling RPM'!H32</f>
        <v>€/(kWh/dia)/ano</v>
      </c>
      <c r="M23" s="433">
        <f>+'Pre-scaling RPM'!P32</f>
        <v>0</v>
      </c>
      <c r="N23" s="433">
        <f t="shared" si="24"/>
        <v>0</v>
      </c>
      <c r="O23" s="433">
        <f t="shared" si="13"/>
        <v>0</v>
      </c>
      <c r="P23" s="42">
        <f t="shared" si="13"/>
        <v>0</v>
      </c>
      <c r="R23" s="14" t="s">
        <v>41</v>
      </c>
      <c r="S23" s="440">
        <f t="shared" si="14"/>
        <v>0</v>
      </c>
      <c r="T23" s="440">
        <f t="shared" si="15"/>
        <v>0</v>
      </c>
      <c r="U23" s="440">
        <f t="shared" si="16"/>
        <v>0</v>
      </c>
      <c r="V23" s="441">
        <f t="shared" si="25"/>
        <v>0</v>
      </c>
      <c r="X23" s="457" t="str">
        <f t="shared" si="30"/>
        <v>Exit</v>
      </c>
      <c r="Y23" s="433">
        <f t="shared" si="30"/>
        <v>0.89423928195573155</v>
      </c>
      <c r="Z23" s="433">
        <f t="shared" si="30"/>
        <v>0.89423928195573155</v>
      </c>
      <c r="AA23" s="433">
        <f t="shared" si="30"/>
        <v>0.89423928195573155</v>
      </c>
      <c r="AB23" s="42">
        <f t="shared" si="31"/>
        <v>0.89423928195573155</v>
      </c>
      <c r="AD23" s="14" t="str">
        <f t="shared" si="27"/>
        <v>€/(kWh/dia)/ano</v>
      </c>
      <c r="AE23" s="433">
        <f t="shared" si="18"/>
        <v>0</v>
      </c>
      <c r="AF23" s="433">
        <f t="shared" si="19"/>
        <v>0</v>
      </c>
      <c r="AG23" s="433">
        <f t="shared" si="20"/>
        <v>0</v>
      </c>
      <c r="AH23" s="42">
        <f t="shared" si="28"/>
        <v>0</v>
      </c>
      <c r="AI23" s="257"/>
      <c r="AJ23" s="14" t="s">
        <v>41</v>
      </c>
      <c r="AK23" s="440">
        <f t="shared" si="21"/>
        <v>0</v>
      </c>
      <c r="AL23" s="440">
        <f t="shared" si="22"/>
        <v>0</v>
      </c>
      <c r="AM23" s="440">
        <f t="shared" si="23"/>
        <v>0</v>
      </c>
      <c r="AN23" s="441">
        <f t="shared" si="29"/>
        <v>0</v>
      </c>
    </row>
    <row r="24" spans="2:40" ht="15" x14ac:dyDescent="0.25">
      <c r="B24" s="3"/>
      <c r="C24" s="22"/>
      <c r="D24" s="10" t="str">
        <f>+Input!E29</f>
        <v>Monthly</v>
      </c>
      <c r="E24" s="10">
        <f>+Input!F29</f>
        <v>0</v>
      </c>
      <c r="F24" s="247">
        <f>Data_b!$D$53</f>
        <v>12</v>
      </c>
      <c r="G24" s="428">
        <f>+Input!G29</f>
        <v>0</v>
      </c>
      <c r="H24" s="428">
        <f>+Input!H29</f>
        <v>0</v>
      </c>
      <c r="I24" s="428">
        <f>+Input!I29</f>
        <v>0</v>
      </c>
      <c r="J24" s="55">
        <f>+Input!J29</f>
        <v>0</v>
      </c>
      <c r="L24" s="14" t="str">
        <f>+'Pre-scaling RPM'!H33</f>
        <v>€/(kWh/dia)/ano</v>
      </c>
      <c r="M24" s="433">
        <f>+'Pre-scaling RPM'!P33</f>
        <v>0</v>
      </c>
      <c r="N24" s="433">
        <f t="shared" si="24"/>
        <v>0</v>
      </c>
      <c r="O24" s="433">
        <f t="shared" si="13"/>
        <v>0</v>
      </c>
      <c r="P24" s="42">
        <f t="shared" si="13"/>
        <v>0</v>
      </c>
      <c r="R24" s="14" t="s">
        <v>41</v>
      </c>
      <c r="S24" s="440">
        <f t="shared" si="14"/>
        <v>0</v>
      </c>
      <c r="T24" s="440">
        <f t="shared" si="15"/>
        <v>0</v>
      </c>
      <c r="U24" s="440">
        <f t="shared" si="16"/>
        <v>0</v>
      </c>
      <c r="V24" s="441">
        <f t="shared" si="25"/>
        <v>0</v>
      </c>
      <c r="X24" s="457" t="str">
        <f t="shared" si="30"/>
        <v>Exit</v>
      </c>
      <c r="Y24" s="433">
        <f t="shared" si="30"/>
        <v>0.89423928195573155</v>
      </c>
      <c r="Z24" s="433">
        <f t="shared" si="30"/>
        <v>0.89423928195573155</v>
      </c>
      <c r="AA24" s="433">
        <f t="shared" si="30"/>
        <v>0.89423928195573155</v>
      </c>
      <c r="AB24" s="42">
        <f t="shared" si="31"/>
        <v>0.89423928195573155</v>
      </c>
      <c r="AD24" s="14" t="str">
        <f t="shared" si="27"/>
        <v>€/(kWh/dia)/ano</v>
      </c>
      <c r="AE24" s="433">
        <f t="shared" si="18"/>
        <v>0</v>
      </c>
      <c r="AF24" s="433">
        <f t="shared" si="19"/>
        <v>0</v>
      </c>
      <c r="AG24" s="433">
        <f t="shared" si="20"/>
        <v>0</v>
      </c>
      <c r="AH24" s="42">
        <f t="shared" si="28"/>
        <v>0</v>
      </c>
      <c r="AI24" s="257"/>
      <c r="AJ24" s="14" t="s">
        <v>41</v>
      </c>
      <c r="AK24" s="440">
        <f t="shared" si="21"/>
        <v>0</v>
      </c>
      <c r="AL24" s="440">
        <f t="shared" si="22"/>
        <v>0</v>
      </c>
      <c r="AM24" s="440">
        <f t="shared" si="23"/>
        <v>0</v>
      </c>
      <c r="AN24" s="441">
        <f t="shared" si="29"/>
        <v>0</v>
      </c>
    </row>
    <row r="25" spans="2:40" ht="15" x14ac:dyDescent="0.25">
      <c r="B25" s="3"/>
      <c r="C25" s="22"/>
      <c r="D25" s="10" t="str">
        <f>+Input!E30</f>
        <v>Daily</v>
      </c>
      <c r="E25" s="10">
        <f>+Input!F30</f>
        <v>0</v>
      </c>
      <c r="F25" s="247">
        <f>Data_b!$D$53</f>
        <v>12</v>
      </c>
      <c r="G25" s="428">
        <f>+Input!G30</f>
        <v>0</v>
      </c>
      <c r="H25" s="428">
        <f>+Input!H30</f>
        <v>0</v>
      </c>
      <c r="I25" s="428">
        <f>+Input!I30</f>
        <v>0</v>
      </c>
      <c r="J25" s="55">
        <f>+Input!J30</f>
        <v>0</v>
      </c>
      <c r="L25" s="14" t="str">
        <f>+'Pre-scaling RPM'!H34</f>
        <v>€/(kWh/dia)/ano</v>
      </c>
      <c r="M25" s="433">
        <f>+'Pre-scaling RPM'!P34</f>
        <v>0</v>
      </c>
      <c r="N25" s="433">
        <f t="shared" si="24"/>
        <v>0</v>
      </c>
      <c r="O25" s="433">
        <f t="shared" si="13"/>
        <v>0</v>
      </c>
      <c r="P25" s="42">
        <f t="shared" si="13"/>
        <v>0</v>
      </c>
      <c r="R25" s="14" t="s">
        <v>41</v>
      </c>
      <c r="S25" s="440">
        <f t="shared" si="14"/>
        <v>0</v>
      </c>
      <c r="T25" s="440">
        <f t="shared" si="15"/>
        <v>0</v>
      </c>
      <c r="U25" s="440">
        <f t="shared" si="16"/>
        <v>0</v>
      </c>
      <c r="V25" s="441">
        <f t="shared" si="25"/>
        <v>0</v>
      </c>
      <c r="X25" s="457" t="str">
        <f t="shared" si="30"/>
        <v>Exit</v>
      </c>
      <c r="Y25" s="433">
        <f t="shared" si="30"/>
        <v>0.89423928195573155</v>
      </c>
      <c r="Z25" s="433">
        <f t="shared" si="30"/>
        <v>0.89423928195573155</v>
      </c>
      <c r="AA25" s="433">
        <f t="shared" si="30"/>
        <v>0.89423928195573155</v>
      </c>
      <c r="AB25" s="42">
        <f t="shared" si="31"/>
        <v>0.89423928195573155</v>
      </c>
      <c r="AD25" s="14" t="str">
        <f t="shared" si="27"/>
        <v>€/(kWh/dia)/ano</v>
      </c>
      <c r="AE25" s="433">
        <f t="shared" si="18"/>
        <v>0</v>
      </c>
      <c r="AF25" s="433">
        <f t="shared" si="19"/>
        <v>0</v>
      </c>
      <c r="AG25" s="433">
        <f t="shared" si="20"/>
        <v>0</v>
      </c>
      <c r="AH25" s="42">
        <f t="shared" si="28"/>
        <v>0</v>
      </c>
      <c r="AI25" s="257"/>
      <c r="AJ25" s="14" t="s">
        <v>41</v>
      </c>
      <c r="AK25" s="440">
        <f t="shared" si="21"/>
        <v>0</v>
      </c>
      <c r="AL25" s="440">
        <f t="shared" si="22"/>
        <v>0</v>
      </c>
      <c r="AM25" s="440">
        <f t="shared" si="23"/>
        <v>0</v>
      </c>
      <c r="AN25" s="441">
        <f t="shared" si="29"/>
        <v>0</v>
      </c>
    </row>
    <row r="26" spans="2:40" ht="15.75" thickBot="1" x14ac:dyDescent="0.3">
      <c r="B26" s="3"/>
      <c r="C26" s="23"/>
      <c r="D26" s="17" t="str">
        <f>+Input!E31</f>
        <v>Intraday</v>
      </c>
      <c r="E26" s="17">
        <f>+Input!F31</f>
        <v>0</v>
      </c>
      <c r="F26" s="248">
        <f>Data_b!$D$53</f>
        <v>12</v>
      </c>
      <c r="G26" s="429">
        <f>+Input!G31</f>
        <v>0</v>
      </c>
      <c r="H26" s="429">
        <f>+Input!H31</f>
        <v>0</v>
      </c>
      <c r="I26" s="429">
        <f>+Input!I31</f>
        <v>0</v>
      </c>
      <c r="J26" s="57">
        <f>+Input!J31</f>
        <v>0</v>
      </c>
      <c r="L26" s="16" t="str">
        <f>+'Pre-scaling RPM'!H35</f>
        <v>€/(kWh/h)/ano</v>
      </c>
      <c r="M26" s="434">
        <f>+'Pre-scaling RPM'!P35</f>
        <v>0</v>
      </c>
      <c r="N26" s="434">
        <f t="shared" si="24"/>
        <v>0</v>
      </c>
      <c r="O26" s="434">
        <f t="shared" si="13"/>
        <v>0</v>
      </c>
      <c r="P26" s="435">
        <f t="shared" si="13"/>
        <v>0</v>
      </c>
      <c r="R26" s="16" t="s">
        <v>41</v>
      </c>
      <c r="S26" s="442">
        <f t="shared" si="14"/>
        <v>0</v>
      </c>
      <c r="T26" s="442">
        <f t="shared" si="15"/>
        <v>0</v>
      </c>
      <c r="U26" s="442">
        <f t="shared" si="16"/>
        <v>0</v>
      </c>
      <c r="V26" s="443">
        <f t="shared" si="25"/>
        <v>0</v>
      </c>
      <c r="X26" s="458" t="str">
        <f t="shared" si="30"/>
        <v>Exit</v>
      </c>
      <c r="Y26" s="434">
        <f t="shared" si="30"/>
        <v>0.89423928195573155</v>
      </c>
      <c r="Z26" s="434">
        <f t="shared" si="30"/>
        <v>0.89423928195573155</v>
      </c>
      <c r="AA26" s="434">
        <f t="shared" si="30"/>
        <v>0.89423928195573155</v>
      </c>
      <c r="AB26" s="435">
        <f t="shared" si="31"/>
        <v>0.89423928195573155</v>
      </c>
      <c r="AD26" s="16" t="str">
        <f t="shared" si="27"/>
        <v>€/(kWh/h)/ano</v>
      </c>
      <c r="AE26" s="434">
        <f t="shared" si="18"/>
        <v>0</v>
      </c>
      <c r="AF26" s="434">
        <f t="shared" si="19"/>
        <v>0</v>
      </c>
      <c r="AG26" s="434">
        <f t="shared" si="20"/>
        <v>0</v>
      </c>
      <c r="AH26" s="435">
        <f t="shared" si="28"/>
        <v>0</v>
      </c>
      <c r="AI26" s="257"/>
      <c r="AJ26" s="16" t="s">
        <v>41</v>
      </c>
      <c r="AK26" s="442">
        <f t="shared" si="21"/>
        <v>0</v>
      </c>
      <c r="AL26" s="442">
        <f t="shared" si="22"/>
        <v>0</v>
      </c>
      <c r="AM26" s="442">
        <f t="shared" si="23"/>
        <v>0</v>
      </c>
      <c r="AN26" s="443">
        <f t="shared" si="29"/>
        <v>0</v>
      </c>
    </row>
    <row r="27" spans="2:40" ht="15" x14ac:dyDescent="0.25">
      <c r="B27" s="3"/>
      <c r="C27" s="21" t="str">
        <f>+Input!D32</f>
        <v>Underground Storage</v>
      </c>
      <c r="D27" s="12" t="str">
        <f>+Input!E32</f>
        <v>Daily</v>
      </c>
      <c r="E27" s="13">
        <f>+Input!F32</f>
        <v>0</v>
      </c>
      <c r="F27" s="249">
        <f>Data_b!$D$53</f>
        <v>12</v>
      </c>
      <c r="G27" s="427">
        <f>+Input!G32</f>
        <v>8631715.4602739699</v>
      </c>
      <c r="H27" s="427">
        <f>+Input!H32</f>
        <v>8631715.4602739699</v>
      </c>
      <c r="I27" s="427">
        <f>+Input!I32</f>
        <v>8631715.4602739699</v>
      </c>
      <c r="J27" s="53">
        <f>+Input!J32</f>
        <v>8631715.4602739699</v>
      </c>
      <c r="L27" s="46" t="str">
        <f>+'Pre-scaling RPM'!H36</f>
        <v>€/(kWh/dia)/ano</v>
      </c>
      <c r="M27" s="431">
        <f>+'Pre-scaling RPM'!P36</f>
        <v>0</v>
      </c>
      <c r="N27" s="431">
        <f t="shared" si="24"/>
        <v>0</v>
      </c>
      <c r="O27" s="431">
        <f t="shared" si="13"/>
        <v>0</v>
      </c>
      <c r="P27" s="432">
        <f t="shared" si="13"/>
        <v>0</v>
      </c>
      <c r="R27" s="46" t="s">
        <v>41</v>
      </c>
      <c r="S27" s="438">
        <f t="shared" si="14"/>
        <v>0</v>
      </c>
      <c r="T27" s="438">
        <f t="shared" si="15"/>
        <v>0</v>
      </c>
      <c r="U27" s="438">
        <f t="shared" si="16"/>
        <v>0</v>
      </c>
      <c r="V27" s="439">
        <f t="shared" si="25"/>
        <v>0</v>
      </c>
      <c r="X27" s="456" t="str">
        <f t="shared" si="30"/>
        <v>Exit</v>
      </c>
      <c r="Y27" s="431">
        <f t="shared" si="30"/>
        <v>0.89423928195573155</v>
      </c>
      <c r="Z27" s="431">
        <f t="shared" si="30"/>
        <v>0.89423928195573155</v>
      </c>
      <c r="AA27" s="431">
        <f t="shared" si="30"/>
        <v>0.89423928195573155</v>
      </c>
      <c r="AB27" s="432">
        <f t="shared" si="31"/>
        <v>0.89423928195573155</v>
      </c>
      <c r="AD27" s="46" t="str">
        <f t="shared" si="27"/>
        <v>€/(kWh/dia)/ano</v>
      </c>
      <c r="AE27" s="431">
        <f t="shared" si="18"/>
        <v>0</v>
      </c>
      <c r="AF27" s="431">
        <f t="shared" si="19"/>
        <v>0</v>
      </c>
      <c r="AG27" s="431">
        <f t="shared" si="20"/>
        <v>0</v>
      </c>
      <c r="AH27" s="432">
        <f t="shared" si="28"/>
        <v>0</v>
      </c>
      <c r="AI27" s="257"/>
      <c r="AJ27" s="46" t="s">
        <v>41</v>
      </c>
      <c r="AK27" s="438">
        <f t="shared" si="21"/>
        <v>0</v>
      </c>
      <c r="AL27" s="438">
        <f t="shared" si="22"/>
        <v>0</v>
      </c>
      <c r="AM27" s="438">
        <f t="shared" si="23"/>
        <v>0</v>
      </c>
      <c r="AN27" s="439">
        <f t="shared" si="29"/>
        <v>0</v>
      </c>
    </row>
    <row r="28" spans="2:40" ht="15.75" thickBot="1" x14ac:dyDescent="0.3">
      <c r="B28" s="3"/>
      <c r="C28" s="23"/>
      <c r="D28" s="17" t="str">
        <f>+Input!E33</f>
        <v>Intraday</v>
      </c>
      <c r="E28" s="17">
        <f>+Input!F33</f>
        <v>0</v>
      </c>
      <c r="F28" s="248">
        <f>Data_b!$D$53</f>
        <v>12</v>
      </c>
      <c r="G28" s="429">
        <f>+Input!G33</f>
        <v>0</v>
      </c>
      <c r="H28" s="429">
        <f>+Input!H33</f>
        <v>0</v>
      </c>
      <c r="I28" s="429">
        <f>+Input!I33</f>
        <v>0</v>
      </c>
      <c r="J28" s="57">
        <f>+Input!J33</f>
        <v>0</v>
      </c>
      <c r="L28" s="16" t="str">
        <f>+'Pre-scaling RPM'!H37</f>
        <v>€/(kWh/h)/ano</v>
      </c>
      <c r="M28" s="434">
        <f>+'Pre-scaling RPM'!P37</f>
        <v>0</v>
      </c>
      <c r="N28" s="434">
        <f t="shared" si="24"/>
        <v>0</v>
      </c>
      <c r="O28" s="434">
        <f t="shared" si="13"/>
        <v>0</v>
      </c>
      <c r="P28" s="435">
        <f t="shared" si="13"/>
        <v>0</v>
      </c>
      <c r="R28" s="16" t="s">
        <v>41</v>
      </c>
      <c r="S28" s="442">
        <f t="shared" si="14"/>
        <v>0</v>
      </c>
      <c r="T28" s="442">
        <f t="shared" si="15"/>
        <v>0</v>
      </c>
      <c r="U28" s="442">
        <f t="shared" si="16"/>
        <v>0</v>
      </c>
      <c r="V28" s="443">
        <f t="shared" si="25"/>
        <v>0</v>
      </c>
      <c r="X28" s="458" t="str">
        <f t="shared" si="30"/>
        <v>Exit</v>
      </c>
      <c r="Y28" s="434">
        <f t="shared" si="30"/>
        <v>0.89423928195573155</v>
      </c>
      <c r="Z28" s="434">
        <f t="shared" si="30"/>
        <v>0.89423928195573155</v>
      </c>
      <c r="AA28" s="434">
        <f t="shared" si="30"/>
        <v>0.89423928195573155</v>
      </c>
      <c r="AB28" s="435">
        <f t="shared" si="31"/>
        <v>0.89423928195573155</v>
      </c>
      <c r="AD28" s="16" t="str">
        <f t="shared" si="27"/>
        <v>€/(kWh/h)/ano</v>
      </c>
      <c r="AE28" s="434">
        <f t="shared" si="18"/>
        <v>0</v>
      </c>
      <c r="AF28" s="434">
        <f t="shared" si="19"/>
        <v>0</v>
      </c>
      <c r="AG28" s="434">
        <f t="shared" si="20"/>
        <v>0</v>
      </c>
      <c r="AH28" s="435">
        <f t="shared" si="28"/>
        <v>0</v>
      </c>
      <c r="AI28" s="257"/>
      <c r="AJ28" s="16" t="s">
        <v>41</v>
      </c>
      <c r="AK28" s="442">
        <f t="shared" si="21"/>
        <v>0</v>
      </c>
      <c r="AL28" s="442">
        <f t="shared" si="22"/>
        <v>0</v>
      </c>
      <c r="AM28" s="442">
        <f t="shared" si="23"/>
        <v>0</v>
      </c>
      <c r="AN28" s="443">
        <f t="shared" si="29"/>
        <v>0</v>
      </c>
    </row>
    <row r="29" spans="2:40" ht="15.75" thickBot="1" x14ac:dyDescent="0.3">
      <c r="B29" s="3"/>
      <c r="C29" s="19" t="str">
        <f>+Input!D34</f>
        <v>Distribution networks and HP Customers</v>
      </c>
      <c r="D29" s="20" t="str">
        <f>+Input!E34</f>
        <v>Long Uses</v>
      </c>
      <c r="E29" s="20">
        <f>+Input!F34</f>
        <v>0</v>
      </c>
      <c r="F29" s="250">
        <f>Data_b!$D$53</f>
        <v>12</v>
      </c>
      <c r="G29" s="430">
        <f>+Input!G34</f>
        <v>168207197.95516264</v>
      </c>
      <c r="H29" s="430">
        <f>+Input!H34</f>
        <v>168207197.95516264</v>
      </c>
      <c r="I29" s="430">
        <f>+Input!I34</f>
        <v>168207197.95516264</v>
      </c>
      <c r="J29" s="58">
        <f>+Input!J34</f>
        <v>168207197.95516264</v>
      </c>
      <c r="L29" s="19" t="str">
        <f>+'Pre-scaling RPM'!H38</f>
        <v>€/(kWh/dia)/ano</v>
      </c>
      <c r="M29" s="436">
        <f>+'Pre-scaling RPM'!P38</f>
        <v>0.19139463625988049</v>
      </c>
      <c r="N29" s="436">
        <f t="shared" si="24"/>
        <v>0.19139463625988049</v>
      </c>
      <c r="O29" s="436">
        <f t="shared" si="13"/>
        <v>0.19139463625988049</v>
      </c>
      <c r="P29" s="437">
        <f t="shared" si="13"/>
        <v>0.19139463625988049</v>
      </c>
      <c r="R29" s="19" t="s">
        <v>41</v>
      </c>
      <c r="S29" s="444">
        <f t="shared" si="14"/>
        <v>32193955.468922067</v>
      </c>
      <c r="T29" s="444">
        <f t="shared" si="15"/>
        <v>32193955.468922067</v>
      </c>
      <c r="U29" s="444">
        <f t="shared" si="16"/>
        <v>32193955.468922067</v>
      </c>
      <c r="V29" s="445">
        <f t="shared" si="25"/>
        <v>32193955.468922067</v>
      </c>
      <c r="X29" s="459" t="str">
        <f t="shared" si="30"/>
        <v>Exit</v>
      </c>
      <c r="Y29" s="436">
        <f t="shared" si="30"/>
        <v>0.89423928195573155</v>
      </c>
      <c r="Z29" s="436">
        <f t="shared" si="30"/>
        <v>0.89423928195573155</v>
      </c>
      <c r="AA29" s="436">
        <f t="shared" si="30"/>
        <v>0.89423928195573155</v>
      </c>
      <c r="AB29" s="437">
        <f t="shared" si="31"/>
        <v>0.89423928195573155</v>
      </c>
      <c r="AD29" s="19" t="str">
        <f t="shared" si="27"/>
        <v>€/(kWh/dia)/ano</v>
      </c>
      <c r="AE29" s="436">
        <f t="shared" si="18"/>
        <v>0.17115260209921396</v>
      </c>
      <c r="AF29" s="436">
        <f t="shared" si="19"/>
        <v>0.17115260209921396</v>
      </c>
      <c r="AG29" s="436">
        <f t="shared" si="20"/>
        <v>0.17115260209921396</v>
      </c>
      <c r="AH29" s="437">
        <f t="shared" si="28"/>
        <v>0.17115260209921396</v>
      </c>
      <c r="AI29" s="257"/>
      <c r="AJ29" s="19" t="s">
        <v>41</v>
      </c>
      <c r="AK29" s="444">
        <f t="shared" si="21"/>
        <v>28789099.621843666</v>
      </c>
      <c r="AL29" s="444">
        <f t="shared" si="22"/>
        <v>28789099.621843666</v>
      </c>
      <c r="AM29" s="444">
        <f t="shared" si="23"/>
        <v>28789099.621843666</v>
      </c>
      <c r="AN29" s="445">
        <f t="shared" si="29"/>
        <v>28789099.621843666</v>
      </c>
    </row>
    <row r="30" spans="2:40" ht="15" x14ac:dyDescent="0.25">
      <c r="B30" s="3"/>
      <c r="C30" s="21" t="str">
        <f>+Input!D35</f>
        <v>HP Customers</v>
      </c>
      <c r="D30" s="12" t="str">
        <f>+Input!E35</f>
        <v>Annual Flexible Rate - Annual Base Capacity</v>
      </c>
      <c r="E30" s="12">
        <f>+Input!F35</f>
        <v>0</v>
      </c>
      <c r="F30" s="249">
        <f>Data_b!$D$53</f>
        <v>12</v>
      </c>
      <c r="G30" s="427">
        <f>+Input!G35</f>
        <v>74865740.840000004</v>
      </c>
      <c r="H30" s="427">
        <f>+Input!H35</f>
        <v>74865740.840000004</v>
      </c>
      <c r="I30" s="427">
        <f>+Input!I35</f>
        <v>74865740.840000004</v>
      </c>
      <c r="J30" s="53">
        <f>+Input!J35</f>
        <v>74865740.840000004</v>
      </c>
      <c r="L30" s="11" t="str">
        <f>+'Pre-scaling RPM'!H39</f>
        <v>€/(kWh/dia)/ano</v>
      </c>
      <c r="M30" s="431">
        <f>+'Pre-scaling RPM'!P39</f>
        <v>0.19139463625988049</v>
      </c>
      <c r="N30" s="431">
        <f t="shared" si="24"/>
        <v>0.19139463625988049</v>
      </c>
      <c r="O30" s="431">
        <f t="shared" si="13"/>
        <v>0.19139463625988049</v>
      </c>
      <c r="P30" s="432">
        <f t="shared" si="13"/>
        <v>0.19139463625988049</v>
      </c>
      <c r="R30" s="11" t="s">
        <v>41</v>
      </c>
      <c r="S30" s="438">
        <f t="shared" si="14"/>
        <v>14328901.23639828</v>
      </c>
      <c r="T30" s="438">
        <f t="shared" si="15"/>
        <v>14328901.23639828</v>
      </c>
      <c r="U30" s="438">
        <f t="shared" si="16"/>
        <v>14328901.23639828</v>
      </c>
      <c r="V30" s="439">
        <f t="shared" si="25"/>
        <v>14328901.23639828</v>
      </c>
      <c r="X30" s="456" t="str">
        <f t="shared" si="30"/>
        <v>Exit</v>
      </c>
      <c r="Y30" s="431">
        <f t="shared" si="30"/>
        <v>0.89423928195573155</v>
      </c>
      <c r="Z30" s="431">
        <f t="shared" si="30"/>
        <v>0.89423928195573155</v>
      </c>
      <c r="AA30" s="431">
        <f t="shared" si="30"/>
        <v>0.89423928195573155</v>
      </c>
      <c r="AB30" s="432">
        <f t="shared" si="31"/>
        <v>0.89423928195573155</v>
      </c>
      <c r="AD30" s="11" t="str">
        <f t="shared" si="27"/>
        <v>€/(kWh/dia)/ano</v>
      </c>
      <c r="AE30" s="431">
        <f t="shared" si="18"/>
        <v>0.17115260209921396</v>
      </c>
      <c r="AF30" s="431">
        <f t="shared" si="19"/>
        <v>0.17115260209921396</v>
      </c>
      <c r="AG30" s="431">
        <f t="shared" si="20"/>
        <v>0.17115260209921396</v>
      </c>
      <c r="AH30" s="432">
        <f t="shared" si="28"/>
        <v>0.17115260209921396</v>
      </c>
      <c r="AI30" s="257"/>
      <c r="AJ30" s="11" t="s">
        <v>41</v>
      </c>
      <c r="AK30" s="438">
        <f t="shared" si="21"/>
        <v>12813466.352851393</v>
      </c>
      <c r="AL30" s="438">
        <f t="shared" si="22"/>
        <v>12813466.352851393</v>
      </c>
      <c r="AM30" s="438">
        <f t="shared" si="23"/>
        <v>12813466.352851393</v>
      </c>
      <c r="AN30" s="439">
        <f t="shared" si="29"/>
        <v>12813466.352851393</v>
      </c>
    </row>
    <row r="31" spans="2:40" ht="15" x14ac:dyDescent="0.25">
      <c r="B31" s="3"/>
      <c r="C31" s="22"/>
      <c r="D31" s="10" t="str">
        <f>+Input!E36</f>
        <v>Annual Flexible Rate - Additional Monthly Capacity (April to September)</v>
      </c>
      <c r="E31" s="10">
        <f>+Input!F36</f>
        <v>0</v>
      </c>
      <c r="F31" s="389">
        <f>+Data_b!$D$52</f>
        <v>6</v>
      </c>
      <c r="G31" s="428">
        <f>+Input!G36</f>
        <v>0</v>
      </c>
      <c r="H31" s="428">
        <f>+Input!H36</f>
        <v>0</v>
      </c>
      <c r="I31" s="428">
        <f>+Input!I36</f>
        <v>0</v>
      </c>
      <c r="J31" s="55">
        <f>+Input!J36</f>
        <v>0</v>
      </c>
      <c r="L31" s="14" t="str">
        <f>+'Pre-scaling RPM'!H40</f>
        <v>€/(kWh/dia)/ano</v>
      </c>
      <c r="M31" s="433">
        <f>+'Pre-scaling RPM'!P40</f>
        <v>0.28709195438982071</v>
      </c>
      <c r="N31" s="433">
        <f t="shared" si="24"/>
        <v>0.28709195438982071</v>
      </c>
      <c r="O31" s="433">
        <f t="shared" si="13"/>
        <v>0.28709195438982071</v>
      </c>
      <c r="P31" s="42">
        <f t="shared" si="13"/>
        <v>0.28709195438982071</v>
      </c>
      <c r="R31" s="14" t="s">
        <v>41</v>
      </c>
      <c r="S31" s="440">
        <f t="shared" si="14"/>
        <v>0</v>
      </c>
      <c r="T31" s="440">
        <f t="shared" si="15"/>
        <v>0</v>
      </c>
      <c r="U31" s="440">
        <f t="shared" si="16"/>
        <v>0</v>
      </c>
      <c r="V31" s="441">
        <f t="shared" si="25"/>
        <v>0</v>
      </c>
      <c r="X31" s="457" t="str">
        <f t="shared" si="30"/>
        <v>Exit</v>
      </c>
      <c r="Y31" s="433">
        <f t="shared" si="30"/>
        <v>0.89423928195573155</v>
      </c>
      <c r="Z31" s="433">
        <f t="shared" si="30"/>
        <v>0.89423928195573155</v>
      </c>
      <c r="AA31" s="433">
        <f t="shared" si="30"/>
        <v>0.89423928195573155</v>
      </c>
      <c r="AB31" s="42">
        <f t="shared" si="31"/>
        <v>0.89423928195573155</v>
      </c>
      <c r="AD31" s="14" t="str">
        <f t="shared" si="27"/>
        <v>€/(kWh/dia)/ano</v>
      </c>
      <c r="AE31" s="433">
        <f t="shared" si="18"/>
        <v>0.25672890314882091</v>
      </c>
      <c r="AF31" s="433">
        <f t="shared" si="19"/>
        <v>0.25672890314882091</v>
      </c>
      <c r="AG31" s="433">
        <f t="shared" si="20"/>
        <v>0.25672890314882091</v>
      </c>
      <c r="AH31" s="42">
        <f t="shared" si="28"/>
        <v>0.25672890314882091</v>
      </c>
      <c r="AI31" s="257"/>
      <c r="AJ31" s="14" t="s">
        <v>41</v>
      </c>
      <c r="AK31" s="440">
        <f t="shared" si="21"/>
        <v>0</v>
      </c>
      <c r="AL31" s="440">
        <f t="shared" si="22"/>
        <v>0</v>
      </c>
      <c r="AM31" s="440">
        <f t="shared" si="23"/>
        <v>0</v>
      </c>
      <c r="AN31" s="441">
        <f t="shared" si="29"/>
        <v>0</v>
      </c>
    </row>
    <row r="32" spans="2:40" ht="15" x14ac:dyDescent="0.25">
      <c r="B32" s="3"/>
      <c r="C32" s="22"/>
      <c r="D32" s="10" t="str">
        <f>+Input!E37</f>
        <v>Flexible Monthly Rate - Monthly Capacity (October to March)</v>
      </c>
      <c r="E32" s="10">
        <f>+Input!F37</f>
        <v>0</v>
      </c>
      <c r="F32" s="389">
        <f>+Data_b!$D$51</f>
        <v>6</v>
      </c>
      <c r="G32" s="428">
        <f>+Input!G37</f>
        <v>27009366.044198893</v>
      </c>
      <c r="H32" s="428">
        <f>+Input!H37</f>
        <v>27009366.044198893</v>
      </c>
      <c r="I32" s="428">
        <f>+Input!I37</f>
        <v>27009366.044198893</v>
      </c>
      <c r="J32" s="55">
        <f>+Input!J37</f>
        <v>27009366.044198893</v>
      </c>
      <c r="L32" s="14" t="str">
        <f>+'Pre-scaling RPM'!H41</f>
        <v>€/(kWh/dia)/ano</v>
      </c>
      <c r="M32" s="433">
        <f>+'Pre-scaling RPM'!P41</f>
        <v>0.57418390877964143</v>
      </c>
      <c r="N32" s="433">
        <f t="shared" si="24"/>
        <v>0.57418390877964143</v>
      </c>
      <c r="O32" s="433">
        <f t="shared" si="13"/>
        <v>0.57418390877964143</v>
      </c>
      <c r="P32" s="42">
        <f t="shared" si="13"/>
        <v>0.57418390877964143</v>
      </c>
      <c r="R32" s="14" t="s">
        <v>41</v>
      </c>
      <c r="S32" s="440">
        <f t="shared" si="14"/>
        <v>7754171.684459121</v>
      </c>
      <c r="T32" s="440">
        <f t="shared" si="15"/>
        <v>7754171.684459121</v>
      </c>
      <c r="U32" s="440">
        <f t="shared" si="16"/>
        <v>7754171.684459121</v>
      </c>
      <c r="V32" s="441">
        <f t="shared" si="25"/>
        <v>7754171.684459121</v>
      </c>
      <c r="X32" s="457" t="str">
        <f t="shared" si="30"/>
        <v>Exit</v>
      </c>
      <c r="Y32" s="433">
        <f t="shared" si="30"/>
        <v>0.89423928195573155</v>
      </c>
      <c r="Z32" s="433">
        <f t="shared" si="30"/>
        <v>0.89423928195573155</v>
      </c>
      <c r="AA32" s="433">
        <f t="shared" si="30"/>
        <v>0.89423928195573155</v>
      </c>
      <c r="AB32" s="42">
        <f t="shared" si="31"/>
        <v>0.89423928195573155</v>
      </c>
      <c r="AD32" s="14" t="str">
        <f t="shared" si="27"/>
        <v>€/(kWh/dia)/ano</v>
      </c>
      <c r="AE32" s="433">
        <f t="shared" si="18"/>
        <v>0.51345780629764182</v>
      </c>
      <c r="AF32" s="433">
        <f t="shared" si="19"/>
        <v>0.51345780629764182</v>
      </c>
      <c r="AG32" s="433">
        <f t="shared" si="20"/>
        <v>0.51345780629764182</v>
      </c>
      <c r="AH32" s="42">
        <f t="shared" si="28"/>
        <v>0.51345780629764182</v>
      </c>
      <c r="AI32" s="257"/>
      <c r="AJ32" s="14" t="s">
        <v>41</v>
      </c>
      <c r="AK32" s="440">
        <f t="shared" si="21"/>
        <v>6934084.919272189</v>
      </c>
      <c r="AL32" s="440">
        <f t="shared" si="22"/>
        <v>6934084.919272189</v>
      </c>
      <c r="AM32" s="440">
        <f t="shared" si="23"/>
        <v>6934084.919272189</v>
      </c>
      <c r="AN32" s="441">
        <f t="shared" si="29"/>
        <v>6934084.919272189</v>
      </c>
    </row>
    <row r="33" spans="2:40" ht="15" x14ac:dyDescent="0.25">
      <c r="B33" s="3"/>
      <c r="C33" s="22"/>
      <c r="D33" s="10" t="str">
        <f>+Input!E38</f>
        <v>Flexible Monthly Rate - Monthly Capacity (April to September)</v>
      </c>
      <c r="E33" s="10">
        <f>+Input!F38</f>
        <v>0</v>
      </c>
      <c r="F33" s="389">
        <f>+Data_b!$D$52</f>
        <v>6</v>
      </c>
      <c r="G33" s="428">
        <f>+Input!G38</f>
        <v>32280449.869565219</v>
      </c>
      <c r="H33" s="428">
        <f>+Input!H38</f>
        <v>32280449.869565219</v>
      </c>
      <c r="I33" s="428">
        <f>+Input!I38</f>
        <v>32280449.869565219</v>
      </c>
      <c r="J33" s="55">
        <f>+Input!J38</f>
        <v>32280449.869565219</v>
      </c>
      <c r="L33" s="14" t="str">
        <f>+'Pre-scaling RPM'!H42</f>
        <v>€/(kWh/dia)/ano</v>
      </c>
      <c r="M33" s="433">
        <f>+'Pre-scaling RPM'!P42</f>
        <v>0.28709195438982071</v>
      </c>
      <c r="N33" s="433">
        <f t="shared" si="24"/>
        <v>0.28709195438982071</v>
      </c>
      <c r="O33" s="433">
        <f t="shared" si="13"/>
        <v>0.28709195438982071</v>
      </c>
      <c r="P33" s="42">
        <f t="shared" si="13"/>
        <v>0.28709195438982071</v>
      </c>
      <c r="R33" s="14" t="s">
        <v>41</v>
      </c>
      <c r="S33" s="440">
        <f t="shared" si="14"/>
        <v>4633728.7208180558</v>
      </c>
      <c r="T33" s="440">
        <f t="shared" si="15"/>
        <v>4633728.7208180558</v>
      </c>
      <c r="U33" s="440">
        <f t="shared" si="16"/>
        <v>4633728.7208180558</v>
      </c>
      <c r="V33" s="441">
        <f t="shared" si="25"/>
        <v>4633728.7208180558</v>
      </c>
      <c r="X33" s="457" t="str">
        <f t="shared" ref="X33:AA35" si="32">X$39</f>
        <v>Exit</v>
      </c>
      <c r="Y33" s="433">
        <f t="shared" si="32"/>
        <v>0.89423928195573155</v>
      </c>
      <c r="Z33" s="433">
        <f t="shared" si="32"/>
        <v>0.89423928195573155</v>
      </c>
      <c r="AA33" s="433">
        <f t="shared" si="32"/>
        <v>0.89423928195573155</v>
      </c>
      <c r="AB33" s="42">
        <f t="shared" si="31"/>
        <v>0.89423928195573155</v>
      </c>
      <c r="AD33" s="14" t="str">
        <f t="shared" si="27"/>
        <v>€/(kWh/dia)/ano</v>
      </c>
      <c r="AE33" s="433">
        <f t="shared" si="18"/>
        <v>0.25672890314882091</v>
      </c>
      <c r="AF33" s="433">
        <f t="shared" si="19"/>
        <v>0.25672890314882091</v>
      </c>
      <c r="AG33" s="433">
        <f t="shared" si="20"/>
        <v>0.25672890314882091</v>
      </c>
      <c r="AH33" s="42">
        <f t="shared" si="28"/>
        <v>0.25672890314882091</v>
      </c>
      <c r="AI33" s="257"/>
      <c r="AJ33" s="14" t="s">
        <v>41</v>
      </c>
      <c r="AK33" s="440">
        <f t="shared" si="21"/>
        <v>4143662.2440819889</v>
      </c>
      <c r="AL33" s="440">
        <f t="shared" si="22"/>
        <v>4143662.2440819889</v>
      </c>
      <c r="AM33" s="440">
        <f t="shared" si="23"/>
        <v>4143662.2440819889</v>
      </c>
      <c r="AN33" s="441">
        <f t="shared" si="29"/>
        <v>4143662.2440819889</v>
      </c>
    </row>
    <row r="34" spans="2:40" ht="15" x14ac:dyDescent="0.25">
      <c r="B34" s="3"/>
      <c r="C34" s="22"/>
      <c r="D34" s="10" t="str">
        <f>+Input!E39</f>
        <v>Daily Flexible Rate - Daily Capacity (October to March)</v>
      </c>
      <c r="E34" s="10">
        <f>+Input!F39</f>
        <v>0</v>
      </c>
      <c r="F34" s="247">
        <f>+Data_b!$D$51</f>
        <v>6</v>
      </c>
      <c r="G34" s="428">
        <f>+Input!G39</f>
        <v>0</v>
      </c>
      <c r="H34" s="428">
        <f>+Input!H39</f>
        <v>0</v>
      </c>
      <c r="I34" s="428">
        <f>+Input!I39</f>
        <v>0</v>
      </c>
      <c r="J34" s="55">
        <f>+Input!J39</f>
        <v>0</v>
      </c>
      <c r="L34" s="14" t="str">
        <f>+'Pre-scaling RPM'!H43</f>
        <v>€/(kWh/dia)/ano</v>
      </c>
      <c r="M34" s="433">
        <f>+'Pre-scaling RPM'!P43</f>
        <v>1.9139463625988049</v>
      </c>
      <c r="N34" s="433">
        <f t="shared" si="24"/>
        <v>1.9139463625988049</v>
      </c>
      <c r="O34" s="433">
        <f t="shared" si="13"/>
        <v>1.9139463625988049</v>
      </c>
      <c r="P34" s="42">
        <f t="shared" si="13"/>
        <v>1.9139463625988049</v>
      </c>
      <c r="R34" s="14" t="s">
        <v>41</v>
      </c>
      <c r="S34" s="440">
        <f t="shared" si="14"/>
        <v>0</v>
      </c>
      <c r="T34" s="440">
        <f t="shared" si="15"/>
        <v>0</v>
      </c>
      <c r="U34" s="440">
        <f t="shared" si="16"/>
        <v>0</v>
      </c>
      <c r="V34" s="441">
        <f t="shared" si="25"/>
        <v>0</v>
      </c>
      <c r="X34" s="457" t="str">
        <f t="shared" si="32"/>
        <v>Exit</v>
      </c>
      <c r="Y34" s="433">
        <f t="shared" si="32"/>
        <v>0.89423928195573155</v>
      </c>
      <c r="Z34" s="433">
        <f t="shared" si="32"/>
        <v>0.89423928195573155</v>
      </c>
      <c r="AA34" s="433">
        <f t="shared" si="32"/>
        <v>0.89423928195573155</v>
      </c>
      <c r="AB34" s="42">
        <f t="shared" si="31"/>
        <v>0.89423928195573155</v>
      </c>
      <c r="AD34" s="14" t="str">
        <f t="shared" si="27"/>
        <v>€/(kWh/dia)/ano</v>
      </c>
      <c r="AE34" s="433">
        <f t="shared" si="18"/>
        <v>1.7115260209921395</v>
      </c>
      <c r="AF34" s="433">
        <f t="shared" si="19"/>
        <v>1.7115260209921395</v>
      </c>
      <c r="AG34" s="433">
        <f t="shared" si="20"/>
        <v>1.7115260209921395</v>
      </c>
      <c r="AH34" s="42">
        <f t="shared" si="28"/>
        <v>1.7115260209921395</v>
      </c>
      <c r="AI34" s="257"/>
      <c r="AJ34" s="14" t="s">
        <v>41</v>
      </c>
      <c r="AK34" s="440">
        <f t="shared" si="21"/>
        <v>0</v>
      </c>
      <c r="AL34" s="440">
        <f t="shared" si="22"/>
        <v>0</v>
      </c>
      <c r="AM34" s="440">
        <f t="shared" si="23"/>
        <v>0</v>
      </c>
      <c r="AN34" s="441">
        <f t="shared" si="29"/>
        <v>0</v>
      </c>
    </row>
    <row r="35" spans="2:40" ht="15.75" thickBot="1" x14ac:dyDescent="0.3">
      <c r="B35" s="4"/>
      <c r="C35" s="23"/>
      <c r="D35" s="17" t="str">
        <f>+Input!E40</f>
        <v>Daily Flexible Rate - Daily Capacity (April to September)</v>
      </c>
      <c r="E35" s="17">
        <f>+Input!F40</f>
        <v>0</v>
      </c>
      <c r="F35" s="251">
        <f>+Data_b!$D$52</f>
        <v>6</v>
      </c>
      <c r="G35" s="429">
        <f>+Input!G40</f>
        <v>0</v>
      </c>
      <c r="H35" s="429">
        <f>+Input!H40</f>
        <v>0</v>
      </c>
      <c r="I35" s="429">
        <f>+Input!I40</f>
        <v>0</v>
      </c>
      <c r="J35" s="57">
        <f>+Input!J40</f>
        <v>0</v>
      </c>
      <c r="L35" s="16" t="str">
        <f>+'Pre-scaling RPM'!H44</f>
        <v>€/(kWh/dia)/ano</v>
      </c>
      <c r="M35" s="434">
        <f>+'Pre-scaling RPM'!P44</f>
        <v>1.1483678175592829</v>
      </c>
      <c r="N35" s="434">
        <f t="shared" si="24"/>
        <v>1.1483678175592829</v>
      </c>
      <c r="O35" s="434">
        <f t="shared" si="13"/>
        <v>1.1483678175592829</v>
      </c>
      <c r="P35" s="435">
        <f t="shared" si="13"/>
        <v>1.1483678175592829</v>
      </c>
      <c r="R35" s="16" t="s">
        <v>41</v>
      </c>
      <c r="S35" s="442">
        <f t="shared" si="14"/>
        <v>0</v>
      </c>
      <c r="T35" s="442">
        <f t="shared" si="15"/>
        <v>0</v>
      </c>
      <c r="U35" s="442">
        <f t="shared" si="16"/>
        <v>0</v>
      </c>
      <c r="V35" s="443">
        <f t="shared" si="25"/>
        <v>0</v>
      </c>
      <c r="X35" s="458" t="str">
        <f t="shared" si="32"/>
        <v>Exit</v>
      </c>
      <c r="Y35" s="434">
        <f t="shared" si="32"/>
        <v>0.89423928195573155</v>
      </c>
      <c r="Z35" s="434">
        <f t="shared" si="32"/>
        <v>0.89423928195573155</v>
      </c>
      <c r="AA35" s="434">
        <f t="shared" si="32"/>
        <v>0.89423928195573155</v>
      </c>
      <c r="AB35" s="435">
        <f t="shared" si="31"/>
        <v>0.89423928195573155</v>
      </c>
      <c r="AD35" s="16" t="str">
        <f t="shared" si="27"/>
        <v>€/(kWh/dia)/ano</v>
      </c>
      <c r="AE35" s="434">
        <f t="shared" si="18"/>
        <v>1.0269156125952836</v>
      </c>
      <c r="AF35" s="434">
        <f t="shared" si="19"/>
        <v>1.0269156125952836</v>
      </c>
      <c r="AG35" s="434">
        <f t="shared" si="20"/>
        <v>1.0269156125952836</v>
      </c>
      <c r="AH35" s="435">
        <f t="shared" si="28"/>
        <v>1.0269156125952836</v>
      </c>
      <c r="AI35" s="257"/>
      <c r="AJ35" s="16" t="s">
        <v>41</v>
      </c>
      <c r="AK35" s="442">
        <f t="shared" si="21"/>
        <v>0</v>
      </c>
      <c r="AL35" s="442">
        <f t="shared" si="22"/>
        <v>0</v>
      </c>
      <c r="AM35" s="442">
        <f t="shared" si="23"/>
        <v>0</v>
      </c>
      <c r="AN35" s="443">
        <f t="shared" si="29"/>
        <v>0</v>
      </c>
    </row>
    <row r="36" spans="2:40" ht="15.75" thickBot="1" x14ac:dyDescent="0.3"/>
    <row r="37" spans="2:40" ht="15.75" thickBot="1" x14ac:dyDescent="0.3">
      <c r="R37" s="2" t="s">
        <v>278</v>
      </c>
      <c r="S37" s="145"/>
      <c r="T37" s="145"/>
      <c r="U37" s="145"/>
      <c r="V37" s="68"/>
      <c r="X37" s="2" t="str">
        <f>+X3</f>
        <v>Fatores de escalamento</v>
      </c>
      <c r="Y37" s="145"/>
      <c r="Z37" s="145"/>
      <c r="AA37" s="145"/>
      <c r="AB37" s="68"/>
    </row>
    <row r="38" spans="2:40" ht="15" x14ac:dyDescent="0.25">
      <c r="R38" s="11" t="str">
        <f>+B5</f>
        <v>Entry</v>
      </c>
      <c r="S38" s="450">
        <f>SUM(S5:S16)/SUM(S5:S35)</f>
        <v>0.28010575591225773</v>
      </c>
      <c r="T38" s="450">
        <f t="shared" ref="T38:U38" si="33">SUM(T5:T16)/SUM(T5:T35)</f>
        <v>0.28010575591225773</v>
      </c>
      <c r="U38" s="450">
        <f t="shared" si="33"/>
        <v>0.28010575591225773</v>
      </c>
      <c r="V38" s="65">
        <f>SUM(V5:V16)/SUM(V5:V35)</f>
        <v>0.28010575591225773</v>
      </c>
      <c r="X38" s="11" t="str">
        <f>+R38</f>
        <v>Entry</v>
      </c>
      <c r="Y38" s="452">
        <f>S42*Input!G4/SUM('Reference prices RPM'!S$5:S$16)</f>
        <v>0.89377035643462743</v>
      </c>
      <c r="Z38" s="452">
        <f>T42*Input!H4/SUM('Reference prices RPM'!T$5:T$16)</f>
        <v>0.89377035643462743</v>
      </c>
      <c r="AA38" s="452">
        <f>U42*Input!I4/SUM('Reference prices RPM'!U$5:U$16)</f>
        <v>0.89377035643462743</v>
      </c>
      <c r="AB38" s="454">
        <f>V42*Input!J4/SUM('Reference prices RPM'!V$5:V$16)</f>
        <v>0.89377035643462743</v>
      </c>
    </row>
    <row r="39" spans="2:40" ht="15" customHeight="1" thickBot="1" x14ac:dyDescent="0.3">
      <c r="R39" s="16" t="s">
        <v>22</v>
      </c>
      <c r="S39" s="451">
        <f t="shared" ref="S39:U39" si="34">SUM(S17:S35)/SUM(S5:S35)</f>
        <v>0.71989424408774227</v>
      </c>
      <c r="T39" s="451">
        <f t="shared" si="34"/>
        <v>0.71989424408774227</v>
      </c>
      <c r="U39" s="451">
        <f t="shared" si="34"/>
        <v>0.71989424408774227</v>
      </c>
      <c r="V39" s="66">
        <f>SUM(V17:V35)/SUM(V5:V35)</f>
        <v>0.71989424408774227</v>
      </c>
      <c r="X39" s="16" t="str">
        <f>+R39</f>
        <v>Exit</v>
      </c>
      <c r="Y39" s="453">
        <f>S43*Input!G4/SUM('Reference prices RPM'!S$17:S$35)</f>
        <v>0.89423928195573155</v>
      </c>
      <c r="Z39" s="453">
        <f>T43*Input!H4/SUM('Reference prices RPM'!T$17:T$35)</f>
        <v>0.89423928195573155</v>
      </c>
      <c r="AA39" s="453">
        <f>U43*Input!I4/SUM('Reference prices RPM'!U$17:U$35)</f>
        <v>0.89423928195573155</v>
      </c>
      <c r="AB39" s="455">
        <f>V43*Input!J4/SUM('Reference prices RPM'!V$17:V$35)</f>
        <v>0.89423928195573155</v>
      </c>
    </row>
    <row r="40" spans="2:40" ht="15" customHeight="1" thickBot="1" x14ac:dyDescent="0.3"/>
    <row r="41" spans="2:40" ht="15" customHeight="1" thickBot="1" x14ac:dyDescent="0.3">
      <c r="R41" s="2" t="s">
        <v>279</v>
      </c>
      <c r="S41" s="145"/>
      <c r="T41" s="145"/>
      <c r="U41" s="145"/>
      <c r="V41" s="68"/>
    </row>
    <row r="42" spans="2:40" ht="15" customHeight="1" x14ac:dyDescent="0.25">
      <c r="R42" s="11" t="str">
        <f>+R38</f>
        <v>Entry</v>
      </c>
      <c r="S42" s="446">
        <f>+Data_b!$D$4</f>
        <v>0.28000000000000003</v>
      </c>
      <c r="T42" s="446">
        <f>+Data_b!$D$4</f>
        <v>0.28000000000000003</v>
      </c>
      <c r="U42" s="446">
        <f>+Data_b!$D$4</f>
        <v>0.28000000000000003</v>
      </c>
      <c r="V42" s="447">
        <f>+Data_b!$D$4</f>
        <v>0.28000000000000003</v>
      </c>
    </row>
    <row r="43" spans="2:40" ht="15" customHeight="1" thickBot="1" x14ac:dyDescent="0.3">
      <c r="R43" s="16" t="s">
        <v>22</v>
      </c>
      <c r="S43" s="448">
        <f>+Data_b!$D$5</f>
        <v>0.72</v>
      </c>
      <c r="T43" s="448">
        <f>+Data_b!$D$5</f>
        <v>0.72</v>
      </c>
      <c r="U43" s="448">
        <f>+Data_b!$D$5</f>
        <v>0.72</v>
      </c>
      <c r="V43" s="449">
        <f>+Data_b!$D$5</f>
        <v>0.72</v>
      </c>
    </row>
    <row r="44" spans="2:40" ht="15" customHeight="1" x14ac:dyDescent="0.25"/>
  </sheetData>
  <pageMargins left="0.7" right="0.7" top="0.75" bottom="0.75" header="0.3" footer="0.3"/>
  <pageSetup paperSize="9" orientation="portrait" r:id="rId1"/>
  <ignoredErrors>
    <ignoredError sqref="F32:F3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FC27"/>
  <sheetViews>
    <sheetView showGridLines="0" topLeftCell="A3" zoomScale="150" zoomScaleNormal="150" workbookViewId="0">
      <selection activeCell="B22" sqref="B22"/>
    </sheetView>
  </sheetViews>
  <sheetFormatPr defaultColWidth="0" defaultRowHeight="15" zeroHeight="1" x14ac:dyDescent="0.25"/>
  <cols>
    <col min="1" max="1" width="9.140625" customWidth="1"/>
    <col min="2" max="2" width="20" bestFit="1" customWidth="1"/>
    <col min="3" max="5" width="16.5703125" customWidth="1"/>
    <col min="6" max="7" width="9.140625" customWidth="1"/>
    <col min="8" max="8" width="9.140625" hidden="1"/>
    <col min="9" max="10" width="12" hidden="1"/>
    <col min="11" max="11" width="15.7109375" hidden="1"/>
    <col min="12" max="16383" width="9.140625" hidden="1"/>
    <col min="16384" max="16384" width="0.140625" hidden="1"/>
  </cols>
  <sheetData>
    <row r="1" spans="1:11" ht="15.75" thickBot="1" x14ac:dyDescent="0.3"/>
    <row r="2" spans="1:11" ht="15.75" thickBot="1" x14ac:dyDescent="0.3">
      <c r="A2" s="2" t="str">
        <f>+'Reference prices RPM'!AD3</f>
        <v>Preços de referência</v>
      </c>
      <c r="B2" s="79"/>
      <c r="C2" s="79"/>
      <c r="D2" s="79"/>
      <c r="E2" s="80"/>
    </row>
    <row r="3" spans="1:11" ht="15.75" thickBot="1" x14ac:dyDescent="0.3">
      <c r="A3" s="81"/>
      <c r="B3" s="44" t="str">
        <f>+'Pre-scaling RPM'!B3</f>
        <v>Ponto</v>
      </c>
      <c r="C3" s="76" t="s">
        <v>283</v>
      </c>
      <c r="D3" s="76" t="str">
        <f>"CWD " &amp; Data_b!D3</f>
        <v>CWD 28/72</v>
      </c>
      <c r="E3" s="76" t="s">
        <v>284</v>
      </c>
      <c r="I3" s="256"/>
      <c r="J3" s="256"/>
      <c r="K3" s="256"/>
    </row>
    <row r="4" spans="1:11" x14ac:dyDescent="0.25">
      <c r="A4" s="37" t="str">
        <f>+'Pre-scaling RPM'!A4</f>
        <v>Entrada</v>
      </c>
      <c r="B4" s="11" t="str">
        <f>+'Pre-scaling RPM'!B4</f>
        <v>VIP [A+B]</v>
      </c>
      <c r="C4" s="254">
        <f>+'Reference prices CWD'!$R$5</f>
        <v>0.17158722898701539</v>
      </c>
      <c r="D4" s="254">
        <f>+'Reference prices CWD 28-72'!$R$5</f>
        <v>9.6088848232728619E-2</v>
      </c>
      <c r="E4" s="230">
        <f>+'Reference prices RPM'!$AH$5</f>
        <v>9.6909950304880865E-2</v>
      </c>
      <c r="H4" s="234"/>
      <c r="I4" s="233"/>
      <c r="J4" s="233"/>
      <c r="K4" s="233"/>
    </row>
    <row r="5" spans="1:11" x14ac:dyDescent="0.25">
      <c r="A5" s="38"/>
      <c r="B5" s="14" t="str">
        <f>+'Pre-scaling RPM'!B5</f>
        <v>Terminal GNL [C]</v>
      </c>
      <c r="C5" s="201">
        <f>+'Reference prices CWD'!$R$10</f>
        <v>0.16040705633001673</v>
      </c>
      <c r="D5" s="201">
        <f>+'Reference prices CWD 28-72'!$R$10</f>
        <v>8.9827951544809354E-2</v>
      </c>
      <c r="E5" s="231">
        <f>+'Reference prices RPM'!$AH$10</f>
        <v>8.925805388297281E-2</v>
      </c>
    </row>
    <row r="6" spans="1:11" ht="15.75" thickBot="1" x14ac:dyDescent="0.3">
      <c r="A6" s="39"/>
      <c r="B6" s="16" t="str">
        <f>+'Pre-scaling RPM'!B6</f>
        <v>Armazenamento [D]</v>
      </c>
      <c r="C6" s="255">
        <f>+'Reference prices CWD'!$R$15</f>
        <v>0</v>
      </c>
      <c r="D6" s="255">
        <f>+'Reference prices CWD 28-72'!$R$15</f>
        <v>0</v>
      </c>
      <c r="E6" s="232">
        <f>+'Reference prices RPM'!$AH$15</f>
        <v>0</v>
      </c>
    </row>
    <row r="7" spans="1:11" x14ac:dyDescent="0.25">
      <c r="A7" s="37" t="str">
        <f>+'Pre-scaling RPM'!A7</f>
        <v>Saída</v>
      </c>
      <c r="B7" s="11" t="str">
        <f>+'Pre-scaling RPM'!B7</f>
        <v>VIP [A+B]</v>
      </c>
      <c r="C7" s="254">
        <f>+'Reference prices CWD'!$R$17</f>
        <v>0.16988159849688919</v>
      </c>
      <c r="D7" s="254">
        <f>+'Reference prices CWD 28-72'!$R$17</f>
        <v>0.2446295018355204</v>
      </c>
      <c r="E7" s="230">
        <f>+'Reference prices RPM'!$AH$17</f>
        <v>2.1283016643045313E-2</v>
      </c>
    </row>
    <row r="8" spans="1:11" x14ac:dyDescent="0.25">
      <c r="A8" s="38"/>
      <c r="B8" s="14" t="str">
        <f>+'Pre-scaling RPM'!B8</f>
        <v>Terminal GNL [C]</v>
      </c>
      <c r="C8" s="201">
        <f>+'Reference prices CWD'!$R$22</f>
        <v>0</v>
      </c>
      <c r="D8" s="201">
        <f>+'Reference prices CWD 28-72'!$R$22</f>
        <v>0</v>
      </c>
      <c r="E8" s="231">
        <f>+'Reference prices RPM'!$AH$22</f>
        <v>0</v>
      </c>
    </row>
    <row r="9" spans="1:11" x14ac:dyDescent="0.25">
      <c r="A9" s="38"/>
      <c r="B9" s="14" t="str">
        <f>+'Pre-scaling RPM'!B9</f>
        <v>Armazenamento [D]</v>
      </c>
      <c r="C9" s="201">
        <f>+'Reference prices CWD'!$R$27</f>
        <v>0</v>
      </c>
      <c r="D9" s="201">
        <f>+'Reference prices CWD 28-72'!$R$27</f>
        <v>0</v>
      </c>
      <c r="E9" s="231">
        <f>+'Reference prices RPM'!$AH$27</f>
        <v>0</v>
      </c>
    </row>
    <row r="10" spans="1:11" ht="15.75" thickBot="1" x14ac:dyDescent="0.3">
      <c r="A10" s="39"/>
      <c r="B10" s="16" t="str">
        <f>+'Pre-scaling RPM'!B10</f>
        <v>Consumo [E - K]</v>
      </c>
      <c r="C10" s="255">
        <f>'Reference prices CWD'!$R$29</f>
        <v>0.11844408425808933</v>
      </c>
      <c r="D10" s="255">
        <f>'Reference prices CWD 28-72'!$R$29</f>
        <v>0.17055948133164864</v>
      </c>
      <c r="E10" s="232">
        <f>'Reference prices RPM'!$AH$29</f>
        <v>0.17115260209921396</v>
      </c>
    </row>
    <row r="11" spans="1:11" x14ac:dyDescent="0.25"/>
    <row r="12" spans="1:11" x14ac:dyDescent="0.25">
      <c r="C12" s="242"/>
    </row>
    <row r="13" spans="1:11" x14ac:dyDescent="0.25"/>
    <row r="14" spans="1:11" x14ac:dyDescent="0.25"/>
    <row r="15" spans="1:11" x14ac:dyDescent="0.25"/>
    <row r="16" spans="1:11"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hidden="1"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C439F63AA18AF4C86C7DA42A79541D9" ma:contentTypeVersion="1" ma:contentTypeDescription="Criar um novo documento." ma:contentTypeScope="" ma:versionID="89a67b2508c5d4ade2cbac7aeb983648">
  <xsd:schema xmlns:xsd="http://www.w3.org/2001/XMLSchema" xmlns:p="http://schemas.microsoft.com/office/2006/metadata/properties" xmlns:ns1="http://schemas.microsoft.com/sharepoint/v3" targetNamespace="http://schemas.microsoft.com/office/2006/metadata/properties" ma:root="true" ma:fieldsID="59de9efe013eff66163b65e642feaba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Data de Início do Agendamento" ma:description="" ma:hidden="true" ma:internalName="PublishingStartDate">
      <xsd:simpleType>
        <xsd:restriction base="dms:Unknown"/>
      </xsd:simpleType>
    </xsd:element>
    <xsd:element name="PublishingExpirationDate" ma:index="9" nillable="true" ma:displayName="Data de Fim do Agendamento"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BACEB9B-0BC9-44A0-ABD3-F2DEC5A36522}"/>
</file>

<file path=customXml/itemProps2.xml><?xml version="1.0" encoding="utf-8"?>
<ds:datastoreItem xmlns:ds="http://schemas.openxmlformats.org/officeDocument/2006/customXml" ds:itemID="{8D646B8C-FA81-48C1-99C0-7DB914D0B4B8}"/>
</file>

<file path=customXml/itemProps3.xml><?xml version="1.0" encoding="utf-8"?>
<ds:datastoreItem xmlns:ds="http://schemas.openxmlformats.org/officeDocument/2006/customXml" ds:itemID="{73C600B9-0386-45BD-BCAA-854ADB5EC8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27</vt:i4>
      </vt:variant>
      <vt:variant>
        <vt:lpstr>Intervalos com nome</vt:lpstr>
      </vt:variant>
      <vt:variant>
        <vt:i4>1</vt:i4>
      </vt:variant>
    </vt:vector>
  </HeadingPairs>
  <TitlesOfParts>
    <vt:vector size="28" baseType="lpstr">
      <vt:lpstr>Information</vt:lpstr>
      <vt:lpstr>Input</vt:lpstr>
      <vt:lpstr>Output</vt:lpstr>
      <vt:lpstr>Introdução</vt:lpstr>
      <vt:lpstr>RPM inputs</vt:lpstr>
      <vt:lpstr>RPM</vt:lpstr>
      <vt:lpstr>Pre-scaling RPM</vt:lpstr>
      <vt:lpstr>Reference prices RPM</vt:lpstr>
      <vt:lpstr>CWDvsRPM</vt:lpstr>
      <vt:lpstr>Tariff Evolution</vt:lpstr>
      <vt:lpstr>CAA</vt:lpstr>
      <vt:lpstr>CWD</vt:lpstr>
      <vt:lpstr>Pre-scaling CWD</vt:lpstr>
      <vt:lpstr>Reference prices CWD</vt:lpstr>
      <vt:lpstr>CWD 28-72</vt:lpstr>
      <vt:lpstr>Pre-scaling CWD 28-72</vt:lpstr>
      <vt:lpstr>Reference prices CWD 28-72</vt:lpstr>
      <vt:lpstr>Data_a</vt:lpstr>
      <vt:lpstr>Data_b</vt:lpstr>
      <vt:lpstr>Data_c</vt:lpstr>
      <vt:lpstr>Data_d</vt:lpstr>
      <vt:lpstr>Article 30</vt:lpstr>
      <vt:lpstr>Quadros</vt:lpstr>
      <vt:lpstr>Art30(1)(a)</vt:lpstr>
      <vt:lpstr>Art30(1)(b)(v)</vt:lpstr>
      <vt:lpstr>Art30(2)(a)</vt:lpstr>
      <vt:lpstr>Labels</vt:lpstr>
      <vt:lpstr>anos_gás</vt:lpstr>
    </vt:vector>
  </TitlesOfParts>
  <Company>ERSE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Horta</dc:creator>
  <cp:lastModifiedBy>Daniel Horta</cp:lastModifiedBy>
  <cp:lastPrinted>2019-03-15T18:23:53Z</cp:lastPrinted>
  <dcterms:created xsi:type="dcterms:W3CDTF">2019-02-27T11:43:29Z</dcterms:created>
  <dcterms:modified xsi:type="dcterms:W3CDTF">2019-08-29T15:37:30Z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0x0101000C439F63AA18AF4C86C7DA42A79541D9</vt:lpwstr>
  </property>
</Properties>
</file>