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customXml/itemProps1.xml" ContentType="application/vnd.openxmlformats-officedocument.customXmlProperties+xml"/>
  <Default Extension="rels" ContentType="application/vnd.openxmlformats-package.relationship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style4.xml" ContentType="application/vnd.ms-office.chartstyle+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style2.xml" ContentType="application/vnd.ms-office.chartstyle+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harts/colors5.xml" ContentType="application/vnd.ms-office.chartcolorstyle+xml"/>
  <Override PartName="/xl/worksheets/sheet19.xml" ContentType="application/vnd.openxmlformats-officedocument.spreadsheetml.worksheet+xml"/>
  <Override PartName="/xl/sharedStrings.xml" ContentType="application/vnd.openxmlformats-officedocument.spreadsheetml.sharedStrings+xml"/>
  <Override PartName="/xl/charts/colors2.xml" ContentType="application/vnd.ms-office.chartcolorstyle+xml"/>
  <Override PartName="/xl/charts/colors3.xml" ContentType="application/vnd.ms-office.chartcolorstyle+xml"/>
  <Override PartName="/xl/worksheets/sheet17.xml" ContentType="application/vnd.openxmlformats-officedocument.spreadsheetml.worksheet+xml"/>
  <Override PartName="/xl/worksheets/sheet18.xml" ContentType="application/vnd.openxmlformats-officedocument.spreadsheetml.worksheet+xml"/>
  <Override PartName="/xl/charts/colors1.xml" ContentType="application/vnd.ms-office.chartcolorstyle+xml"/>
  <Override PartName="/docProps/core.xml" ContentType="application/vnd.openxmlformats-package.core-properties+xml"/>
  <Default Extension="bin" ContentType="application/vnd.openxmlformats-officedocument.spreadsheetml.printerSettings"/>
  <Override PartName="/xl/worksheets/sheet16.xml" ContentType="application/vnd.openxmlformats-officedocument.spreadsheetml.worksheet+xml"/>
  <Override PartName="/customXml/itemProps2.xml" ContentType="application/vnd.openxmlformats-officedocument.customXmlProperties+xml"/>
  <Override PartName="/xl/worksheets/sheet14.xml" ContentType="application/vnd.openxmlformats-officedocument.spreadsheetml.worksheet+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charts/style5.xml" ContentType="application/vnd.ms-office.chartstyl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drawings/drawing3.xml" ContentType="application/vnd.openxmlformats-officedocument.drawing+xml"/>
  <Override PartName="/xl/charts/style3.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olors4.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OMUM\NC Tarifas transporte GN\Modelo\RPM\"/>
    </mc:Choice>
  </mc:AlternateContent>
  <bookViews>
    <workbookView xWindow="0" yWindow="0" windowWidth="23040" windowHeight="8295" tabRatio="762"/>
  </bookViews>
  <sheets>
    <sheet name="Introdução" sheetId="29" r:id="rId1"/>
    <sheet name="Input" sheetId="2" r:id="rId2"/>
    <sheet name="Output" sheetId="28" r:id="rId3"/>
    <sheet name="RPM inputs" sheetId="11" r:id="rId4"/>
    <sheet name="RPM" sheetId="3" r:id="rId5"/>
    <sheet name="Pre-scaling RPM" sheetId="6" r:id="rId6"/>
    <sheet name="Reference prices RPM" sheetId="5" r:id="rId7"/>
    <sheet name="CWDvsRPM" sheetId="13" r:id="rId8"/>
    <sheet name="Tariff Evolution" sheetId="23" r:id="rId9"/>
    <sheet name="CAA" sheetId="17" r:id="rId10"/>
    <sheet name="CWD" sheetId="16" r:id="rId11"/>
    <sheet name="Pre-scaling CWD" sheetId="18" r:id="rId12"/>
    <sheet name="Reference prices CWD" sheetId="19" r:id="rId13"/>
    <sheet name="CWD 28-72" sheetId="12" r:id="rId14"/>
    <sheet name="Pre-scaling CWD 28-72" sheetId="20" r:id="rId15"/>
    <sheet name="Reference prices CWD 28-72" sheetId="21" r:id="rId16"/>
    <sheet name="Data_a" sheetId="7" r:id="rId17"/>
    <sheet name="Data_b" sheetId="8" r:id="rId18"/>
    <sheet name="Data_c" sheetId="9" r:id="rId19"/>
    <sheet name="Data_d" sheetId="10" r:id="rId20"/>
    <sheet name="Article 30" sheetId="22" state="hidden" r:id="rId21"/>
    <sheet name="Quadros" sheetId="25" state="hidden" r:id="rId22"/>
  </sheets>
  <definedNames>
    <definedName name="anos_gás">Data_a!$G$4:$I$4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28" l="1"/>
  <c r="G26" i="10"/>
  <c r="B31" i="17"/>
  <c r="B29" i="17"/>
  <c r="C28" i="17"/>
  <c r="B28" i="17"/>
  <c r="B27" i="17"/>
  <c r="B26" i="17"/>
  <c r="C25" i="17"/>
  <c r="B25" i="17"/>
  <c r="B23" i="17"/>
  <c r="C22" i="17"/>
  <c r="B22" i="17"/>
  <c r="B21" i="17"/>
  <c r="G5" i="28"/>
  <c r="E18" i="11"/>
  <c r="E17" i="11"/>
  <c r="E16" i="11"/>
  <c r="E15" i="11"/>
  <c r="E14" i="11"/>
  <c r="E13" i="11"/>
  <c r="E12" i="11"/>
  <c r="E11" i="11"/>
  <c r="E10" i="11"/>
  <c r="E9" i="11"/>
  <c r="E8" i="11"/>
  <c r="E7" i="11"/>
  <c r="E6" i="11"/>
  <c r="E5" i="11"/>
  <c r="E4" i="11"/>
  <c r="K4" i="7"/>
  <c r="U3" i="5"/>
  <c r="R3" i="5"/>
  <c r="G3" i="5"/>
  <c r="F36" i="28"/>
  <c r="E36" i="28"/>
  <c r="D36" i="28"/>
  <c r="F35" i="28"/>
  <c r="E35" i="28"/>
  <c r="D35" i="28"/>
  <c r="F34" i="28"/>
  <c r="E34" i="28"/>
  <c r="D34" i="28"/>
  <c r="F33" i="28"/>
  <c r="E33" i="28"/>
  <c r="D33" i="28"/>
  <c r="F32" i="28"/>
  <c r="E32" i="28"/>
  <c r="D32" i="28"/>
  <c r="F31" i="28"/>
  <c r="E31" i="28"/>
  <c r="D31" i="28"/>
  <c r="C31" i="28"/>
  <c r="F30" i="28"/>
  <c r="E30" i="28"/>
  <c r="D30" i="28"/>
  <c r="C30" i="28"/>
  <c r="F29" i="28"/>
  <c r="I29" i="28" s="1"/>
  <c r="E29" i="28"/>
  <c r="D29" i="28"/>
  <c r="F28" i="28"/>
  <c r="I28" i="28" s="1"/>
  <c r="E28" i="28"/>
  <c r="D28" i="28"/>
  <c r="C28" i="28"/>
  <c r="F27" i="28"/>
  <c r="I27" i="28" s="1"/>
  <c r="E27" i="28"/>
  <c r="D27" i="28"/>
  <c r="F26" i="28"/>
  <c r="I26" i="28" s="1"/>
  <c r="E26" i="28"/>
  <c r="D26" i="28"/>
  <c r="F25" i="28"/>
  <c r="I25" i="28" s="1"/>
  <c r="E25" i="28"/>
  <c r="D25" i="28"/>
  <c r="F24" i="28"/>
  <c r="I24" i="28" s="1"/>
  <c r="E24" i="28"/>
  <c r="D24" i="28"/>
  <c r="F23" i="28"/>
  <c r="I23" i="28" s="1"/>
  <c r="E23" i="28"/>
  <c r="D23" i="28"/>
  <c r="C23" i="28"/>
  <c r="F22" i="28"/>
  <c r="I22" i="28" s="1"/>
  <c r="E22" i="28"/>
  <c r="D22" i="28"/>
  <c r="F21" i="28"/>
  <c r="I21" i="28" s="1"/>
  <c r="E21" i="28"/>
  <c r="D21" i="28"/>
  <c r="F20" i="28"/>
  <c r="I20" i="28" s="1"/>
  <c r="E20" i="28"/>
  <c r="D20" i="28"/>
  <c r="F19" i="28"/>
  <c r="I19" i="28" s="1"/>
  <c r="E19" i="28"/>
  <c r="D19" i="28"/>
  <c r="F18" i="28"/>
  <c r="I18" i="28" s="1"/>
  <c r="E18" i="28"/>
  <c r="D18" i="28"/>
  <c r="C18" i="28"/>
  <c r="B18" i="28"/>
  <c r="F17" i="28"/>
  <c r="E17" i="28"/>
  <c r="D17" i="28"/>
  <c r="F16" i="28"/>
  <c r="E16" i="28"/>
  <c r="D16" i="28"/>
  <c r="C16" i="28"/>
  <c r="F15" i="28"/>
  <c r="E15" i="28"/>
  <c r="D15" i="28"/>
  <c r="F14" i="28"/>
  <c r="E14" i="28"/>
  <c r="D14" i="28"/>
  <c r="F13" i="28"/>
  <c r="E13" i="28"/>
  <c r="D13" i="28"/>
  <c r="F12" i="28"/>
  <c r="E12" i="28"/>
  <c r="D12" i="28"/>
  <c r="F11" i="28"/>
  <c r="E11" i="28"/>
  <c r="D11" i="28"/>
  <c r="C11" i="28"/>
  <c r="F10" i="28"/>
  <c r="E10" i="28"/>
  <c r="D10" i="28"/>
  <c r="F9" i="28"/>
  <c r="E9" i="28"/>
  <c r="D9" i="28"/>
  <c r="F8" i="28"/>
  <c r="E8" i="28"/>
  <c r="D8" i="28"/>
  <c r="F7" i="28"/>
  <c r="E7" i="28"/>
  <c r="D7" i="28"/>
  <c r="F6" i="28"/>
  <c r="E6" i="28"/>
  <c r="D6" i="28"/>
  <c r="C6" i="28"/>
  <c r="B6" i="28"/>
  <c r="E5" i="28"/>
  <c r="D5" i="28"/>
  <c r="C5" i="28"/>
  <c r="N46" i="7"/>
  <c r="N45" i="7"/>
  <c r="N44" i="7"/>
  <c r="N43" i="7"/>
  <c r="N42" i="7"/>
  <c r="N41" i="7"/>
  <c r="N40"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U59" i="7" l="1"/>
  <c r="C8" i="17" l="1"/>
  <c r="C11" i="17"/>
  <c r="C14" i="17"/>
  <c r="A2" i="13"/>
  <c r="C26" i="17" l="1"/>
  <c r="C29" i="17"/>
  <c r="C23" i="17"/>
  <c r="B17" i="9" l="1"/>
  <c r="B5" i="9"/>
  <c r="C30" i="9"/>
  <c r="C29" i="9"/>
  <c r="C27" i="9"/>
  <c r="C22" i="9"/>
  <c r="C17" i="9"/>
  <c r="C15" i="9"/>
  <c r="C10" i="9"/>
  <c r="C5" i="9"/>
  <c r="C4"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T60" i="7" l="1"/>
  <c r="T59" i="7"/>
  <c r="T58" i="7"/>
  <c r="T57" i="7"/>
  <c r="T56" i="7"/>
  <c r="T55" i="7"/>
  <c r="T54" i="7"/>
  <c r="T53" i="7"/>
  <c r="T52" i="7"/>
  <c r="T51" i="7"/>
  <c r="O46" i="7"/>
  <c r="O45" i="7"/>
  <c r="O44" i="7"/>
  <c r="O43" i="7"/>
  <c r="O42" i="7"/>
  <c r="O41" i="7"/>
  <c r="O40" i="7"/>
  <c r="T50" i="7"/>
  <c r="S50" i="7"/>
  <c r="C30" i="21"/>
  <c r="C29" i="21"/>
  <c r="C27" i="21"/>
  <c r="C22" i="21"/>
  <c r="C17" i="21"/>
  <c r="C15" i="21"/>
  <c r="C10" i="21"/>
  <c r="C5" i="21"/>
  <c r="Q4" i="21"/>
  <c r="I31" i="21"/>
  <c r="I23" i="21"/>
  <c r="I15" i="21"/>
  <c r="I7" i="21"/>
  <c r="L43" i="21"/>
  <c r="L42" i="21"/>
  <c r="L41" i="21"/>
  <c r="O37" i="21"/>
  <c r="L39" i="21"/>
  <c r="L38" i="21"/>
  <c r="L37" i="21"/>
  <c r="T3" i="21"/>
  <c r="T4" i="21"/>
  <c r="Q3" i="21"/>
  <c r="O3" i="21"/>
  <c r="O4" i="21"/>
  <c r="L3" i="21"/>
  <c r="F4" i="21"/>
  <c r="E3" i="21"/>
  <c r="E4" i="21"/>
  <c r="E35" i="21"/>
  <c r="D35" i="21"/>
  <c r="E34" i="21"/>
  <c r="D34" i="21"/>
  <c r="E33" i="21"/>
  <c r="D33" i="21"/>
  <c r="E32" i="21"/>
  <c r="D32" i="21"/>
  <c r="E31" i="21"/>
  <c r="D31" i="21"/>
  <c r="E30" i="21"/>
  <c r="D30" i="21"/>
  <c r="E29" i="21"/>
  <c r="D29" i="21"/>
  <c r="E28" i="21"/>
  <c r="D28" i="21"/>
  <c r="E27" i="21"/>
  <c r="D27" i="21"/>
  <c r="E26" i="21"/>
  <c r="D26" i="21"/>
  <c r="E25" i="21"/>
  <c r="D25" i="21"/>
  <c r="E24" i="21"/>
  <c r="D24" i="21"/>
  <c r="E23" i="21"/>
  <c r="D23" i="21"/>
  <c r="E22" i="21"/>
  <c r="D22" i="21"/>
  <c r="E21" i="21"/>
  <c r="D21" i="21"/>
  <c r="E20" i="21"/>
  <c r="D20" i="21"/>
  <c r="E19" i="21"/>
  <c r="D19" i="21"/>
  <c r="E18" i="21"/>
  <c r="D18" i="21"/>
  <c r="E17" i="21"/>
  <c r="D17" i="21"/>
  <c r="E16" i="21"/>
  <c r="D16" i="21"/>
  <c r="E15" i="21"/>
  <c r="D15" i="21"/>
  <c r="E14" i="21"/>
  <c r="D14" i="21"/>
  <c r="E13" i="21"/>
  <c r="D13" i="21"/>
  <c r="E12" i="21"/>
  <c r="D12" i="21"/>
  <c r="E11" i="21"/>
  <c r="D11" i="21"/>
  <c r="E10" i="21"/>
  <c r="D10" i="21"/>
  <c r="E9" i="21"/>
  <c r="D9" i="21"/>
  <c r="E8" i="21"/>
  <c r="D8" i="21"/>
  <c r="E7" i="21"/>
  <c r="D7" i="21"/>
  <c r="E6" i="21"/>
  <c r="D6" i="21"/>
  <c r="E5" i="21"/>
  <c r="D5" i="21"/>
  <c r="B17" i="21"/>
  <c r="B5" i="21"/>
  <c r="D4" i="21"/>
  <c r="C4" i="21"/>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M12" i="20"/>
  <c r="K12" i="20"/>
  <c r="H12" i="20"/>
  <c r="H44" i="20"/>
  <c r="G44" i="20"/>
  <c r="H43" i="20"/>
  <c r="G43" i="20"/>
  <c r="H42" i="20"/>
  <c r="G42" i="20"/>
  <c r="H41" i="20"/>
  <c r="G41" i="20"/>
  <c r="H40" i="20"/>
  <c r="G40" i="20"/>
  <c r="H39" i="20"/>
  <c r="G39" i="20"/>
  <c r="H38" i="20"/>
  <c r="G38" i="20"/>
  <c r="H37" i="20"/>
  <c r="G37" i="20"/>
  <c r="H36" i="20"/>
  <c r="G36" i="20"/>
  <c r="H35" i="20"/>
  <c r="G35" i="20"/>
  <c r="H34" i="20"/>
  <c r="G34" i="20"/>
  <c r="H33" i="20"/>
  <c r="G33" i="20"/>
  <c r="H32" i="20"/>
  <c r="G32" i="20"/>
  <c r="H31" i="20"/>
  <c r="G31" i="20"/>
  <c r="H30" i="20"/>
  <c r="G30" i="20"/>
  <c r="H29" i="20"/>
  <c r="G29" i="20"/>
  <c r="H28" i="20"/>
  <c r="G28" i="20"/>
  <c r="H27" i="20"/>
  <c r="G27" i="20"/>
  <c r="H26" i="20"/>
  <c r="G26" i="20"/>
  <c r="H25" i="20"/>
  <c r="G25" i="20"/>
  <c r="H24" i="20"/>
  <c r="G24" i="20"/>
  <c r="H23" i="20"/>
  <c r="G23" i="20"/>
  <c r="H22" i="20"/>
  <c r="G22" i="20"/>
  <c r="H21" i="20"/>
  <c r="G21" i="20"/>
  <c r="H20" i="20"/>
  <c r="G20" i="20"/>
  <c r="H19" i="20"/>
  <c r="G19" i="20"/>
  <c r="H18" i="20"/>
  <c r="G18" i="20"/>
  <c r="H17" i="20"/>
  <c r="G17" i="20"/>
  <c r="H16" i="20"/>
  <c r="G16" i="20"/>
  <c r="H15" i="20"/>
  <c r="G15" i="20"/>
  <c r="H14" i="20"/>
  <c r="G14" i="20"/>
  <c r="H13" i="20"/>
  <c r="G13" i="20"/>
  <c r="E26" i="20"/>
  <c r="E14" i="20"/>
  <c r="F39" i="20"/>
  <c r="F38" i="20"/>
  <c r="F36" i="20"/>
  <c r="F31" i="20"/>
  <c r="F26" i="20"/>
  <c r="F24" i="20"/>
  <c r="F19" i="20"/>
  <c r="F14" i="20"/>
  <c r="F13" i="20"/>
  <c r="C3" i="20"/>
  <c r="B10" i="20"/>
  <c r="B9" i="20"/>
  <c r="B8" i="20"/>
  <c r="B7" i="20"/>
  <c r="B6" i="20"/>
  <c r="B5" i="20"/>
  <c r="B4" i="20"/>
  <c r="B3" i="20"/>
  <c r="A7" i="20"/>
  <c r="A4" i="20"/>
  <c r="A2" i="20"/>
  <c r="W23" i="12"/>
  <c r="W22" i="12"/>
  <c r="W21" i="12"/>
  <c r="W20" i="12"/>
  <c r="W19" i="12"/>
  <c r="W18" i="12"/>
  <c r="W17" i="12"/>
  <c r="W16" i="12"/>
  <c r="U15" i="12"/>
  <c r="P2" i="12"/>
  <c r="B9" i="12"/>
  <c r="B2" i="12"/>
  <c r="T4" i="5"/>
  <c r="O37" i="19"/>
  <c r="L43" i="19"/>
  <c r="L42" i="19"/>
  <c r="L41" i="19"/>
  <c r="L39" i="19"/>
  <c r="L38" i="19"/>
  <c r="L37" i="19"/>
  <c r="I33" i="19"/>
  <c r="I25" i="19"/>
  <c r="I17" i="19"/>
  <c r="I9" i="19"/>
  <c r="E35" i="19"/>
  <c r="D35" i="19"/>
  <c r="E34" i="19"/>
  <c r="D34" i="19"/>
  <c r="E33" i="19"/>
  <c r="D33" i="19"/>
  <c r="E32" i="19"/>
  <c r="D32" i="19"/>
  <c r="E31" i="19"/>
  <c r="D31" i="19"/>
  <c r="E30" i="19"/>
  <c r="D30" i="19"/>
  <c r="E29" i="19"/>
  <c r="D29" i="19"/>
  <c r="E28" i="19"/>
  <c r="D28" i="19"/>
  <c r="E27" i="19"/>
  <c r="D27" i="19"/>
  <c r="E26" i="19"/>
  <c r="D26" i="19"/>
  <c r="E25" i="19"/>
  <c r="D25" i="19"/>
  <c r="E24" i="19"/>
  <c r="D24" i="19"/>
  <c r="E23" i="19"/>
  <c r="D23" i="19"/>
  <c r="E22" i="19"/>
  <c r="D22" i="19"/>
  <c r="E21" i="19"/>
  <c r="D21" i="19"/>
  <c r="E20" i="19"/>
  <c r="D20" i="19"/>
  <c r="E19" i="19"/>
  <c r="D19" i="19"/>
  <c r="E18" i="19"/>
  <c r="D18" i="19"/>
  <c r="E17" i="19"/>
  <c r="D17" i="19"/>
  <c r="E16" i="19"/>
  <c r="D16" i="19"/>
  <c r="E15" i="19"/>
  <c r="D15" i="19"/>
  <c r="E14" i="19"/>
  <c r="D14" i="19"/>
  <c r="E13" i="19"/>
  <c r="D13" i="19"/>
  <c r="E12" i="19"/>
  <c r="D12" i="19"/>
  <c r="E11" i="19"/>
  <c r="D11" i="19"/>
  <c r="E10" i="19"/>
  <c r="D10" i="19"/>
  <c r="E9" i="19"/>
  <c r="D9" i="19"/>
  <c r="E8" i="19"/>
  <c r="D8" i="19"/>
  <c r="E7" i="19"/>
  <c r="D7" i="19"/>
  <c r="E6" i="19"/>
  <c r="D6" i="19"/>
  <c r="E5" i="19"/>
  <c r="D5" i="19"/>
  <c r="C30" i="19"/>
  <c r="C29" i="19"/>
  <c r="C27" i="19"/>
  <c r="C22" i="19"/>
  <c r="C17" i="19"/>
  <c r="C15" i="19"/>
  <c r="C10" i="19"/>
  <c r="C5" i="19"/>
  <c r="B17" i="19"/>
  <c r="B5" i="19"/>
  <c r="T4" i="19"/>
  <c r="Q4" i="19"/>
  <c r="O4" i="19"/>
  <c r="O3" i="19"/>
  <c r="Q3" i="19"/>
  <c r="T3" i="19"/>
  <c r="L3" i="19"/>
  <c r="E3" i="19"/>
  <c r="F4" i="19"/>
  <c r="E4" i="19"/>
  <c r="D4" i="19"/>
  <c r="C4" i="19"/>
  <c r="C3" i="18"/>
  <c r="A7" i="18"/>
  <c r="A4" i="18"/>
  <c r="B10" i="18"/>
  <c r="B9" i="18"/>
  <c r="B8" i="18"/>
  <c r="B7" i="18"/>
  <c r="B6" i="18"/>
  <c r="B5" i="18"/>
  <c r="B4" i="18"/>
  <c r="B3" i="18"/>
  <c r="A2" i="18"/>
  <c r="E14" i="18"/>
  <c r="E26" i="18"/>
  <c r="F39" i="18"/>
  <c r="F38" i="18"/>
  <c r="F36" i="18"/>
  <c r="F31" i="18"/>
  <c r="F26" i="18"/>
  <c r="F24" i="18"/>
  <c r="F19" i="18"/>
  <c r="F14" i="18"/>
  <c r="F13"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H44" i="18"/>
  <c r="H43" i="18"/>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6" i="18"/>
  <c r="H15" i="18"/>
  <c r="H14" i="18"/>
  <c r="H13" i="18"/>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O14" i="18"/>
  <c r="O13" i="18"/>
  <c r="O12" i="18"/>
  <c r="M12" i="18"/>
  <c r="K12" i="18"/>
  <c r="H12" i="18"/>
  <c r="G13" i="18"/>
  <c r="W23" i="16"/>
  <c r="W22" i="16"/>
  <c r="W21" i="16"/>
  <c r="W20" i="16"/>
  <c r="W19" i="16"/>
  <c r="W18" i="16"/>
  <c r="W17" i="16"/>
  <c r="W16" i="16"/>
  <c r="U15" i="16"/>
  <c r="B9" i="16"/>
  <c r="P2" i="16"/>
  <c r="B2" i="16"/>
  <c r="B18" i="23"/>
  <c r="B6" i="23"/>
  <c r="C31" i="23"/>
  <c r="C30" i="23"/>
  <c r="C28" i="23"/>
  <c r="C23" i="23"/>
  <c r="C18" i="23"/>
  <c r="C16" i="23"/>
  <c r="C11" i="23"/>
  <c r="C6" i="23"/>
  <c r="E36" i="23"/>
  <c r="D36" i="23"/>
  <c r="E35" i="23"/>
  <c r="D35" i="23"/>
  <c r="E34" i="23"/>
  <c r="D34" i="23"/>
  <c r="E33" i="23"/>
  <c r="D33" i="23"/>
  <c r="E32" i="23"/>
  <c r="D32" i="23"/>
  <c r="E31" i="23"/>
  <c r="D31" i="23"/>
  <c r="E30" i="23"/>
  <c r="D30" i="23"/>
  <c r="E29" i="23"/>
  <c r="D29" i="23"/>
  <c r="E28" i="23"/>
  <c r="D28" i="23"/>
  <c r="E27" i="23"/>
  <c r="D27" i="23"/>
  <c r="E26" i="23"/>
  <c r="D26" i="23"/>
  <c r="E25" i="23"/>
  <c r="D25" i="23"/>
  <c r="E24" i="23"/>
  <c r="D24" i="23"/>
  <c r="E23" i="23"/>
  <c r="D23" i="23"/>
  <c r="E22" i="23"/>
  <c r="D22" i="23"/>
  <c r="E21" i="23"/>
  <c r="D21" i="23"/>
  <c r="E20" i="23"/>
  <c r="D20" i="23"/>
  <c r="E19" i="23"/>
  <c r="D19" i="23"/>
  <c r="E18" i="23"/>
  <c r="D18" i="23"/>
  <c r="E17" i="23"/>
  <c r="D17" i="23"/>
  <c r="E16" i="23"/>
  <c r="D16" i="23"/>
  <c r="E15" i="23"/>
  <c r="D15" i="23"/>
  <c r="E14" i="23"/>
  <c r="D14" i="23"/>
  <c r="E13" i="23"/>
  <c r="D13" i="23"/>
  <c r="E12" i="23"/>
  <c r="D12" i="23"/>
  <c r="E11" i="23"/>
  <c r="D11" i="23"/>
  <c r="E10" i="23"/>
  <c r="D10" i="23"/>
  <c r="E9" i="23"/>
  <c r="D9" i="23"/>
  <c r="E8" i="23"/>
  <c r="D8" i="23"/>
  <c r="E7" i="23"/>
  <c r="D7" i="23"/>
  <c r="E6" i="23"/>
  <c r="D6" i="23"/>
  <c r="E5" i="23"/>
  <c r="D5" i="23"/>
  <c r="C5" i="23"/>
  <c r="A7" i="13"/>
  <c r="A4" i="13"/>
  <c r="B10" i="13"/>
  <c r="B9" i="13"/>
  <c r="B8" i="13"/>
  <c r="B7" i="13"/>
  <c r="B6" i="13"/>
  <c r="B5" i="13"/>
  <c r="B4" i="13"/>
  <c r="B3" i="13"/>
  <c r="L42" i="5"/>
  <c r="L38" i="5"/>
  <c r="B17" i="5"/>
  <c r="B5" i="5"/>
  <c r="I3" i="5"/>
  <c r="I3" i="21" s="1"/>
  <c r="O37" i="5"/>
  <c r="Q33" i="5"/>
  <c r="Q33" i="19" s="1"/>
  <c r="Q29" i="5"/>
  <c r="Q29" i="21" s="1"/>
  <c r="Q25" i="5"/>
  <c r="Q25" i="19" s="1"/>
  <c r="Q21" i="5"/>
  <c r="Q21" i="21" s="1"/>
  <c r="Q17" i="5"/>
  <c r="Q17" i="19" s="1"/>
  <c r="Q13" i="5"/>
  <c r="Q13" i="21" s="1"/>
  <c r="Q9" i="5"/>
  <c r="Q9" i="19" s="1"/>
  <c r="Q5" i="5"/>
  <c r="Q5" i="21" s="1"/>
  <c r="I35" i="5"/>
  <c r="I35" i="21" s="1"/>
  <c r="I34" i="5"/>
  <c r="I34" i="21" s="1"/>
  <c r="I33" i="5"/>
  <c r="I33" i="21" s="1"/>
  <c r="I32" i="5"/>
  <c r="I32" i="19" s="1"/>
  <c r="I31" i="5"/>
  <c r="I31" i="19" s="1"/>
  <c r="I30" i="5"/>
  <c r="I30" i="21" s="1"/>
  <c r="I29" i="5"/>
  <c r="I29" i="21" s="1"/>
  <c r="I28" i="5"/>
  <c r="I28" i="21" s="1"/>
  <c r="I27" i="5"/>
  <c r="I27" i="21" s="1"/>
  <c r="I26" i="5"/>
  <c r="I26" i="21" s="1"/>
  <c r="I25" i="5"/>
  <c r="I25" i="21" s="1"/>
  <c r="I24" i="5"/>
  <c r="I24" i="19" s="1"/>
  <c r="I23" i="5"/>
  <c r="I23" i="19" s="1"/>
  <c r="I22" i="5"/>
  <c r="I22" i="21" s="1"/>
  <c r="I21" i="5"/>
  <c r="I21" i="21" s="1"/>
  <c r="I20" i="5"/>
  <c r="I20" i="21" s="1"/>
  <c r="I19" i="5"/>
  <c r="I19" i="21" s="1"/>
  <c r="I18" i="5"/>
  <c r="I18" i="21" s="1"/>
  <c r="I17" i="5"/>
  <c r="I17" i="21" s="1"/>
  <c r="I16" i="5"/>
  <c r="I16" i="19" s="1"/>
  <c r="I15" i="5"/>
  <c r="I15" i="19" s="1"/>
  <c r="I14" i="5"/>
  <c r="I14" i="21" s="1"/>
  <c r="I13" i="5"/>
  <c r="I13" i="21" s="1"/>
  <c r="I12" i="5"/>
  <c r="I12" i="21" s="1"/>
  <c r="I11" i="5"/>
  <c r="I11" i="21" s="1"/>
  <c r="I10" i="5"/>
  <c r="I10" i="21" s="1"/>
  <c r="I9" i="5"/>
  <c r="I9" i="21" s="1"/>
  <c r="I8" i="5"/>
  <c r="I8" i="19" s="1"/>
  <c r="I7" i="5"/>
  <c r="I7" i="19" s="1"/>
  <c r="I6" i="5"/>
  <c r="I6" i="21" s="1"/>
  <c r="I5" i="5"/>
  <c r="I5" i="21" s="1"/>
  <c r="I4" i="5"/>
  <c r="I4" i="21" s="1"/>
  <c r="L4" i="5"/>
  <c r="L4" i="19" s="1"/>
  <c r="Q4" i="5"/>
  <c r="C30" i="5"/>
  <c r="C29" i="5"/>
  <c r="C27" i="5"/>
  <c r="C22" i="5"/>
  <c r="C17" i="5"/>
  <c r="C15" i="5"/>
  <c r="C10" i="5"/>
  <c r="C5"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E4" i="5"/>
  <c r="D4" i="5"/>
  <c r="C4" i="5"/>
  <c r="E3" i="5"/>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F39" i="6"/>
  <c r="F38" i="6"/>
  <c r="F36" i="6"/>
  <c r="F31" i="6"/>
  <c r="F26" i="6"/>
  <c r="E26" i="6"/>
  <c r="F24" i="6"/>
  <c r="F19" i="6"/>
  <c r="F14" i="6"/>
  <c r="E14"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F13" i="6"/>
  <c r="H13" i="6"/>
  <c r="H12" i="6"/>
  <c r="B5" i="6"/>
  <c r="B4" i="6"/>
  <c r="J2" i="2"/>
  <c r="Q10" i="5" l="1"/>
  <c r="Q18" i="5"/>
  <c r="Q26" i="5"/>
  <c r="Q34" i="5"/>
  <c r="I10" i="19"/>
  <c r="I18" i="19"/>
  <c r="I26" i="19"/>
  <c r="I34" i="19"/>
  <c r="L4" i="21"/>
  <c r="I8" i="21"/>
  <c r="I16" i="21"/>
  <c r="I24" i="21"/>
  <c r="I32" i="21"/>
  <c r="Q11" i="5"/>
  <c r="Q19" i="5"/>
  <c r="Q27" i="5"/>
  <c r="Q35" i="5"/>
  <c r="I3" i="19"/>
  <c r="I11" i="19"/>
  <c r="I19" i="19"/>
  <c r="I27" i="19"/>
  <c r="I35" i="19"/>
  <c r="Q9" i="21"/>
  <c r="Q17" i="21"/>
  <c r="Q25" i="21"/>
  <c r="Q33" i="21"/>
  <c r="Q12" i="5"/>
  <c r="Q20" i="5"/>
  <c r="Q28" i="5"/>
  <c r="I4" i="19"/>
  <c r="I12" i="19"/>
  <c r="I20" i="19"/>
  <c r="I28" i="19"/>
  <c r="Q5" i="19"/>
  <c r="Q13" i="19"/>
  <c r="Q21" i="19"/>
  <c r="Q29" i="19"/>
  <c r="I5" i="19"/>
  <c r="I13" i="19"/>
  <c r="I21" i="19"/>
  <c r="I29" i="19"/>
  <c r="Q6" i="5"/>
  <c r="Q14" i="5"/>
  <c r="Q22" i="5"/>
  <c r="Q30" i="5"/>
  <c r="I6" i="19"/>
  <c r="I14" i="19"/>
  <c r="I22" i="19"/>
  <c r="I30" i="19"/>
  <c r="Q7" i="5"/>
  <c r="Q15" i="5"/>
  <c r="Q23" i="5"/>
  <c r="Q31" i="5"/>
  <c r="Q8" i="5"/>
  <c r="Q16" i="5"/>
  <c r="Q24" i="5"/>
  <c r="Q32" i="5"/>
  <c r="O45" i="25"/>
  <c r="O44" i="25"/>
  <c r="O43" i="25"/>
  <c r="O42" i="25"/>
  <c r="O41" i="25"/>
  <c r="O40" i="25"/>
  <c r="O39" i="25"/>
  <c r="O38" i="25"/>
  <c r="O37" i="25"/>
  <c r="O36" i="25"/>
  <c r="O35" i="25"/>
  <c r="O34" i="25"/>
  <c r="O33" i="25"/>
  <c r="O32" i="25"/>
  <c r="O31" i="25"/>
  <c r="Q27" i="21" l="1"/>
  <c r="Q27" i="19"/>
  <c r="Q11" i="21"/>
  <c r="Q11" i="19"/>
  <c r="Q16" i="19"/>
  <c r="Q16" i="21"/>
  <c r="Q19" i="21"/>
  <c r="Q19" i="19"/>
  <c r="Q28" i="21"/>
  <c r="Q28" i="19"/>
  <c r="Q24" i="19"/>
  <c r="Q24" i="21"/>
  <c r="Q31" i="21"/>
  <c r="Q31" i="19"/>
  <c r="Q23" i="19"/>
  <c r="Q23" i="21"/>
  <c r="Q20" i="21"/>
  <c r="Q20" i="19"/>
  <c r="Q34" i="21"/>
  <c r="Q34" i="19"/>
  <c r="Q22" i="21"/>
  <c r="Q22" i="19"/>
  <c r="Q15" i="21"/>
  <c r="Q15" i="19"/>
  <c r="Q14" i="21"/>
  <c r="Q14" i="19"/>
  <c r="Q12" i="21"/>
  <c r="Q12" i="19"/>
  <c r="Q26" i="19"/>
  <c r="Q26" i="21"/>
  <c r="Q7" i="19"/>
  <c r="Q7" i="21"/>
  <c r="Q18" i="19"/>
  <c r="Q18" i="21"/>
  <c r="Q8" i="19"/>
  <c r="Q8" i="21"/>
  <c r="Q30" i="21"/>
  <c r="Q30" i="19"/>
  <c r="Q6" i="21"/>
  <c r="Q6" i="19"/>
  <c r="Q32" i="19"/>
  <c r="Q32" i="21"/>
  <c r="Q35" i="21"/>
  <c r="Q35" i="19"/>
  <c r="Q10" i="21"/>
  <c r="Q10" i="19"/>
  <c r="AL86" i="10" l="1"/>
  <c r="AL101" i="10"/>
  <c r="AL100" i="10"/>
  <c r="AL102" i="10" s="1"/>
  <c r="AL99" i="10"/>
  <c r="H6" i="7"/>
  <c r="M2" i="2"/>
  <c r="L2" i="2"/>
  <c r="K2" i="2"/>
  <c r="D41" i="8" l="1"/>
  <c r="D40" i="8"/>
  <c r="D39" i="8"/>
  <c r="D38" i="8"/>
  <c r="D37" i="8"/>
  <c r="D36" i="8"/>
  <c r="D35" i="8"/>
  <c r="D34" i="8"/>
  <c r="D33" i="8"/>
  <c r="D32" i="8"/>
  <c r="D31" i="8"/>
  <c r="D30" i="8"/>
  <c r="M36" i="23" l="1"/>
  <c r="L36" i="23"/>
  <c r="M35" i="23"/>
  <c r="L35" i="23"/>
  <c r="M34" i="23"/>
  <c r="L34" i="23"/>
  <c r="M33" i="23"/>
  <c r="L33" i="23"/>
  <c r="M32" i="23"/>
  <c r="L32" i="23"/>
  <c r="M31" i="23"/>
  <c r="L31" i="23"/>
  <c r="M30" i="23"/>
  <c r="L30" i="23"/>
  <c r="M29" i="23"/>
  <c r="L29" i="23"/>
  <c r="M28" i="23"/>
  <c r="L28" i="23"/>
  <c r="M27" i="23"/>
  <c r="L27" i="23"/>
  <c r="M26" i="23"/>
  <c r="L26" i="23"/>
  <c r="M25" i="23"/>
  <c r="L25" i="23"/>
  <c r="M24" i="23"/>
  <c r="L24" i="23"/>
  <c r="M23" i="23"/>
  <c r="L23" i="23"/>
  <c r="M22" i="23"/>
  <c r="L22" i="23"/>
  <c r="M21" i="23"/>
  <c r="L21" i="23"/>
  <c r="M20" i="23"/>
  <c r="L20" i="23"/>
  <c r="M19" i="23"/>
  <c r="L19" i="23"/>
  <c r="M18" i="23"/>
  <c r="L18" i="23"/>
  <c r="M17" i="23"/>
  <c r="L17" i="23"/>
  <c r="M16" i="23"/>
  <c r="L16" i="23"/>
  <c r="M15" i="23"/>
  <c r="L15" i="23"/>
  <c r="M14" i="23"/>
  <c r="L14" i="23"/>
  <c r="M13" i="23"/>
  <c r="L13" i="23"/>
  <c r="M12" i="23"/>
  <c r="L12" i="23"/>
  <c r="M11" i="23"/>
  <c r="L11" i="23"/>
  <c r="M10" i="23"/>
  <c r="L10" i="23"/>
  <c r="M9" i="23"/>
  <c r="L9" i="23"/>
  <c r="M8" i="23"/>
  <c r="L8" i="23"/>
  <c r="M7" i="23"/>
  <c r="L7" i="23"/>
  <c r="M6" i="23"/>
  <c r="L6" i="23"/>
  <c r="F36" i="23"/>
  <c r="K36" i="23" s="1"/>
  <c r="F35" i="23"/>
  <c r="K35" i="23" s="1"/>
  <c r="F34" i="23"/>
  <c r="K34" i="23" s="1"/>
  <c r="F33" i="23"/>
  <c r="K33" i="23" s="1"/>
  <c r="F32" i="23"/>
  <c r="K32" i="23" s="1"/>
  <c r="F31" i="23"/>
  <c r="K31" i="23" s="1"/>
  <c r="F30" i="23"/>
  <c r="K30" i="23" s="1"/>
  <c r="F29" i="23"/>
  <c r="K29" i="23" s="1"/>
  <c r="F28" i="23"/>
  <c r="K28" i="23" s="1"/>
  <c r="F27" i="23"/>
  <c r="K27" i="23" s="1"/>
  <c r="F26" i="23"/>
  <c r="K26" i="23" s="1"/>
  <c r="F25" i="23"/>
  <c r="K25" i="23" s="1"/>
  <c r="F24" i="23"/>
  <c r="K24" i="23" s="1"/>
  <c r="F23" i="23"/>
  <c r="K23" i="23" s="1"/>
  <c r="F22" i="23"/>
  <c r="K22" i="23" s="1"/>
  <c r="F21" i="23"/>
  <c r="K21" i="23" s="1"/>
  <c r="F20" i="23"/>
  <c r="K20" i="23" s="1"/>
  <c r="F19" i="23"/>
  <c r="K19" i="23" s="1"/>
  <c r="F18" i="23"/>
  <c r="K18" i="23" s="1"/>
  <c r="F17" i="23"/>
  <c r="K17" i="23" s="1"/>
  <c r="F16" i="23"/>
  <c r="K16" i="23" s="1"/>
  <c r="F15" i="23"/>
  <c r="K15" i="23" s="1"/>
  <c r="F14" i="23"/>
  <c r="K14" i="23" s="1"/>
  <c r="F13" i="23"/>
  <c r="K13" i="23" s="1"/>
  <c r="F12" i="23"/>
  <c r="K12" i="23" s="1"/>
  <c r="F11" i="23"/>
  <c r="K11" i="23" s="1"/>
  <c r="F10" i="23"/>
  <c r="K10" i="23" s="1"/>
  <c r="F9" i="23"/>
  <c r="K9" i="23" s="1"/>
  <c r="F8" i="23"/>
  <c r="K8" i="23" s="1"/>
  <c r="F7" i="23"/>
  <c r="K7" i="23" s="1"/>
  <c r="F6" i="23"/>
  <c r="K6" i="23" s="1"/>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H36" i="7"/>
  <c r="G34" i="2" s="1"/>
  <c r="H35" i="7"/>
  <c r="I35" i="7" s="1"/>
  <c r="H34" i="7"/>
  <c r="I34" i="7" s="1"/>
  <c r="H33" i="7"/>
  <c r="I33" i="7" s="1"/>
  <c r="H32" i="7"/>
  <c r="I32" i="7" s="1"/>
  <c r="H31" i="7"/>
  <c r="I31" i="7" s="1"/>
  <c r="H30" i="7"/>
  <c r="G28" i="2" s="1"/>
  <c r="H29" i="7"/>
  <c r="I29" i="7" s="1"/>
  <c r="H28" i="7"/>
  <c r="G26" i="2" s="1"/>
  <c r="H27" i="7"/>
  <c r="I27" i="7" s="1"/>
  <c r="H26" i="7"/>
  <c r="I26" i="7" s="1"/>
  <c r="H25" i="7"/>
  <c r="I25" i="7" s="1"/>
  <c r="H24" i="7"/>
  <c r="G22" i="2" s="1"/>
  <c r="H23" i="7"/>
  <c r="I23" i="7" s="1"/>
  <c r="H22" i="7"/>
  <c r="I22" i="7" s="1"/>
  <c r="H21" i="7"/>
  <c r="I21" i="7" s="1"/>
  <c r="H20" i="7"/>
  <c r="G18" i="2" s="1"/>
  <c r="H19" i="7"/>
  <c r="I19" i="7" s="1"/>
  <c r="H18" i="7"/>
  <c r="I18" i="7" s="1"/>
  <c r="H17" i="7"/>
  <c r="I17" i="7" s="1"/>
  <c r="H16" i="7"/>
  <c r="I16" i="7" s="1"/>
  <c r="H15" i="7"/>
  <c r="I15" i="7" s="1"/>
  <c r="H14" i="7"/>
  <c r="G12" i="2" s="1"/>
  <c r="H13" i="7"/>
  <c r="I13" i="7" s="1"/>
  <c r="H12" i="7"/>
  <c r="G10" i="2" s="1"/>
  <c r="H11" i="7"/>
  <c r="I11" i="7" s="1"/>
  <c r="H10" i="7"/>
  <c r="I10" i="7" s="1"/>
  <c r="H9" i="7"/>
  <c r="I9" i="7" s="1"/>
  <c r="H8" i="7"/>
  <c r="G6" i="2" s="1"/>
  <c r="H7" i="7"/>
  <c r="I7" i="7" s="1"/>
  <c r="I6" i="7"/>
  <c r="H7" i="2" l="1"/>
  <c r="K9" i="7"/>
  <c r="H8" i="2"/>
  <c r="K10" i="7"/>
  <c r="H9" i="2"/>
  <c r="K11" i="7"/>
  <c r="H17" i="2"/>
  <c r="K19" i="7"/>
  <c r="H25" i="2"/>
  <c r="K27" i="7"/>
  <c r="H33" i="2"/>
  <c r="K35" i="7"/>
  <c r="H16" i="2"/>
  <c r="K18" i="7"/>
  <c r="H31" i="2"/>
  <c r="K33" i="7"/>
  <c r="H27" i="2"/>
  <c r="K29" i="7"/>
  <c r="H23" i="2"/>
  <c r="K25" i="7"/>
  <c r="H24" i="2"/>
  <c r="K26" i="7"/>
  <c r="H11" i="2"/>
  <c r="K13" i="7"/>
  <c r="H15" i="2"/>
  <c r="K17" i="7"/>
  <c r="H32" i="2"/>
  <c r="K34" i="7"/>
  <c r="H19" i="2"/>
  <c r="K21" i="7"/>
  <c r="H20" i="2"/>
  <c r="K22" i="7"/>
  <c r="H5" i="2"/>
  <c r="K7" i="7"/>
  <c r="H13" i="2"/>
  <c r="K15" i="7"/>
  <c r="H21" i="2"/>
  <c r="K23" i="7"/>
  <c r="H29" i="2"/>
  <c r="K31" i="7"/>
  <c r="H14" i="2"/>
  <c r="K16" i="7"/>
  <c r="H30" i="2"/>
  <c r="K32" i="7"/>
  <c r="H4" i="2"/>
  <c r="K6" i="7"/>
  <c r="P12" i="6"/>
  <c r="I12" i="6"/>
  <c r="J3" i="5"/>
  <c r="M3" i="5"/>
  <c r="I24" i="7"/>
  <c r="I20" i="7"/>
  <c r="K20" i="7" s="1"/>
  <c r="G8" i="2"/>
  <c r="I36" i="7"/>
  <c r="K36" i="7" s="1"/>
  <c r="I8" i="7"/>
  <c r="K8" i="7" s="1"/>
  <c r="G16" i="2"/>
  <c r="J18" i="25"/>
  <c r="G24" i="2"/>
  <c r="G32" i="2"/>
  <c r="I14" i="7"/>
  <c r="K14" i="7" s="1"/>
  <c r="I30" i="7"/>
  <c r="K30" i="7" s="1"/>
  <c r="G11" i="2"/>
  <c r="G19" i="2"/>
  <c r="G27" i="2"/>
  <c r="G14" i="2"/>
  <c r="G30" i="2"/>
  <c r="G9" i="2"/>
  <c r="G17" i="2"/>
  <c r="G25" i="2"/>
  <c r="G33" i="2"/>
  <c r="G4" i="2"/>
  <c r="G20" i="2"/>
  <c r="G7" i="2"/>
  <c r="G15" i="2"/>
  <c r="G23" i="2"/>
  <c r="G31" i="2"/>
  <c r="I12" i="7"/>
  <c r="K12" i="7" s="1"/>
  <c r="I28" i="7"/>
  <c r="K28" i="7" s="1"/>
  <c r="G5" i="2"/>
  <c r="G13" i="2"/>
  <c r="G21" i="2"/>
  <c r="G29" i="2"/>
  <c r="H22" i="2" l="1"/>
  <c r="K24" i="7"/>
  <c r="H6" i="2"/>
  <c r="H12" i="2"/>
  <c r="H34" i="2"/>
  <c r="H26" i="2"/>
  <c r="H10" i="2"/>
  <c r="H28" i="2"/>
  <c r="H18" i="2"/>
  <c r="D5" i="17"/>
  <c r="G35" i="21" l="1"/>
  <c r="F35" i="21"/>
  <c r="G34" i="21"/>
  <c r="F34" i="21"/>
  <c r="G33" i="21"/>
  <c r="F33" i="21"/>
  <c r="G32" i="21"/>
  <c r="F32" i="21"/>
  <c r="G31" i="21"/>
  <c r="F31" i="21"/>
  <c r="G30" i="21"/>
  <c r="F30" i="21"/>
  <c r="G29" i="21"/>
  <c r="F29" i="21"/>
  <c r="G28" i="21"/>
  <c r="F28" i="21"/>
  <c r="G27" i="21"/>
  <c r="F27" i="21"/>
  <c r="G26" i="21"/>
  <c r="F26" i="21"/>
  <c r="G25" i="21"/>
  <c r="F25" i="21"/>
  <c r="G24" i="21"/>
  <c r="F24" i="21"/>
  <c r="G23" i="21"/>
  <c r="F23" i="21"/>
  <c r="G22" i="21"/>
  <c r="F22" i="21"/>
  <c r="G21" i="21"/>
  <c r="F21" i="21"/>
  <c r="F20" i="21"/>
  <c r="G19" i="21"/>
  <c r="F19" i="21"/>
  <c r="G18" i="21"/>
  <c r="F18" i="21"/>
  <c r="G17" i="21"/>
  <c r="F17" i="21"/>
  <c r="G16" i="21"/>
  <c r="F16" i="21"/>
  <c r="G15" i="21"/>
  <c r="F15" i="21"/>
  <c r="G14" i="21"/>
  <c r="F14" i="21"/>
  <c r="G13" i="21"/>
  <c r="F13" i="21"/>
  <c r="G12" i="21"/>
  <c r="F12" i="21"/>
  <c r="G11" i="21"/>
  <c r="F11" i="21"/>
  <c r="G10" i="21"/>
  <c r="F10" i="21"/>
  <c r="G9" i="21"/>
  <c r="F9" i="21"/>
  <c r="G8" i="21"/>
  <c r="F8" i="21"/>
  <c r="G7" i="21"/>
  <c r="F7" i="21"/>
  <c r="G6" i="21"/>
  <c r="F6" i="21"/>
  <c r="G5" i="21"/>
  <c r="F5" i="21"/>
  <c r="M44" i="20"/>
  <c r="K44" i="20"/>
  <c r="M43" i="20"/>
  <c r="K43" i="20"/>
  <c r="M42" i="20"/>
  <c r="K42" i="20"/>
  <c r="M41" i="20"/>
  <c r="K41" i="20"/>
  <c r="M40" i="20"/>
  <c r="K40" i="20"/>
  <c r="M39" i="20"/>
  <c r="K39" i="20"/>
  <c r="M38" i="20"/>
  <c r="K38" i="20"/>
  <c r="M37" i="20"/>
  <c r="K37" i="20"/>
  <c r="M36" i="20"/>
  <c r="K36" i="20"/>
  <c r="M35" i="20"/>
  <c r="K35" i="20"/>
  <c r="M34" i="20"/>
  <c r="K34" i="20"/>
  <c r="M33" i="20"/>
  <c r="K33" i="20"/>
  <c r="M32" i="20"/>
  <c r="K32" i="20"/>
  <c r="M31" i="20"/>
  <c r="K31" i="20"/>
  <c r="M30" i="20"/>
  <c r="K30" i="20"/>
  <c r="M29" i="20"/>
  <c r="K29" i="20"/>
  <c r="M28" i="20"/>
  <c r="K28" i="20"/>
  <c r="M27" i="20"/>
  <c r="K27" i="20"/>
  <c r="M26" i="20"/>
  <c r="K26" i="20"/>
  <c r="M25" i="20"/>
  <c r="K25" i="20"/>
  <c r="M24" i="20"/>
  <c r="K24" i="20"/>
  <c r="M23" i="20"/>
  <c r="K23" i="20"/>
  <c r="M22" i="20"/>
  <c r="K22" i="20"/>
  <c r="M21" i="20"/>
  <c r="K21" i="20"/>
  <c r="M20" i="20"/>
  <c r="K20" i="20"/>
  <c r="M19" i="20"/>
  <c r="K19" i="20"/>
  <c r="M18" i="20"/>
  <c r="K18" i="20"/>
  <c r="M17" i="20"/>
  <c r="K17" i="20"/>
  <c r="M16" i="20"/>
  <c r="K16" i="20"/>
  <c r="M15" i="20"/>
  <c r="K15" i="20"/>
  <c r="M14" i="20"/>
  <c r="K14" i="20"/>
  <c r="G35" i="19"/>
  <c r="F35" i="19"/>
  <c r="G34" i="19"/>
  <c r="F34" i="19"/>
  <c r="G33" i="19"/>
  <c r="F33" i="19"/>
  <c r="G32" i="19"/>
  <c r="F32" i="19"/>
  <c r="G31" i="19"/>
  <c r="F31" i="19"/>
  <c r="G30" i="19"/>
  <c r="F30" i="19"/>
  <c r="G29" i="19"/>
  <c r="F29" i="19"/>
  <c r="G28" i="19"/>
  <c r="F28" i="19"/>
  <c r="G27" i="19"/>
  <c r="F27" i="19"/>
  <c r="G26" i="19"/>
  <c r="F26" i="19"/>
  <c r="G25" i="19"/>
  <c r="F25" i="19"/>
  <c r="G24" i="19"/>
  <c r="F24" i="19"/>
  <c r="G23" i="19"/>
  <c r="F23" i="19"/>
  <c r="G22" i="19"/>
  <c r="F22" i="19"/>
  <c r="G21" i="19"/>
  <c r="F21" i="19"/>
  <c r="F20" i="19"/>
  <c r="G19" i="19"/>
  <c r="F19" i="19"/>
  <c r="G18" i="19"/>
  <c r="F18" i="19"/>
  <c r="G17" i="19"/>
  <c r="F17" i="19"/>
  <c r="G16" i="19"/>
  <c r="F16" i="19"/>
  <c r="G15" i="19"/>
  <c r="F15" i="19"/>
  <c r="G14" i="19"/>
  <c r="F14" i="19"/>
  <c r="G13" i="19"/>
  <c r="F13" i="19"/>
  <c r="G12" i="19"/>
  <c r="F12" i="19"/>
  <c r="G11" i="19"/>
  <c r="F11" i="19"/>
  <c r="G10" i="19"/>
  <c r="F10" i="19"/>
  <c r="G9" i="19"/>
  <c r="F9" i="19"/>
  <c r="G8" i="19"/>
  <c r="F8" i="19"/>
  <c r="G7" i="19"/>
  <c r="F7" i="19"/>
  <c r="G6" i="19"/>
  <c r="F6" i="19"/>
  <c r="G5" i="19"/>
  <c r="F5" i="19"/>
  <c r="M44" i="18"/>
  <c r="K44" i="18"/>
  <c r="M43" i="18"/>
  <c r="K43" i="18"/>
  <c r="M42" i="18"/>
  <c r="K42" i="18"/>
  <c r="M41" i="18"/>
  <c r="K41" i="18"/>
  <c r="M40" i="18"/>
  <c r="K40" i="18"/>
  <c r="M39" i="18"/>
  <c r="K39" i="18"/>
  <c r="M38" i="18"/>
  <c r="K38" i="18"/>
  <c r="M37" i="18"/>
  <c r="K37" i="18"/>
  <c r="M36" i="18"/>
  <c r="K36" i="18"/>
  <c r="M35" i="18"/>
  <c r="K35" i="18"/>
  <c r="M34" i="18"/>
  <c r="K34" i="18"/>
  <c r="M33" i="18"/>
  <c r="K33" i="18"/>
  <c r="M32" i="18"/>
  <c r="K32" i="18"/>
  <c r="M31" i="18"/>
  <c r="K31" i="18"/>
  <c r="M30" i="18"/>
  <c r="K30" i="18"/>
  <c r="M29" i="18"/>
  <c r="K29" i="18"/>
  <c r="M28" i="18"/>
  <c r="K28" i="18"/>
  <c r="M27" i="18"/>
  <c r="K27" i="18"/>
  <c r="M26" i="18"/>
  <c r="K26" i="18"/>
  <c r="M25" i="18"/>
  <c r="K25" i="18"/>
  <c r="M24" i="18"/>
  <c r="K24" i="18"/>
  <c r="M23" i="18"/>
  <c r="K23" i="18"/>
  <c r="M22" i="18"/>
  <c r="K22" i="18"/>
  <c r="M21" i="18"/>
  <c r="K21" i="18"/>
  <c r="M20" i="18"/>
  <c r="K20" i="18"/>
  <c r="M19" i="18"/>
  <c r="K19" i="18"/>
  <c r="M18" i="18"/>
  <c r="K18" i="18"/>
  <c r="M17" i="18"/>
  <c r="K17" i="18"/>
  <c r="M16" i="18"/>
  <c r="K16" i="18"/>
  <c r="M15" i="18"/>
  <c r="K15" i="18"/>
  <c r="M14" i="18"/>
  <c r="K14" i="18"/>
  <c r="F5" i="17"/>
  <c r="D20" i="17"/>
  <c r="F20" i="17" l="1"/>
  <c r="F35" i="5"/>
  <c r="F33" i="5"/>
  <c r="F31" i="5"/>
  <c r="F34" i="5"/>
  <c r="F32" i="5"/>
  <c r="F30" i="5"/>
  <c r="F29" i="5"/>
  <c r="F28" i="5"/>
  <c r="F27" i="5"/>
  <c r="F26" i="5"/>
  <c r="F25" i="5"/>
  <c r="F24" i="5"/>
  <c r="F23" i="5"/>
  <c r="F22" i="5"/>
  <c r="F21" i="5"/>
  <c r="F20" i="5"/>
  <c r="F19" i="5"/>
  <c r="F18" i="5"/>
  <c r="F17" i="5"/>
  <c r="F16" i="5"/>
  <c r="F15" i="5"/>
  <c r="F14" i="5"/>
  <c r="F13" i="5"/>
  <c r="F12" i="5"/>
  <c r="F11" i="5"/>
  <c r="F10" i="5"/>
  <c r="F9" i="5"/>
  <c r="F8" i="5"/>
  <c r="F7" i="5"/>
  <c r="F6" i="5"/>
  <c r="F5" i="5"/>
  <c r="M44" i="6" l="1"/>
  <c r="M43" i="6"/>
  <c r="M42" i="6"/>
  <c r="M41" i="6"/>
  <c r="M40" i="6"/>
  <c r="M39" i="6"/>
  <c r="M38" i="6"/>
  <c r="M35" i="6"/>
  <c r="M34" i="6"/>
  <c r="M33" i="6"/>
  <c r="M32" i="6"/>
  <c r="M31" i="6"/>
  <c r="M30" i="6"/>
  <c r="M29" i="6"/>
  <c r="M28" i="6"/>
  <c r="M27" i="6"/>
  <c r="M26" i="6"/>
  <c r="M23" i="6"/>
  <c r="M22" i="6"/>
  <c r="M21" i="6"/>
  <c r="M20" i="6"/>
  <c r="M19" i="6"/>
  <c r="M18" i="6"/>
  <c r="M17" i="6"/>
  <c r="M16" i="6"/>
  <c r="M15" i="6"/>
  <c r="M14" i="6"/>
  <c r="M37" i="6"/>
  <c r="M36" i="6"/>
  <c r="AK85" i="10" l="1"/>
  <c r="AM85" i="10"/>
  <c r="AM86" i="10" l="1"/>
  <c r="AM100" i="10"/>
  <c r="AM99" i="10"/>
  <c r="AM101" i="10"/>
  <c r="AN85" i="10"/>
  <c r="AK101" i="10"/>
  <c r="AK99" i="10"/>
  <c r="AK86" i="10"/>
  <c r="AK100" i="10"/>
  <c r="AJ85" i="10"/>
  <c r="AO81" i="10"/>
  <c r="AN81" i="10"/>
  <c r="AM81" i="10"/>
  <c r="AL81" i="10"/>
  <c r="AK81" i="10"/>
  <c r="AJ81" i="10"/>
  <c r="AI81" i="10"/>
  <c r="AH81" i="10"/>
  <c r="AG81" i="10"/>
  <c r="AF81" i="10"/>
  <c r="AE81" i="10"/>
  <c r="AD81" i="10"/>
  <c r="AC81" i="10"/>
  <c r="AI85" i="10" l="1"/>
  <c r="AJ99" i="10"/>
  <c r="AJ101" i="10"/>
  <c r="AJ86" i="10"/>
  <c r="AJ100" i="10"/>
  <c r="AO85" i="10"/>
  <c r="AN86" i="10"/>
  <c r="AN99" i="10"/>
  <c r="AN102" i="10" s="1"/>
  <c r="AN100" i="10"/>
  <c r="AN101" i="10"/>
  <c r="AK102" i="10"/>
  <c r="AM102" i="10"/>
  <c r="H11" i="11"/>
  <c r="H10" i="11"/>
  <c r="H7" i="11"/>
  <c r="H6" i="11"/>
  <c r="AO100" i="10" l="1"/>
  <c r="AO102" i="10" s="1"/>
  <c r="AO86" i="10"/>
  <c r="AO101" i="10"/>
  <c r="AO99" i="10"/>
  <c r="AJ102" i="10"/>
  <c r="AH85" i="10"/>
  <c r="AI100" i="10"/>
  <c r="AI101" i="10"/>
  <c r="AI99" i="10"/>
  <c r="AI86" i="10"/>
  <c r="G35" i="5"/>
  <c r="G34" i="5"/>
  <c r="G33" i="5"/>
  <c r="G32" i="5"/>
  <c r="G31" i="5"/>
  <c r="G30" i="5"/>
  <c r="G28" i="5"/>
  <c r="G27" i="5"/>
  <c r="G26" i="5"/>
  <c r="G25" i="5"/>
  <c r="G24" i="5"/>
  <c r="G23" i="5"/>
  <c r="G22" i="5"/>
  <c r="G21" i="5"/>
  <c r="G19" i="5"/>
  <c r="G18" i="5"/>
  <c r="G17" i="5"/>
  <c r="G16" i="5"/>
  <c r="G15" i="5"/>
  <c r="G14" i="5"/>
  <c r="G13" i="5"/>
  <c r="G12" i="5"/>
  <c r="G11" i="5"/>
  <c r="G10" i="5"/>
  <c r="G9" i="5"/>
  <c r="G8" i="5"/>
  <c r="G7" i="5"/>
  <c r="G6" i="5"/>
  <c r="AG85" i="10" l="1"/>
  <c r="AH100" i="10"/>
  <c r="AH101" i="10"/>
  <c r="AH99" i="10"/>
  <c r="AH102" i="10" s="1"/>
  <c r="AH86" i="10"/>
  <c r="AI102" i="10"/>
  <c r="G20" i="5"/>
  <c r="G20" i="21"/>
  <c r="G20" i="19"/>
  <c r="I19" i="25"/>
  <c r="J19" i="25"/>
  <c r="G5" i="5"/>
  <c r="G29" i="5"/>
  <c r="I18" i="25"/>
  <c r="AF85" i="10" l="1"/>
  <c r="AG100" i="10"/>
  <c r="AG86" i="10"/>
  <c r="AG101" i="10"/>
  <c r="AG99" i="10"/>
  <c r="D11" i="17"/>
  <c r="D10" i="17"/>
  <c r="P6" i="12"/>
  <c r="P6" i="16"/>
  <c r="P7" i="12"/>
  <c r="P7" i="16"/>
  <c r="I17" i="11"/>
  <c r="I16" i="11"/>
  <c r="Y71" i="7"/>
  <c r="I18" i="11" s="1"/>
  <c r="AG102" i="10" l="1"/>
  <c r="AE85" i="10"/>
  <c r="AF86" i="10"/>
  <c r="AF99" i="10"/>
  <c r="AF100" i="10"/>
  <c r="AF101" i="10"/>
  <c r="AF102" i="10" s="1"/>
  <c r="F11" i="17"/>
  <c r="E11" i="17"/>
  <c r="E10" i="17"/>
  <c r="F10" i="17"/>
  <c r="H15" i="11"/>
  <c r="H18" i="11"/>
  <c r="H12" i="11"/>
  <c r="H17" i="11"/>
  <c r="F17" i="11" s="1"/>
  <c r="H16" i="11"/>
  <c r="H13" i="11"/>
  <c r="H14" i="11"/>
  <c r="J20" i="25"/>
  <c r="J23" i="25"/>
  <c r="J21" i="25"/>
  <c r="J22" i="25"/>
  <c r="J24" i="25"/>
  <c r="J26" i="25"/>
  <c r="J25" i="25"/>
  <c r="I14" i="11"/>
  <c r="I12" i="11"/>
  <c r="I13" i="11"/>
  <c r="I15" i="11"/>
  <c r="F15" i="11" s="1"/>
  <c r="F13" i="11" l="1"/>
  <c r="F12" i="11"/>
  <c r="H20" i="25" s="1"/>
  <c r="L20" i="25" s="1"/>
  <c r="F18" i="11"/>
  <c r="H26" i="25" s="1"/>
  <c r="L26" i="25" s="1"/>
  <c r="F14" i="11"/>
  <c r="H25" i="25"/>
  <c r="L25" i="25" s="1"/>
  <c r="F16" i="11"/>
  <c r="H24" i="25" s="1"/>
  <c r="L24" i="25" s="1"/>
  <c r="AD85" i="10"/>
  <c r="AE86" i="10"/>
  <c r="AE99" i="10"/>
  <c r="AE100" i="10"/>
  <c r="AE101" i="10"/>
  <c r="H23" i="25"/>
  <c r="L23" i="25" s="1"/>
  <c r="H21" i="25"/>
  <c r="L21" i="25" s="1"/>
  <c r="H22" i="25"/>
  <c r="L22" i="25" s="1"/>
  <c r="I10" i="11"/>
  <c r="F10" i="11" s="1"/>
  <c r="H18" i="25" s="1"/>
  <c r="L18" i="25" s="1"/>
  <c r="I9" i="11"/>
  <c r="J17" i="25" s="1"/>
  <c r="I8" i="11"/>
  <c r="J16" i="25" s="1"/>
  <c r="I7" i="11"/>
  <c r="F7" i="11" s="1"/>
  <c r="G19" i="25" s="1"/>
  <c r="K19" i="25" s="1"/>
  <c r="I6" i="11"/>
  <c r="F6" i="11" s="1"/>
  <c r="G18" i="25" s="1"/>
  <c r="K18" i="25" s="1"/>
  <c r="I5" i="11"/>
  <c r="I4" i="11"/>
  <c r="I16" i="25" s="1"/>
  <c r="AC85" i="10" l="1"/>
  <c r="AD99" i="10"/>
  <c r="AD101" i="10"/>
  <c r="AD86" i="10"/>
  <c r="AD100" i="10"/>
  <c r="AE102" i="10"/>
  <c r="P4" i="16"/>
  <c r="H9" i="11"/>
  <c r="H8" i="11"/>
  <c r="H4" i="11"/>
  <c r="P4" i="12"/>
  <c r="H5" i="11"/>
  <c r="I17" i="25"/>
  <c r="AD102" i="10" l="1"/>
  <c r="AC101" i="10"/>
  <c r="AC99" i="10"/>
  <c r="AC86" i="10"/>
  <c r="AC100" i="10"/>
  <c r="P5" i="12"/>
  <c r="P5" i="16"/>
  <c r="C11" i="16" a="1"/>
  <c r="C11" i="12" a="1"/>
  <c r="F5" i="11"/>
  <c r="G17" i="25" s="1"/>
  <c r="K17" i="25" s="1"/>
  <c r="F9" i="11"/>
  <c r="H17" i="25" s="1"/>
  <c r="L17" i="25" s="1"/>
  <c r="F8" i="11"/>
  <c r="C25" i="3" a="1"/>
  <c r="F4" i="11"/>
  <c r="G16" i="25" s="1"/>
  <c r="K16" i="25" s="1"/>
  <c r="G63" i="10"/>
  <c r="G51" i="10"/>
  <c r="G39" i="10"/>
  <c r="F27" i="10"/>
  <c r="G27" i="10"/>
  <c r="Z52" i="10"/>
  <c r="Z29" i="10"/>
  <c r="H28" i="10"/>
  <c r="D26" i="17" l="1"/>
  <c r="E26" i="17" s="1"/>
  <c r="H16" i="25"/>
  <c r="L16" i="25" s="1"/>
  <c r="C4" i="16"/>
  <c r="C4" i="12"/>
  <c r="AF92" i="10"/>
  <c r="AF91" i="10"/>
  <c r="AF90" i="10"/>
  <c r="AC102" i="10"/>
  <c r="M11" i="16"/>
  <c r="F11" i="16"/>
  <c r="I11" i="16"/>
  <c r="L11" i="16"/>
  <c r="H11" i="16"/>
  <c r="G11" i="16"/>
  <c r="J11" i="16"/>
  <c r="E11" i="16"/>
  <c r="K11" i="16"/>
  <c r="C11" i="16"/>
  <c r="D11" i="16"/>
  <c r="L11" i="12"/>
  <c r="I11" i="12"/>
  <c r="F11" i="12"/>
  <c r="M11" i="12"/>
  <c r="H11" i="12"/>
  <c r="J11" i="12"/>
  <c r="C11" i="12"/>
  <c r="D11" i="12"/>
  <c r="G11" i="12"/>
  <c r="K11" i="12"/>
  <c r="E11" i="12"/>
  <c r="D25" i="3"/>
  <c r="E25" i="3"/>
  <c r="H25" i="3"/>
  <c r="C25" i="3"/>
  <c r="K25" i="3"/>
  <c r="J25" i="3"/>
  <c r="L25" i="3"/>
  <c r="I25" i="3"/>
  <c r="F25" i="3"/>
  <c r="G25" i="3"/>
  <c r="M25" i="3"/>
  <c r="U58" i="7"/>
  <c r="I11" i="11" s="1"/>
  <c r="F11" i="11" s="1"/>
  <c r="P21" i="3"/>
  <c r="P20" i="3"/>
  <c r="P19" i="3"/>
  <c r="P18" i="3"/>
  <c r="Q21" i="3"/>
  <c r="Q20" i="3"/>
  <c r="Q19" i="3"/>
  <c r="Q18" i="3"/>
  <c r="E22" i="11"/>
  <c r="F4" i="22" s="1"/>
  <c r="F5" i="22" s="1"/>
  <c r="C4" i="3"/>
  <c r="Z69" i="10"/>
  <c r="Z64" i="10"/>
  <c r="Z62" i="10"/>
  <c r="Z59" i="10"/>
  <c r="Z57" i="10"/>
  <c r="Z56" i="10"/>
  <c r="Z55" i="10"/>
  <c r="Z54" i="10"/>
  <c r="Z50" i="10"/>
  <c r="Z49" i="10"/>
  <c r="Z47" i="10"/>
  <c r="Z42" i="10"/>
  <c r="Z40" i="10"/>
  <c r="Z36" i="10"/>
  <c r="Z31" i="10"/>
  <c r="Y64" i="10"/>
  <c r="Y53" i="10"/>
  <c r="Y42" i="10"/>
  <c r="Y31" i="10"/>
  <c r="X69" i="10"/>
  <c r="X62" i="10"/>
  <c r="X59" i="10"/>
  <c r="X57" i="10"/>
  <c r="X56" i="10"/>
  <c r="X55" i="10"/>
  <c r="X54" i="10"/>
  <c r="X53" i="10"/>
  <c r="X52" i="10"/>
  <c r="X50" i="10"/>
  <c r="X49" i="10"/>
  <c r="X47" i="10"/>
  <c r="X40" i="10"/>
  <c r="X36" i="10"/>
  <c r="X29" i="10"/>
  <c r="W69" i="10"/>
  <c r="W58" i="10"/>
  <c r="W47" i="10"/>
  <c r="W36" i="10"/>
  <c r="V62" i="10"/>
  <c r="V59" i="10"/>
  <c r="V58" i="10"/>
  <c r="G58" i="10" s="1"/>
  <c r="V57" i="10"/>
  <c r="V56" i="10"/>
  <c r="V55" i="10"/>
  <c r="V54" i="10"/>
  <c r="V53" i="10"/>
  <c r="V52" i="10"/>
  <c r="V50" i="10"/>
  <c r="V49" i="10"/>
  <c r="V40" i="10"/>
  <c r="V29" i="10"/>
  <c r="U70" i="10"/>
  <c r="U69" i="10"/>
  <c r="G69" i="10" s="1"/>
  <c r="U68" i="10"/>
  <c r="U67" i="10"/>
  <c r="U65" i="10"/>
  <c r="U64" i="10"/>
  <c r="U62" i="10"/>
  <c r="G62" i="10" s="1"/>
  <c r="U61" i="10"/>
  <c r="U60" i="10"/>
  <c r="U55" i="10"/>
  <c r="U52" i="10"/>
  <c r="U44" i="10"/>
  <c r="U41" i="10"/>
  <c r="U33" i="10"/>
  <c r="U30" i="10"/>
  <c r="T66" i="10"/>
  <c r="T55" i="10"/>
  <c r="T44" i="10"/>
  <c r="T33" i="10"/>
  <c r="S70" i="10"/>
  <c r="S68" i="10"/>
  <c r="S65" i="10"/>
  <c r="S61" i="10"/>
  <c r="S59" i="10"/>
  <c r="S57" i="10"/>
  <c r="S54" i="10"/>
  <c r="S50" i="10"/>
  <c r="S47" i="10"/>
  <c r="S45" i="10"/>
  <c r="S44" i="10"/>
  <c r="S42" i="10"/>
  <c r="S41" i="10"/>
  <c r="S40" i="10"/>
  <c r="R70" i="10"/>
  <c r="G70" i="10" s="1"/>
  <c r="R59" i="10"/>
  <c r="R48" i="10"/>
  <c r="S38" i="10"/>
  <c r="S35" i="10"/>
  <c r="S32" i="10"/>
  <c r="S28" i="10"/>
  <c r="Q48" i="10"/>
  <c r="Q47" i="10"/>
  <c r="Q45" i="10"/>
  <c r="Q44" i="10"/>
  <c r="Q42" i="10"/>
  <c r="Q41" i="10"/>
  <c r="Q40" i="10"/>
  <c r="Q38" i="10"/>
  <c r="Q35" i="10"/>
  <c r="Q32" i="10"/>
  <c r="Q28" i="10"/>
  <c r="P43" i="10"/>
  <c r="P32" i="10"/>
  <c r="Q50" i="10"/>
  <c r="P54" i="10"/>
  <c r="Q54" i="10"/>
  <c r="Q57" i="10"/>
  <c r="Q61" i="10"/>
  <c r="Q68" i="10"/>
  <c r="Q65" i="10"/>
  <c r="P65" i="10"/>
  <c r="G65" i="10" s="1"/>
  <c r="O61" i="10"/>
  <c r="O68" i="10"/>
  <c r="N68" i="10"/>
  <c r="M61" i="10"/>
  <c r="N57" i="10"/>
  <c r="O57" i="10"/>
  <c r="O50" i="10"/>
  <c r="N46" i="10"/>
  <c r="O48" i="10"/>
  <c r="O47" i="10"/>
  <c r="O45" i="10"/>
  <c r="O44" i="10"/>
  <c r="O43" i="10"/>
  <c r="O42" i="10"/>
  <c r="O41" i="10"/>
  <c r="O40" i="10"/>
  <c r="O38" i="10"/>
  <c r="O28" i="10"/>
  <c r="O35" i="10"/>
  <c r="N35" i="10"/>
  <c r="L56" i="10"/>
  <c r="K56" i="10"/>
  <c r="L60" i="10"/>
  <c r="L67" i="10"/>
  <c r="K67" i="10"/>
  <c r="G67" i="10" s="1"/>
  <c r="J60" i="10"/>
  <c r="H60" i="10"/>
  <c r="H49" i="10"/>
  <c r="J49" i="10"/>
  <c r="K45" i="10"/>
  <c r="L45" i="10"/>
  <c r="L49" i="10"/>
  <c r="M50" i="10"/>
  <c r="G50" i="10" s="1"/>
  <c r="M48" i="10"/>
  <c r="G48" i="10" s="1"/>
  <c r="M47" i="10"/>
  <c r="M46" i="10"/>
  <c r="G46" i="10" s="1"/>
  <c r="M45" i="10"/>
  <c r="M44" i="10"/>
  <c r="M43" i="10"/>
  <c r="G43" i="10" s="1"/>
  <c r="M42" i="10"/>
  <c r="M41" i="10"/>
  <c r="M40" i="10"/>
  <c r="M38" i="10"/>
  <c r="L38" i="10"/>
  <c r="L36" i="10"/>
  <c r="L35" i="10"/>
  <c r="M28" i="10"/>
  <c r="L33" i="10"/>
  <c r="L32" i="10"/>
  <c r="L31" i="10"/>
  <c r="L30" i="10"/>
  <c r="L29" i="10"/>
  <c r="L28" i="10"/>
  <c r="K34" i="10"/>
  <c r="J36" i="10"/>
  <c r="J35" i="10"/>
  <c r="J34" i="10"/>
  <c r="J33" i="10"/>
  <c r="J32" i="10"/>
  <c r="J31" i="10"/>
  <c r="J30" i="10"/>
  <c r="J29" i="10"/>
  <c r="J28" i="10"/>
  <c r="J38" i="10"/>
  <c r="I37" i="10"/>
  <c r="H38" i="10"/>
  <c r="G38" i="10" s="1"/>
  <c r="H37" i="10"/>
  <c r="H36" i="10"/>
  <c r="H35" i="10"/>
  <c r="H34" i="10"/>
  <c r="H33" i="10"/>
  <c r="H32" i="10"/>
  <c r="H31" i="10"/>
  <c r="H30" i="10"/>
  <c r="H29" i="10"/>
  <c r="F63" i="10"/>
  <c r="F51" i="10"/>
  <c r="E6" i="3" s="1"/>
  <c r="F39" i="10"/>
  <c r="C23" i="10"/>
  <c r="K44" i="6"/>
  <c r="K43" i="6"/>
  <c r="K42" i="6"/>
  <c r="K41" i="6"/>
  <c r="K40" i="6"/>
  <c r="K39" i="6"/>
  <c r="K38" i="6"/>
  <c r="K25" i="6"/>
  <c r="K24" i="6"/>
  <c r="K23" i="6"/>
  <c r="K22" i="6"/>
  <c r="K21" i="6"/>
  <c r="K20" i="6"/>
  <c r="K19" i="6"/>
  <c r="K18" i="6"/>
  <c r="K17" i="6"/>
  <c r="K16" i="6"/>
  <c r="K15" i="6"/>
  <c r="K14" i="6"/>
  <c r="K37" i="6"/>
  <c r="K36" i="6"/>
  <c r="K35" i="6"/>
  <c r="K34" i="6"/>
  <c r="K33" i="6"/>
  <c r="K32" i="6"/>
  <c r="K31" i="6"/>
  <c r="K30" i="6"/>
  <c r="K29" i="6"/>
  <c r="K28" i="6"/>
  <c r="K27" i="6"/>
  <c r="K26" i="6"/>
  <c r="M25" i="6"/>
  <c r="M24" i="6"/>
  <c r="F26" i="17" l="1"/>
  <c r="C26" i="3" a="1"/>
  <c r="I26" i="3" s="1"/>
  <c r="H19" i="25"/>
  <c r="L19" i="25" s="1"/>
  <c r="G31" i="10"/>
  <c r="G64" i="10"/>
  <c r="G32" i="10"/>
  <c r="G42" i="10"/>
  <c r="F46" i="10"/>
  <c r="K5" i="3" s="1"/>
  <c r="G59" i="10"/>
  <c r="F64" i="10"/>
  <c r="G7" i="3" s="1"/>
  <c r="G28" i="10"/>
  <c r="AF93" i="10"/>
  <c r="AG91" i="10" s="1"/>
  <c r="I5" i="8" s="1"/>
  <c r="AG90" i="10"/>
  <c r="G34" i="10"/>
  <c r="G54" i="10"/>
  <c r="AG92" i="10"/>
  <c r="G49" i="10"/>
  <c r="G61" i="10"/>
  <c r="G55" i="10"/>
  <c r="G52" i="10"/>
  <c r="G29" i="10"/>
  <c r="G37" i="10"/>
  <c r="G47" i="10"/>
  <c r="G60" i="10"/>
  <c r="G68" i="10"/>
  <c r="F66" i="10"/>
  <c r="G66" i="10"/>
  <c r="F69" i="10"/>
  <c r="L7" i="3" s="1"/>
  <c r="D5" i="16"/>
  <c r="D5" i="12"/>
  <c r="G44" i="10"/>
  <c r="F33" i="10"/>
  <c r="G53" i="10"/>
  <c r="F43" i="10"/>
  <c r="E6" i="16"/>
  <c r="E6" i="12"/>
  <c r="G35" i="10"/>
  <c r="G45" i="10"/>
  <c r="F7" i="16"/>
  <c r="F7" i="12"/>
  <c r="G36" i="10"/>
  <c r="F58" i="10"/>
  <c r="D5" i="3"/>
  <c r="F7" i="3"/>
  <c r="I7" i="16"/>
  <c r="I7" i="12"/>
  <c r="G56" i="10"/>
  <c r="L7" i="16"/>
  <c r="L7" i="12"/>
  <c r="G33" i="10"/>
  <c r="G40" i="10"/>
  <c r="F30" i="10"/>
  <c r="G57" i="10"/>
  <c r="K5" i="16"/>
  <c r="K5" i="12"/>
  <c r="G7" i="16"/>
  <c r="G7" i="12"/>
  <c r="G30" i="10"/>
  <c r="F37" i="10"/>
  <c r="G41" i="10"/>
  <c r="F41" i="10"/>
  <c r="I7" i="3"/>
  <c r="D25" i="17"/>
  <c r="F25" i="17" s="1"/>
  <c r="R18" i="3"/>
  <c r="F31" i="10"/>
  <c r="F36" i="10"/>
  <c r="F53" i="10"/>
  <c r="F59" i="10"/>
  <c r="F47" i="10"/>
  <c r="F44" i="10"/>
  <c r="F32" i="10"/>
  <c r="F57" i="10"/>
  <c r="F40" i="10"/>
  <c r="F56" i="10"/>
  <c r="F60" i="10"/>
  <c r="F45" i="10"/>
  <c r="F49" i="10"/>
  <c r="F50" i="10"/>
  <c r="F42" i="10"/>
  <c r="F35" i="10"/>
  <c r="F29" i="10"/>
  <c r="F38" i="10"/>
  <c r="F48" i="10"/>
  <c r="F65" i="10"/>
  <c r="F34" i="10"/>
  <c r="F52" i="10"/>
  <c r="F67" i="10"/>
  <c r="F70" i="10"/>
  <c r="F62" i="10"/>
  <c r="F28" i="10"/>
  <c r="F54" i="10"/>
  <c r="F55" i="10"/>
  <c r="F61" i="10"/>
  <c r="F68" i="10"/>
  <c r="E26" i="3" l="1"/>
  <c r="L26" i="3"/>
  <c r="H26" i="3"/>
  <c r="H27" i="3" s="1"/>
  <c r="D26" i="3"/>
  <c r="M26" i="3"/>
  <c r="C26" i="3"/>
  <c r="F26" i="3"/>
  <c r="F27" i="3" s="1"/>
  <c r="K26" i="3"/>
  <c r="J26" i="3"/>
  <c r="G26" i="3"/>
  <c r="G27" i="3" s="1"/>
  <c r="I4" i="8"/>
  <c r="AG93" i="10"/>
  <c r="J5" i="16"/>
  <c r="J5" i="12"/>
  <c r="J5" i="3"/>
  <c r="E7" i="16"/>
  <c r="E7" i="12"/>
  <c r="E7" i="3"/>
  <c r="E4" i="16"/>
  <c r="E4" i="12"/>
  <c r="E4" i="3"/>
  <c r="E5" i="16"/>
  <c r="E5" i="12"/>
  <c r="E5" i="3"/>
  <c r="G4" i="16"/>
  <c r="G4" i="12"/>
  <c r="G4" i="3"/>
  <c r="F4" i="16"/>
  <c r="F4" i="12"/>
  <c r="F4" i="3"/>
  <c r="K4" i="16"/>
  <c r="K4" i="12"/>
  <c r="K4" i="3"/>
  <c r="J7" i="16"/>
  <c r="J7" i="12"/>
  <c r="J7" i="3"/>
  <c r="L6" i="16"/>
  <c r="L6" i="12"/>
  <c r="L6" i="3"/>
  <c r="K7" i="16"/>
  <c r="K7" i="12"/>
  <c r="K7" i="3"/>
  <c r="D6" i="16"/>
  <c r="D6" i="12"/>
  <c r="D6" i="3"/>
  <c r="I5" i="16"/>
  <c r="I5" i="12"/>
  <c r="I5" i="3"/>
  <c r="H5" i="16"/>
  <c r="H5" i="12"/>
  <c r="H5" i="3"/>
  <c r="F6" i="16"/>
  <c r="F6" i="12"/>
  <c r="F6" i="3"/>
  <c r="D7" i="16"/>
  <c r="D7" i="12"/>
  <c r="D7" i="3"/>
  <c r="J4" i="16"/>
  <c r="J4" i="12"/>
  <c r="J4" i="3"/>
  <c r="C6" i="16"/>
  <c r="C6" i="12"/>
  <c r="C6" i="3"/>
  <c r="L5" i="16"/>
  <c r="L5" i="12"/>
  <c r="L5" i="3"/>
  <c r="I4" i="16"/>
  <c r="I4" i="12"/>
  <c r="I4" i="3"/>
  <c r="K6" i="16"/>
  <c r="K6" i="12"/>
  <c r="K6" i="3"/>
  <c r="M4" i="16"/>
  <c r="M4" i="12"/>
  <c r="M4" i="3"/>
  <c r="G5" i="16"/>
  <c r="G5" i="12"/>
  <c r="G5" i="3"/>
  <c r="H7" i="16"/>
  <c r="H7" i="12"/>
  <c r="H7" i="3"/>
  <c r="M6" i="16"/>
  <c r="M6" i="12"/>
  <c r="M6" i="3"/>
  <c r="H6" i="16"/>
  <c r="H6" i="12"/>
  <c r="H6" i="3"/>
  <c r="M5" i="16"/>
  <c r="M5" i="12"/>
  <c r="M5" i="3"/>
  <c r="C7" i="16"/>
  <c r="C7" i="12"/>
  <c r="C7" i="3"/>
  <c r="G6" i="16"/>
  <c r="G6" i="12"/>
  <c r="G6" i="3"/>
  <c r="M7" i="16"/>
  <c r="M7" i="12"/>
  <c r="M7" i="3"/>
  <c r="H4" i="16"/>
  <c r="H4" i="12"/>
  <c r="H4" i="3"/>
  <c r="I6" i="16"/>
  <c r="I6" i="12"/>
  <c r="I6" i="3"/>
  <c r="D4" i="16"/>
  <c r="D4" i="12"/>
  <c r="D4" i="3"/>
  <c r="C5" i="16"/>
  <c r="C5" i="12"/>
  <c r="C5" i="3"/>
  <c r="J6" i="16"/>
  <c r="J6" i="12"/>
  <c r="J6" i="3"/>
  <c r="L4" i="16"/>
  <c r="L12" i="16" s="1"/>
  <c r="L4" i="12"/>
  <c r="L4" i="3"/>
  <c r="F5" i="16"/>
  <c r="F5" i="12"/>
  <c r="F5" i="3"/>
  <c r="E25" i="17"/>
  <c r="I27" i="3"/>
  <c r="R21" i="3"/>
  <c r="R20" i="3"/>
  <c r="R19" i="3"/>
  <c r="L12" i="12" l="1"/>
  <c r="J12" i="16"/>
  <c r="G12" i="12"/>
  <c r="Q7" i="16"/>
  <c r="I12" i="16"/>
  <c r="J12" i="12"/>
  <c r="E12" i="16"/>
  <c r="D4" i="8"/>
  <c r="I6" i="8"/>
  <c r="E26" i="11"/>
  <c r="E27" i="11"/>
  <c r="H12" i="16"/>
  <c r="Q7" i="12"/>
  <c r="I12" i="12"/>
  <c r="F12" i="16"/>
  <c r="E12" i="12"/>
  <c r="D12" i="12"/>
  <c r="Q4" i="12"/>
  <c r="M12" i="16"/>
  <c r="G12" i="16"/>
  <c r="K12" i="12"/>
  <c r="M12" i="12"/>
  <c r="K12" i="16"/>
  <c r="C12" i="12"/>
  <c r="Q5" i="12"/>
  <c r="Q6" i="12"/>
  <c r="D12" i="16"/>
  <c r="Q4" i="16"/>
  <c r="C12" i="16"/>
  <c r="Q5" i="16"/>
  <c r="H12" i="12"/>
  <c r="Q6" i="16"/>
  <c r="F12" i="12"/>
  <c r="J27" i="3"/>
  <c r="C27" i="3"/>
  <c r="K27" i="3"/>
  <c r="D27" i="3"/>
  <c r="L27" i="3"/>
  <c r="E27" i="3"/>
  <c r="M27" i="3"/>
  <c r="K13" i="16" l="1"/>
  <c r="K14" i="16" s="1"/>
  <c r="R6" i="12"/>
  <c r="S6" i="12" s="1"/>
  <c r="C5" i="20" s="1"/>
  <c r="I19" i="20" s="1"/>
  <c r="P19" i="20" s="1"/>
  <c r="J10" i="21" s="1"/>
  <c r="M10" i="21" s="1"/>
  <c r="R5" i="16"/>
  <c r="S5" i="16" s="1"/>
  <c r="I13" i="12"/>
  <c r="G13" i="16"/>
  <c r="G14" i="16" s="1"/>
  <c r="I12" i="3"/>
  <c r="H12" i="3"/>
  <c r="L11" i="3"/>
  <c r="L13" i="3"/>
  <c r="L12" i="3"/>
  <c r="L19" i="3" s="1"/>
  <c r="G13" i="3"/>
  <c r="I11" i="3"/>
  <c r="M12" i="3"/>
  <c r="J14" i="3"/>
  <c r="H11" i="3"/>
  <c r="J11" i="3"/>
  <c r="I14" i="3"/>
  <c r="L14" i="3"/>
  <c r="L21" i="3" s="1"/>
  <c r="H14" i="3"/>
  <c r="H13" i="3"/>
  <c r="J13" i="3"/>
  <c r="M13" i="3"/>
  <c r="G12" i="3"/>
  <c r="I13" i="3"/>
  <c r="K11" i="3"/>
  <c r="K12" i="3"/>
  <c r="K19" i="3" s="1"/>
  <c r="M14" i="3"/>
  <c r="G14" i="3"/>
  <c r="J12" i="3"/>
  <c r="K14" i="3"/>
  <c r="G11" i="3"/>
  <c r="K13" i="3"/>
  <c r="M11" i="3"/>
  <c r="C11" i="3"/>
  <c r="E12" i="3"/>
  <c r="F11" i="3"/>
  <c r="F14" i="3"/>
  <c r="C12" i="3"/>
  <c r="D12" i="3"/>
  <c r="F13" i="3"/>
  <c r="F12" i="3"/>
  <c r="F19" i="3" s="1"/>
  <c r="C14" i="3"/>
  <c r="D11" i="3"/>
  <c r="D14" i="3"/>
  <c r="C13" i="3"/>
  <c r="E13" i="3"/>
  <c r="D13" i="3"/>
  <c r="E14" i="3"/>
  <c r="E11" i="3"/>
  <c r="E18" i="3" s="1"/>
  <c r="J13" i="16"/>
  <c r="J14" i="16" s="1"/>
  <c r="D5" i="8"/>
  <c r="M42" i="21"/>
  <c r="M42" i="5"/>
  <c r="E23" i="11"/>
  <c r="F8" i="22" s="1"/>
  <c r="F9" i="22" s="1"/>
  <c r="F13" i="12"/>
  <c r="F14" i="12" s="1"/>
  <c r="D13" i="16"/>
  <c r="D14" i="16" s="1"/>
  <c r="K13" i="12"/>
  <c r="K14" i="12" s="1"/>
  <c r="F13" i="16"/>
  <c r="F14" i="16" s="1"/>
  <c r="R7" i="12"/>
  <c r="S7" i="12" s="1"/>
  <c r="R6" i="16"/>
  <c r="S6" i="16" s="1"/>
  <c r="C13" i="12"/>
  <c r="M13" i="16"/>
  <c r="M14" i="16" s="1"/>
  <c r="H13" i="16"/>
  <c r="H14" i="16" s="1"/>
  <c r="H13" i="12"/>
  <c r="H14" i="12" s="1"/>
  <c r="J13" i="12"/>
  <c r="J14" i="12" s="1"/>
  <c r="E13" i="16"/>
  <c r="E14" i="16" s="1"/>
  <c r="L13" i="12"/>
  <c r="L14" i="12" s="1"/>
  <c r="R4" i="12"/>
  <c r="R5" i="12"/>
  <c r="S5" i="12" s="1"/>
  <c r="C13" i="16"/>
  <c r="M13" i="12"/>
  <c r="M14" i="12" s="1"/>
  <c r="D13" i="12"/>
  <c r="D14" i="12" s="1"/>
  <c r="L13" i="16"/>
  <c r="L14" i="16" s="1"/>
  <c r="G13" i="12"/>
  <c r="R4" i="16"/>
  <c r="I13" i="16"/>
  <c r="I14" i="16" s="1"/>
  <c r="E13" i="12"/>
  <c r="E14" i="12" s="1"/>
  <c r="R7" i="16"/>
  <c r="S7" i="16" s="1"/>
  <c r="M21" i="3"/>
  <c r="J18" i="3"/>
  <c r="D20" i="3"/>
  <c r="K20" i="3"/>
  <c r="M18" i="3"/>
  <c r="K18" i="3"/>
  <c r="L18" i="3"/>
  <c r="G20" i="3"/>
  <c r="E21" i="3"/>
  <c r="I20" i="3"/>
  <c r="F20" i="3"/>
  <c r="D21" i="3"/>
  <c r="K21" i="3"/>
  <c r="F18" i="3"/>
  <c r="C20" i="3"/>
  <c r="H18" i="3"/>
  <c r="C18" i="3"/>
  <c r="I21" i="3"/>
  <c r="M20" i="3"/>
  <c r="G21" i="3"/>
  <c r="C21" i="3"/>
  <c r="D18" i="3"/>
  <c r="D19" i="3"/>
  <c r="F21" i="3"/>
  <c r="E19" i="3"/>
  <c r="E20" i="3"/>
  <c r="H20" i="3"/>
  <c r="L20" i="3"/>
  <c r="J21" i="3"/>
  <c r="M19" i="3"/>
  <c r="C19" i="3"/>
  <c r="G19" i="3"/>
  <c r="G18" i="3"/>
  <c r="H19" i="3"/>
  <c r="H21" i="3"/>
  <c r="J19" i="3"/>
  <c r="J20" i="3"/>
  <c r="I19" i="3"/>
  <c r="I18" i="3"/>
  <c r="I23" i="20" l="1"/>
  <c r="P23" i="20" s="1"/>
  <c r="J14" i="21" s="1"/>
  <c r="M14" i="21" s="1"/>
  <c r="I21" i="20"/>
  <c r="P21" i="20" s="1"/>
  <c r="J12" i="21" s="1"/>
  <c r="M12" i="21" s="1"/>
  <c r="I20" i="20"/>
  <c r="P20" i="20" s="1"/>
  <c r="J11" i="21" s="1"/>
  <c r="M11" i="21" s="1"/>
  <c r="I22" i="20"/>
  <c r="P22" i="20" s="1"/>
  <c r="J13" i="21" s="1"/>
  <c r="M13" i="21" s="1"/>
  <c r="D3" i="8"/>
  <c r="D3" i="13" s="1"/>
  <c r="M43" i="5"/>
  <c r="M43" i="21"/>
  <c r="I14" i="12"/>
  <c r="C14" i="12"/>
  <c r="C7" i="20"/>
  <c r="C5" i="18"/>
  <c r="C6" i="20"/>
  <c r="C8" i="18"/>
  <c r="C6" i="18"/>
  <c r="C7" i="18"/>
  <c r="C14" i="16"/>
  <c r="C9" i="18"/>
  <c r="C8" i="20"/>
  <c r="C10" i="18"/>
  <c r="C10" i="20"/>
  <c r="G14" i="12"/>
  <c r="C4" i="18"/>
  <c r="S4" i="16"/>
  <c r="S4" i="12"/>
  <c r="C4" i="20"/>
  <c r="C9" i="20"/>
  <c r="L28" i="3"/>
  <c r="G28" i="3"/>
  <c r="M28" i="3"/>
  <c r="S18" i="3"/>
  <c r="S21" i="3"/>
  <c r="E28" i="3"/>
  <c r="F28" i="3"/>
  <c r="S19" i="3"/>
  <c r="C28" i="3"/>
  <c r="K28" i="3"/>
  <c r="D28" i="3"/>
  <c r="S20" i="3"/>
  <c r="H28" i="3"/>
  <c r="I28" i="3"/>
  <c r="J28" i="3"/>
  <c r="E5" i="17" l="1"/>
  <c r="I35" i="18"/>
  <c r="P35" i="18" s="1"/>
  <c r="J26" i="19" s="1"/>
  <c r="M26" i="19" s="1"/>
  <c r="I34" i="18"/>
  <c r="P34" i="18" s="1"/>
  <c r="J25" i="19" s="1"/>
  <c r="M25" i="19" s="1"/>
  <c r="I32" i="18"/>
  <c r="P32" i="18" s="1"/>
  <c r="J23" i="19" s="1"/>
  <c r="M23" i="19" s="1"/>
  <c r="I31" i="18"/>
  <c r="P31" i="18" s="1"/>
  <c r="J22" i="19" s="1"/>
  <c r="M22" i="19" s="1"/>
  <c r="I33" i="18"/>
  <c r="P33" i="18" s="1"/>
  <c r="J24" i="19" s="1"/>
  <c r="M24" i="19" s="1"/>
  <c r="I44" i="18"/>
  <c r="P44" i="18" s="1"/>
  <c r="J35" i="19" s="1"/>
  <c r="M35" i="19" s="1"/>
  <c r="I42" i="18"/>
  <c r="P42" i="18" s="1"/>
  <c r="J33" i="19" s="1"/>
  <c r="M33" i="19" s="1"/>
  <c r="I38" i="18"/>
  <c r="P38" i="18" s="1"/>
  <c r="J29" i="19" s="1"/>
  <c r="M29" i="19" s="1"/>
  <c r="I40" i="18"/>
  <c r="P40" i="18" s="1"/>
  <c r="J31" i="19" s="1"/>
  <c r="M31" i="19" s="1"/>
  <c r="I39" i="18"/>
  <c r="P39" i="18" s="1"/>
  <c r="J30" i="19" s="1"/>
  <c r="M30" i="19" s="1"/>
  <c r="I41" i="18"/>
  <c r="P41" i="18" s="1"/>
  <c r="J32" i="19" s="1"/>
  <c r="M32" i="19" s="1"/>
  <c r="I43" i="18"/>
  <c r="P43" i="18" s="1"/>
  <c r="J34" i="19" s="1"/>
  <c r="M34" i="19" s="1"/>
  <c r="I31" i="20"/>
  <c r="P31" i="20" s="1"/>
  <c r="J22" i="21" s="1"/>
  <c r="M22" i="21" s="1"/>
  <c r="I33" i="20"/>
  <c r="P33" i="20" s="1"/>
  <c r="J24" i="21" s="1"/>
  <c r="M24" i="21" s="1"/>
  <c r="I35" i="20"/>
  <c r="P35" i="20" s="1"/>
  <c r="J26" i="21" s="1"/>
  <c r="M26" i="21" s="1"/>
  <c r="I34" i="20"/>
  <c r="P34" i="20" s="1"/>
  <c r="J25" i="21" s="1"/>
  <c r="M25" i="21" s="1"/>
  <c r="I32" i="20"/>
  <c r="P32" i="20" s="1"/>
  <c r="J23" i="21" s="1"/>
  <c r="M23" i="21" s="1"/>
  <c r="I27" i="18"/>
  <c r="P27" i="18" s="1"/>
  <c r="J18" i="19" s="1"/>
  <c r="M18" i="19" s="1"/>
  <c r="I30" i="18"/>
  <c r="P30" i="18" s="1"/>
  <c r="J21" i="19" s="1"/>
  <c r="M21" i="19" s="1"/>
  <c r="I29" i="18"/>
  <c r="P29" i="18" s="1"/>
  <c r="J20" i="19" s="1"/>
  <c r="M20" i="19" s="1"/>
  <c r="I26" i="18"/>
  <c r="P26" i="18" s="1"/>
  <c r="J17" i="19" s="1"/>
  <c r="M17" i="19" s="1"/>
  <c r="I28" i="18"/>
  <c r="P28" i="18" s="1"/>
  <c r="J19" i="19" s="1"/>
  <c r="M19" i="19" s="1"/>
  <c r="I21" i="18"/>
  <c r="P21" i="18" s="1"/>
  <c r="J12" i="19" s="1"/>
  <c r="M12" i="19" s="1"/>
  <c r="I23" i="18"/>
  <c r="P23" i="18" s="1"/>
  <c r="J14" i="19" s="1"/>
  <c r="M14" i="19" s="1"/>
  <c r="I22" i="18"/>
  <c r="P22" i="18" s="1"/>
  <c r="J13" i="19" s="1"/>
  <c r="M13" i="19" s="1"/>
  <c r="I19" i="18"/>
  <c r="P19" i="18" s="1"/>
  <c r="J10" i="19" s="1"/>
  <c r="M10" i="19" s="1"/>
  <c r="I20" i="18"/>
  <c r="P20" i="18" s="1"/>
  <c r="J11" i="19" s="1"/>
  <c r="M11" i="19" s="1"/>
  <c r="I40" i="20"/>
  <c r="P40" i="20" s="1"/>
  <c r="J31" i="21" s="1"/>
  <c r="M31" i="21" s="1"/>
  <c r="I38" i="20"/>
  <c r="P38" i="20" s="1"/>
  <c r="J29" i="21" s="1"/>
  <c r="M29" i="21" s="1"/>
  <c r="I39" i="20"/>
  <c r="P39" i="20" s="1"/>
  <c r="J30" i="21" s="1"/>
  <c r="M30" i="21" s="1"/>
  <c r="I44" i="20"/>
  <c r="P44" i="20" s="1"/>
  <c r="J35" i="21" s="1"/>
  <c r="M35" i="21" s="1"/>
  <c r="I41" i="20"/>
  <c r="P41" i="20" s="1"/>
  <c r="J32" i="21" s="1"/>
  <c r="M32" i="21" s="1"/>
  <c r="I43" i="20"/>
  <c r="P43" i="20" s="1"/>
  <c r="J34" i="21" s="1"/>
  <c r="M34" i="21" s="1"/>
  <c r="I42" i="20"/>
  <c r="P42" i="20" s="1"/>
  <c r="J33" i="21" s="1"/>
  <c r="M33" i="21" s="1"/>
  <c r="I29" i="20"/>
  <c r="P29" i="20" s="1"/>
  <c r="J20" i="21" s="1"/>
  <c r="M20" i="21" s="1"/>
  <c r="I26" i="20"/>
  <c r="P26" i="20" s="1"/>
  <c r="J17" i="21" s="1"/>
  <c r="M17" i="21" s="1"/>
  <c r="I28" i="20"/>
  <c r="P28" i="20" s="1"/>
  <c r="J19" i="21" s="1"/>
  <c r="M19" i="21" s="1"/>
  <c r="I27" i="20"/>
  <c r="P27" i="20" s="1"/>
  <c r="J18" i="21" s="1"/>
  <c r="M18" i="21" s="1"/>
  <c r="I30" i="20"/>
  <c r="P30" i="20" s="1"/>
  <c r="J21" i="21" s="1"/>
  <c r="M21" i="21" s="1"/>
  <c r="I36" i="20"/>
  <c r="P36" i="20" s="1"/>
  <c r="J27" i="21" s="1"/>
  <c r="M27" i="21" s="1"/>
  <c r="I37" i="20"/>
  <c r="P37" i="20" s="1"/>
  <c r="J28" i="21" s="1"/>
  <c r="M28" i="21" s="1"/>
  <c r="I25" i="20"/>
  <c r="P25" i="20" s="1"/>
  <c r="J16" i="21" s="1"/>
  <c r="M16" i="21" s="1"/>
  <c r="I24" i="20"/>
  <c r="P24" i="20" s="1"/>
  <c r="J15" i="21" s="1"/>
  <c r="M15" i="21" s="1"/>
  <c r="I36" i="18"/>
  <c r="P36" i="18" s="1"/>
  <c r="J27" i="19" s="1"/>
  <c r="M27" i="19" s="1"/>
  <c r="I37" i="18"/>
  <c r="P37" i="18" s="1"/>
  <c r="J28" i="19" s="1"/>
  <c r="M28" i="19" s="1"/>
  <c r="I24" i="18"/>
  <c r="P24" i="18" s="1"/>
  <c r="J15" i="19" s="1"/>
  <c r="M15" i="19" s="1"/>
  <c r="I25" i="18"/>
  <c r="P25" i="18" s="1"/>
  <c r="J16" i="19" s="1"/>
  <c r="M16" i="19" s="1"/>
  <c r="I17" i="20"/>
  <c r="P17" i="20" s="1"/>
  <c r="J8" i="21" s="1"/>
  <c r="M8" i="21" s="1"/>
  <c r="I14" i="20"/>
  <c r="P14" i="20" s="1"/>
  <c r="J5" i="21" s="1"/>
  <c r="M5" i="21" s="1"/>
  <c r="I16" i="20"/>
  <c r="P16" i="20" s="1"/>
  <c r="J7" i="21" s="1"/>
  <c r="M7" i="21" s="1"/>
  <c r="I15" i="20"/>
  <c r="P15" i="20" s="1"/>
  <c r="J6" i="21" s="1"/>
  <c r="M6" i="21" s="1"/>
  <c r="I18" i="20"/>
  <c r="P18" i="20" s="1"/>
  <c r="J9" i="21" s="1"/>
  <c r="M9" i="21" s="1"/>
  <c r="I16" i="18"/>
  <c r="P16" i="18" s="1"/>
  <c r="J7" i="19" s="1"/>
  <c r="M7" i="19" s="1"/>
  <c r="I17" i="18"/>
  <c r="P17" i="18" s="1"/>
  <c r="J8" i="19" s="1"/>
  <c r="M8" i="19" s="1"/>
  <c r="I15" i="18"/>
  <c r="P15" i="18" s="1"/>
  <c r="J6" i="19" s="1"/>
  <c r="M6" i="19" s="1"/>
  <c r="I18" i="18"/>
  <c r="P18" i="18" s="1"/>
  <c r="J9" i="19" s="1"/>
  <c r="M9" i="19" s="1"/>
  <c r="I14" i="18"/>
  <c r="P14" i="18" s="1"/>
  <c r="J5" i="19" s="1"/>
  <c r="M5" i="19" s="1"/>
  <c r="T19" i="3"/>
  <c r="T20" i="3"/>
  <c r="U20" i="3" s="1"/>
  <c r="P33" i="25" s="1"/>
  <c r="C29" i="3"/>
  <c r="T18" i="3"/>
  <c r="T21" i="3"/>
  <c r="U21" i="3" s="1"/>
  <c r="P34" i="25" s="1"/>
  <c r="H29" i="3"/>
  <c r="H30" i="3" s="1"/>
  <c r="E29" i="3"/>
  <c r="E30" i="3" s="1"/>
  <c r="J29" i="3"/>
  <c r="J30" i="3" s="1"/>
  <c r="D29" i="3"/>
  <c r="D30" i="3" s="1"/>
  <c r="L29" i="3"/>
  <c r="L30" i="3" s="1"/>
  <c r="I29" i="3"/>
  <c r="I30" i="3" s="1"/>
  <c r="K29" i="3"/>
  <c r="K30" i="3" s="1"/>
  <c r="F29" i="3"/>
  <c r="F30" i="3" s="1"/>
  <c r="G29" i="3"/>
  <c r="M29" i="3"/>
  <c r="M30" i="3" s="1"/>
  <c r="E20" i="17" l="1"/>
  <c r="O39" i="19"/>
  <c r="M39" i="19"/>
  <c r="M38" i="19"/>
  <c r="O38" i="19"/>
  <c r="M38" i="21"/>
  <c r="O38" i="21"/>
  <c r="O39" i="21"/>
  <c r="M39" i="21"/>
  <c r="U19" i="3"/>
  <c r="P32" i="25" s="1"/>
  <c r="C8" i="6"/>
  <c r="I35" i="6" s="1"/>
  <c r="P35" i="6" s="1"/>
  <c r="C9" i="6"/>
  <c r="I36" i="6" s="1"/>
  <c r="P36" i="6" s="1"/>
  <c r="C6" i="6"/>
  <c r="I24" i="6" s="1"/>
  <c r="P24" i="6" s="1"/>
  <c r="C5" i="6"/>
  <c r="I23" i="6" s="1"/>
  <c r="P23" i="6" s="1"/>
  <c r="C7" i="6"/>
  <c r="C4" i="6"/>
  <c r="C10" i="6"/>
  <c r="G30" i="3"/>
  <c r="U18" i="3"/>
  <c r="P31" i="25" s="1"/>
  <c r="C30" i="3"/>
  <c r="P35" i="25" s="1" a="1"/>
  <c r="P36" i="25" l="1"/>
  <c r="P43" i="25"/>
  <c r="P35" i="25"/>
  <c r="P41" i="25"/>
  <c r="P44" i="25"/>
  <c r="P42" i="25"/>
  <c r="P40" i="25"/>
  <c r="P39" i="25"/>
  <c r="P38" i="25"/>
  <c r="P45" i="25"/>
  <c r="P37" i="25"/>
  <c r="O5" i="21"/>
  <c r="R5" i="21" s="1"/>
  <c r="O16" i="21"/>
  <c r="R16" i="21" s="1"/>
  <c r="U16" i="21" s="1"/>
  <c r="O9" i="21"/>
  <c r="R9" i="21" s="1"/>
  <c r="U9" i="21" s="1"/>
  <c r="O12" i="21"/>
  <c r="R12" i="21" s="1"/>
  <c r="U12" i="21" s="1"/>
  <c r="O13" i="21"/>
  <c r="R13" i="21" s="1"/>
  <c r="U13" i="21" s="1"/>
  <c r="O14" i="21"/>
  <c r="R14" i="21" s="1"/>
  <c r="U14" i="21" s="1"/>
  <c r="O11" i="21"/>
  <c r="R11" i="21" s="1"/>
  <c r="U11" i="21" s="1"/>
  <c r="O15" i="21"/>
  <c r="R15" i="21" s="1"/>
  <c r="O7" i="21"/>
  <c r="R7" i="21" s="1"/>
  <c r="U7" i="21" s="1"/>
  <c r="O6" i="21"/>
  <c r="R6" i="21" s="1"/>
  <c r="U6" i="21" s="1"/>
  <c r="O8" i="21"/>
  <c r="R8" i="21" s="1"/>
  <c r="U8" i="21" s="1"/>
  <c r="O10" i="21"/>
  <c r="R10" i="21" s="1"/>
  <c r="O22" i="19"/>
  <c r="R22" i="19" s="1"/>
  <c r="O32" i="19"/>
  <c r="R32" i="19" s="1"/>
  <c r="U32" i="19" s="1"/>
  <c r="O19" i="19"/>
  <c r="R19" i="19" s="1"/>
  <c r="U19" i="19" s="1"/>
  <c r="O18" i="19"/>
  <c r="R18" i="19" s="1"/>
  <c r="U18" i="19" s="1"/>
  <c r="O23" i="19"/>
  <c r="R23" i="19" s="1"/>
  <c r="U23" i="19" s="1"/>
  <c r="O26" i="19"/>
  <c r="R26" i="19" s="1"/>
  <c r="U26" i="19" s="1"/>
  <c r="O27" i="19"/>
  <c r="R27" i="19" s="1"/>
  <c r="O25" i="19"/>
  <c r="R25" i="19" s="1"/>
  <c r="U25" i="19" s="1"/>
  <c r="O30" i="19"/>
  <c r="R30" i="19" s="1"/>
  <c r="U30" i="19" s="1"/>
  <c r="O34" i="19"/>
  <c r="R34" i="19" s="1"/>
  <c r="U34" i="19" s="1"/>
  <c r="O17" i="19"/>
  <c r="R17" i="19" s="1"/>
  <c r="C7" i="13" s="1"/>
  <c r="O20" i="19"/>
  <c r="R20" i="19" s="1"/>
  <c r="U20" i="19" s="1"/>
  <c r="O29" i="19"/>
  <c r="R29" i="19" s="1"/>
  <c r="O28" i="19"/>
  <c r="R28" i="19" s="1"/>
  <c r="U28" i="19" s="1"/>
  <c r="O21" i="19"/>
  <c r="R21" i="19" s="1"/>
  <c r="U21" i="19" s="1"/>
  <c r="O35" i="19"/>
  <c r="R35" i="19" s="1"/>
  <c r="U35" i="19" s="1"/>
  <c r="O33" i="19"/>
  <c r="R33" i="19" s="1"/>
  <c r="U33" i="19" s="1"/>
  <c r="O31" i="19"/>
  <c r="R31" i="19" s="1"/>
  <c r="U31" i="19" s="1"/>
  <c r="O24" i="19"/>
  <c r="R24" i="19" s="1"/>
  <c r="U24" i="19" s="1"/>
  <c r="O14" i="19"/>
  <c r="R14" i="19" s="1"/>
  <c r="U14" i="19" s="1"/>
  <c r="O16" i="19"/>
  <c r="R16" i="19" s="1"/>
  <c r="U16" i="19" s="1"/>
  <c r="O8" i="19"/>
  <c r="R8" i="19" s="1"/>
  <c r="U8" i="19" s="1"/>
  <c r="O12" i="19"/>
  <c r="R12" i="19" s="1"/>
  <c r="U12" i="19" s="1"/>
  <c r="O6" i="19"/>
  <c r="R6" i="19" s="1"/>
  <c r="U6" i="19" s="1"/>
  <c r="O11" i="19"/>
  <c r="R11" i="19" s="1"/>
  <c r="U11" i="19" s="1"/>
  <c r="O15" i="19"/>
  <c r="R15" i="19" s="1"/>
  <c r="O9" i="19"/>
  <c r="R9" i="19" s="1"/>
  <c r="U9" i="19" s="1"/>
  <c r="O10" i="19"/>
  <c r="R10" i="19" s="1"/>
  <c r="O13" i="19"/>
  <c r="R13" i="19" s="1"/>
  <c r="U13" i="19" s="1"/>
  <c r="O5" i="19"/>
  <c r="R5" i="19" s="1"/>
  <c r="O7" i="19"/>
  <c r="R7" i="19" s="1"/>
  <c r="U7" i="19" s="1"/>
  <c r="O19" i="21"/>
  <c r="R19" i="21" s="1"/>
  <c r="U19" i="21" s="1"/>
  <c r="O18" i="21"/>
  <c r="R18" i="21" s="1"/>
  <c r="U18" i="21" s="1"/>
  <c r="O32" i="21"/>
  <c r="R32" i="21" s="1"/>
  <c r="U32" i="21" s="1"/>
  <c r="O17" i="21"/>
  <c r="R17" i="21" s="1"/>
  <c r="D7" i="13" s="1"/>
  <c r="O33" i="21"/>
  <c r="R33" i="21" s="1"/>
  <c r="U33" i="21" s="1"/>
  <c r="O20" i="21"/>
  <c r="R20" i="21" s="1"/>
  <c r="U20" i="21" s="1"/>
  <c r="O31" i="21"/>
  <c r="R31" i="21" s="1"/>
  <c r="U31" i="21" s="1"/>
  <c r="O25" i="21"/>
  <c r="R25" i="21" s="1"/>
  <c r="U25" i="21" s="1"/>
  <c r="O30" i="21"/>
  <c r="R30" i="21" s="1"/>
  <c r="U30" i="21" s="1"/>
  <c r="O26" i="21"/>
  <c r="R26" i="21" s="1"/>
  <c r="U26" i="21" s="1"/>
  <c r="O35" i="21"/>
  <c r="R35" i="21" s="1"/>
  <c r="U35" i="21" s="1"/>
  <c r="O24" i="21"/>
  <c r="R24" i="21" s="1"/>
  <c r="U24" i="21" s="1"/>
  <c r="O28" i="21"/>
  <c r="R28" i="21" s="1"/>
  <c r="U28" i="21" s="1"/>
  <c r="O29" i="21"/>
  <c r="R29" i="21" s="1"/>
  <c r="O27" i="21"/>
  <c r="R27" i="21" s="1"/>
  <c r="O21" i="21"/>
  <c r="R21" i="21" s="1"/>
  <c r="U21" i="21" s="1"/>
  <c r="O34" i="21"/>
  <c r="R34" i="21" s="1"/>
  <c r="U34" i="21" s="1"/>
  <c r="O23" i="21"/>
  <c r="R23" i="21" s="1"/>
  <c r="U23" i="21" s="1"/>
  <c r="O22" i="21"/>
  <c r="R22" i="21" s="1"/>
  <c r="I37" i="6"/>
  <c r="P37" i="6" s="1"/>
  <c r="J28" i="5" s="1"/>
  <c r="M28" i="5" s="1"/>
  <c r="I25" i="6"/>
  <c r="P25" i="6" s="1"/>
  <c r="J16" i="5" s="1"/>
  <c r="M16" i="5" s="1"/>
  <c r="I20" i="6"/>
  <c r="P20" i="6" s="1"/>
  <c r="J11" i="5" s="1"/>
  <c r="M11" i="5" s="1"/>
  <c r="I32" i="6"/>
  <c r="P32" i="6" s="1"/>
  <c r="J23" i="5" s="1"/>
  <c r="M23" i="5" s="1"/>
  <c r="I22" i="6"/>
  <c r="P22" i="6" s="1"/>
  <c r="J13" i="5" s="1"/>
  <c r="M13" i="5" s="1"/>
  <c r="I19" i="6"/>
  <c r="P19" i="6" s="1"/>
  <c r="J10" i="5" s="1"/>
  <c r="M10" i="5" s="1"/>
  <c r="I31" i="6"/>
  <c r="P31" i="6" s="1"/>
  <c r="J22" i="5" s="1"/>
  <c r="M22" i="5" s="1"/>
  <c r="I33" i="6"/>
  <c r="P33" i="6" s="1"/>
  <c r="J24" i="5" s="1"/>
  <c r="M24" i="5" s="1"/>
  <c r="I34" i="6"/>
  <c r="P34" i="6" s="1"/>
  <c r="J25" i="5" s="1"/>
  <c r="M25" i="5" s="1"/>
  <c r="I21" i="6"/>
  <c r="P21" i="6" s="1"/>
  <c r="J12" i="5" s="1"/>
  <c r="M12" i="5" s="1"/>
  <c r="I15" i="6"/>
  <c r="P15" i="6" s="1"/>
  <c r="J6" i="5" s="1"/>
  <c r="M6" i="5" s="1"/>
  <c r="I17" i="6"/>
  <c r="P17" i="6" s="1"/>
  <c r="J8" i="5" s="1"/>
  <c r="M8" i="5" s="1"/>
  <c r="I14" i="6"/>
  <c r="P14" i="6" s="1"/>
  <c r="J5" i="5" s="1"/>
  <c r="M5" i="5" s="1"/>
  <c r="I16" i="6"/>
  <c r="P16" i="6" s="1"/>
  <c r="J7" i="5" s="1"/>
  <c r="M7" i="5" s="1"/>
  <c r="I18" i="6"/>
  <c r="P18" i="6" s="1"/>
  <c r="J9" i="5" s="1"/>
  <c r="M9" i="5" s="1"/>
  <c r="J15" i="5"/>
  <c r="M15" i="5" s="1"/>
  <c r="J14" i="5"/>
  <c r="M14" i="5" s="1"/>
  <c r="J26" i="5"/>
  <c r="M26" i="5" s="1"/>
  <c r="J27" i="5"/>
  <c r="M27" i="5" s="1"/>
  <c r="I27" i="6"/>
  <c r="P27" i="6" s="1"/>
  <c r="I26" i="6"/>
  <c r="P26" i="6" s="1"/>
  <c r="I30" i="6"/>
  <c r="P30" i="6" s="1"/>
  <c r="I28" i="6"/>
  <c r="P28" i="6" s="1"/>
  <c r="I29" i="6"/>
  <c r="P29" i="6" s="1"/>
  <c r="I43" i="6"/>
  <c r="P43" i="6" s="1"/>
  <c r="I42" i="6"/>
  <c r="P42" i="6" s="1"/>
  <c r="I41" i="6"/>
  <c r="P41" i="6" s="1"/>
  <c r="I44" i="6"/>
  <c r="P44" i="6" s="1"/>
  <c r="I40" i="6"/>
  <c r="P40" i="6" s="1"/>
  <c r="I38" i="6"/>
  <c r="P38" i="6" s="1"/>
  <c r="I39" i="6"/>
  <c r="P39" i="6" s="1"/>
  <c r="U27" i="19" l="1"/>
  <c r="C9" i="13"/>
  <c r="U27" i="21"/>
  <c r="D9" i="13"/>
  <c r="U5" i="19"/>
  <c r="C4" i="13"/>
  <c r="U29" i="19"/>
  <c r="C10" i="13"/>
  <c r="U5" i="21"/>
  <c r="D4" i="13"/>
  <c r="U29" i="21"/>
  <c r="D10" i="13"/>
  <c r="U10" i="19"/>
  <c r="C5" i="13"/>
  <c r="U15" i="21"/>
  <c r="D6" i="13"/>
  <c r="U10" i="21"/>
  <c r="D5" i="13"/>
  <c r="U22" i="21"/>
  <c r="D8" i="13"/>
  <c r="U15" i="19"/>
  <c r="C6" i="13"/>
  <c r="U22" i="19"/>
  <c r="C8" i="13"/>
  <c r="U17" i="19"/>
  <c r="D8" i="17"/>
  <c r="D23" i="17" s="1"/>
  <c r="U17" i="21"/>
  <c r="E8" i="17"/>
  <c r="E23" i="17" s="1"/>
  <c r="O38" i="5"/>
  <c r="J30" i="5"/>
  <c r="M30" i="5" s="1"/>
  <c r="J29" i="5"/>
  <c r="M29" i="5" s="1"/>
  <c r="J21" i="5"/>
  <c r="M21" i="5" s="1"/>
  <c r="J34" i="5"/>
  <c r="M34" i="5" s="1"/>
  <c r="J31" i="5"/>
  <c r="M31" i="5" s="1"/>
  <c r="J17" i="5"/>
  <c r="M17" i="5" s="1"/>
  <c r="J35" i="5"/>
  <c r="M35" i="5" s="1"/>
  <c r="J18" i="5"/>
  <c r="M18" i="5" s="1"/>
  <c r="J19" i="5"/>
  <c r="M19" i="5" s="1"/>
  <c r="J32" i="5"/>
  <c r="M32" i="5" s="1"/>
  <c r="J20" i="5"/>
  <c r="M20" i="5" s="1"/>
  <c r="J33" i="5"/>
  <c r="M33" i="5" s="1"/>
  <c r="E7" i="17" l="1"/>
  <c r="E22" i="17" s="1"/>
  <c r="E14" i="17"/>
  <c r="D7" i="17"/>
  <c r="D22" i="17" s="1"/>
  <c r="D14" i="17"/>
  <c r="O39" i="5"/>
  <c r="M38" i="5"/>
  <c r="M39" i="5"/>
  <c r="E13" i="17" l="1"/>
  <c r="E16" i="17" s="1"/>
  <c r="O33" i="5"/>
  <c r="R33" i="5" s="1"/>
  <c r="G34" i="28" s="1"/>
  <c r="I34" i="28" s="1"/>
  <c r="O25" i="5"/>
  <c r="R25" i="5" s="1"/>
  <c r="G26" i="28" s="1"/>
  <c r="O17" i="5"/>
  <c r="R17" i="5" s="1"/>
  <c r="O23" i="5"/>
  <c r="R23" i="5" s="1"/>
  <c r="G24" i="28" s="1"/>
  <c r="O35" i="5"/>
  <c r="R35" i="5" s="1"/>
  <c r="G36" i="28" s="1"/>
  <c r="I36" i="28" s="1"/>
  <c r="O27" i="5"/>
  <c r="R27" i="5" s="1"/>
  <c r="O32" i="5"/>
  <c r="R32" i="5" s="1"/>
  <c r="G33" i="28" s="1"/>
  <c r="I33" i="28" s="1"/>
  <c r="O24" i="5"/>
  <c r="R24" i="5" s="1"/>
  <c r="G25" i="28" s="1"/>
  <c r="O31" i="5"/>
  <c r="R31" i="5" s="1"/>
  <c r="G32" i="28" s="1"/>
  <c r="I32" i="28" s="1"/>
  <c r="O19" i="5"/>
  <c r="R19" i="5" s="1"/>
  <c r="G20" i="28" s="1"/>
  <c r="O34" i="5"/>
  <c r="R34" i="5" s="1"/>
  <c r="G35" i="28" s="1"/>
  <c r="I35" i="28" s="1"/>
  <c r="O18" i="5"/>
  <c r="R18" i="5" s="1"/>
  <c r="G19" i="28" s="1"/>
  <c r="O30" i="5"/>
  <c r="R30" i="5" s="1"/>
  <c r="G31" i="28" s="1"/>
  <c r="I31" i="28" s="1"/>
  <c r="O22" i="5"/>
  <c r="R22" i="5" s="1"/>
  <c r="O29" i="5"/>
  <c r="R29" i="5" s="1"/>
  <c r="G30" i="28" s="1"/>
  <c r="I30" i="28" s="1"/>
  <c r="O21" i="5"/>
  <c r="R21" i="5" s="1"/>
  <c r="G22" i="28" s="1"/>
  <c r="O28" i="5"/>
  <c r="R28" i="5" s="1"/>
  <c r="G29" i="28" s="1"/>
  <c r="O20" i="5"/>
  <c r="R20" i="5" s="1"/>
  <c r="G21" i="28" s="1"/>
  <c r="O26" i="5"/>
  <c r="R26" i="5" s="1"/>
  <c r="G27" i="28" s="1"/>
  <c r="O9" i="5"/>
  <c r="R9" i="5" s="1"/>
  <c r="G10" i="28" s="1"/>
  <c r="I10" i="28" s="1"/>
  <c r="O7" i="5"/>
  <c r="R7" i="5" s="1"/>
  <c r="G8" i="28" s="1"/>
  <c r="I8" i="28" s="1"/>
  <c r="O16" i="5"/>
  <c r="R16" i="5" s="1"/>
  <c r="G17" i="28" s="1"/>
  <c r="I17" i="28" s="1"/>
  <c r="O8" i="5"/>
  <c r="R8" i="5" s="1"/>
  <c r="G9" i="28" s="1"/>
  <c r="I9" i="28" s="1"/>
  <c r="O15" i="5"/>
  <c r="R15" i="5" s="1"/>
  <c r="G16" i="28" s="1"/>
  <c r="I16" i="28" s="1"/>
  <c r="O14" i="5"/>
  <c r="R14" i="5" s="1"/>
  <c r="G15" i="28" s="1"/>
  <c r="I15" i="28" s="1"/>
  <c r="O6" i="5"/>
  <c r="R6" i="5" s="1"/>
  <c r="G7" i="28" s="1"/>
  <c r="I7" i="28" s="1"/>
  <c r="O13" i="5"/>
  <c r="R13" i="5" s="1"/>
  <c r="G14" i="28" s="1"/>
  <c r="I14" i="28" s="1"/>
  <c r="O5" i="5"/>
  <c r="R5" i="5" s="1"/>
  <c r="O12" i="5"/>
  <c r="R12" i="5" s="1"/>
  <c r="G13" i="28" s="1"/>
  <c r="I13" i="28" s="1"/>
  <c r="O11" i="5"/>
  <c r="R11" i="5" s="1"/>
  <c r="G12" i="28" s="1"/>
  <c r="I12" i="28" s="1"/>
  <c r="O10" i="5"/>
  <c r="R10" i="5" s="1"/>
  <c r="E5" i="13" l="1"/>
  <c r="G11" i="28"/>
  <c r="I11" i="28" s="1"/>
  <c r="E8" i="13"/>
  <c r="G23" i="28"/>
  <c r="E9" i="13"/>
  <c r="G28" i="28"/>
  <c r="E4" i="13"/>
  <c r="G6" i="28"/>
  <c r="I6" i="28" s="1"/>
  <c r="E7" i="13"/>
  <c r="G18" i="28"/>
  <c r="U15" i="5"/>
  <c r="E6" i="13"/>
  <c r="E10" i="13"/>
  <c r="D29" i="17"/>
  <c r="E29" i="17"/>
  <c r="F8" i="17"/>
  <c r="F23" i="17" s="1"/>
  <c r="U10" i="5"/>
  <c r="U27" i="5"/>
  <c r="U21" i="5"/>
  <c r="U32" i="5"/>
  <c r="U30" i="5"/>
  <c r="U8" i="5"/>
  <c r="U16" i="5"/>
  <c r="U18" i="5"/>
  <c r="U22" i="5"/>
  <c r="U5" i="5"/>
  <c r="U34" i="5"/>
  <c r="U29" i="5"/>
  <c r="U7" i="5"/>
  <c r="U23" i="5"/>
  <c r="U6" i="5"/>
  <c r="U25" i="5"/>
  <c r="U24" i="5"/>
  <c r="U11" i="5"/>
  <c r="U12" i="5"/>
  <c r="U35" i="5"/>
  <c r="U9" i="5"/>
  <c r="U13" i="5"/>
  <c r="U26" i="5"/>
  <c r="U17" i="5"/>
  <c r="U20" i="5"/>
  <c r="U19" i="5"/>
  <c r="U14" i="5"/>
  <c r="U28" i="5"/>
  <c r="U31" i="5"/>
  <c r="U33" i="5"/>
  <c r="F7" i="17" l="1"/>
  <c r="F22" i="17" s="1"/>
  <c r="E28" i="17"/>
  <c r="E31" i="17" s="1"/>
  <c r="F14" i="17"/>
  <c r="F10" i="22" l="1"/>
  <c r="F11" i="22" s="1"/>
  <c r="F13" i="17"/>
  <c r="F16" i="17" s="1"/>
  <c r="D13" i="17"/>
  <c r="D16" i="17" s="1"/>
  <c r="F28" i="17" l="1"/>
  <c r="F29" i="17"/>
  <c r="F31" i="17" l="1"/>
  <c r="D28" i="17"/>
  <c r="D31" i="17" s="1"/>
</calcChain>
</file>

<file path=xl/sharedStrings.xml><?xml version="1.0" encoding="utf-8"?>
<sst xmlns="http://schemas.openxmlformats.org/spreadsheetml/2006/main" count="1111" uniqueCount="351">
  <si>
    <t>Entry</t>
  </si>
  <si>
    <t>VIP</t>
  </si>
  <si>
    <t>LNG terminal</t>
  </si>
  <si>
    <t>kWh/day</t>
  </si>
  <si>
    <t>Point</t>
  </si>
  <si>
    <t>Unit</t>
  </si>
  <si>
    <t>2019-2020</t>
  </si>
  <si>
    <t>2020-2021</t>
  </si>
  <si>
    <t>2021-2022</t>
  </si>
  <si>
    <t>Underground storage</t>
  </si>
  <si>
    <t>Product</t>
  </si>
  <si>
    <t>Annual</t>
  </si>
  <si>
    <t>Quarterly</t>
  </si>
  <si>
    <t>Monthly</t>
  </si>
  <si>
    <t>Daily</t>
  </si>
  <si>
    <t>Within-day</t>
  </si>
  <si>
    <t>Consumption - Flexible annual tariff</t>
  </si>
  <si>
    <t>Consumption - Base tariff</t>
  </si>
  <si>
    <t>Annual base capacity</t>
  </si>
  <si>
    <t>Monthly additional capacity (april to september)</t>
  </si>
  <si>
    <t>Consumption - Flexible monthly tariff</t>
  </si>
  <si>
    <t>Consumption - Flexible daily tariff</t>
  </si>
  <si>
    <t>Exit</t>
  </si>
  <si>
    <t>Monthly (april to september)</t>
  </si>
  <si>
    <t>Monthly (october to march)</t>
  </si>
  <si>
    <t>kWh/h</t>
  </si>
  <si>
    <t>Daily (april to september)</t>
  </si>
  <si>
    <t>Daily (october to march)</t>
  </si>
  <si>
    <t>%</t>
  </si>
  <si>
    <t>km</t>
  </si>
  <si>
    <t>A</t>
  </si>
  <si>
    <t>B</t>
  </si>
  <si>
    <t>C</t>
  </si>
  <si>
    <t>D</t>
  </si>
  <si>
    <t>E</t>
  </si>
  <si>
    <t>F</t>
  </si>
  <si>
    <t>G</t>
  </si>
  <si>
    <t>H</t>
  </si>
  <si>
    <t>I</t>
  </si>
  <si>
    <t>J</t>
  </si>
  <si>
    <t>K</t>
  </si>
  <si>
    <t>€</t>
  </si>
  <si>
    <t>Total</t>
  </si>
  <si>
    <t>€/(kWh/d)/year</t>
  </si>
  <si>
    <t>YoY %</t>
  </si>
  <si>
    <t>Multipliers</t>
  </si>
  <si>
    <t>Entry-exit split</t>
  </si>
  <si>
    <t>Article 9 discount</t>
  </si>
  <si>
    <t>Entry - Underground storage</t>
  </si>
  <si>
    <t>Exit - Underground storage</t>
  </si>
  <si>
    <t>Aa</t>
  </si>
  <si>
    <t>5+8</t>
  </si>
  <si>
    <t>aK</t>
  </si>
  <si>
    <t>ah</t>
  </si>
  <si>
    <t>hH</t>
  </si>
  <si>
    <t>hc</t>
  </si>
  <si>
    <t>Bi</t>
  </si>
  <si>
    <t>iI</t>
  </si>
  <si>
    <t>4+2</t>
  </si>
  <si>
    <t>if</t>
  </si>
  <si>
    <t>fF</t>
  </si>
  <si>
    <t>fb</t>
  </si>
  <si>
    <t>6+8</t>
  </si>
  <si>
    <t>bK</t>
  </si>
  <si>
    <t>bc</t>
  </si>
  <si>
    <t>DG</t>
  </si>
  <si>
    <t>Dc</t>
  </si>
  <si>
    <t>Cj</t>
  </si>
  <si>
    <t>jJ</t>
  </si>
  <si>
    <t>7+1</t>
  </si>
  <si>
    <t>je</t>
  </si>
  <si>
    <t>eE</t>
  </si>
  <si>
    <t>ec</t>
  </si>
  <si>
    <t>AA</t>
  </si>
  <si>
    <t>AB</t>
  </si>
  <si>
    <t>AC</t>
  </si>
  <si>
    <t>AD</t>
  </si>
  <si>
    <t>AE</t>
  </si>
  <si>
    <t>AF</t>
  </si>
  <si>
    <t>AG</t>
  </si>
  <si>
    <t>AH</t>
  </si>
  <si>
    <t>AI</t>
  </si>
  <si>
    <t>AJ</t>
  </si>
  <si>
    <t>AK</t>
  </si>
  <si>
    <t>BA</t>
  </si>
  <si>
    <t>BB</t>
  </si>
  <si>
    <t>BC</t>
  </si>
  <si>
    <t>BD</t>
  </si>
  <si>
    <t>BE</t>
  </si>
  <si>
    <t>BF</t>
  </si>
  <si>
    <t>BG</t>
  </si>
  <si>
    <t>BH</t>
  </si>
  <si>
    <t>BI</t>
  </si>
  <si>
    <t>BJ</t>
  </si>
  <si>
    <t>BK</t>
  </si>
  <si>
    <t>CA</t>
  </si>
  <si>
    <t>CB</t>
  </si>
  <si>
    <t>CC</t>
  </si>
  <si>
    <t>CD</t>
  </si>
  <si>
    <t>CE</t>
  </si>
  <si>
    <t>CF</t>
  </si>
  <si>
    <t>CG</t>
  </si>
  <si>
    <t>CH</t>
  </si>
  <si>
    <t>CI</t>
  </si>
  <si>
    <t>CJ</t>
  </si>
  <si>
    <t>CK</t>
  </si>
  <si>
    <t>DA</t>
  </si>
  <si>
    <t>DB</t>
  </si>
  <si>
    <t>DC</t>
  </si>
  <si>
    <t>DD</t>
  </si>
  <si>
    <t>DE</t>
  </si>
  <si>
    <t>DF</t>
  </si>
  <si>
    <t>DH</t>
  </si>
  <si>
    <t>DI</t>
  </si>
  <si>
    <t>DJ</t>
  </si>
  <si>
    <t>DK</t>
  </si>
  <si>
    <t>Campo Maior</t>
  </si>
  <si>
    <t>Valença do Minho</t>
  </si>
  <si>
    <t>Terminal de Sines</t>
  </si>
  <si>
    <t>Carriço</t>
  </si>
  <si>
    <t>Lisboagás, Setgás, Carregado, Ribatejo</t>
  </si>
  <si>
    <t>Portgás, Central Outeiro</t>
  </si>
  <si>
    <t>Lusitâniagás, Central Lares, Central Figueira da Foz</t>
  </si>
  <si>
    <t>Tagusgás, Central Pego</t>
  </si>
  <si>
    <t>Portucel</t>
  </si>
  <si>
    <t>Refinaria Sines, Portucel</t>
  </si>
  <si>
    <t>Beiragás</t>
  </si>
  <si>
    <t>Customers in HP</t>
  </si>
  <si>
    <t>Campo Maior (IP)</t>
  </si>
  <si>
    <t>Valença do Minho (IP)</t>
  </si>
  <si>
    <t>2018-2019</t>
  </si>
  <si>
    <t>2016-2019</t>
  </si>
  <si>
    <t>Entradas em exploração na rede de transporte, a preços correntes (2009 - 2017) + Norma 11 (2018 - 2022)</t>
  </si>
  <si>
    <t>Milhares €</t>
  </si>
  <si>
    <t>Ano</t>
  </si>
  <si>
    <t>Ramais</t>
  </si>
  <si>
    <t>GRMS</t>
  </si>
  <si>
    <t>Structure of transmission assets</t>
  </si>
  <si>
    <t>Main pipelines</t>
  </si>
  <si>
    <t>Secondary pipelines</t>
  </si>
  <si>
    <t>Other entry/exit points</t>
  </si>
  <si>
    <t>Gasodutos</t>
  </si>
  <si>
    <t>Investimentos na RNT, a preços constantes de 2019 (anos 2010 - 2022)</t>
  </si>
  <si>
    <t>Duration in months of tariff options</t>
  </si>
  <si>
    <t>October - March</t>
  </si>
  <si>
    <t>April - September</t>
  </si>
  <si>
    <t>January - December</t>
  </si>
  <si>
    <t>Capacity Cost Allocation Assessment (Capacity CAA)</t>
  </si>
  <si>
    <t>Assumes flows LNG-&gt;VIP. A positive result (+) implies that cross-system users are being subsidized.</t>
  </si>
  <si>
    <t>Artigo do código de rede</t>
  </si>
  <si>
    <t>Descrição</t>
  </si>
  <si>
    <t>Informação</t>
  </si>
  <si>
    <t>Art. 30 (1)(b)(i)</t>
  </si>
  <si>
    <t>Art. 30 (1)(b)(iv)</t>
  </si>
  <si>
    <t>Art. 30 (1)(b)(v)(1)</t>
  </si>
  <si>
    <t>Divisão capacidade-energia</t>
  </si>
  <si>
    <t>Capacidade</t>
  </si>
  <si>
    <t>Energia</t>
  </si>
  <si>
    <t>Art. 30 (1)(b)(v)(2)</t>
  </si>
  <si>
    <t>Divisão entrada-saída (nas tarifas de transporte baseadas na capacidade)</t>
  </si>
  <si>
    <t>Entrada</t>
  </si>
  <si>
    <t>Saída</t>
  </si>
  <si>
    <t>Art. 30 (1)(b)(v)(3)</t>
  </si>
  <si>
    <t>Divisão transfronteiriço-nacional (calculada nos termos do artigo 5.º)</t>
  </si>
  <si>
    <t>Utilização intersistema</t>
  </si>
  <si>
    <t>Utilização intrasistema</t>
  </si>
  <si>
    <t>Proveitos permitidos/previstos, em milhares de euros</t>
  </si>
  <si>
    <t>Receitas dos serviços de transporte, em milhares de euros</t>
  </si>
  <si>
    <t>Armazenamento</t>
  </si>
  <si>
    <t>Consumo</t>
  </si>
  <si>
    <r>
      <t xml:space="preserve">Preços de referência indicativos
</t>
    </r>
    <r>
      <rPr>
        <i/>
        <sz val="11"/>
        <color theme="1"/>
        <rFont val="Calibri"/>
        <family val="2"/>
      </rPr>
      <t>(variação anual)</t>
    </r>
  </si>
  <si>
    <r>
      <t xml:space="preserve">Preços de referência indicativos
</t>
    </r>
    <r>
      <rPr>
        <i/>
        <sz val="11"/>
        <color theme="1"/>
        <rFont val="Calibri"/>
        <family val="2"/>
      </rPr>
      <t>(preços unitários)</t>
    </r>
  </si>
  <si>
    <t>Investimentos na rede de transporte, a preços constantes de 2019</t>
  </si>
  <si>
    <t>1 / Deflator (Preços 2019)</t>
  </si>
  <si>
    <t>Deflator (Preços 2019)</t>
  </si>
  <si>
    <t>Variação preços</t>
  </si>
  <si>
    <t>Receitas</t>
  </si>
  <si>
    <t>Intersistema</t>
  </si>
  <si>
    <t>Intrasistema</t>
  </si>
  <si>
    <t>Índice de comparação da imputação de custos de capacidade</t>
  </si>
  <si>
    <t>milhões €</t>
  </si>
  <si>
    <t>GWh/dia</t>
  </si>
  <si>
    <t>Descrição do ponto</t>
  </si>
  <si>
    <t>Tipo de ponto</t>
  </si>
  <si>
    <t>A - Campo Maior</t>
  </si>
  <si>
    <t>IP</t>
  </si>
  <si>
    <t>B - Valença do Minho</t>
  </si>
  <si>
    <t>C - Terminal de Sines</t>
  </si>
  <si>
    <t>D - Carriço</t>
  </si>
  <si>
    <t>E - Lisboagás, Setgás, Carregado, Ribatejo</t>
  </si>
  <si>
    <t>F - Portgás, Central Outeiro</t>
  </si>
  <si>
    <t>G - Lusitâniagás, Central Lares, Central Figueira da Foz</t>
  </si>
  <si>
    <t>H - Tagusgás, Central Pego</t>
  </si>
  <si>
    <t>I - Portucel</t>
  </si>
  <si>
    <t>J - Refinaria Sines, Portucel</t>
  </si>
  <si>
    <t>K - Beiragás</t>
  </si>
  <si>
    <t>Matriz de distâncias</t>
  </si>
  <si>
    <t>Matriz de valor económico</t>
  </si>
  <si>
    <t>Matriz de distâncias efetivas</t>
  </si>
  <si>
    <t>Fator de valor económico</t>
  </si>
  <si>
    <t>-</t>
  </si>
  <si>
    <t>Capacidade efetiva</t>
  </si>
  <si>
    <t>Capacidade prevista</t>
  </si>
  <si>
    <t>Terminal GNL</t>
  </si>
  <si>
    <t>Capacidades previstas</t>
  </si>
  <si>
    <t>Ponto</t>
  </si>
  <si>
    <t>Produto</t>
  </si>
  <si>
    <t>Unidade</t>
  </si>
  <si>
    <t>kWh/dia</t>
  </si>
  <si>
    <t>Anual</t>
  </si>
  <si>
    <t>Trimestral</t>
  </si>
  <si>
    <t>Mensal</t>
  </si>
  <si>
    <t>Diário</t>
  </si>
  <si>
    <t>Armazenamento subterrâneo</t>
  </si>
  <si>
    <t>Intradiário</t>
  </si>
  <si>
    <t>Longas utilizações</t>
  </si>
  <si>
    <t>Redes de distribuição e Clientes em AP</t>
  </si>
  <si>
    <t>Clientes em AP</t>
  </si>
  <si>
    <t>Tarifa flexível anual - capacidade base anual</t>
  </si>
  <si>
    <t>Tarifa flexível anual - capacidade mensal adicional (abril a setembro)</t>
  </si>
  <si>
    <t>Tarifa flexível mensal - capacidade mensal (outubro a março)</t>
  </si>
  <si>
    <t>Tarifa flexível mensal - capacidade mensal (abril a setembro)</t>
  </si>
  <si>
    <t>Tarifa flexível diária - capacidade diária (outubro a março)</t>
  </si>
  <si>
    <t>Tarifa flexível diária - capacidade diária (abril a setembro)</t>
  </si>
  <si>
    <t>Proveitos permitidos</t>
  </si>
  <si>
    <t>Fluxos físicos</t>
  </si>
  <si>
    <t>Capacidade técnica</t>
  </si>
  <si>
    <t>Parâmetros para os proveitos</t>
  </si>
  <si>
    <t>Proveitos permitidos (€ por período tarifário)</t>
  </si>
  <si>
    <t>Proveitos a recuperar nos pontos de entrada</t>
  </si>
  <si>
    <t>Combinações entrada-saída com GRMS</t>
  </si>
  <si>
    <t>Combinações entrada-saída sem GRMS</t>
  </si>
  <si>
    <t>Preços pré-equalização por ponto de saída</t>
  </si>
  <si>
    <t>Preços pré-equalização por ponto de entrada</t>
  </si>
  <si>
    <t>Siglas</t>
  </si>
  <si>
    <r>
      <t>K</t>
    </r>
    <r>
      <rPr>
        <b/>
        <vertAlign val="subscript"/>
        <sz val="11"/>
        <color theme="1"/>
        <rFont val="Calibri"/>
        <family val="2"/>
      </rPr>
      <t>i</t>
    </r>
  </si>
  <si>
    <r>
      <t>f</t>
    </r>
    <r>
      <rPr>
        <b/>
        <vertAlign val="subscript"/>
        <sz val="11"/>
        <color theme="1"/>
        <rFont val="Calibri"/>
        <family val="2"/>
      </rPr>
      <t>i</t>
    </r>
  </si>
  <si>
    <r>
      <t>K</t>
    </r>
    <r>
      <rPr>
        <b/>
        <vertAlign val="subscript"/>
        <sz val="11"/>
        <color theme="1"/>
        <rFont val="Calibri"/>
        <family val="2"/>
      </rPr>
      <t>i</t>
    </r>
    <r>
      <rPr>
        <b/>
        <vertAlign val="superscript"/>
        <sz val="11"/>
        <color theme="1"/>
        <rFont val="Calibri"/>
        <family val="2"/>
      </rPr>
      <t>e</t>
    </r>
  </si>
  <si>
    <r>
      <t>AD</t>
    </r>
    <r>
      <rPr>
        <b/>
        <vertAlign val="subscript"/>
        <sz val="11"/>
        <color theme="1"/>
        <rFont val="Calibri"/>
        <family val="2"/>
      </rPr>
      <t>i</t>
    </r>
  </si>
  <si>
    <r>
      <t>W</t>
    </r>
    <r>
      <rPr>
        <b/>
        <vertAlign val="subscript"/>
        <sz val="11"/>
        <color theme="1"/>
        <rFont val="Calibri"/>
        <family val="2"/>
      </rPr>
      <t>c,i</t>
    </r>
  </si>
  <si>
    <r>
      <t>T</t>
    </r>
    <r>
      <rPr>
        <b/>
        <vertAlign val="subscript"/>
        <sz val="11"/>
        <color theme="1"/>
        <rFont val="Calibri"/>
        <family val="2"/>
      </rPr>
      <t>i</t>
    </r>
  </si>
  <si>
    <r>
      <t>K</t>
    </r>
    <r>
      <rPr>
        <b/>
        <vertAlign val="subscript"/>
        <sz val="11"/>
        <color theme="1"/>
        <rFont val="Calibri"/>
        <family val="2"/>
      </rPr>
      <t>j</t>
    </r>
  </si>
  <si>
    <r>
      <t>f</t>
    </r>
    <r>
      <rPr>
        <b/>
        <vertAlign val="subscript"/>
        <sz val="11"/>
        <color theme="1"/>
        <rFont val="Calibri"/>
        <family val="2"/>
      </rPr>
      <t>j</t>
    </r>
  </si>
  <si>
    <r>
      <t>K</t>
    </r>
    <r>
      <rPr>
        <b/>
        <vertAlign val="subscript"/>
        <sz val="11"/>
        <color theme="1"/>
        <rFont val="Calibri"/>
        <family val="2"/>
      </rPr>
      <t>j</t>
    </r>
    <r>
      <rPr>
        <b/>
        <vertAlign val="superscript"/>
        <sz val="11"/>
        <color theme="1"/>
        <rFont val="Calibri"/>
        <family val="2"/>
      </rPr>
      <t>e</t>
    </r>
  </si>
  <si>
    <r>
      <t>AD</t>
    </r>
    <r>
      <rPr>
        <b/>
        <vertAlign val="subscript"/>
        <sz val="11"/>
        <color theme="1"/>
        <rFont val="Calibri"/>
        <family val="2"/>
      </rPr>
      <t>j</t>
    </r>
  </si>
  <si>
    <r>
      <t>W</t>
    </r>
    <r>
      <rPr>
        <b/>
        <vertAlign val="subscript"/>
        <sz val="11"/>
        <color theme="1"/>
        <rFont val="Calibri"/>
        <family val="2"/>
      </rPr>
      <t>c,j</t>
    </r>
  </si>
  <si>
    <r>
      <t>T</t>
    </r>
    <r>
      <rPr>
        <b/>
        <vertAlign val="subscript"/>
        <sz val="11"/>
        <color theme="1"/>
        <rFont val="Calibri"/>
        <family val="2"/>
      </rPr>
      <t>j</t>
    </r>
  </si>
  <si>
    <r>
      <t>K</t>
    </r>
    <r>
      <rPr>
        <vertAlign val="subscript"/>
        <sz val="11"/>
        <color theme="1"/>
        <rFont val="Calibri"/>
        <family val="2"/>
      </rPr>
      <t>i</t>
    </r>
  </si>
  <si>
    <r>
      <t>f</t>
    </r>
    <r>
      <rPr>
        <vertAlign val="subscript"/>
        <sz val="11"/>
        <color theme="1"/>
        <rFont val="Calibri"/>
        <family val="2"/>
      </rPr>
      <t>i</t>
    </r>
  </si>
  <si>
    <r>
      <t>K</t>
    </r>
    <r>
      <rPr>
        <vertAlign val="subscript"/>
        <sz val="11"/>
        <color theme="1"/>
        <rFont val="Calibri"/>
        <family val="2"/>
      </rPr>
      <t>i</t>
    </r>
    <r>
      <rPr>
        <vertAlign val="superscript"/>
        <sz val="11"/>
        <color theme="1"/>
        <rFont val="Calibri"/>
        <family val="2"/>
      </rPr>
      <t>e</t>
    </r>
  </si>
  <si>
    <r>
      <t>AD</t>
    </r>
    <r>
      <rPr>
        <vertAlign val="subscript"/>
        <sz val="11"/>
        <color theme="1"/>
        <rFont val="Calibri"/>
        <family val="2"/>
      </rPr>
      <t>i</t>
    </r>
  </si>
  <si>
    <r>
      <t>W</t>
    </r>
    <r>
      <rPr>
        <vertAlign val="subscript"/>
        <sz val="11"/>
        <color theme="1"/>
        <rFont val="Calibri"/>
        <family val="2"/>
      </rPr>
      <t>c,i</t>
    </r>
  </si>
  <si>
    <r>
      <t>T</t>
    </r>
    <r>
      <rPr>
        <vertAlign val="subscript"/>
        <sz val="11"/>
        <color theme="1"/>
        <rFont val="Calibri"/>
        <family val="2"/>
      </rPr>
      <t>i</t>
    </r>
  </si>
  <si>
    <t>capacidade prevista, medida em kWh/dia, no ponto de entrada i</t>
  </si>
  <si>
    <t>fator de fluxo físico no ponto de entrada i</t>
  </si>
  <si>
    <t>capacidade efetiva, medida em kWh/dia, no ponto de entrada i</t>
  </si>
  <si>
    <t>distância média ponderada, medida em km, no ponto de entrada i</t>
  </si>
  <si>
    <t>ponderação do custo para o ponto de entrada i</t>
  </si>
  <si>
    <t>preço pré-equalização decorrente da metodologia de preço de referência para o ponto de entrada i</t>
  </si>
  <si>
    <r>
      <t>K</t>
    </r>
    <r>
      <rPr>
        <vertAlign val="subscript"/>
        <sz val="11"/>
        <color theme="1"/>
        <rFont val="Calibri"/>
        <family val="2"/>
      </rPr>
      <t>j</t>
    </r>
  </si>
  <si>
    <r>
      <t>f</t>
    </r>
    <r>
      <rPr>
        <vertAlign val="subscript"/>
        <sz val="11"/>
        <color theme="1"/>
        <rFont val="Calibri"/>
        <family val="2"/>
      </rPr>
      <t>j</t>
    </r>
  </si>
  <si>
    <r>
      <t>K</t>
    </r>
    <r>
      <rPr>
        <vertAlign val="subscript"/>
        <sz val="11"/>
        <color theme="1"/>
        <rFont val="Calibri"/>
        <family val="2"/>
      </rPr>
      <t>j</t>
    </r>
    <r>
      <rPr>
        <vertAlign val="superscript"/>
        <sz val="11"/>
        <color theme="1"/>
        <rFont val="Calibri"/>
        <family val="2"/>
      </rPr>
      <t>e</t>
    </r>
  </si>
  <si>
    <r>
      <t>AD</t>
    </r>
    <r>
      <rPr>
        <vertAlign val="subscript"/>
        <sz val="11"/>
        <color theme="1"/>
        <rFont val="Calibri"/>
        <family val="2"/>
      </rPr>
      <t>j</t>
    </r>
  </si>
  <si>
    <r>
      <t>W</t>
    </r>
    <r>
      <rPr>
        <vertAlign val="subscript"/>
        <sz val="11"/>
        <color theme="1"/>
        <rFont val="Calibri"/>
        <family val="2"/>
      </rPr>
      <t>c,j</t>
    </r>
  </si>
  <si>
    <r>
      <t>T</t>
    </r>
    <r>
      <rPr>
        <vertAlign val="subscript"/>
        <sz val="11"/>
        <color theme="1"/>
        <rFont val="Calibri"/>
        <family val="2"/>
      </rPr>
      <t>j</t>
    </r>
  </si>
  <si>
    <t>capacidade prevista, medida em kWh/dia, no ponto de saída j</t>
  </si>
  <si>
    <t>fator de fluxo físico no ponto de saída j</t>
  </si>
  <si>
    <t>capacidade efetiva, medida em kWh/dia, no ponto de saída j</t>
  </si>
  <si>
    <t>distância média ponderada, medida em km, no ponto de saída j</t>
  </si>
  <si>
    <t>ponderação do custo para o ponto de saída j</t>
  </si>
  <si>
    <t>preço pré-equalização decorrente da metodologia de preço de referência para o ponto de saída j</t>
  </si>
  <si>
    <t>Preços pós-equalização</t>
  </si>
  <si>
    <t>Multiplicador</t>
  </si>
  <si>
    <t>Desconto</t>
  </si>
  <si>
    <t>Preços pré-escalamento</t>
  </si>
  <si>
    <t>€/(kWh/dia)/ano</t>
  </si>
  <si>
    <t>€/(kWh/h)/ano</t>
  </si>
  <si>
    <t># meses</t>
  </si>
  <si>
    <t>Fatores de escalamento</t>
  </si>
  <si>
    <t>Multiplicativo</t>
  </si>
  <si>
    <t>Divisão de entrada-saída, pré-escalamento</t>
  </si>
  <si>
    <t>Divisão de entrada-saída, pós-escalamento</t>
  </si>
  <si>
    <t>Preços de referência</t>
  </si>
  <si>
    <t>Receitas, pré-escalamento</t>
  </si>
  <si>
    <t>Receitas, pós-escalamento</t>
  </si>
  <si>
    <t>CWD</t>
  </si>
  <si>
    <t>CWD modificada</t>
  </si>
  <si>
    <t>cost driver: capacidade prevista</t>
  </si>
  <si>
    <t>cost driver: capacidade efetiva</t>
  </si>
  <si>
    <t>Preços pré-equalização</t>
  </si>
  <si>
    <t>Distâncias</t>
  </si>
  <si>
    <t>Lote</t>
  </si>
  <si>
    <t>Segmento</t>
  </si>
  <si>
    <t>Distância (km)</t>
  </si>
  <si>
    <t>Distância total</t>
  </si>
  <si>
    <t>Combinação entrada-saída</t>
  </si>
  <si>
    <t>Distâncias para combinações entrada-saída</t>
  </si>
  <si>
    <t>Segmentos</t>
  </si>
  <si>
    <t>milhões € ÷ (GWh/dia)</t>
  </si>
  <si>
    <t>Fator de custo: capacidade contratada prevista</t>
  </si>
  <si>
    <t>Rácio = Receitas ÷ Fator de custo</t>
  </si>
  <si>
    <t>Fator de custo: capacidade efetiva</t>
  </si>
  <si>
    <t>Fator de utilização física</t>
  </si>
  <si>
    <t>Estrutura de consumo por ponto de saída para consumo</t>
  </si>
  <si>
    <t>Dados: TP platform (net allocation, average of top 10%), Março-2016 até Fevereiro-2019.</t>
  </si>
  <si>
    <t>Variação percentual</t>
  </si>
  <si>
    <r>
      <t xml:space="preserve">Preços aprovados antes da implementação da metodologia de preço de referência
</t>
    </r>
    <r>
      <rPr>
        <i/>
        <sz val="11"/>
        <color theme="1"/>
        <rFont val="Calibri"/>
        <family val="2"/>
      </rPr>
      <t>(preços unitários)</t>
    </r>
  </si>
  <si>
    <t>Período tarifário</t>
  </si>
  <si>
    <t>Escolher →</t>
  </si>
  <si>
    <t>Capacidades previstas 2019/2020</t>
  </si>
  <si>
    <t>Proveitos permitidos do operador da rede de transporte, por período tarifário</t>
  </si>
  <si>
    <t>Nota: saídas para VIP e terminal nos períodos tarifários 2018-2019 baseados em dados reais do ano-gás 2017-18.</t>
  </si>
  <si>
    <t>Rede de Transporte</t>
  </si>
  <si>
    <t>Apenas gasodutos (troços comuns)</t>
  </si>
  <si>
    <t>Preços de referência indicativos para os períodos tarifários até ao final do período de regulação 2019-2022 e comparação com os preços do período tarifário 2018-2019</t>
  </si>
  <si>
    <t>RPM</t>
  </si>
  <si>
    <t>Data_a</t>
  </si>
  <si>
    <t>Data_b</t>
  </si>
  <si>
    <t>Data_c</t>
  </si>
  <si>
    <t>Data_d</t>
  </si>
  <si>
    <t>Atualizado em 18 de março de 2019</t>
  </si>
  <si>
    <t>Estrutura do ficheiro Excel (consulte a decisão fundamentada e o documento justificativo para mais detalhes):</t>
  </si>
  <si>
    <t>Folha</t>
  </si>
  <si>
    <t>Objetivo</t>
  </si>
  <si>
    <t>Modelo tarifário simplificado para as tarifas de transporte do gás natural</t>
  </si>
  <si>
    <t>Input</t>
  </si>
  <si>
    <t>Output</t>
  </si>
  <si>
    <t>RPM inputs</t>
  </si>
  <si>
    <t>Pre-scaling RPM</t>
  </si>
  <si>
    <t>Reference prices RPM</t>
  </si>
  <si>
    <t>CWDvsRPM</t>
  </si>
  <si>
    <t>Tariff Evolution</t>
  </si>
  <si>
    <t>CAA</t>
  </si>
  <si>
    <t>CWD
Pre-scaling CWD
References prices CWD</t>
  </si>
  <si>
    <t>CWD 28-72
Pre-scaling CWD 28-72
References prices CWD 28-72</t>
  </si>
  <si>
    <t>Contém os valores de capacidade prevista para os vários termos da tarifa de uso da rede de transporte e os valores dos proveitos permitidos. O utilizador pode alterar os campos amarelos para editar o crescimento das capacidades previstas e os valores dos proveitos permitidos para os vários períodos tarifários até ao ano 2021-2022.</t>
  </si>
  <si>
    <t>Apresenta os preços de referência indicativos para diferentes períodos tarifários, por alteração do campo amarelo.</t>
  </si>
  <si>
    <t>Dados de entrada para a aplicação da metodologia CWD modificada (metodologia de preço de referência adotada pela ERSE).</t>
  </si>
  <si>
    <t>Aplicação da metodologia CWD modificada (metodologia de preço de referência adotada pela ERSE).</t>
  </si>
  <si>
    <t>Determinação dos preços de referência. Estes preços resultam da aplicação dos ajustes previstos no artigo 6(4) do código de rede de tarifas, com exeção do ajuste por escalamento, aos preços obtidos com a metodologia CWD modificada (folha "RPM"). Os ajustes incluem a equalização, a aplicação de descontos a pontos de interface com o armazenamento subterrâneo e a aplicação de multiplicadores.</t>
  </si>
  <si>
    <t>Preços de referência indicativos para os períodos tarifários até ao final do período de regulação 2019-2022 e comparação com os preços do período tarifário 2018-2019.</t>
  </si>
  <si>
    <t>Dados de entrada relativos às variáveis de capacidade, medidas em kWh/dia.</t>
  </si>
  <si>
    <t>Parâmetros da estrutura tarifária, designadamente a divisão de entrada-saída, os multplicadores e descontos a aplicar.</t>
  </si>
  <si>
    <t>Tarifas de uso da rede de transporte a vigorar no período tarifário 2018-2019.</t>
  </si>
  <si>
    <t>Dados de entrada relativos à rede nacional de transporte, referentes ao cálculo das distâncias entre pontos e à estrutura dos investimentos.</t>
  </si>
  <si>
    <r>
      <t xml:space="preserve">O </t>
    </r>
    <r>
      <rPr>
        <b/>
        <sz val="11"/>
        <color theme="1"/>
        <rFont val="Calibri"/>
        <family val="2"/>
      </rPr>
      <t>código de rede relativo a estruturas tarifárias harmonizadas para o transporte de gás</t>
    </r>
    <r>
      <rPr>
        <sz val="11"/>
        <color theme="1"/>
        <rFont val="Calibri"/>
        <family val="2"/>
        <scheme val="minor"/>
      </rPr>
      <t xml:space="preserve">, Regulamento n.º 460/2017 da Comissão Europeia, estabelece no artigo 30.º, n.º 2, alínea b), a necessidade de um </t>
    </r>
    <r>
      <rPr>
        <b/>
        <sz val="11"/>
        <color theme="1"/>
        <rFont val="Calibri"/>
        <family val="2"/>
        <scheme val="minor"/>
      </rPr>
      <t>modelo tarifário simplificado</t>
    </r>
    <r>
      <rPr>
        <sz val="11"/>
        <color theme="1"/>
        <rFont val="Calibri"/>
        <family val="2"/>
        <scheme val="minor"/>
      </rPr>
      <t xml:space="preserve">.
Nos termos do artigo 26.º, a entidade reguladora nacional ou o(s) operador(es) da rede de transporte, conforme decidido pela entidade reguladora nacional, devem realizar uma consulta pública sobre a metodologia de preço de referência. A metodologia do preço de referência é definida como a metodologia aplicada à parte das receitas provenientes dos serviços de transporte a recuperar por meio de tarifas de transporte baseadas na capacidade, com o objetivo de obter preços de referência.
Tendo em conta os comentários recebidos à consulta pública, que decorreu entre os dias 17 de agosto de 2018 e 17 de outubro de 2018, a ERSE publicou a 18 de março de 2019 a sua decisão fundamentada com vista ao cumprimento do artigo 27(4) do referido Regulamento. A metodologia de preço de referência adotada pela ERSE designa-se por </t>
    </r>
    <r>
      <rPr>
        <b/>
        <sz val="11"/>
        <color theme="1"/>
        <rFont val="Calibri"/>
        <family val="2"/>
        <scheme val="minor"/>
      </rPr>
      <t>metodologia modificada da distância ponderada pela capacidade</t>
    </r>
    <r>
      <rPr>
        <sz val="11"/>
        <color theme="1"/>
        <rFont val="Calibri"/>
        <family val="2"/>
        <scheme val="minor"/>
      </rPr>
      <t xml:space="preserve"> (metodologia CWD modificada)</t>
    </r>
    <r>
      <rPr>
        <sz val="11"/>
        <color theme="1"/>
        <rFont val="Calibri"/>
        <family val="2"/>
        <scheme val="minor"/>
      </rPr>
      <t xml:space="preserve">. Consulte a decisão fundamentada da ERSE para mais informações (disponível na página da ERSE: www.erse.pt).
Este </t>
    </r>
    <r>
      <rPr>
        <b/>
        <sz val="11"/>
        <color theme="1"/>
        <rFont val="Calibri"/>
        <family val="2"/>
        <scheme val="minor"/>
      </rPr>
      <t>modelo tarifário simplificado</t>
    </r>
    <r>
      <rPr>
        <sz val="11"/>
        <color theme="1"/>
        <rFont val="Calibri"/>
        <family val="2"/>
        <scheme val="minor"/>
      </rPr>
      <t xml:space="preserve"> calcula as tarifas de transporte de acordo com a </t>
    </r>
    <r>
      <rPr>
        <sz val="11"/>
        <color theme="1"/>
        <rFont val="Calibri"/>
        <family val="2"/>
        <scheme val="minor"/>
      </rPr>
      <t>metodologia CWD modificada</t>
    </r>
    <r>
      <rPr>
        <sz val="11"/>
        <color theme="1"/>
        <rFont val="Calibri"/>
        <family val="2"/>
        <scheme val="minor"/>
      </rPr>
      <t>. O utilizador pode avaliar as mudanças nas tarifas de transporte em resultado de alterações nas quantidades de gás previstas e dos proveitos permitidos do operador da rede de transporte. Assim, este modelo está em conformidade com o requisito do artigo 30(2)(b), ou seja, a publicação de "um modelo tarifário simplificado, atualizado periodicamente, acompanhado da explicação de como o utilizar, para permitir aos utilizadores da rede o cálculo das tarifas de transporte aplicáveis ao período tarifário em vigor e uma estimativa da sua possível evolução para além desse período tarifário".</t>
    </r>
  </si>
  <si>
    <t>Folhas de cálculo relativas à determinação dos preços de referência, segundo a metodologia CWD, assumindo uma divisão de entrada-saída de 28/72.</t>
  </si>
  <si>
    <t>Determinação dos preços pré-escalamento. Estes preços resultam da aplicação dos ajustes previstos no artigo 6(4) do Código de Rede de Tarifas aos preços obtidos com a metodologia CWD modificada (folha "RPM"). Os ajustes incluem a equalização, a aplicação de descontos a pontos de interface com o armazenamento subterrâneo e a aplicação de multiplicadores.</t>
  </si>
  <si>
    <t>Comparação da metodologia CWD modificada com a metodologia da distância ponderada pela capacidade (metodologia CWD). Consulte a decisão fundamentada da ERSE para mais informações.</t>
  </si>
  <si>
    <t>Cálculo da avaliação de imputação de custo (CAA - 'cost allocation assessment'), prevista no artigo 5.º do Código de Rede de Tarifas.</t>
  </si>
  <si>
    <t>Folhas de cálculo relativas à determinação dos preços de referência segundo a metodologia CWD, definida no artigo 8.º do Código de Rede de Tarifas.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</si>
</sst>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0.0000"/>
    <numFmt numFmtId="167" formatCode="#,##0.0000"/>
    <numFmt numFmtId="168" formatCode="0.000"/>
    <numFmt numFmtId="169" formatCode="\(\+\)\ 0.0%;\(\-\)\ 0.0%"/>
    <numFmt numFmtId="170" formatCode="#,##0.0"/>
  </numFmts>
  <fonts count="18"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1"/>
      <name val="Calibri"/>
      <family val="2"/>
      <scheme val="minor"/>
    </font>
    <font>
      <b/>
      <i/>
      <sz val="11"/>
      <color theme="1"/>
      <name val="Calibri"/>
      <family val="2"/>
      <scheme val="minor"/>
    </font>
    <font>
      <b/>
      <sz val="11"/>
      <color rgb="FFFF0000"/>
      <name val="Calibri"/>
      <family val="2"/>
      <scheme val="minor"/>
    </font>
    <font>
      <sz val="11"/>
      <color rgb="FFFF0000"/>
      <name val="Calibri"/>
      <family val="2"/>
      <scheme val="minor"/>
    </font>
    <font>
      <i/>
      <sz val="11"/>
      <color rgb="FFFF0000"/>
      <name val="Calibri"/>
      <family val="2"/>
      <scheme val="minor"/>
    </font>
    <font>
      <i/>
      <sz val="11"/>
      <color theme="1"/>
      <name val="Calibri"/>
      <family val="2"/>
    </font>
    <font>
      <i/>
      <u/>
      <sz val="11"/>
      <color theme="1"/>
      <name val="Calibri"/>
      <family val="2"/>
      <scheme val="minor"/>
    </font>
    <font>
      <b/>
      <vertAlign val="subscript"/>
      <sz val="11"/>
      <color theme="1"/>
      <name val="Calibri"/>
      <family val="2"/>
    </font>
    <font>
      <b/>
      <vertAlign val="superscript"/>
      <sz val="11"/>
      <color theme="1"/>
      <name val="Calibri"/>
      <family val="2"/>
    </font>
    <font>
      <vertAlign val="subscript"/>
      <sz val="11"/>
      <color theme="1"/>
      <name val="Calibri"/>
      <family val="2"/>
    </font>
    <font>
      <vertAlign val="superscript"/>
      <sz val="11"/>
      <color theme="1"/>
      <name val="Calibri"/>
      <family val="2"/>
    </font>
    <font>
      <i/>
      <sz val="11"/>
      <color rgb="FF00B050"/>
      <name val="Calibri"/>
      <family val="2"/>
      <scheme val="minor"/>
    </font>
    <font>
      <b/>
      <sz val="11"/>
      <color theme="1"/>
      <name val="Calibri"/>
      <family val="2"/>
    </font>
    <font>
      <u/>
      <sz val="11"/>
      <color theme="10"/>
      <name val="Calibri"/>
      <family val="2"/>
      <scheme val="minor"/>
    </font>
  </fonts>
  <fills count="13">
    <fill>
      <patternFill patternType="none"/>
    </fill>
    <fill>
      <patternFill patternType="gray125"/>
    </fill>
    <fill>
      <patternFill patternType="solid">
        <fgColor theme="5"/>
        <bgColor indexed="64"/>
      </patternFill>
    </fill>
    <fill>
      <patternFill patternType="solid">
        <fgColor theme="6"/>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bgColor indexed="64"/>
      </patternFill>
    </fill>
  </fills>
  <borders count="6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460">
    <xf numFmtId="0" fontId="0" fillId="0" borderId="0" xfId="0"/>
    <xf numFmtId="0" fontId="1" fillId="0" borderId="0" xfId="0" applyFont="1"/>
    <xf numFmtId="0" fontId="1" fillId="2" borderId="1" xfId="0" applyFont="1" applyFill="1" applyBorder="1"/>
    <xf numFmtId="0" fontId="0" fillId="3" borderId="6" xfId="0" applyFill="1" applyBorder="1"/>
    <xf numFmtId="0" fontId="0" fillId="3" borderId="7" xfId="0" applyFill="1" applyBorder="1"/>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2" fillId="3" borderId="5" xfId="0" applyFont="1" applyFill="1" applyBorder="1"/>
    <xf numFmtId="0" fontId="0" fillId="3" borderId="4" xfId="0" applyFill="1" applyBorder="1"/>
    <xf numFmtId="0" fontId="0" fillId="3" borderId="9" xfId="0" applyFill="1" applyBorder="1"/>
    <xf numFmtId="0" fontId="0" fillId="3" borderId="8" xfId="0" applyFill="1" applyBorder="1"/>
    <xf numFmtId="0" fontId="0" fillId="0" borderId="3" xfId="0" applyBorder="1"/>
    <xf numFmtId="0" fontId="0" fillId="0" borderId="10" xfId="0" applyBorder="1"/>
    <xf numFmtId="0" fontId="0" fillId="0" borderId="11" xfId="0" applyBorder="1"/>
    <xf numFmtId="0" fontId="0" fillId="0" borderId="11" xfId="0" applyBorder="1" applyAlignment="1">
      <alignment horizontal="left"/>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1" xfId="0" applyBorder="1"/>
    <xf numFmtId="0" fontId="0" fillId="0" borderId="22" xfId="0" applyBorder="1"/>
    <xf numFmtId="0" fontId="0" fillId="0" borderId="23" xfId="0" applyBorder="1"/>
    <xf numFmtId="0" fontId="1" fillId="2" borderId="2" xfId="0" applyFont="1" applyFill="1" applyBorder="1" applyAlignment="1">
      <alignment horizontal="center"/>
    </xf>
    <xf numFmtId="0" fontId="2" fillId="3" borderId="2" xfId="0" applyFont="1" applyFill="1" applyBorder="1" applyAlignment="1">
      <alignment horizontal="center"/>
    </xf>
    <xf numFmtId="0" fontId="1" fillId="2" borderId="2" xfId="0" applyFont="1" applyFill="1" applyBorder="1"/>
    <xf numFmtId="0" fontId="1" fillId="4" borderId="3" xfId="0" applyFont="1" applyFill="1" applyBorder="1" applyAlignment="1">
      <alignment horizontal="center"/>
    </xf>
    <xf numFmtId="0" fontId="0" fillId="0" borderId="0" xfId="0" applyFill="1"/>
    <xf numFmtId="0" fontId="1" fillId="4" borderId="27" xfId="0" applyFont="1" applyFill="1" applyBorder="1" applyAlignment="1">
      <alignment horizontal="center"/>
    </xf>
    <xf numFmtId="9" fontId="0" fillId="0" borderId="3" xfId="1" applyFont="1" applyBorder="1" applyAlignment="1">
      <alignment horizontal="center"/>
    </xf>
    <xf numFmtId="3" fontId="0" fillId="0" borderId="3" xfId="1" applyNumberFormat="1" applyFont="1" applyBorder="1" applyAlignment="1">
      <alignment horizontal="center"/>
    </xf>
    <xf numFmtId="3" fontId="0" fillId="0" borderId="3" xfId="1" applyNumberFormat="1" applyFont="1" applyBorder="1"/>
    <xf numFmtId="164" fontId="0" fillId="0" borderId="3" xfId="1" applyNumberFormat="1" applyFont="1" applyBorder="1"/>
    <xf numFmtId="165" fontId="0" fillId="0" borderId="3" xfId="1" applyNumberFormat="1" applyFont="1" applyFill="1" applyBorder="1"/>
    <xf numFmtId="3" fontId="0" fillId="0" borderId="12" xfId="0" applyNumberFormat="1" applyFont="1" applyFill="1" applyBorder="1"/>
    <xf numFmtId="167" fontId="1" fillId="0" borderId="3" xfId="0" applyNumberFormat="1" applyFont="1" applyFill="1" applyBorder="1"/>
    <xf numFmtId="166" fontId="1" fillId="0" borderId="3" xfId="0" applyNumberFormat="1" applyFont="1" applyFill="1" applyBorder="1"/>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xf numFmtId="166" fontId="0" fillId="0" borderId="14" xfId="0" applyNumberFormat="1" applyBorder="1"/>
    <xf numFmtId="166" fontId="0" fillId="0" borderId="17" xfId="0" applyNumberFormat="1" applyBorder="1"/>
    <xf numFmtId="167" fontId="0" fillId="0" borderId="14" xfId="0" applyNumberFormat="1" applyBorder="1"/>
    <xf numFmtId="166" fontId="0" fillId="0" borderId="12" xfId="0" applyNumberFormat="1" applyBorder="1"/>
    <xf numFmtId="0" fontId="1" fillId="4" borderId="2" xfId="0" applyFont="1" applyFill="1" applyBorder="1"/>
    <xf numFmtId="0" fontId="0" fillId="3" borderId="2" xfId="0" applyFill="1" applyBorder="1"/>
    <xf numFmtId="0" fontId="0" fillId="0" borderId="10" xfId="0" applyBorder="1" applyAlignment="1">
      <alignment horizontal="left"/>
    </xf>
    <xf numFmtId="0" fontId="0" fillId="0" borderId="30" xfId="0" applyBorder="1" applyAlignment="1">
      <alignment horizontal="left"/>
    </xf>
    <xf numFmtId="0" fontId="0" fillId="0" borderId="31" xfId="0" applyBorder="1"/>
    <xf numFmtId="0" fontId="0" fillId="0" borderId="32" xfId="0" applyBorder="1"/>
    <xf numFmtId="0" fontId="0" fillId="0" borderId="2" xfId="0" applyBorder="1"/>
    <xf numFmtId="0" fontId="0" fillId="0" borderId="30" xfId="0" applyBorder="1"/>
    <xf numFmtId="0" fontId="2" fillId="3" borderId="2" xfId="0" applyFont="1" applyFill="1" applyBorder="1"/>
    <xf numFmtId="0" fontId="0" fillId="0" borderId="0" xfId="0" applyBorder="1"/>
    <xf numFmtId="3" fontId="0" fillId="0" borderId="11" xfId="0" applyNumberFormat="1" applyBorder="1"/>
    <xf numFmtId="3" fontId="0" fillId="0" borderId="12" xfId="0" applyNumberFormat="1" applyBorder="1"/>
    <xf numFmtId="3" fontId="0" fillId="0" borderId="3" xfId="0" applyNumberFormat="1" applyBorder="1"/>
    <xf numFmtId="3" fontId="0" fillId="0" borderId="14" xfId="0" applyNumberFormat="1" applyBorder="1"/>
    <xf numFmtId="3" fontId="0" fillId="0" borderId="16" xfId="0" applyNumberFormat="1" applyBorder="1"/>
    <xf numFmtId="3" fontId="0" fillId="0" borderId="17" xfId="0" applyNumberFormat="1" applyBorder="1"/>
    <xf numFmtId="3" fontId="0" fillId="0" borderId="19" xfId="0" applyNumberFormat="1" applyBorder="1"/>
    <xf numFmtId="3" fontId="0" fillId="0" borderId="20" xfId="0" applyNumberFormat="1" applyBorder="1"/>
    <xf numFmtId="9" fontId="6" fillId="5" borderId="10" xfId="1" applyFont="1" applyFill="1" applyBorder="1"/>
    <xf numFmtId="9" fontId="6" fillId="5" borderId="12" xfId="1" applyFont="1" applyFill="1" applyBorder="1"/>
    <xf numFmtId="9" fontId="6" fillId="5" borderId="13" xfId="1" applyFont="1" applyFill="1" applyBorder="1"/>
    <xf numFmtId="9" fontId="6" fillId="5" borderId="14" xfId="1" applyFont="1" applyFill="1" applyBorder="1"/>
    <xf numFmtId="9" fontId="6" fillId="5" borderId="15" xfId="1" applyFont="1" applyFill="1" applyBorder="1"/>
    <xf numFmtId="9" fontId="6" fillId="5" borderId="17" xfId="1" applyFont="1" applyFill="1" applyBorder="1"/>
    <xf numFmtId="9" fontId="6" fillId="5" borderId="18" xfId="1" applyFont="1" applyFill="1" applyBorder="1"/>
    <xf numFmtId="9" fontId="6" fillId="5" borderId="20" xfId="1" applyFont="1" applyFill="1" applyBorder="1"/>
    <xf numFmtId="166" fontId="0" fillId="0" borderId="20" xfId="0" applyNumberFormat="1" applyBorder="1"/>
    <xf numFmtId="0" fontId="0" fillId="0" borderId="30" xfId="0" applyBorder="1" applyAlignment="1"/>
    <xf numFmtId="0" fontId="0" fillId="0" borderId="31" xfId="0" applyBorder="1" applyAlignment="1"/>
    <xf numFmtId="0" fontId="0" fillId="0" borderId="32" xfId="0" applyBorder="1" applyAlignment="1"/>
    <xf numFmtId="0" fontId="0" fillId="0" borderId="2" xfId="0" applyBorder="1" applyAlignment="1"/>
    <xf numFmtId="0" fontId="1" fillId="2" borderId="5" xfId="0" applyFont="1" applyFill="1" applyBorder="1"/>
    <xf numFmtId="165" fontId="0" fillId="0" borderId="12" xfId="1" applyNumberFormat="1" applyFont="1" applyBorder="1"/>
    <xf numFmtId="165" fontId="0" fillId="0" borderId="17" xfId="1" applyNumberFormat="1" applyFont="1" applyBorder="1"/>
    <xf numFmtId="9" fontId="6" fillId="5" borderId="12" xfId="1" applyNumberFormat="1" applyFont="1" applyFill="1" applyBorder="1"/>
    <xf numFmtId="0" fontId="1" fillId="2" borderId="33" xfId="0" applyFont="1" applyFill="1" applyBorder="1" applyAlignment="1">
      <alignment horizontal="center"/>
    </xf>
    <xf numFmtId="168" fontId="0" fillId="0" borderId="30" xfId="0" applyNumberFormat="1" applyBorder="1"/>
    <xf numFmtId="168" fontId="0" fillId="0" borderId="32" xfId="0" applyNumberFormat="1" applyBorder="1"/>
    <xf numFmtId="168" fontId="0" fillId="0" borderId="30" xfId="0" applyNumberFormat="1" applyBorder="1" applyAlignment="1">
      <alignment horizontal="right"/>
    </xf>
    <xf numFmtId="168" fontId="0" fillId="0" borderId="31" xfId="0" applyNumberFormat="1" applyBorder="1" applyAlignment="1">
      <alignment horizontal="right"/>
    </xf>
    <xf numFmtId="168" fontId="0" fillId="0" borderId="32" xfId="0" applyNumberFormat="1" applyBorder="1" applyAlignment="1">
      <alignment horizontal="right"/>
    </xf>
    <xf numFmtId="168" fontId="0" fillId="0" borderId="2" xfId="0" applyNumberFormat="1" applyBorder="1" applyAlignment="1">
      <alignment horizontal="right"/>
    </xf>
    <xf numFmtId="9" fontId="6" fillId="5" borderId="17" xfId="1" applyNumberFormat="1" applyFont="1" applyFill="1" applyBorder="1"/>
    <xf numFmtId="0" fontId="1" fillId="4" borderId="2" xfId="0" applyFont="1" applyFill="1" applyBorder="1" applyAlignment="1">
      <alignment horizontal="center"/>
    </xf>
    <xf numFmtId="0" fontId="0" fillId="0" borderId="34" xfId="0" applyBorder="1"/>
    <xf numFmtId="0" fontId="0" fillId="0" borderId="33" xfId="0" applyBorder="1"/>
    <xf numFmtId="0" fontId="0" fillId="2" borderId="34" xfId="0" applyFill="1" applyBorder="1"/>
    <xf numFmtId="0" fontId="0" fillId="2" borderId="33" xfId="0" applyFill="1" applyBorder="1"/>
    <xf numFmtId="0" fontId="0" fillId="0" borderId="35" xfId="0" applyBorder="1"/>
    <xf numFmtId="0" fontId="0" fillId="0" borderId="38" xfId="0" applyBorder="1"/>
    <xf numFmtId="0" fontId="0" fillId="0" borderId="39" xfId="0" applyBorder="1"/>
    <xf numFmtId="0" fontId="0" fillId="0" borderId="36" xfId="0" applyBorder="1"/>
    <xf numFmtId="0" fontId="0" fillId="0" borderId="40" xfId="0" applyBorder="1"/>
    <xf numFmtId="0" fontId="0" fillId="0" borderId="41" xfId="0" applyBorder="1"/>
    <xf numFmtId="0" fontId="0" fillId="0" borderId="37" xfId="0" applyBorder="1"/>
    <xf numFmtId="0" fontId="0" fillId="0" borderId="42" xfId="0" applyBorder="1"/>
    <xf numFmtId="0" fontId="0" fillId="0" borderId="24" xfId="0" applyBorder="1"/>
    <xf numFmtId="0" fontId="0" fillId="0" borderId="43" xfId="0" applyBorder="1"/>
    <xf numFmtId="0" fontId="0" fillId="0" borderId="44" xfId="0" applyBorder="1"/>
    <xf numFmtId="0" fontId="6" fillId="5" borderId="30" xfId="0" applyFont="1" applyFill="1" applyBorder="1"/>
    <xf numFmtId="0" fontId="6" fillId="5" borderId="32" xfId="0" applyFont="1" applyFill="1" applyBorder="1"/>
    <xf numFmtId="164" fontId="6" fillId="5" borderId="30" xfId="0" applyNumberFormat="1" applyFont="1" applyFill="1" applyBorder="1"/>
    <xf numFmtId="164" fontId="6" fillId="5" borderId="31" xfId="0" applyNumberFormat="1" applyFont="1" applyFill="1" applyBorder="1"/>
    <xf numFmtId="164" fontId="6" fillId="5" borderId="32" xfId="0" applyNumberFormat="1" applyFont="1" applyFill="1" applyBorder="1"/>
    <xf numFmtId="164" fontId="0" fillId="0" borderId="30" xfId="0" applyNumberFormat="1" applyBorder="1"/>
    <xf numFmtId="164" fontId="0" fillId="0" borderId="2" xfId="0" applyNumberFormat="1" applyBorder="1"/>
    <xf numFmtId="14" fontId="4" fillId="2" borderId="24" xfId="0" applyNumberFormat="1" applyFont="1" applyFill="1" applyBorder="1"/>
    <xf numFmtId="0" fontId="0" fillId="2" borderId="25" xfId="0" applyFill="1" applyBorder="1"/>
    <xf numFmtId="0" fontId="0" fillId="2" borderId="26" xfId="0" applyFill="1" applyBorder="1"/>
    <xf numFmtId="0" fontId="5" fillId="0" borderId="45" xfId="0" applyFont="1" applyBorder="1" applyAlignment="1">
      <alignment horizontal="center"/>
    </xf>
    <xf numFmtId="0" fontId="5" fillId="0" borderId="27" xfId="0" applyFont="1" applyBorder="1" applyAlignment="1">
      <alignment horizontal="center"/>
    </xf>
    <xf numFmtId="0" fontId="1" fillId="6" borderId="1" xfId="0" applyFont="1" applyFill="1" applyBorder="1"/>
    <xf numFmtId="0" fontId="1" fillId="6" borderId="34" xfId="0" applyFont="1" applyFill="1" applyBorder="1"/>
    <xf numFmtId="0" fontId="1" fillId="6" borderId="33" xfId="0" applyFont="1" applyFill="1" applyBorder="1"/>
    <xf numFmtId="0" fontId="0" fillId="0" borderId="38" xfId="0" applyBorder="1" applyAlignment="1">
      <alignment horizontal="left"/>
    </xf>
    <xf numFmtId="0" fontId="6" fillId="5" borderId="36" xfId="0" applyFont="1" applyFill="1" applyBorder="1"/>
    <xf numFmtId="0" fontId="0" fillId="0" borderId="46" xfId="0" applyBorder="1" applyAlignment="1">
      <alignment horizontal="left"/>
    </xf>
    <xf numFmtId="0" fontId="0" fillId="0" borderId="25" xfId="0" applyBorder="1"/>
    <xf numFmtId="2" fontId="6" fillId="5" borderId="47" xfId="0" applyNumberFormat="1" applyFont="1" applyFill="1" applyBorder="1"/>
    <xf numFmtId="0" fontId="6" fillId="5" borderId="47" xfId="0" applyFont="1" applyFill="1" applyBorder="1"/>
    <xf numFmtId="164" fontId="6" fillId="5" borderId="47" xfId="0" applyNumberFormat="1" applyFont="1" applyFill="1" applyBorder="1"/>
    <xf numFmtId="0" fontId="0" fillId="0" borderId="40" xfId="0" applyBorder="1" applyAlignment="1">
      <alignment horizontal="left"/>
    </xf>
    <xf numFmtId="0" fontId="6" fillId="5" borderId="37" xfId="0" applyFont="1" applyFill="1" applyBorder="1"/>
    <xf numFmtId="0" fontId="1" fillId="0" borderId="1" xfId="0" applyFont="1" applyBorder="1"/>
    <xf numFmtId="0" fontId="1" fillId="0" borderId="33" xfId="0" applyFont="1" applyBorder="1"/>
    <xf numFmtId="164" fontId="0" fillId="8" borderId="3" xfId="0" applyNumberFormat="1" applyFill="1" applyBorder="1"/>
    <xf numFmtId="0" fontId="0" fillId="0" borderId="3" xfId="0" applyBorder="1" applyAlignment="1">
      <alignment horizontal="center"/>
    </xf>
    <xf numFmtId="0" fontId="1" fillId="4" borderId="1" xfId="0" applyFont="1" applyFill="1" applyBorder="1"/>
    <xf numFmtId="0" fontId="0" fillId="4" borderId="34" xfId="0" applyFill="1" applyBorder="1"/>
    <xf numFmtId="0" fontId="0" fillId="4" borderId="33" xfId="0" applyFill="1" applyBorder="1"/>
    <xf numFmtId="0" fontId="0" fillId="7" borderId="11" xfId="0" applyFill="1" applyBorder="1" applyAlignment="1">
      <alignment horizontal="center"/>
    </xf>
    <xf numFmtId="0" fontId="0" fillId="7" borderId="12" xfId="0" applyFill="1" applyBorder="1" applyAlignment="1">
      <alignment horizontal="center"/>
    </xf>
    <xf numFmtId="164" fontId="0" fillId="8" borderId="16" xfId="0" applyNumberFormat="1" applyFill="1" applyBorder="1"/>
    <xf numFmtId="0" fontId="0" fillId="0" borderId="1" xfId="0" applyBorder="1"/>
    <xf numFmtId="164" fontId="0" fillId="0" borderId="3" xfId="0" applyNumberFormat="1" applyFont="1"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2" fillId="6" borderId="5" xfId="0" applyFont="1" applyFill="1" applyBorder="1" applyAlignment="1">
      <alignment horizontal="center"/>
    </xf>
    <xf numFmtId="0" fontId="5" fillId="2" borderId="5" xfId="0" applyFont="1" applyFill="1" applyBorder="1"/>
    <xf numFmtId="9" fontId="0" fillId="0" borderId="17" xfId="0" applyNumberFormat="1" applyFont="1" applyFill="1" applyBorder="1"/>
    <xf numFmtId="3" fontId="0" fillId="0" borderId="3" xfId="0" applyNumberFormat="1" applyFont="1" applyBorder="1"/>
    <xf numFmtId="9" fontId="0" fillId="0" borderId="3" xfId="1" applyFont="1" applyBorder="1"/>
    <xf numFmtId="3" fontId="6" fillId="5" borderId="11" xfId="0" applyNumberFormat="1" applyFont="1" applyFill="1" applyBorder="1"/>
    <xf numFmtId="3" fontId="6" fillId="5" borderId="12" xfId="0" applyNumberFormat="1" applyFont="1" applyFill="1" applyBorder="1"/>
    <xf numFmtId="3" fontId="6" fillId="5" borderId="3" xfId="0" applyNumberFormat="1" applyFont="1" applyFill="1" applyBorder="1"/>
    <xf numFmtId="3" fontId="6" fillId="5" borderId="14" xfId="0" applyNumberFormat="1" applyFont="1" applyFill="1" applyBorder="1"/>
    <xf numFmtId="3" fontId="6" fillId="5" borderId="16" xfId="0" applyNumberFormat="1" applyFont="1" applyFill="1" applyBorder="1"/>
    <xf numFmtId="3" fontId="6" fillId="5" borderId="17" xfId="0" applyNumberFormat="1" applyFont="1" applyFill="1" applyBorder="1"/>
    <xf numFmtId="3" fontId="6" fillId="5" borderId="19" xfId="0" applyNumberFormat="1" applyFont="1" applyFill="1" applyBorder="1"/>
    <xf numFmtId="3" fontId="6" fillId="5" borderId="20" xfId="0" applyNumberFormat="1" applyFont="1" applyFill="1" applyBorder="1"/>
    <xf numFmtId="0" fontId="0" fillId="0" borderId="10" xfId="0" applyFont="1" applyBorder="1"/>
    <xf numFmtId="0" fontId="0" fillId="0" borderId="15" xfId="0" applyFont="1" applyBorder="1"/>
    <xf numFmtId="0" fontId="1" fillId="2" borderId="34" xfId="0" applyFont="1" applyFill="1" applyBorder="1"/>
    <xf numFmtId="0" fontId="1" fillId="2" borderId="33" xfId="0" applyFont="1" applyFill="1" applyBorder="1"/>
    <xf numFmtId="0" fontId="0" fillId="0" borderId="48" xfId="0" applyBorder="1"/>
    <xf numFmtId="0" fontId="0" fillId="0" borderId="3" xfId="0" applyBorder="1" applyAlignment="1">
      <alignment horizontal="left"/>
    </xf>
    <xf numFmtId="0" fontId="0" fillId="0" borderId="16" xfId="0" applyBorder="1" applyAlignment="1">
      <alignment horizontal="left"/>
    </xf>
    <xf numFmtId="0" fontId="2" fillId="0" borderId="0" xfId="0" applyFont="1" applyFill="1" applyBorder="1"/>
    <xf numFmtId="0" fontId="0" fillId="0" borderId="49" xfId="0" applyBorder="1"/>
    <xf numFmtId="0" fontId="0" fillId="0" borderId="27" xfId="0" applyBorder="1" applyAlignment="1">
      <alignment horizontal="left"/>
    </xf>
    <xf numFmtId="3" fontId="6" fillId="5" borderId="50" xfId="0" applyNumberFormat="1" applyFont="1" applyFill="1" applyBorder="1"/>
    <xf numFmtId="3" fontId="0" fillId="0" borderId="14" xfId="0" applyNumberFormat="1" applyFont="1" applyFill="1" applyBorder="1"/>
    <xf numFmtId="166" fontId="6" fillId="5" borderId="12" xfId="0" applyNumberFormat="1" applyFont="1" applyFill="1" applyBorder="1"/>
    <xf numFmtId="166" fontId="6" fillId="5" borderId="14" xfId="0" applyNumberFormat="1" applyFont="1" applyFill="1" applyBorder="1"/>
    <xf numFmtId="166" fontId="6" fillId="5" borderId="17" xfId="0" applyNumberFormat="1" applyFont="1" applyFill="1" applyBorder="1"/>
    <xf numFmtId="166" fontId="6" fillId="5" borderId="20" xfId="0" applyNumberFormat="1" applyFont="1" applyFill="1" applyBorder="1"/>
    <xf numFmtId="3" fontId="6" fillId="5" borderId="51" xfId="0" applyNumberFormat="1" applyFont="1" applyFill="1" applyBorder="1"/>
    <xf numFmtId="0" fontId="0" fillId="0" borderId="52" xfId="0" applyBorder="1"/>
    <xf numFmtId="0" fontId="0" fillId="0" borderId="53" xfId="0" applyBorder="1"/>
    <xf numFmtId="3" fontId="6" fillId="5" borderId="48" xfId="0" applyNumberFormat="1" applyFont="1" applyFill="1" applyBorder="1"/>
    <xf numFmtId="3" fontId="6" fillId="0" borderId="0" xfId="0" applyNumberFormat="1" applyFont="1" applyFill="1" applyBorder="1"/>
    <xf numFmtId="3" fontId="1" fillId="0" borderId="0" xfId="0" applyNumberFormat="1" applyFont="1"/>
    <xf numFmtId="0" fontId="0" fillId="6" borderId="34" xfId="0" applyFill="1" applyBorder="1"/>
    <xf numFmtId="0" fontId="2" fillId="6" borderId="33" xfId="0" applyFont="1" applyFill="1" applyBorder="1" applyAlignment="1">
      <alignment horizontal="right"/>
    </xf>
    <xf numFmtId="3" fontId="3" fillId="0" borderId="30" xfId="1" applyNumberFormat="1" applyFont="1" applyBorder="1"/>
    <xf numFmtId="3" fontId="3" fillId="0" borderId="12" xfId="1" applyNumberFormat="1" applyFont="1" applyBorder="1"/>
    <xf numFmtId="3" fontId="3" fillId="0" borderId="31" xfId="1" applyNumberFormat="1" applyFont="1" applyBorder="1"/>
    <xf numFmtId="3" fontId="3" fillId="0" borderId="14" xfId="1" applyNumberFormat="1" applyFont="1" applyBorder="1"/>
    <xf numFmtId="3" fontId="3" fillId="0" borderId="32" xfId="1" applyNumberFormat="1" applyFont="1" applyBorder="1"/>
    <xf numFmtId="3" fontId="3" fillId="0" borderId="17" xfId="1" applyNumberFormat="1" applyFont="1" applyBorder="1"/>
    <xf numFmtId="165" fontId="3" fillId="0" borderId="12" xfId="1" applyNumberFormat="1" applyFont="1" applyBorder="1"/>
    <xf numFmtId="165" fontId="3" fillId="0" borderId="14" xfId="1" applyNumberFormat="1" applyFont="1" applyBorder="1"/>
    <xf numFmtId="165" fontId="3" fillId="0" borderId="17" xfId="1" applyNumberFormat="1" applyFont="1" applyBorder="1"/>
    <xf numFmtId="9" fontId="3" fillId="0" borderId="3" xfId="1" applyFont="1" applyBorder="1"/>
    <xf numFmtId="165" fontId="0" fillId="0" borderId="0" xfId="1" applyNumberFormat="1" applyFont="1"/>
    <xf numFmtId="9" fontId="3" fillId="0" borderId="30" xfId="1" applyFont="1" applyBorder="1" applyAlignment="1"/>
    <xf numFmtId="9" fontId="3" fillId="0" borderId="32" xfId="1" applyFont="1" applyBorder="1" applyAlignment="1"/>
    <xf numFmtId="0" fontId="1" fillId="2" borderId="24" xfId="0" applyFont="1" applyFill="1" applyBorder="1"/>
    <xf numFmtId="0" fontId="6" fillId="0" borderId="0" xfId="0" applyFont="1" applyAlignment="1">
      <alignment horizontal="center"/>
    </xf>
    <xf numFmtId="3" fontId="0" fillId="0" borderId="10" xfId="0" applyNumberFormat="1" applyFont="1" applyBorder="1"/>
    <xf numFmtId="3" fontId="0" fillId="0" borderId="13" xfId="0" applyNumberFormat="1" applyFont="1" applyBorder="1"/>
    <xf numFmtId="3" fontId="0" fillId="0" borderId="15" xfId="0" applyNumberFormat="1" applyFont="1" applyBorder="1"/>
    <xf numFmtId="0" fontId="1" fillId="9" borderId="1" xfId="0" applyFont="1" applyFill="1" applyBorder="1"/>
    <xf numFmtId="0" fontId="0" fillId="9" borderId="34" xfId="0" applyFill="1" applyBorder="1"/>
    <xf numFmtId="0" fontId="0" fillId="9" borderId="33" xfId="0" applyFill="1" applyBorder="1"/>
    <xf numFmtId="0" fontId="2" fillId="10" borderId="1" xfId="0" applyFont="1" applyFill="1" applyBorder="1"/>
    <xf numFmtId="0" fontId="0" fillId="10" borderId="34" xfId="0" applyFill="1" applyBorder="1"/>
    <xf numFmtId="0" fontId="0" fillId="10" borderId="33" xfId="0" applyFill="1" applyBorder="1"/>
    <xf numFmtId="0" fontId="1" fillId="6" borderId="4" xfId="0" applyFont="1" applyFill="1" applyBorder="1" applyAlignment="1">
      <alignment horizontal="left"/>
    </xf>
    <xf numFmtId="0" fontId="0" fillId="0" borderId="13" xfId="0" applyBorder="1" applyAlignment="1">
      <alignment horizontal="left"/>
    </xf>
    <xf numFmtId="3" fontId="0" fillId="0" borderId="24" xfId="0" applyNumberFormat="1" applyBorder="1"/>
    <xf numFmtId="0" fontId="0" fillId="0" borderId="54" xfId="0" applyBorder="1" applyAlignment="1">
      <alignment horizontal="left"/>
    </xf>
    <xf numFmtId="3" fontId="0" fillId="0" borderId="55" xfId="0" applyNumberFormat="1" applyBorder="1"/>
    <xf numFmtId="3" fontId="0" fillId="0" borderId="56" xfId="0" applyNumberFormat="1" applyBorder="1"/>
    <xf numFmtId="3" fontId="0" fillId="0" borderId="57" xfId="0" applyNumberFormat="1" applyBorder="1"/>
    <xf numFmtId="0" fontId="1" fillId="0" borderId="18" xfId="0" applyFont="1" applyFill="1" applyBorder="1" applyAlignment="1">
      <alignment horizontal="left"/>
    </xf>
    <xf numFmtId="3" fontId="1" fillId="0" borderId="19" xfId="0" applyNumberFormat="1" applyFont="1" applyBorder="1"/>
    <xf numFmtId="3" fontId="1" fillId="0" borderId="20" xfId="0" applyNumberFormat="1" applyFont="1" applyBorder="1"/>
    <xf numFmtId="0" fontId="1" fillId="0" borderId="3" xfId="0" applyFont="1" applyFill="1" applyBorder="1" applyAlignment="1">
      <alignment horizontal="left"/>
    </xf>
    <xf numFmtId="168" fontId="0" fillId="0" borderId="3" xfId="0" applyNumberFormat="1" applyBorder="1"/>
    <xf numFmtId="164" fontId="0" fillId="0" borderId="3" xfId="0" applyNumberFormat="1" applyBorder="1"/>
    <xf numFmtId="0" fontId="1" fillId="0" borderId="3" xfId="0" applyFont="1" applyBorder="1"/>
    <xf numFmtId="0" fontId="1" fillId="6" borderId="3" xfId="0" applyFont="1" applyFill="1" applyBorder="1"/>
    <xf numFmtId="0" fontId="1" fillId="6" borderId="1" xfId="0" applyFont="1" applyFill="1" applyBorder="1" applyAlignment="1">
      <alignment horizontal="left"/>
    </xf>
    <xf numFmtId="0" fontId="0" fillId="6" borderId="33" xfId="0" applyFill="1" applyBorder="1"/>
    <xf numFmtId="3" fontId="0" fillId="0" borderId="39" xfId="0" applyNumberFormat="1" applyBorder="1"/>
    <xf numFmtId="3" fontId="0" fillId="0" borderId="58" xfId="0" applyNumberFormat="1" applyBorder="1"/>
    <xf numFmtId="3" fontId="0" fillId="0" borderId="25" xfId="0" applyNumberFormat="1" applyBorder="1"/>
    <xf numFmtId="3" fontId="0" fillId="0" borderId="26" xfId="0" applyNumberFormat="1" applyBorder="1"/>
    <xf numFmtId="0" fontId="1" fillId="0" borderId="1" xfId="0" applyFont="1" applyFill="1" applyBorder="1" applyAlignment="1">
      <alignment horizontal="left"/>
    </xf>
    <xf numFmtId="3" fontId="1" fillId="0" borderId="34" xfId="0" applyNumberFormat="1" applyFont="1" applyBorder="1"/>
    <xf numFmtId="3" fontId="1" fillId="0" borderId="59" xfId="0" applyNumberFormat="1" applyFont="1" applyBorder="1"/>
    <xf numFmtId="0" fontId="2" fillId="10" borderId="33" xfId="0" applyFont="1" applyFill="1" applyBorder="1" applyAlignment="1">
      <alignment horizontal="center"/>
    </xf>
    <xf numFmtId="9" fontId="1" fillId="0" borderId="19" xfId="1" applyFont="1" applyBorder="1"/>
    <xf numFmtId="3" fontId="0" fillId="0" borderId="41" xfId="0" applyNumberFormat="1" applyBorder="1"/>
    <xf numFmtId="3" fontId="0" fillId="0" borderId="60" xfId="0" applyNumberFormat="1" applyBorder="1"/>
    <xf numFmtId="165" fontId="0" fillId="0" borderId="14" xfId="1" applyNumberFormat="1" applyFont="1" applyBorder="1"/>
    <xf numFmtId="0" fontId="0" fillId="0" borderId="51" xfId="0" applyBorder="1"/>
    <xf numFmtId="0" fontId="1" fillId="6" borderId="33" xfId="0" applyFont="1" applyFill="1" applyBorder="1" applyAlignment="1">
      <alignment horizontal="center"/>
    </xf>
    <xf numFmtId="9" fontId="3" fillId="0" borderId="37" xfId="1" applyNumberFormat="1" applyFont="1" applyFill="1" applyBorder="1"/>
    <xf numFmtId="9" fontId="3" fillId="0" borderId="36" xfId="1" applyNumberFormat="1" applyFont="1" applyFill="1" applyBorder="1"/>
    <xf numFmtId="9" fontId="3" fillId="0" borderId="51" xfId="1" applyNumberFormat="1" applyFont="1" applyFill="1" applyBorder="1"/>
    <xf numFmtId="0" fontId="0" fillId="0" borderId="0" xfId="0" applyFont="1" applyBorder="1"/>
    <xf numFmtId="9" fontId="0" fillId="0" borderId="0" xfId="0" applyNumberFormat="1" applyFont="1" applyFill="1" applyBorder="1"/>
    <xf numFmtId="9" fontId="0" fillId="0" borderId="12" xfId="1" applyFont="1" applyFill="1" applyBorder="1"/>
    <xf numFmtId="9" fontId="6" fillId="5" borderId="61" xfId="1" applyNumberFormat="1" applyFont="1" applyFill="1" applyBorder="1"/>
    <xf numFmtId="9" fontId="3" fillId="0" borderId="31" xfId="1" applyFont="1" applyBorder="1" applyAlignment="1"/>
    <xf numFmtId="9" fontId="3" fillId="0" borderId="2" xfId="1" applyFont="1" applyBorder="1" applyAlignment="1"/>
    <xf numFmtId="168" fontId="0" fillId="0" borderId="12" xfId="0" applyNumberFormat="1" applyBorder="1"/>
    <xf numFmtId="168" fontId="0" fillId="0" borderId="14" xfId="0" applyNumberFormat="1" applyBorder="1"/>
    <xf numFmtId="168" fontId="0" fillId="0" borderId="17" xfId="0" applyNumberFormat="1" applyBorder="1"/>
    <xf numFmtId="3" fontId="0" fillId="0" borderId="11" xfId="0" applyNumberFormat="1" applyFont="1" applyBorder="1"/>
    <xf numFmtId="3" fontId="0" fillId="0" borderId="16" xfId="0" applyNumberFormat="1" applyFont="1" applyBorder="1"/>
    <xf numFmtId="3" fontId="0" fillId="0" borderId="19" xfId="0" applyNumberFormat="1" applyFont="1" applyBorder="1"/>
    <xf numFmtId="165" fontId="7" fillId="0" borderId="0" xfId="1" applyNumberFormat="1" applyFont="1"/>
    <xf numFmtId="0" fontId="7" fillId="0" borderId="0" xfId="0" applyFont="1"/>
    <xf numFmtId="9" fontId="0" fillId="0" borderId="0" xfId="1" applyFont="1"/>
    <xf numFmtId="9" fontId="1" fillId="0" borderId="0" xfId="1" applyFont="1"/>
    <xf numFmtId="10" fontId="0" fillId="0" borderId="0" xfId="1" applyNumberFormat="1" applyFont="1"/>
    <xf numFmtId="49" fontId="1" fillId="6" borderId="28" xfId="0" applyNumberFormat="1" applyFont="1" applyFill="1" applyBorder="1" applyAlignment="1">
      <alignment horizontal="center"/>
    </xf>
    <xf numFmtId="49" fontId="1" fillId="6" borderId="29" xfId="0" applyNumberFormat="1" applyFont="1" applyFill="1" applyBorder="1" applyAlignment="1">
      <alignment horizontal="center"/>
    </xf>
    <xf numFmtId="3" fontId="0" fillId="0" borderId="17" xfId="0" applyNumberFormat="1" applyFont="1" applyFill="1" applyBorder="1"/>
    <xf numFmtId="3" fontId="0" fillId="0" borderId="20" xfId="0" applyNumberFormat="1" applyFont="1" applyFill="1" applyBorder="1"/>
    <xf numFmtId="3" fontId="0" fillId="0" borderId="0" xfId="0" applyNumberFormat="1"/>
    <xf numFmtId="1" fontId="6" fillId="5" borderId="12" xfId="1" applyNumberFormat="1" applyFont="1" applyFill="1" applyBorder="1"/>
    <xf numFmtId="1" fontId="6" fillId="5" borderId="61" xfId="1" applyNumberFormat="1" applyFont="1" applyFill="1" applyBorder="1"/>
    <xf numFmtId="1" fontId="6" fillId="5" borderId="17" xfId="1" applyNumberFormat="1" applyFont="1" applyFill="1" applyBorder="1"/>
    <xf numFmtId="1" fontId="0" fillId="0" borderId="42" xfId="0" applyNumberFormat="1" applyBorder="1" applyAlignment="1"/>
    <xf numFmtId="0" fontId="0" fillId="0" borderId="24" xfId="0" applyBorder="1" applyAlignment="1"/>
    <xf numFmtId="0" fontId="0" fillId="0" borderId="43" xfId="0" applyBorder="1" applyAlignment="1"/>
    <xf numFmtId="0" fontId="0" fillId="0" borderId="42" xfId="0" applyBorder="1" applyAlignment="1"/>
    <xf numFmtId="0" fontId="0" fillId="0" borderId="44" xfId="0" applyBorder="1" applyAlignment="1"/>
    <xf numFmtId="1" fontId="0" fillId="0" borderId="43" xfId="0" applyNumberFormat="1" applyBorder="1" applyAlignment="1"/>
    <xf numFmtId="0" fontId="2" fillId="3" borderId="1" xfId="0" applyFont="1" applyFill="1" applyBorder="1"/>
    <xf numFmtId="0" fontId="0" fillId="3" borderId="33" xfId="0" applyFill="1" applyBorder="1"/>
    <xf numFmtId="0" fontId="1" fillId="0" borderId="19" xfId="0" applyFont="1" applyBorder="1" applyAlignment="1">
      <alignment horizontal="left"/>
    </xf>
    <xf numFmtId="168" fontId="0" fillId="0" borderId="11" xfId="0" applyNumberFormat="1" applyBorder="1"/>
    <xf numFmtId="168" fontId="0" fillId="0" borderId="16" xfId="0" applyNumberFormat="1" applyBorder="1"/>
    <xf numFmtId="0" fontId="7" fillId="0" borderId="0" xfId="0" applyFont="1" applyAlignment="1">
      <alignment horizontal="center"/>
    </xf>
    <xf numFmtId="2" fontId="7" fillId="0" borderId="0" xfId="0" applyNumberFormat="1" applyFont="1"/>
    <xf numFmtId="9" fontId="0" fillId="0" borderId="12" xfId="1" applyNumberFormat="1" applyFont="1" applyBorder="1"/>
    <xf numFmtId="9" fontId="0" fillId="0" borderId="17" xfId="1" applyNumberFormat="1" applyFont="1" applyBorder="1"/>
    <xf numFmtId="0" fontId="0" fillId="3" borderId="1" xfId="0" applyFill="1" applyBorder="1"/>
    <xf numFmtId="0" fontId="0" fillId="3" borderId="34" xfId="0" applyFill="1" applyBorder="1"/>
    <xf numFmtId="0" fontId="1" fillId="3" borderId="19" xfId="0" applyFont="1" applyFill="1" applyBorder="1" applyAlignment="1">
      <alignment horizontal="center"/>
    </xf>
    <xf numFmtId="0" fontId="1" fillId="3" borderId="20" xfId="0" applyFont="1" applyFill="1" applyBorder="1" applyAlignment="1">
      <alignment horizontal="center"/>
    </xf>
    <xf numFmtId="0" fontId="1" fillId="6" borderId="4" xfId="0" applyFont="1" applyFill="1" applyBorder="1"/>
    <xf numFmtId="0" fontId="0" fillId="6" borderId="9" xfId="0" applyFill="1" applyBorder="1"/>
    <xf numFmtId="0" fontId="0" fillId="6" borderId="8" xfId="0" applyFill="1" applyBorder="1"/>
    <xf numFmtId="0" fontId="0" fillId="10" borderId="4" xfId="0" applyFill="1" applyBorder="1"/>
    <xf numFmtId="0" fontId="0" fillId="10" borderId="9" xfId="0" applyFill="1" applyBorder="1"/>
    <xf numFmtId="0" fontId="1" fillId="10" borderId="35" xfId="0" applyFont="1" applyFill="1" applyBorder="1"/>
    <xf numFmtId="0" fontId="1" fillId="10" borderId="0" xfId="0" applyFont="1" applyFill="1" applyBorder="1"/>
    <xf numFmtId="0" fontId="0" fillId="10" borderId="8" xfId="0" applyFill="1" applyBorder="1"/>
    <xf numFmtId="0" fontId="6" fillId="0" borderId="0" xfId="0" applyFont="1"/>
    <xf numFmtId="166" fontId="0" fillId="0" borderId="3" xfId="0" applyNumberFormat="1" applyBorder="1" applyAlignment="1">
      <alignment horizontal="center"/>
    </xf>
    <xf numFmtId="166" fontId="0" fillId="0" borderId="14" xfId="0" applyNumberFormat="1" applyBorder="1" applyAlignment="1">
      <alignment horizontal="center"/>
    </xf>
    <xf numFmtId="166" fontId="0" fillId="0" borderId="16" xfId="0" applyNumberFormat="1" applyBorder="1" applyAlignment="1">
      <alignment horizontal="center"/>
    </xf>
    <xf numFmtId="168" fontId="0" fillId="0" borderId="16" xfId="0" applyNumberFormat="1" applyBorder="1" applyAlignment="1">
      <alignment horizontal="center"/>
    </xf>
    <xf numFmtId="2" fontId="0" fillId="0" borderId="16" xfId="0" applyNumberFormat="1" applyBorder="1" applyAlignment="1">
      <alignment horizontal="center"/>
    </xf>
    <xf numFmtId="2" fontId="0" fillId="0" borderId="3" xfId="0" applyNumberFormat="1" applyBorder="1" applyAlignment="1">
      <alignment horizontal="center"/>
    </xf>
    <xf numFmtId="2" fontId="0" fillId="0" borderId="14" xfId="0" applyNumberFormat="1" applyBorder="1" applyAlignment="1">
      <alignment horizontal="center"/>
    </xf>
    <xf numFmtId="2" fontId="0" fillId="0" borderId="17" xfId="0" applyNumberFormat="1" applyBorder="1" applyAlignment="1">
      <alignment horizontal="center"/>
    </xf>
    <xf numFmtId="165" fontId="0" fillId="0" borderId="3" xfId="1" applyNumberFormat="1" applyFont="1" applyBorder="1" applyAlignment="1">
      <alignment horizontal="center"/>
    </xf>
    <xf numFmtId="165" fontId="0" fillId="0" borderId="14" xfId="1" applyNumberFormat="1" applyFont="1" applyBorder="1" applyAlignment="1">
      <alignment horizontal="center"/>
    </xf>
    <xf numFmtId="165" fontId="0" fillId="0" borderId="16" xfId="1" applyNumberFormat="1" applyFont="1" applyBorder="1" applyAlignment="1">
      <alignment horizontal="center"/>
    </xf>
    <xf numFmtId="165" fontId="0" fillId="0" borderId="17" xfId="1" applyNumberFormat="1" applyFont="1" applyBorder="1" applyAlignment="1">
      <alignment horizontal="center"/>
    </xf>
    <xf numFmtId="166" fontId="0" fillId="0" borderId="17" xfId="0" applyNumberFormat="1" applyBorder="1" applyAlignment="1">
      <alignment horizontal="center"/>
    </xf>
    <xf numFmtId="168" fontId="0" fillId="0" borderId="17" xfId="0" applyNumberFormat="1" applyBorder="1" applyAlignment="1">
      <alignment horizontal="center"/>
    </xf>
    <xf numFmtId="10" fontId="7" fillId="0" borderId="0" xfId="1" applyNumberFormat="1" applyFont="1"/>
    <xf numFmtId="0" fontId="8" fillId="0" borderId="0" xfId="0" applyFont="1"/>
    <xf numFmtId="169" fontId="1" fillId="0" borderId="3" xfId="1" applyNumberFormat="1" applyFont="1" applyBorder="1" applyAlignment="1">
      <alignment horizontal="center"/>
    </xf>
    <xf numFmtId="169" fontId="1" fillId="0" borderId="14" xfId="1" applyNumberFormat="1" applyFont="1" applyBorder="1" applyAlignment="1">
      <alignment horizontal="center"/>
    </xf>
    <xf numFmtId="0" fontId="0" fillId="10" borderId="52" xfId="0" applyFont="1" applyFill="1" applyBorder="1" applyAlignment="1">
      <alignment horizontal="left" indent="3"/>
    </xf>
    <xf numFmtId="0" fontId="0" fillId="10" borderId="53" xfId="0" applyFont="1" applyFill="1" applyBorder="1"/>
    <xf numFmtId="0" fontId="0" fillId="10" borderId="53" xfId="0" applyFont="1" applyFill="1" applyBorder="1" applyAlignment="1">
      <alignment horizontal="center"/>
    </xf>
    <xf numFmtId="0" fontId="0" fillId="10" borderId="48" xfId="0" applyFont="1" applyFill="1" applyBorder="1" applyAlignment="1">
      <alignment horizontal="center"/>
    </xf>
    <xf numFmtId="2" fontId="0" fillId="0" borderId="3" xfId="1" applyNumberFormat="1" applyFont="1" applyBorder="1" applyAlignment="1">
      <alignment horizontal="center"/>
    </xf>
    <xf numFmtId="2" fontId="0" fillId="0" borderId="14" xfId="1" applyNumberFormat="1" applyFont="1" applyBorder="1" applyAlignment="1">
      <alignment horizontal="center"/>
    </xf>
    <xf numFmtId="2" fontId="0" fillId="0" borderId="16" xfId="1" applyNumberFormat="1" applyFont="1" applyBorder="1" applyAlignment="1">
      <alignment horizontal="center"/>
    </xf>
    <xf numFmtId="2" fontId="0" fillId="0" borderId="17" xfId="1" applyNumberFormat="1" applyFont="1" applyBorder="1" applyAlignment="1">
      <alignment horizontal="center"/>
    </xf>
    <xf numFmtId="0" fontId="1" fillId="6" borderId="18" xfId="0" applyFont="1" applyFill="1" applyBorder="1"/>
    <xf numFmtId="0" fontId="0" fillId="0" borderId="43" xfId="0" applyFill="1" applyBorder="1" applyAlignment="1">
      <alignment horizontal="center" vertical="center" wrapText="1"/>
    </xf>
    <xf numFmtId="0" fontId="0" fillId="0" borderId="21" xfId="0" applyBorder="1" applyAlignment="1">
      <alignment horizontal="left" vertical="top" indent="1"/>
    </xf>
    <xf numFmtId="0" fontId="0" fillId="0" borderId="42" xfId="0" applyBorder="1" applyAlignment="1">
      <alignment horizontal="center" vertical="center" wrapText="1"/>
    </xf>
    <xf numFmtId="0" fontId="0" fillId="0" borderId="23" xfId="0" applyBorder="1" applyAlignment="1">
      <alignment horizontal="left" vertical="top" indent="1"/>
    </xf>
    <xf numFmtId="0" fontId="0" fillId="0" borderId="43" xfId="0" applyBorder="1" applyAlignment="1">
      <alignment horizontal="center" vertical="center" wrapText="1"/>
    </xf>
    <xf numFmtId="0" fontId="0" fillId="0" borderId="18" xfId="0" applyBorder="1" applyAlignment="1">
      <alignment horizontal="left" vertical="top" indent="1"/>
    </xf>
    <xf numFmtId="3" fontId="0" fillId="0" borderId="33" xfId="0" applyNumberFormat="1" applyBorder="1" applyAlignment="1">
      <alignment horizontal="center" vertical="center"/>
    </xf>
    <xf numFmtId="9" fontId="0" fillId="0" borderId="36" xfId="0" applyNumberFormat="1" applyBorder="1" applyAlignment="1">
      <alignment horizontal="center" vertical="center"/>
    </xf>
    <xf numFmtId="9" fontId="0" fillId="0" borderId="37" xfId="0" applyNumberFormat="1" applyBorder="1" applyAlignment="1">
      <alignment horizontal="center" vertical="center"/>
    </xf>
    <xf numFmtId="9" fontId="0" fillId="0" borderId="36" xfId="0" applyNumberFormat="1" applyBorder="1" applyAlignment="1">
      <alignment horizontal="center" vertical="center" wrapText="1"/>
    </xf>
    <xf numFmtId="9" fontId="0" fillId="0" borderId="37" xfId="0" applyNumberFormat="1" applyBorder="1" applyAlignment="1">
      <alignment horizontal="center" vertical="center" wrapText="1"/>
    </xf>
    <xf numFmtId="10" fontId="0" fillId="0" borderId="36" xfId="1" applyNumberFormat="1" applyFont="1" applyBorder="1" applyAlignment="1">
      <alignment horizontal="center" vertical="center" wrapText="1"/>
    </xf>
    <xf numFmtId="10" fontId="0" fillId="0" borderId="37" xfId="1" applyNumberFormat="1" applyFont="1" applyBorder="1" applyAlignment="1">
      <alignment horizontal="center" vertical="center"/>
    </xf>
    <xf numFmtId="0" fontId="0" fillId="0" borderId="62" xfId="0" applyBorder="1" applyAlignment="1">
      <alignment horizontal="left" vertical="top" indent="1"/>
    </xf>
    <xf numFmtId="0" fontId="0" fillId="0" borderId="63" xfId="0" applyBorder="1" applyAlignment="1">
      <alignment horizontal="left" vertical="top" indent="1"/>
    </xf>
    <xf numFmtId="0" fontId="0" fillId="0" borderId="44" xfId="0" applyBorder="1" applyAlignment="1">
      <alignment horizontal="left" vertical="top" indent="1"/>
    </xf>
    <xf numFmtId="0" fontId="0" fillId="0" borderId="44" xfId="0" applyBorder="1" applyAlignment="1">
      <alignment horizontal="left" vertical="top" wrapText="1" indent="1"/>
    </xf>
    <xf numFmtId="0" fontId="0" fillId="0" borderId="59" xfId="0" applyBorder="1" applyAlignment="1">
      <alignment horizontal="left" vertical="top" wrapText="1" indent="1"/>
    </xf>
    <xf numFmtId="0" fontId="0" fillId="0" borderId="64" xfId="0" applyBorder="1" applyAlignment="1">
      <alignment horizontal="left" vertical="top" indent="1"/>
    </xf>
    <xf numFmtId="0" fontId="0" fillId="0" borderId="65" xfId="0" applyBorder="1" applyAlignment="1">
      <alignment horizontal="left" vertical="top" indent="1"/>
    </xf>
    <xf numFmtId="0" fontId="0" fillId="0" borderId="64" xfId="0" applyBorder="1" applyAlignment="1">
      <alignment horizontal="left" vertical="top" wrapText="1" indent="1"/>
    </xf>
    <xf numFmtId="0" fontId="0" fillId="0" borderId="65" xfId="0" applyBorder="1" applyAlignment="1">
      <alignment horizontal="left" vertical="top" wrapText="1" indent="1"/>
    </xf>
    <xf numFmtId="0" fontId="1" fillId="6" borderId="44" xfId="0" applyFont="1" applyFill="1" applyBorder="1"/>
    <xf numFmtId="0" fontId="1" fillId="6" borderId="44" xfId="0" applyFont="1" applyFill="1" applyBorder="1" applyAlignment="1">
      <alignment horizontal="left"/>
    </xf>
    <xf numFmtId="3" fontId="0" fillId="0" borderId="30" xfId="0" applyNumberFormat="1" applyFont="1" applyFill="1" applyBorder="1"/>
    <xf numFmtId="3" fontId="0" fillId="0" borderId="31" xfId="0" applyNumberFormat="1" applyFont="1" applyFill="1" applyBorder="1"/>
    <xf numFmtId="3" fontId="0" fillId="0" borderId="32" xfId="0" applyNumberFormat="1" applyFont="1" applyFill="1" applyBorder="1"/>
    <xf numFmtId="3" fontId="0" fillId="0" borderId="2" xfId="0" applyNumberFormat="1" applyFont="1" applyFill="1" applyBorder="1"/>
    <xf numFmtId="3" fontId="0" fillId="0" borderId="42" xfId="0" applyNumberFormat="1" applyFont="1" applyFill="1" applyBorder="1"/>
    <xf numFmtId="3" fontId="0" fillId="0" borderId="24" xfId="0" applyNumberFormat="1" applyFont="1" applyFill="1" applyBorder="1"/>
    <xf numFmtId="3" fontId="0" fillId="0" borderId="43" xfId="0" applyNumberFormat="1" applyFont="1" applyFill="1" applyBorder="1"/>
    <xf numFmtId="3" fontId="0" fillId="0" borderId="44" xfId="0" applyNumberFormat="1" applyFont="1" applyFill="1" applyBorder="1"/>
    <xf numFmtId="0" fontId="2" fillId="3" borderId="9" xfId="0" applyFont="1" applyFill="1" applyBorder="1"/>
    <xf numFmtId="166" fontId="0" fillId="0" borderId="3" xfId="0" applyNumberFormat="1" applyBorder="1" applyAlignment="1">
      <alignment horizontal="right"/>
    </xf>
    <xf numFmtId="0" fontId="2" fillId="3" borderId="4" xfId="0" applyFont="1" applyFill="1" applyBorder="1"/>
    <xf numFmtId="166" fontId="0" fillId="0" borderId="11" xfId="0" applyNumberFormat="1" applyBorder="1" applyAlignment="1">
      <alignment horizontal="right"/>
    </xf>
    <xf numFmtId="166" fontId="0" fillId="0" borderId="16" xfId="0" applyNumberFormat="1" applyBorder="1" applyAlignment="1">
      <alignment horizontal="right"/>
    </xf>
    <xf numFmtId="166" fontId="0" fillId="0" borderId="19" xfId="0" applyNumberFormat="1" applyBorder="1" applyAlignment="1">
      <alignment horizontal="right"/>
    </xf>
    <xf numFmtId="166" fontId="0" fillId="0" borderId="12" xfId="0" applyNumberFormat="1" applyBorder="1" applyAlignment="1">
      <alignment horizontal="right"/>
    </xf>
    <xf numFmtId="166" fontId="0" fillId="0" borderId="14" xfId="0" applyNumberFormat="1" applyBorder="1" applyAlignment="1">
      <alignment horizontal="right"/>
    </xf>
    <xf numFmtId="166" fontId="0" fillId="0" borderId="17" xfId="0" applyNumberFormat="1" applyBorder="1" applyAlignment="1">
      <alignment horizontal="right"/>
    </xf>
    <xf numFmtId="166" fontId="0" fillId="0" borderId="20" xfId="0" applyNumberFormat="1" applyBorder="1" applyAlignment="1">
      <alignment horizontal="right"/>
    </xf>
    <xf numFmtId="165" fontId="0" fillId="0" borderId="10" xfId="1" applyNumberFormat="1" applyFont="1" applyBorder="1" applyAlignment="1">
      <alignment horizontal="center"/>
    </xf>
    <xf numFmtId="165" fontId="0" fillId="0" borderId="11" xfId="1" applyNumberFormat="1" applyFont="1" applyBorder="1" applyAlignment="1">
      <alignment horizontal="center"/>
    </xf>
    <xf numFmtId="165" fontId="0" fillId="0" borderId="12" xfId="1" applyNumberFormat="1" applyFont="1" applyBorder="1" applyAlignment="1">
      <alignment horizontal="center"/>
    </xf>
    <xf numFmtId="165" fontId="0" fillId="0" borderId="13" xfId="1" applyNumberFormat="1" applyFont="1" applyBorder="1" applyAlignment="1">
      <alignment horizontal="center"/>
    </xf>
    <xf numFmtId="165" fontId="0" fillId="0" borderId="15" xfId="1" applyNumberFormat="1" applyFont="1" applyBorder="1" applyAlignment="1">
      <alignment horizontal="center"/>
    </xf>
    <xf numFmtId="165" fontId="0" fillId="0" borderId="18" xfId="1" applyNumberFormat="1" applyFont="1" applyBorder="1" applyAlignment="1">
      <alignment horizontal="center"/>
    </xf>
    <xf numFmtId="165" fontId="0" fillId="0" borderId="19" xfId="1" applyNumberFormat="1" applyFont="1" applyBorder="1" applyAlignment="1">
      <alignment horizontal="center"/>
    </xf>
    <xf numFmtId="165" fontId="0" fillId="0" borderId="20" xfId="1" applyNumberFormat="1" applyFont="1" applyBorder="1" applyAlignment="1">
      <alignment horizontal="center"/>
    </xf>
    <xf numFmtId="168" fontId="0" fillId="0" borderId="3" xfId="0" applyNumberFormat="1" applyFont="1" applyBorder="1"/>
    <xf numFmtId="0" fontId="0" fillId="0" borderId="3" xfId="0" applyFont="1" applyBorder="1"/>
    <xf numFmtId="10" fontId="7" fillId="0" borderId="0" xfId="0" applyNumberFormat="1" applyFont="1"/>
    <xf numFmtId="0" fontId="1" fillId="3" borderId="1" xfId="0" applyFont="1" applyFill="1" applyBorder="1"/>
    <xf numFmtId="0" fontId="2" fillId="6" borderId="1" xfId="0" applyFont="1" applyFill="1" applyBorder="1"/>
    <xf numFmtId="0" fontId="1" fillId="6" borderId="5" xfId="0" applyFont="1" applyFill="1" applyBorder="1"/>
    <xf numFmtId="0" fontId="0" fillId="0" borderId="12" xfId="0" applyBorder="1"/>
    <xf numFmtId="170" fontId="0" fillId="0" borderId="3" xfId="1" applyNumberFormat="1" applyFont="1" applyBorder="1" applyAlignment="1">
      <alignment horizontal="center"/>
    </xf>
    <xf numFmtId="9" fontId="0" fillId="0" borderId="10" xfId="1" applyFont="1" applyBorder="1" applyAlignment="1">
      <alignment horizontal="center" vertical="center"/>
    </xf>
    <xf numFmtId="9" fontId="3" fillId="0" borderId="12" xfId="1" applyFont="1" applyBorder="1" applyAlignment="1">
      <alignment horizontal="center" vertical="center"/>
    </xf>
    <xf numFmtId="9" fontId="0" fillId="0" borderId="13" xfId="1" applyFont="1" applyBorder="1" applyAlignment="1">
      <alignment horizontal="center" vertical="center"/>
    </xf>
    <xf numFmtId="9" fontId="3" fillId="0" borderId="14" xfId="1" applyFont="1" applyBorder="1" applyAlignment="1">
      <alignment horizontal="center" vertical="center"/>
    </xf>
    <xf numFmtId="9" fontId="0" fillId="6" borderId="13" xfId="1" applyFont="1" applyFill="1" applyBorder="1" applyAlignment="1">
      <alignment horizontal="center" vertical="center"/>
    </xf>
    <xf numFmtId="9" fontId="0" fillId="6" borderId="15" xfId="1" applyFont="1" applyFill="1" applyBorder="1" applyAlignment="1">
      <alignment horizontal="center" vertical="center"/>
    </xf>
    <xf numFmtId="9" fontId="3" fillId="0" borderId="17" xfId="1" applyFont="1" applyBorder="1" applyAlignment="1">
      <alignment horizontal="center" vertical="center"/>
    </xf>
    <xf numFmtId="9" fontId="0" fillId="6" borderId="13" xfId="1" quotePrefix="1" applyFont="1" applyFill="1" applyBorder="1" applyAlignment="1">
      <alignment horizontal="center" vertical="center"/>
    </xf>
    <xf numFmtId="0" fontId="1" fillId="0" borderId="10" xfId="0" applyFont="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center"/>
    </xf>
    <xf numFmtId="168" fontId="0" fillId="0" borderId="10" xfId="1" applyNumberFormat="1" applyFont="1" applyBorder="1" applyAlignment="1">
      <alignment horizontal="center" vertical="center"/>
    </xf>
    <xf numFmtId="168" fontId="3" fillId="0" borderId="12" xfId="1" applyNumberFormat="1" applyFont="1" applyBorder="1" applyAlignment="1">
      <alignment horizontal="center" vertical="center"/>
    </xf>
    <xf numFmtId="168" fontId="0" fillId="0" borderId="13" xfId="1" applyNumberFormat="1" applyFont="1" applyBorder="1" applyAlignment="1">
      <alignment horizontal="center" vertical="center"/>
    </xf>
    <xf numFmtId="168" fontId="3" fillId="0" borderId="14" xfId="1" applyNumberFormat="1" applyFont="1" applyBorder="1" applyAlignment="1">
      <alignment horizontal="center" vertical="center"/>
    </xf>
    <xf numFmtId="168" fontId="0" fillId="6" borderId="13" xfId="1" quotePrefix="1" applyNumberFormat="1" applyFont="1" applyFill="1" applyBorder="1" applyAlignment="1">
      <alignment horizontal="center" vertical="center"/>
    </xf>
    <xf numFmtId="168" fontId="0" fillId="6" borderId="13" xfId="1" applyNumberFormat="1" applyFont="1" applyFill="1" applyBorder="1" applyAlignment="1">
      <alignment horizontal="center" vertical="center"/>
    </xf>
    <xf numFmtId="168" fontId="0" fillId="6" borderId="15" xfId="1" applyNumberFormat="1" applyFont="1" applyFill="1" applyBorder="1" applyAlignment="1">
      <alignment horizontal="center" vertical="center"/>
    </xf>
    <xf numFmtId="168" fontId="3" fillId="0" borderId="17" xfId="1" applyNumberFormat="1" applyFont="1" applyBorder="1" applyAlignment="1">
      <alignment horizontal="center" vertical="center"/>
    </xf>
    <xf numFmtId="0" fontId="1" fillId="6" borderId="6" xfId="0" applyFont="1" applyFill="1" applyBorder="1" applyAlignment="1">
      <alignment horizontal="center"/>
    </xf>
    <xf numFmtId="0" fontId="1" fillId="3" borderId="4" xfId="0" applyFont="1" applyFill="1" applyBorder="1"/>
    <xf numFmtId="0" fontId="1" fillId="3" borderId="52" xfId="0" applyFont="1" applyFill="1" applyBorder="1"/>
    <xf numFmtId="0" fontId="0" fillId="3" borderId="48" xfId="0" applyFill="1" applyBorder="1"/>
    <xf numFmtId="0" fontId="2" fillId="3" borderId="52" xfId="0" applyFont="1" applyFill="1" applyBorder="1"/>
    <xf numFmtId="0" fontId="2" fillId="3" borderId="48" xfId="0" applyFont="1" applyFill="1" applyBorder="1"/>
    <xf numFmtId="168" fontId="0" fillId="0" borderId="50" xfId="0" applyNumberFormat="1" applyBorder="1"/>
    <xf numFmtId="0" fontId="10" fillId="0" borderId="0" xfId="0" applyFont="1"/>
    <xf numFmtId="0" fontId="0" fillId="0" borderId="0" xfId="0" applyFont="1" applyFill="1" applyBorder="1" applyAlignment="1">
      <alignment horizontal="center"/>
    </xf>
    <xf numFmtId="0" fontId="0" fillId="0" borderId="0" xfId="0" quotePrefix="1"/>
    <xf numFmtId="0" fontId="1" fillId="11" borderId="27" xfId="0" applyFont="1" applyFill="1" applyBorder="1" applyAlignment="1">
      <alignment horizontal="center"/>
    </xf>
    <xf numFmtId="0" fontId="1" fillId="11" borderId="3" xfId="0" applyFont="1" applyFill="1" applyBorder="1" applyAlignment="1">
      <alignment horizontal="center"/>
    </xf>
    <xf numFmtId="1" fontId="0" fillId="0" borderId="24" xfId="0" applyNumberFormat="1" applyBorder="1" applyAlignment="1"/>
    <xf numFmtId="0" fontId="0" fillId="0" borderId="12" xfId="0" applyBorder="1" applyAlignment="1"/>
    <xf numFmtId="0" fontId="0" fillId="0" borderId="14" xfId="0" applyBorder="1" applyAlignment="1"/>
    <xf numFmtId="0" fontId="0" fillId="0" borderId="17" xfId="0" applyBorder="1" applyAlignment="1"/>
    <xf numFmtId="9" fontId="3" fillId="0" borderId="12" xfId="1" applyFont="1" applyBorder="1" applyAlignment="1"/>
    <xf numFmtId="9" fontId="3" fillId="0" borderId="14" xfId="1" applyFont="1" applyBorder="1" applyAlignment="1"/>
    <xf numFmtId="9" fontId="3" fillId="0" borderId="17" xfId="1" applyFont="1" applyBorder="1" applyAlignment="1"/>
    <xf numFmtId="9" fontId="0" fillId="0" borderId="0" xfId="0" applyNumberFormat="1"/>
    <xf numFmtId="0" fontId="0" fillId="0" borderId="15" xfId="0" quotePrefix="1" applyBorder="1"/>
    <xf numFmtId="165" fontId="6" fillId="5" borderId="10" xfId="1" applyNumberFormat="1" applyFont="1" applyFill="1" applyBorder="1"/>
    <xf numFmtId="165" fontId="6" fillId="5" borderId="13" xfId="1" applyNumberFormat="1" applyFont="1" applyFill="1" applyBorder="1"/>
    <xf numFmtId="165" fontId="6" fillId="5" borderId="15" xfId="1" applyNumberFormat="1" applyFont="1" applyFill="1" applyBorder="1"/>
    <xf numFmtId="165" fontId="6" fillId="5" borderId="18" xfId="1" applyNumberFormat="1" applyFont="1" applyFill="1" applyBorder="1"/>
    <xf numFmtId="165" fontId="0" fillId="0" borderId="30" xfId="1" applyNumberFormat="1" applyFont="1" applyBorder="1" applyAlignment="1">
      <alignment horizontal="center"/>
    </xf>
    <xf numFmtId="165" fontId="0" fillId="0" borderId="31" xfId="1" applyNumberFormat="1" applyFont="1" applyBorder="1" applyAlignment="1">
      <alignment horizontal="center"/>
    </xf>
    <xf numFmtId="165" fontId="0" fillId="0" borderId="32" xfId="1" applyNumberFormat="1" applyFont="1" applyBorder="1" applyAlignment="1">
      <alignment horizontal="center"/>
    </xf>
    <xf numFmtId="165" fontId="0" fillId="0" borderId="2" xfId="1" applyNumberFormat="1" applyFont="1" applyBorder="1" applyAlignment="1">
      <alignment horizontal="center"/>
    </xf>
    <xf numFmtId="0" fontId="0" fillId="0" borderId="46" xfId="0" applyBorder="1"/>
    <xf numFmtId="166" fontId="0" fillId="0" borderId="30" xfId="0" applyNumberFormat="1" applyBorder="1" applyAlignment="1">
      <alignment horizontal="right"/>
    </xf>
    <xf numFmtId="166" fontId="0" fillId="0" borderId="31" xfId="0" applyNumberFormat="1" applyBorder="1" applyAlignment="1">
      <alignment horizontal="right"/>
    </xf>
    <xf numFmtId="166" fontId="0" fillId="0" borderId="32" xfId="0" applyNumberFormat="1" applyBorder="1" applyAlignment="1">
      <alignment horizontal="right"/>
    </xf>
    <xf numFmtId="166" fontId="0" fillId="0" borderId="2" xfId="0" applyNumberFormat="1" applyBorder="1" applyAlignment="1">
      <alignment horizontal="right"/>
    </xf>
    <xf numFmtId="0" fontId="1" fillId="9" borderId="2" xfId="0" applyFont="1" applyFill="1" applyBorder="1" applyAlignment="1">
      <alignment horizontal="center" vertical="top" wrapText="1"/>
    </xf>
    <xf numFmtId="0" fontId="6" fillId="5" borderId="2" xfId="0" applyFont="1" applyFill="1" applyBorder="1" applyAlignment="1">
      <alignment horizontal="center"/>
    </xf>
    <xf numFmtId="0" fontId="1" fillId="2" borderId="2" xfId="0" applyFont="1" applyFill="1" applyBorder="1" applyAlignment="1">
      <alignment horizontal="center" vertical="top" wrapText="1"/>
    </xf>
    <xf numFmtId="0" fontId="1" fillId="9" borderId="2" xfId="0" applyFont="1" applyFill="1" applyBorder="1" applyAlignment="1">
      <alignment horizontal="center"/>
    </xf>
    <xf numFmtId="166" fontId="0" fillId="10" borderId="30" xfId="0" applyNumberFormat="1" applyFill="1" applyBorder="1" applyAlignment="1">
      <alignment horizontal="right"/>
    </xf>
    <xf numFmtId="166" fontId="0" fillId="10" borderId="31" xfId="0" applyNumberFormat="1" applyFill="1" applyBorder="1" applyAlignment="1">
      <alignment horizontal="right"/>
    </xf>
    <xf numFmtId="166" fontId="0" fillId="10" borderId="32" xfId="0" applyNumberFormat="1" applyFill="1" applyBorder="1" applyAlignment="1">
      <alignment horizontal="right"/>
    </xf>
    <xf numFmtId="166" fontId="0" fillId="10" borderId="2" xfId="0" applyNumberFormat="1" applyFill="1" applyBorder="1" applyAlignment="1">
      <alignment horizontal="right"/>
    </xf>
    <xf numFmtId="0" fontId="1" fillId="3" borderId="1" xfId="0" applyFont="1" applyFill="1" applyBorder="1" applyAlignment="1">
      <alignment horizontal="center"/>
    </xf>
    <xf numFmtId="0" fontId="1" fillId="3" borderId="33" xfId="0" applyFont="1" applyFill="1" applyBorder="1" applyAlignment="1">
      <alignment horizontal="center"/>
    </xf>
    <xf numFmtId="0" fontId="2" fillId="3" borderId="8" xfId="0" applyFont="1" applyFill="1" applyBorder="1"/>
    <xf numFmtId="0" fontId="1" fillId="0" borderId="59" xfId="0" applyFont="1" applyBorder="1"/>
    <xf numFmtId="0" fontId="2" fillId="0" borderId="0" xfId="0" applyFont="1"/>
    <xf numFmtId="0" fontId="2" fillId="10" borderId="34" xfId="0" applyFont="1" applyFill="1" applyBorder="1" applyAlignment="1">
      <alignment horizontal="right"/>
    </xf>
    <xf numFmtId="0" fontId="1" fillId="3" borderId="2" xfId="0" applyFont="1" applyFill="1" applyBorder="1" applyAlignment="1">
      <alignment horizontal="center"/>
    </xf>
    <xf numFmtId="0" fontId="15" fillId="0" borderId="0" xfId="0" applyFont="1" applyAlignment="1">
      <alignment horizontal="right"/>
    </xf>
    <xf numFmtId="0" fontId="0" fillId="0" borderId="3" xfId="0" applyBorder="1" applyAlignment="1">
      <alignment horizontal="left" vertical="top" wrapText="1"/>
    </xf>
    <xf numFmtId="0" fontId="0" fillId="0" borderId="3" xfId="0" applyBorder="1" applyAlignment="1">
      <alignment horizontal="left" vertical="top"/>
    </xf>
    <xf numFmtId="0" fontId="5" fillId="6" borderId="3" xfId="0" applyFont="1" applyFill="1" applyBorder="1"/>
    <xf numFmtId="0" fontId="17" fillId="0" borderId="3" xfId="2" applyBorder="1" applyAlignment="1">
      <alignment vertical="top"/>
    </xf>
    <xf numFmtId="0" fontId="17" fillId="0" borderId="3" xfId="2" applyBorder="1" applyAlignment="1">
      <alignment vertical="top" wrapText="1"/>
    </xf>
    <xf numFmtId="0" fontId="17" fillId="0" borderId="3" xfId="2" applyBorder="1"/>
    <xf numFmtId="0" fontId="1" fillId="12" borderId="0" xfId="0" applyFont="1" applyFill="1" applyAlignment="1">
      <alignment horizontal="left" indent="1"/>
    </xf>
    <xf numFmtId="0" fontId="0" fillId="0" borderId="0" xfId="0" applyFont="1" applyAlignment="1">
      <alignment horizontal="left" vertical="top" wrapText="1" indent="1"/>
    </xf>
    <xf numFmtId="0" fontId="1" fillId="9" borderId="1" xfId="0" applyFont="1" applyFill="1" applyBorder="1" applyAlignment="1">
      <alignment horizontal="center" wrapText="1"/>
    </xf>
    <xf numFmtId="0" fontId="1" fillId="9" borderId="34" xfId="0" applyFont="1" applyFill="1" applyBorder="1" applyAlignment="1">
      <alignment horizontal="center" wrapText="1"/>
    </xf>
    <xf numFmtId="0" fontId="1" fillId="9" borderId="33" xfId="0" applyFont="1" applyFill="1" applyBorder="1" applyAlignment="1">
      <alignment horizontal="center" wrapText="1"/>
    </xf>
    <xf numFmtId="0" fontId="0" fillId="0" borderId="62" xfId="0" applyBorder="1" applyAlignment="1">
      <alignment horizontal="left" vertical="top" wrapText="1" indent="1"/>
    </xf>
    <xf numFmtId="0" fontId="0" fillId="0" borderId="63" xfId="0" applyBorder="1" applyAlignment="1">
      <alignment horizontal="left" vertical="top" wrapText="1" indent="1"/>
    </xf>
  </cellXfs>
  <cellStyles count="3">
    <cellStyle name="Hiperligação" xfId="2" builtinId="8"/>
    <cellStyle name="Normal" xfId="0" builtinId="0"/>
    <cellStyle name="Percentagem" xfId="1" builtinId="5"/>
  </cellStyles>
  <dxfs count="5">
    <dxf>
      <fill>
        <patternFill>
          <bgColor theme="6"/>
        </patternFill>
      </fill>
    </dxf>
    <dxf>
      <fill>
        <patternFill>
          <bgColor theme="6"/>
        </patternFill>
      </fill>
    </dxf>
    <dxf>
      <fill>
        <patternFill>
          <bgColor theme="6"/>
        </patternFill>
      </fill>
    </dxf>
    <dxf>
      <fill>
        <patternFill>
          <bgColor theme="6"/>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'Pre-scaling RPM'!$A$4:$B$10</c:f>
              <c:multiLvlStrCache>
                <c:ptCount val="7"/>
                <c:lvl>
                  <c:pt idx="0">
                    <c:v>VIP</c:v>
                  </c:pt>
                  <c:pt idx="1">
                    <c:v>Terminal GNL</c:v>
                  </c:pt>
                  <c:pt idx="2">
                    <c:v>Armazenamento</c:v>
                  </c:pt>
                  <c:pt idx="3">
                    <c:v>VIP</c:v>
                  </c:pt>
                  <c:pt idx="4">
                    <c:v>Terminal GNL</c:v>
                  </c:pt>
                  <c:pt idx="5">
                    <c:v>Armazenamento</c:v>
                  </c:pt>
                  <c:pt idx="6">
                    <c:v>Consumo</c:v>
                  </c:pt>
                </c:lvl>
                <c:lvl>
                  <c:pt idx="0">
                    <c:v>Entrada</c:v>
                  </c:pt>
                  <c:pt idx="3">
                    <c:v>Saída</c:v>
                  </c:pt>
                </c:lvl>
              </c:multiLvlStrCache>
            </c:multiLvlStrRef>
          </c:cat>
          <c:val>
            <c:numRef>
              <c:f>'Pre-scaling RPM'!$C$4:$C$10</c:f>
              <c:numCache>
                <c:formatCode>0.0000</c:formatCode>
                <c:ptCount val="7"/>
                <c:pt idx="0">
                  <c:v>0.13314269607867682</c:v>
                </c:pt>
                <c:pt idx="1">
                  <c:v>0.12252487118630738</c:v>
                </c:pt>
                <c:pt idx="2">
                  <c:v>3.5947325851311218E-2</c:v>
                </c:pt>
                <c:pt idx="3">
                  <c:v>2.8175104583366979E-2</c:v>
                </c:pt>
                <c:pt idx="4" formatCode="#\ ##0.0000">
                  <c:v>0</c:v>
                </c:pt>
                <c:pt idx="5" formatCode="#\ ##0.0000">
                  <c:v>6.5571557052775342E-2</c:v>
                </c:pt>
                <c:pt idx="6">
                  <c:v>0.23102980989150237</c:v>
                </c:pt>
              </c:numCache>
            </c:numRef>
          </c:val>
          <c:extLst>
            <c:ext xmlns:c16="http://schemas.microsoft.com/office/drawing/2014/chart" uri="{C3380CC4-5D6E-409C-BE32-E72D297353CC}">
              <c16:uniqueId val="{00000000-1985-40C0-8C5B-35DDAAA8E478}"/>
            </c:ext>
          </c:extLst>
        </c:ser>
        <c:dLbls>
          <c:showLegendKey val="0"/>
          <c:showVal val="0"/>
          <c:showCatName val="0"/>
          <c:showSerName val="0"/>
          <c:showPercent val="0"/>
          <c:showBubbleSize val="0"/>
        </c:dLbls>
        <c:gapWidth val="58"/>
        <c:axId val="628709368"/>
        <c:axId val="628699528"/>
      </c:barChart>
      <c:catAx>
        <c:axId val="628709368"/>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(kWh/dia)</a:t>
                </a:r>
                <a:r>
                  <a:rPr lang="pt-PT" baseline="0"/>
                  <a:t> por ano</a:t>
                </a:r>
                <a:endParaRPr lang="pt-PT"/>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pt-PT"/>
          </a:p>
        </c:txPr>
        <c:crossAx val="628699528"/>
        <c:crosses val="autoZero"/>
        <c:auto val="1"/>
        <c:lblAlgn val="ctr"/>
        <c:lblOffset val="100"/>
        <c:noMultiLvlLbl val="0"/>
      </c:catAx>
      <c:valAx>
        <c:axId val="628699528"/>
        <c:scaling>
          <c:orientation val="minMax"/>
        </c:scaling>
        <c:delete val="0"/>
        <c:axPos val="t"/>
        <c:numFmt formatCode="0.0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28709368"/>
        <c:crosses val="autoZero"/>
        <c:crossBetween val="between"/>
      </c:valAx>
      <c:spPr>
        <a:noFill/>
        <a:ln w="12700">
          <a:solidFill>
            <a:schemeClr val="tx1"/>
          </a:solidFill>
        </a:ln>
        <a:effectLst/>
      </c:spPr>
    </c:plotArea>
    <c:plotVisOnly val="1"/>
    <c:dispBlanksAs val="gap"/>
    <c:showDLblsOverMax val="0"/>
  </c:chart>
  <c:spPr>
    <a:solidFill>
      <a:schemeClr val="bg2"/>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CWDvsRPM!$C$3</c:f>
              <c:strCache>
                <c:ptCount val="1"/>
                <c:pt idx="0">
                  <c:v>CWD</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CWDvsRPM!$A$4:$B$10</c:f>
              <c:multiLvlStrCache>
                <c:ptCount val="7"/>
                <c:lvl>
                  <c:pt idx="0">
                    <c:v>VIP</c:v>
                  </c:pt>
                  <c:pt idx="1">
                    <c:v>Terminal GNL</c:v>
                  </c:pt>
                  <c:pt idx="2">
                    <c:v>Armazenamento</c:v>
                  </c:pt>
                  <c:pt idx="3">
                    <c:v>VIP</c:v>
                  </c:pt>
                  <c:pt idx="4">
                    <c:v>Terminal GNL</c:v>
                  </c:pt>
                  <c:pt idx="5">
                    <c:v>Armazenamento</c:v>
                  </c:pt>
                  <c:pt idx="6">
                    <c:v>Consumo</c:v>
                  </c:pt>
                </c:lvl>
                <c:lvl>
                  <c:pt idx="0">
                    <c:v>Entrada</c:v>
                  </c:pt>
                  <c:pt idx="3">
                    <c:v>Saída</c:v>
                  </c:pt>
                </c:lvl>
              </c:multiLvlStrCache>
            </c:multiLvlStrRef>
          </c:cat>
          <c:val>
            <c:numRef>
              <c:f>CWDvsRPM!$C$4:$C$10</c:f>
              <c:numCache>
                <c:formatCode>0.000</c:formatCode>
                <c:ptCount val="7"/>
                <c:pt idx="0">
                  <c:v>0.21523455433972546</c:v>
                </c:pt>
                <c:pt idx="1">
                  <c:v>0.20033319089320362</c:v>
                </c:pt>
                <c:pt idx="2">
                  <c:v>0</c:v>
                </c:pt>
                <c:pt idx="3">
                  <c:v>0.18927368454674892</c:v>
                </c:pt>
                <c:pt idx="4">
                  <c:v>0.18617513318695048</c:v>
                </c:pt>
                <c:pt idx="5">
                  <c:v>0</c:v>
                </c:pt>
                <c:pt idx="6">
                  <c:v>0.13470897534060011</c:v>
                </c:pt>
              </c:numCache>
            </c:numRef>
          </c:val>
          <c:extLst>
            <c:ext xmlns:c16="http://schemas.microsoft.com/office/drawing/2014/chart" uri="{C3380CC4-5D6E-409C-BE32-E72D297353CC}">
              <c16:uniqueId val="{00000000-5314-4F9D-AC67-52D0D71CCFB3}"/>
            </c:ext>
          </c:extLst>
        </c:ser>
        <c:ser>
          <c:idx val="1"/>
          <c:order val="1"/>
          <c:tx>
            <c:strRef>
              <c:f>CWDvsRPM!$D$3</c:f>
              <c:strCache>
                <c:ptCount val="1"/>
                <c:pt idx="0">
                  <c:v>CWD 28/72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CWDvsRPM!$A$4:$B$10</c:f>
              <c:multiLvlStrCache>
                <c:ptCount val="7"/>
                <c:lvl>
                  <c:pt idx="0">
                    <c:v>VIP</c:v>
                  </c:pt>
                  <c:pt idx="1">
                    <c:v>Terminal GNL</c:v>
                  </c:pt>
                  <c:pt idx="2">
                    <c:v>Armazenamento</c:v>
                  </c:pt>
                  <c:pt idx="3">
                    <c:v>VIP</c:v>
                  </c:pt>
                  <c:pt idx="4">
                    <c:v>Terminal GNL</c:v>
                  </c:pt>
                  <c:pt idx="5">
                    <c:v>Armazenamento</c:v>
                  </c:pt>
                  <c:pt idx="6">
                    <c:v>Consumo</c:v>
                  </c:pt>
                </c:lvl>
                <c:lvl>
                  <c:pt idx="0">
                    <c:v>Entrada</c:v>
                  </c:pt>
                  <c:pt idx="3">
                    <c:v>Saída</c:v>
                  </c:pt>
                </c:lvl>
              </c:multiLvlStrCache>
            </c:multiLvlStrRef>
          </c:cat>
          <c:val>
            <c:numRef>
              <c:f>CWDvsRPM!$D$4:$D$10</c:f>
              <c:numCache>
                <c:formatCode>0.000</c:formatCode>
                <c:ptCount val="7"/>
                <c:pt idx="0">
                  <c:v>0.12053135043024628</c:v>
                </c:pt>
                <c:pt idx="1">
                  <c:v>0.11218658690019405</c:v>
                </c:pt>
                <c:pt idx="2">
                  <c:v>0</c:v>
                </c:pt>
                <c:pt idx="3">
                  <c:v>0.27255410574731836</c:v>
                </c:pt>
                <c:pt idx="4">
                  <c:v>0.26809219178920857</c:v>
                </c:pt>
                <c:pt idx="5">
                  <c:v>0</c:v>
                </c:pt>
                <c:pt idx="6">
                  <c:v>0.19398092449046409</c:v>
                </c:pt>
              </c:numCache>
            </c:numRef>
          </c:val>
          <c:extLst>
            <c:ext xmlns:c16="http://schemas.microsoft.com/office/drawing/2014/chart" uri="{C3380CC4-5D6E-409C-BE32-E72D297353CC}">
              <c16:uniqueId val="{00000001-5314-4F9D-AC67-52D0D71CCFB3}"/>
            </c:ext>
          </c:extLst>
        </c:ser>
        <c:ser>
          <c:idx val="2"/>
          <c:order val="2"/>
          <c:tx>
            <c:strRef>
              <c:f>CWDvsRPM!$E$3</c:f>
              <c:strCache>
                <c:ptCount val="1"/>
                <c:pt idx="0">
                  <c:v>CWD modificada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CWDvsRPM!$A$4:$B$10</c:f>
              <c:multiLvlStrCache>
                <c:ptCount val="7"/>
                <c:lvl>
                  <c:pt idx="0">
                    <c:v>VIP</c:v>
                  </c:pt>
                  <c:pt idx="1">
                    <c:v>Terminal GNL</c:v>
                  </c:pt>
                  <c:pt idx="2">
                    <c:v>Armazenamento</c:v>
                  </c:pt>
                  <c:pt idx="3">
                    <c:v>VIP</c:v>
                  </c:pt>
                  <c:pt idx="4">
                    <c:v>Terminal GNL</c:v>
                  </c:pt>
                  <c:pt idx="5">
                    <c:v>Armazenamento</c:v>
                  </c:pt>
                  <c:pt idx="6">
                    <c:v>Consumo</c:v>
                  </c:pt>
                </c:lvl>
                <c:lvl>
                  <c:pt idx="0">
                    <c:v>Entrada</c:v>
                  </c:pt>
                  <c:pt idx="3">
                    <c:v>Saída</c:v>
                  </c:pt>
                </c:lvl>
              </c:multiLvlStrCache>
            </c:multiLvlStrRef>
          </c:cat>
          <c:val>
            <c:numRef>
              <c:f>CWDvsRPM!$E$4:$E$10</c:f>
              <c:numCache>
                <c:formatCode>0.000</c:formatCode>
                <c:ptCount val="7"/>
                <c:pt idx="0">
                  <c:v>0.12105867385712639</c:v>
                </c:pt>
                <c:pt idx="1">
                  <c:v>0.11140452204426336</c:v>
                </c:pt>
                <c:pt idx="2">
                  <c:v>0</c:v>
                </c:pt>
                <c:pt idx="3">
                  <c:v>2.3958713237221051E-2</c:v>
                </c:pt>
                <c:pt idx="4">
                  <c:v>0</c:v>
                </c:pt>
                <c:pt idx="5">
                  <c:v>0</c:v>
                </c:pt>
                <c:pt idx="6">
                  <c:v>0.19645630588742741</c:v>
                </c:pt>
              </c:numCache>
            </c:numRef>
          </c:val>
          <c:extLst>
            <c:ext xmlns:c16="http://schemas.microsoft.com/office/drawing/2014/chart" uri="{C3380CC4-5D6E-409C-BE32-E72D297353CC}">
              <c16:uniqueId val="{00000000-AFCE-49EB-ABDA-A4F199BB5267}"/>
            </c:ext>
          </c:extLst>
        </c:ser>
        <c:dLbls>
          <c:showLegendKey val="0"/>
          <c:showVal val="0"/>
          <c:showCatName val="0"/>
          <c:showSerName val="0"/>
          <c:showPercent val="0"/>
          <c:showBubbleSize val="0"/>
        </c:dLbls>
        <c:gapWidth val="38"/>
        <c:overlap val="-25"/>
        <c:axId val="672456288"/>
        <c:axId val="672453008"/>
      </c:barChart>
      <c:catAx>
        <c:axId val="672456288"/>
        <c:scaling>
          <c:orientation val="maxMin"/>
        </c:scaling>
        <c:delete val="0"/>
        <c:axPos val="l"/>
        <c:majorGridlines>
          <c:spPr>
            <a:ln w="6350"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(kWh/dia) por ano</a:t>
                </a:r>
              </a:p>
              <a:p>
                <a:pPr>
                  <a:defRPr/>
                </a:pPr>
                <a:endParaRPr lang="pt-PT"/>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t-PT"/>
          </a:p>
        </c:txPr>
        <c:crossAx val="672453008"/>
        <c:crosses val="autoZero"/>
        <c:auto val="1"/>
        <c:lblAlgn val="ctr"/>
        <c:lblOffset val="100"/>
        <c:noMultiLvlLbl val="0"/>
      </c:catAx>
      <c:valAx>
        <c:axId val="672453008"/>
        <c:scaling>
          <c:orientation val="minMax"/>
          <c:max val="0.33000000000000007"/>
        </c:scaling>
        <c:delete val="0"/>
        <c:axPos val="t"/>
        <c:numFmt formatCode="0.0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72456288"/>
        <c:crosses val="autoZero"/>
        <c:crossBetween val="between"/>
        <c:majorUnit val="1.0000000000000002E-2"/>
      </c:valAx>
      <c:spPr>
        <a:noFill/>
        <a:ln w="12700">
          <a:solidFill>
            <a:schemeClr val="tx1"/>
          </a:solidFill>
        </a:ln>
        <a:effectLst/>
      </c:spPr>
    </c:plotArea>
    <c:legend>
      <c:legendPos val="r"/>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PT"/>
        </a:p>
      </c:txPr>
    </c:legend>
    <c:plotVisOnly val="1"/>
    <c:dispBlanksAs val="gap"/>
    <c:showDLblsOverMax val="0"/>
  </c:chart>
  <c:spPr>
    <a:solidFill>
      <a:schemeClr val="bg1">
        <a:lumMod val="95000"/>
      </a:schemeClr>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'Pre-scaling CWD'!$A$4:$B$10</c:f>
              <c:multiLvlStrCache>
                <c:ptCount val="7"/>
                <c:lvl>
                  <c:pt idx="0">
                    <c:v>VIP</c:v>
                  </c:pt>
                  <c:pt idx="1">
                    <c:v>Terminal GNL</c:v>
                  </c:pt>
                  <c:pt idx="2">
                    <c:v>Armazenamento</c:v>
                  </c:pt>
                  <c:pt idx="3">
                    <c:v>VIP</c:v>
                  </c:pt>
                  <c:pt idx="4">
                    <c:v>Terminal GNL</c:v>
                  </c:pt>
                  <c:pt idx="5">
                    <c:v>Armazenamento</c:v>
                  </c:pt>
                  <c:pt idx="6">
                    <c:v>Consumo</c:v>
                  </c:pt>
                </c:lvl>
                <c:lvl>
                  <c:pt idx="0">
                    <c:v>Entrada</c:v>
                  </c:pt>
                  <c:pt idx="3">
                    <c:v>Saída</c:v>
                  </c:pt>
                </c:lvl>
              </c:multiLvlStrCache>
            </c:multiLvlStrRef>
          </c:cat>
          <c:val>
            <c:numRef>
              <c:f>'Pre-scaling CWD'!$C$4:$C$10</c:f>
              <c:numCache>
                <c:formatCode>0.0000</c:formatCode>
                <c:ptCount val="7"/>
                <c:pt idx="0">
                  <c:v>0.2354362972291926</c:v>
                </c:pt>
                <c:pt idx="1">
                  <c:v>0.21913630374404791</c:v>
                </c:pt>
                <c:pt idx="2">
                  <c:v>0.11699575981281479</c:v>
                </c:pt>
                <c:pt idx="3">
                  <c:v>0.22187161265432789</c:v>
                </c:pt>
                <c:pt idx="4" formatCode="#\ ##0.0000">
                  <c:v>0.21823940890272323</c:v>
                </c:pt>
                <c:pt idx="5" formatCode="#\ ##0.0000">
                  <c:v>0.12421861302929801</c:v>
                </c:pt>
                <c:pt idx="6">
                  <c:v>0.15790941920639232</c:v>
                </c:pt>
              </c:numCache>
            </c:numRef>
          </c:val>
          <c:extLst>
            <c:ext xmlns:c16="http://schemas.microsoft.com/office/drawing/2014/chart" uri="{C3380CC4-5D6E-409C-BE32-E72D297353CC}">
              <c16:uniqueId val="{00000000-B671-4D88-BA29-8CF0488E51B0}"/>
            </c:ext>
          </c:extLst>
        </c:ser>
        <c:dLbls>
          <c:showLegendKey val="0"/>
          <c:showVal val="0"/>
          <c:showCatName val="0"/>
          <c:showSerName val="0"/>
          <c:showPercent val="0"/>
          <c:showBubbleSize val="0"/>
        </c:dLbls>
        <c:gapWidth val="58"/>
        <c:axId val="628709368"/>
        <c:axId val="628699528"/>
      </c:barChart>
      <c:catAx>
        <c:axId val="628709368"/>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(kWh/dia) por ano</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pt-PT"/>
          </a:p>
        </c:txPr>
        <c:crossAx val="628699528"/>
        <c:crosses val="autoZero"/>
        <c:auto val="1"/>
        <c:lblAlgn val="ctr"/>
        <c:lblOffset val="100"/>
        <c:noMultiLvlLbl val="0"/>
      </c:catAx>
      <c:valAx>
        <c:axId val="628699528"/>
        <c:scaling>
          <c:orientation val="minMax"/>
        </c:scaling>
        <c:delete val="0"/>
        <c:axPos val="t"/>
        <c:numFmt formatCode="0.0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28709368"/>
        <c:crosses val="autoZero"/>
        <c:crossBetween val="between"/>
      </c:valAx>
      <c:spPr>
        <a:noFill/>
        <a:ln w="12700">
          <a:solidFill>
            <a:schemeClr val="tx1"/>
          </a:solidFill>
        </a:ln>
        <a:effectLst/>
      </c:spPr>
    </c:plotArea>
    <c:plotVisOnly val="1"/>
    <c:dispBlanksAs val="gap"/>
    <c:showDLblsOverMax val="0"/>
  </c:chart>
  <c:spPr>
    <a:solidFill>
      <a:schemeClr val="bg2"/>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'Pre-scaling CWD 28-72'!$A$4:$B$10</c:f>
              <c:multiLvlStrCache>
                <c:ptCount val="7"/>
                <c:lvl>
                  <c:pt idx="0">
                    <c:v>VIP</c:v>
                  </c:pt>
                  <c:pt idx="1">
                    <c:v>Terminal GNL</c:v>
                  </c:pt>
                  <c:pt idx="2">
                    <c:v>Armazenamento</c:v>
                  </c:pt>
                  <c:pt idx="3">
                    <c:v>VIP</c:v>
                  </c:pt>
                  <c:pt idx="4">
                    <c:v>Terminal GNL</c:v>
                  </c:pt>
                  <c:pt idx="5">
                    <c:v>Armazenamento</c:v>
                  </c:pt>
                  <c:pt idx="6">
                    <c:v>Consumo</c:v>
                  </c:pt>
                </c:lvl>
                <c:lvl>
                  <c:pt idx="0">
                    <c:v>Entrada</c:v>
                  </c:pt>
                  <c:pt idx="3">
                    <c:v>Saída</c:v>
                  </c:pt>
                </c:lvl>
              </c:multiLvlStrCache>
            </c:multiLvlStrRef>
          </c:cat>
          <c:val>
            <c:numRef>
              <c:f>'Pre-scaling CWD 28-72'!$C$4:$C$10</c:f>
              <c:numCache>
                <c:formatCode>0.0000</c:formatCode>
                <c:ptCount val="7"/>
                <c:pt idx="0">
                  <c:v>0.13184432644834784</c:v>
                </c:pt>
                <c:pt idx="1">
                  <c:v>0.12271633009666683</c:v>
                </c:pt>
                <c:pt idx="2">
                  <c:v>6.5517625495176285E-2</c:v>
                </c:pt>
                <c:pt idx="3">
                  <c:v>0.31949512222223214</c:v>
                </c:pt>
                <c:pt idx="4" formatCode="#\ ##0.0000">
                  <c:v>0.31426474881992139</c:v>
                </c:pt>
                <c:pt idx="5" formatCode="#\ ##0.0000">
                  <c:v>0.17887480276218914</c:v>
                </c:pt>
                <c:pt idx="6">
                  <c:v>0.22738956365720492</c:v>
                </c:pt>
              </c:numCache>
            </c:numRef>
          </c:val>
          <c:extLst>
            <c:ext xmlns:c16="http://schemas.microsoft.com/office/drawing/2014/chart" uri="{C3380CC4-5D6E-409C-BE32-E72D297353CC}">
              <c16:uniqueId val="{00000000-F7F8-44EE-A95D-85B396BD9E4A}"/>
            </c:ext>
          </c:extLst>
        </c:ser>
        <c:dLbls>
          <c:showLegendKey val="0"/>
          <c:showVal val="0"/>
          <c:showCatName val="0"/>
          <c:showSerName val="0"/>
          <c:showPercent val="0"/>
          <c:showBubbleSize val="0"/>
        </c:dLbls>
        <c:gapWidth val="58"/>
        <c:axId val="628709368"/>
        <c:axId val="628699528"/>
      </c:barChart>
      <c:catAx>
        <c:axId val="628709368"/>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(kWh/dia) por ano</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pt-PT"/>
          </a:p>
        </c:txPr>
        <c:crossAx val="628699528"/>
        <c:crosses val="autoZero"/>
        <c:auto val="1"/>
        <c:lblAlgn val="ctr"/>
        <c:lblOffset val="100"/>
        <c:noMultiLvlLbl val="0"/>
      </c:catAx>
      <c:valAx>
        <c:axId val="628699528"/>
        <c:scaling>
          <c:orientation val="minMax"/>
        </c:scaling>
        <c:delete val="0"/>
        <c:axPos val="t"/>
        <c:numFmt formatCode="0.0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28709368"/>
        <c:crosses val="autoZero"/>
        <c:crossBetween val="between"/>
      </c:valAx>
      <c:spPr>
        <a:noFill/>
        <a:ln w="12700">
          <a:solidFill>
            <a:schemeClr val="tx1"/>
          </a:solidFill>
        </a:ln>
        <a:effectLst/>
      </c:spPr>
    </c:plotArea>
    <c:plotVisOnly val="1"/>
    <c:dispBlanksAs val="gap"/>
    <c:showDLblsOverMax val="0"/>
  </c:chart>
  <c:spPr>
    <a:solidFill>
      <a:schemeClr val="bg2"/>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Quadros!$P$29:$P$30</c:f>
              <c:strCache>
                <c:ptCount val="2"/>
                <c:pt idx="0">
                  <c:v>Preços pré-equalização</c:v>
                </c:pt>
                <c:pt idx="1">
                  <c:v>€/(kWh/d)/year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Quadros!$N$31:$O$45</c:f>
              <c:multiLvlStrCache>
                <c:ptCount val="15"/>
                <c:lvl>
                  <c:pt idx="0">
                    <c:v>A</c:v>
                  </c:pt>
                  <c:pt idx="1">
                    <c:v>B</c:v>
                  </c:pt>
                  <c:pt idx="2">
                    <c:v>C</c:v>
                  </c:pt>
                  <c:pt idx="3">
                    <c:v>D</c:v>
                  </c:pt>
                  <c:pt idx="4">
                    <c:v>A</c:v>
                  </c:pt>
                  <c:pt idx="5">
                    <c:v>B</c:v>
                  </c:pt>
                  <c:pt idx="6">
                    <c:v>C</c:v>
                  </c:pt>
                  <c:pt idx="7">
                    <c:v>D</c:v>
                  </c:pt>
                  <c:pt idx="8">
                    <c:v>E</c:v>
                  </c:pt>
                  <c:pt idx="9">
                    <c:v>F</c:v>
                  </c:pt>
                  <c:pt idx="10">
                    <c:v>G</c:v>
                  </c:pt>
                  <c:pt idx="11">
                    <c:v>H</c:v>
                  </c:pt>
                  <c:pt idx="12">
                    <c:v>I</c:v>
                  </c:pt>
                  <c:pt idx="13">
                    <c:v>J</c:v>
                  </c:pt>
                  <c:pt idx="14">
                    <c:v>K</c:v>
                  </c:pt>
                </c:lvl>
                <c:lvl>
                  <c:pt idx="0">
                    <c:v>Entrada</c:v>
                  </c:pt>
                  <c:pt idx="4">
                    <c:v>Saída</c:v>
                  </c:pt>
                </c:lvl>
              </c:multiLvlStrCache>
            </c:multiLvlStrRef>
          </c:cat>
          <c:val>
            <c:numRef>
              <c:f>Quadros!$P$31:$P$45</c:f>
              <c:numCache>
                <c:formatCode>0.000</c:formatCode>
                <c:ptCount val="15"/>
                <c:pt idx="0">
                  <c:v>0.13334081341421711</c:v>
                </c:pt>
                <c:pt idx="1">
                  <c:v>0.13048792378243648</c:v>
                </c:pt>
                <c:pt idx="2">
                  <c:v>0.12252487118630738</c:v>
                </c:pt>
                <c:pt idx="3">
                  <c:v>3.5947325851311218E-2</c:v>
                </c:pt>
                <c:pt idx="4">
                  <c:v>2.7371623199804053E-2</c:v>
                </c:pt>
                <c:pt idx="5">
                  <c:v>2.9942763627205413E-2</c:v>
                </c:pt>
                <c:pt idx="6">
                  <c:v>0</c:v>
                </c:pt>
                <c:pt idx="7">
                  <c:v>6.5571557052775342E-2</c:v>
                </c:pt>
                <c:pt idx="8">
                  <c:v>0.24139204225637692</c:v>
                </c:pt>
                <c:pt idx="9">
                  <c:v>0.28929395189070967</c:v>
                </c:pt>
                <c:pt idx="10">
                  <c:v>0.2021326058861912</c:v>
                </c:pt>
                <c:pt idx="11">
                  <c:v>0.15318661588125346</c:v>
                </c:pt>
                <c:pt idx="12">
                  <c:v>0.3137539721391811</c:v>
                </c:pt>
                <c:pt idx="13">
                  <c:v>0.19475568802151857</c:v>
                </c:pt>
                <c:pt idx="14">
                  <c:v>0.2305609228080816</c:v>
                </c:pt>
              </c:numCache>
            </c:numRef>
          </c:val>
          <c:extLst>
            <c:ext xmlns:c16="http://schemas.microsoft.com/office/drawing/2014/chart" uri="{C3380CC4-5D6E-409C-BE32-E72D297353CC}">
              <c16:uniqueId val="{00000000-E3B5-43C4-972A-F1057CD7217E}"/>
            </c:ext>
          </c:extLst>
        </c:ser>
        <c:dLbls>
          <c:showLegendKey val="0"/>
          <c:showVal val="0"/>
          <c:showCatName val="0"/>
          <c:showSerName val="0"/>
          <c:showPercent val="0"/>
          <c:showBubbleSize val="0"/>
        </c:dLbls>
        <c:gapWidth val="58"/>
        <c:axId val="628709368"/>
        <c:axId val="628699528"/>
      </c:barChart>
      <c:catAx>
        <c:axId val="628709368"/>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 / (kWh/dia)</a:t>
                </a:r>
                <a:r>
                  <a:rPr lang="pt-PT" baseline="0"/>
                  <a:t> por ano</a:t>
                </a:r>
              </a:p>
              <a:p>
                <a:pPr>
                  <a:defRPr/>
                </a:pPr>
                <a:endParaRPr lang="pt-PT"/>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pt-PT"/>
          </a:p>
        </c:txPr>
        <c:crossAx val="628699528"/>
        <c:crosses val="autoZero"/>
        <c:auto val="1"/>
        <c:lblAlgn val="ctr"/>
        <c:lblOffset val="100"/>
        <c:noMultiLvlLbl val="0"/>
      </c:catAx>
      <c:valAx>
        <c:axId val="628699528"/>
        <c:scaling>
          <c:orientation val="minMax"/>
        </c:scaling>
        <c:delete val="0"/>
        <c:axPos val="t"/>
        <c:numFmt formatCode="0.0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628709368"/>
        <c:crosses val="autoZero"/>
        <c:crossBetween val="between"/>
      </c:valAx>
      <c:spPr>
        <a:noFill/>
        <a:ln w="12700">
          <a:solidFill>
            <a:schemeClr val="tx1"/>
          </a:solidFill>
        </a:ln>
        <a:effectLst/>
      </c:spPr>
    </c:plotArea>
    <c:plotVisOnly val="1"/>
    <c:dispBlanksAs val="gap"/>
    <c:showDLblsOverMax val="0"/>
  </c:chart>
  <c:spPr>
    <a:solidFill>
      <a:schemeClr val="bg2"/>
    </a:solid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10583</xdr:colOff>
      <xdr:row>0</xdr:row>
      <xdr:rowOff>88900</xdr:rowOff>
    </xdr:from>
    <xdr:to>
      <xdr:col>6</xdr:col>
      <xdr:colOff>2243666</xdr:colOff>
      <xdr:row>11</xdr:row>
      <xdr:rowOff>21167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10</xdr:row>
      <xdr:rowOff>85725</xdr:rowOff>
    </xdr:from>
    <xdr:to>
      <xdr:col>5</xdr:col>
      <xdr:colOff>606109</xdr:colOff>
      <xdr:row>25</xdr:row>
      <xdr:rowOff>108225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10583</xdr:colOff>
      <xdr:row>0</xdr:row>
      <xdr:rowOff>88900</xdr:rowOff>
    </xdr:from>
    <xdr:to>
      <xdr:col>6</xdr:col>
      <xdr:colOff>2243666</xdr:colOff>
      <xdr:row>11</xdr:row>
      <xdr:rowOff>21167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10583</xdr:colOff>
      <xdr:row>0</xdr:row>
      <xdr:rowOff>88900</xdr:rowOff>
    </xdr:from>
    <xdr:to>
      <xdr:col>6</xdr:col>
      <xdr:colOff>2243666</xdr:colOff>
      <xdr:row>11</xdr:row>
      <xdr:rowOff>21167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114300</xdr:colOff>
      <xdr:row>27</xdr:row>
      <xdr:rowOff>190498</xdr:rowOff>
    </xdr:from>
    <xdr:to>
      <xdr:col>23</xdr:col>
      <xdr:colOff>419100</xdr:colOff>
      <xdr:row>41</xdr:row>
      <xdr:rowOff>185398</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30"/>
  <sheetViews>
    <sheetView showGridLines="0" tabSelected="1" zoomScale="90" zoomScaleNormal="90" zoomScaleSheetLayoutView="90" workbookViewId="0">
      <selection activeCell="B21" sqref="B21"/>
    </sheetView>
  </sheetViews>
  <sheetFormatPr defaultColWidth="0" defaultRowHeight="15" customHeight="1" zeroHeight="1" x14ac:dyDescent="0.25"/>
  <cols>
    <col min="1" max="1" width="30.140625" customWidth="1"/>
    <col min="2" max="2" width="173.28515625" customWidth="1"/>
    <col min="3" max="16384" width="8.85546875" hidden="1"/>
  </cols>
  <sheetData>
    <row r="1" spans="1:2" x14ac:dyDescent="0.25">
      <c r="A1" s="453" t="s">
        <v>324</v>
      </c>
      <c r="B1" s="453"/>
    </row>
    <row r="2" spans="1:2" x14ac:dyDescent="0.25">
      <c r="B2" s="446" t="s">
        <v>320</v>
      </c>
    </row>
    <row r="3" spans="1:2" ht="222" customHeight="1" x14ac:dyDescent="0.25">
      <c r="A3" s="454" t="s">
        <v>345</v>
      </c>
      <c r="B3" s="454"/>
    </row>
    <row r="4" spans="1:2" x14ac:dyDescent="0.25">
      <c r="A4" s="1" t="s">
        <v>321</v>
      </c>
    </row>
    <row r="5" spans="1:2" x14ac:dyDescent="0.25">
      <c r="A5" s="1"/>
    </row>
    <row r="6" spans="1:2" x14ac:dyDescent="0.25">
      <c r="A6" s="449" t="s">
        <v>322</v>
      </c>
      <c r="B6" s="449" t="s">
        <v>323</v>
      </c>
    </row>
    <row r="7" spans="1:2" ht="30" x14ac:dyDescent="0.25">
      <c r="A7" s="450" t="s">
        <v>325</v>
      </c>
      <c r="B7" s="447" t="s">
        <v>335</v>
      </c>
    </row>
    <row r="8" spans="1:2" x14ac:dyDescent="0.25">
      <c r="A8" s="450" t="s">
        <v>326</v>
      </c>
      <c r="B8" s="447" t="s">
        <v>336</v>
      </c>
    </row>
    <row r="9" spans="1:2" x14ac:dyDescent="0.25">
      <c r="A9" s="450" t="s">
        <v>327</v>
      </c>
      <c r="B9" s="448" t="s">
        <v>337</v>
      </c>
    </row>
    <row r="10" spans="1:2" x14ac:dyDescent="0.25">
      <c r="A10" s="450" t="s">
        <v>315</v>
      </c>
      <c r="B10" s="447" t="s">
        <v>338</v>
      </c>
    </row>
    <row r="11" spans="1:2" ht="30" x14ac:dyDescent="0.25">
      <c r="A11" s="450" t="s">
        <v>328</v>
      </c>
      <c r="B11" s="447" t="s">
        <v>347</v>
      </c>
    </row>
    <row r="12" spans="1:2" ht="45" x14ac:dyDescent="0.25">
      <c r="A12" s="450" t="s">
        <v>329</v>
      </c>
      <c r="B12" s="447" t="s">
        <v>339</v>
      </c>
    </row>
    <row r="13" spans="1:2" ht="30" x14ac:dyDescent="0.25">
      <c r="A13" s="450" t="s">
        <v>330</v>
      </c>
      <c r="B13" s="447" t="s">
        <v>348</v>
      </c>
    </row>
    <row r="14" spans="1:2" x14ac:dyDescent="0.25">
      <c r="A14" s="450" t="s">
        <v>331</v>
      </c>
      <c r="B14" s="447" t="s">
        <v>340</v>
      </c>
    </row>
    <row r="15" spans="1:2" x14ac:dyDescent="0.25">
      <c r="A15" s="450" t="s">
        <v>332</v>
      </c>
      <c r="B15" s="447" t="s">
        <v>349</v>
      </c>
    </row>
    <row r="16" spans="1:2" ht="45" x14ac:dyDescent="0.25">
      <c r="A16" s="451" t="s">
        <v>333</v>
      </c>
      <c r="B16" s="447" t="s">
        <v>350</v>
      </c>
    </row>
    <row r="17" spans="1:2" ht="45" x14ac:dyDescent="0.25">
      <c r="A17" s="451" t="s">
        <v>334</v>
      </c>
      <c r="B17" s="447" t="s">
        <v>346</v>
      </c>
    </row>
    <row r="18" spans="1:2" x14ac:dyDescent="0.25">
      <c r="A18" s="452" t="s">
        <v>316</v>
      </c>
      <c r="B18" s="447" t="s">
        <v>341</v>
      </c>
    </row>
    <row r="19" spans="1:2" x14ac:dyDescent="0.25">
      <c r="A19" s="452" t="s">
        <v>317</v>
      </c>
      <c r="B19" s="447" t="s">
        <v>342</v>
      </c>
    </row>
    <row r="20" spans="1:2" x14ac:dyDescent="0.25">
      <c r="A20" s="452" t="s">
        <v>318</v>
      </c>
      <c r="B20" s="447" t="s">
        <v>343</v>
      </c>
    </row>
    <row r="21" spans="1:2" x14ac:dyDescent="0.25">
      <c r="A21" s="452" t="s">
        <v>319</v>
      </c>
      <c r="B21" s="447" t="s">
        <v>344</v>
      </c>
    </row>
    <row r="22" spans="1:2" ht="15" customHeight="1" x14ac:dyDescent="0.25"/>
    <row r="23" spans="1:2" ht="15" hidden="1" customHeight="1" x14ac:dyDescent="0.25"/>
    <row r="24" spans="1:2" ht="15" hidden="1" customHeight="1" x14ac:dyDescent="0.25"/>
    <row r="25" spans="1:2" ht="15" hidden="1" customHeight="1" x14ac:dyDescent="0.25"/>
    <row r="26" spans="1:2" ht="15" hidden="1" customHeight="1" x14ac:dyDescent="0.25"/>
    <row r="27" spans="1:2" ht="15" hidden="1" customHeight="1" x14ac:dyDescent="0.25"/>
    <row r="28" spans="1:2" ht="15" hidden="1" customHeight="1" x14ac:dyDescent="0.25"/>
    <row r="29" spans="1:2" ht="15" hidden="1" customHeight="1" x14ac:dyDescent="0.25"/>
    <row r="30" spans="1:2" ht="15" hidden="1" customHeight="1" x14ac:dyDescent="0.25"/>
  </sheetData>
  <mergeCells count="2">
    <mergeCell ref="A1:B1"/>
    <mergeCell ref="A3:B3"/>
  </mergeCells>
  <hyperlinks>
    <hyperlink ref="A7" location="Input!A1" display="Input"/>
    <hyperlink ref="A8" location="Output!A1" display="Output"/>
    <hyperlink ref="A9" location="'RPM inputs'!A1" display="RPM inputs"/>
    <hyperlink ref="A10" location="RPM!A1" display="RPM"/>
    <hyperlink ref="A11" location="'Pre-scaling RPM'!A1" display="Pre-scaling RPM"/>
    <hyperlink ref="A12" location="'Reference prices RPM'!A1" display="Reference prices RPM"/>
    <hyperlink ref="A13" location="CWDvsRPM!A1" display="CWDvsRPM"/>
    <hyperlink ref="A14" location="'Tariff Evolution'!A1" display="Tariff Evolution"/>
    <hyperlink ref="A15" location="CAA!A1" display="CAA"/>
    <hyperlink ref="A16" location="CWD!A1" display="CWD!A1"/>
    <hyperlink ref="A17" location="'CWD 28-72'!A1" display="'CWD 28-72'!A1"/>
    <hyperlink ref="A18" location="Data_a!A1" display="Data_a"/>
    <hyperlink ref="A19" location="Data_b!A1" display="Data_b"/>
    <hyperlink ref="A20" location="Data_c!A1" display="Data_c"/>
    <hyperlink ref="A21" location="Data_d!A1" display="Data_d"/>
  </hyperlinks>
  <pageMargins left="0.7" right="0.7" top="0.75" bottom="0.75" header="0.3" footer="0.3"/>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N44"/>
  <sheetViews>
    <sheetView showGridLines="0" zoomScale="70" zoomScaleNormal="70" workbookViewId="0">
      <selection activeCell="D36" sqref="D36"/>
    </sheetView>
  </sheetViews>
  <sheetFormatPr defaultColWidth="0" defaultRowHeight="15" zeroHeight="1" x14ac:dyDescent="0.25"/>
  <cols>
    <col min="1" max="1" width="2.85546875" customWidth="1"/>
    <col min="2" max="2" width="11" customWidth="1"/>
    <col min="3" max="3" width="35.7109375" customWidth="1"/>
    <col min="4" max="4" width="63.140625" bestFit="1" customWidth="1"/>
    <col min="5" max="5" width="20.7109375" bestFit="1" customWidth="1"/>
    <col min="6" max="8" width="13.85546875" customWidth="1"/>
    <col min="9" max="9" width="3.140625" customWidth="1"/>
    <col min="10" max="10" width="20.7109375" bestFit="1" customWidth="1"/>
    <col min="11" max="13" width="11.85546875" customWidth="1"/>
    <col min="14" max="14" width="9.140625" customWidth="1"/>
    <col min="15" max="16384" width="9.140625" hidden="1"/>
  </cols>
  <sheetData>
    <row r="1" spans="2:13" ht="15.75" thickBot="1" x14ac:dyDescent="0.3"/>
    <row r="2" spans="2:13" ht="15.75" thickBot="1" x14ac:dyDescent="0.3">
      <c r="E2" s="28" t="s">
        <v>204</v>
      </c>
      <c r="F2" s="26" t="s">
        <v>6</v>
      </c>
      <c r="G2" s="26" t="s">
        <v>7</v>
      </c>
      <c r="H2" s="26" t="s">
        <v>8</v>
      </c>
      <c r="J2" s="28" t="str">
        <f>+E2</f>
        <v>Capacidades previstas</v>
      </c>
      <c r="K2" s="26" t="str">
        <f>+F2</f>
        <v>2019-2020</v>
      </c>
      <c r="L2" s="26" t="str">
        <f t="shared" ref="L2:M2" si="0">+G2</f>
        <v>2020-2021</v>
      </c>
      <c r="M2" s="26" t="str">
        <f t="shared" si="0"/>
        <v>2021-2022</v>
      </c>
    </row>
    <row r="3" spans="2:13" ht="15.75" thickBot="1" x14ac:dyDescent="0.3">
      <c r="C3" s="8" t="s">
        <v>205</v>
      </c>
      <c r="D3" s="8" t="s">
        <v>206</v>
      </c>
      <c r="E3" s="8" t="s">
        <v>207</v>
      </c>
      <c r="F3" s="9"/>
      <c r="G3" s="10"/>
      <c r="H3" s="11"/>
      <c r="J3" s="8" t="s">
        <v>207</v>
      </c>
      <c r="K3" s="27"/>
      <c r="L3" s="27"/>
      <c r="M3" s="27"/>
    </row>
    <row r="4" spans="2:13" x14ac:dyDescent="0.25">
      <c r="B4" s="5" t="s">
        <v>160</v>
      </c>
      <c r="C4" s="23" t="s">
        <v>1</v>
      </c>
      <c r="D4" s="14" t="s">
        <v>209</v>
      </c>
      <c r="E4" s="15" t="s">
        <v>208</v>
      </c>
      <c r="F4" s="249">
        <f>+Data_a!G6</f>
        <v>108634638.44687434</v>
      </c>
      <c r="G4" s="57">
        <f>+Data_a!H6</f>
        <v>108634638.44687434</v>
      </c>
      <c r="H4" s="58">
        <f>+Data_a!I6</f>
        <v>108634638.44687434</v>
      </c>
      <c r="J4" s="50" t="s">
        <v>44</v>
      </c>
      <c r="K4" s="418">
        <v>7.4999999999999997E-2</v>
      </c>
      <c r="L4" s="65">
        <v>0</v>
      </c>
      <c r="M4" s="66">
        <v>0</v>
      </c>
    </row>
    <row r="5" spans="2:13" x14ac:dyDescent="0.25">
      <c r="B5" s="6"/>
      <c r="C5" s="24"/>
      <c r="D5" s="12" t="s">
        <v>210</v>
      </c>
      <c r="E5" s="12" t="s">
        <v>208</v>
      </c>
      <c r="F5" s="148">
        <f>+Data_a!G7</f>
        <v>4065019.2935321573</v>
      </c>
      <c r="G5" s="59">
        <f>+Data_a!H7</f>
        <v>4065019.2935321573</v>
      </c>
      <c r="H5" s="60">
        <f>+Data_a!I7</f>
        <v>4065019.2935321573</v>
      </c>
      <c r="J5" s="51" t="s">
        <v>44</v>
      </c>
      <c r="K5" s="419">
        <v>7.4999999999999997E-2</v>
      </c>
      <c r="L5" s="67">
        <v>0</v>
      </c>
      <c r="M5" s="68">
        <v>0</v>
      </c>
    </row>
    <row r="6" spans="2:13" x14ac:dyDescent="0.25">
      <c r="B6" s="6"/>
      <c r="C6" s="24"/>
      <c r="D6" s="12" t="s">
        <v>211</v>
      </c>
      <c r="E6" s="12" t="s">
        <v>208</v>
      </c>
      <c r="F6" s="148">
        <f>+Data_a!G8</f>
        <v>3435899.1431083134</v>
      </c>
      <c r="G6" s="59">
        <f>+Data_a!H8</f>
        <v>3435899.1431083134</v>
      </c>
      <c r="H6" s="60">
        <f>+Data_a!I8</f>
        <v>3435899.1431083134</v>
      </c>
      <c r="J6" s="51" t="s">
        <v>44</v>
      </c>
      <c r="K6" s="419">
        <v>7.4999999999999997E-2</v>
      </c>
      <c r="L6" s="67">
        <v>0</v>
      </c>
      <c r="M6" s="68">
        <v>0</v>
      </c>
    </row>
    <row r="7" spans="2:13" x14ac:dyDescent="0.25">
      <c r="B7" s="6"/>
      <c r="C7" s="24"/>
      <c r="D7" s="12" t="s">
        <v>212</v>
      </c>
      <c r="E7" s="12" t="s">
        <v>208</v>
      </c>
      <c r="F7" s="148">
        <f>+Data_a!G9</f>
        <v>6718461.0457212087</v>
      </c>
      <c r="G7" s="59">
        <f>+Data_a!H9</f>
        <v>6718461.0457212087</v>
      </c>
      <c r="H7" s="60">
        <f>+Data_a!I9</f>
        <v>6718461.0457212087</v>
      </c>
      <c r="J7" s="51" t="s">
        <v>44</v>
      </c>
      <c r="K7" s="419">
        <v>7.4999999999999997E-2</v>
      </c>
      <c r="L7" s="67">
        <v>0</v>
      </c>
      <c r="M7" s="68">
        <v>0</v>
      </c>
    </row>
    <row r="8" spans="2:13" ht="15.75" thickBot="1" x14ac:dyDescent="0.3">
      <c r="B8" s="6"/>
      <c r="C8" s="25"/>
      <c r="D8" s="19" t="s">
        <v>214</v>
      </c>
      <c r="E8" s="19" t="s">
        <v>25</v>
      </c>
      <c r="F8" s="250">
        <f>+Data_a!G10</f>
        <v>0</v>
      </c>
      <c r="G8" s="61">
        <f>+Data_a!H10</f>
        <v>0</v>
      </c>
      <c r="H8" s="62">
        <f>+Data_a!I10</f>
        <v>0</v>
      </c>
      <c r="J8" s="52" t="s">
        <v>44</v>
      </c>
      <c r="K8" s="420">
        <v>7.4999999999999997E-2</v>
      </c>
      <c r="L8" s="69">
        <v>0</v>
      </c>
      <c r="M8" s="70">
        <v>0</v>
      </c>
    </row>
    <row r="9" spans="2:13" x14ac:dyDescent="0.25">
      <c r="B9" s="6"/>
      <c r="C9" s="23" t="s">
        <v>203</v>
      </c>
      <c r="D9" s="14" t="s">
        <v>209</v>
      </c>
      <c r="E9" s="15" t="s">
        <v>208</v>
      </c>
      <c r="F9" s="249">
        <f>+Data_a!G11</f>
        <v>62256543.535636216</v>
      </c>
      <c r="G9" s="57">
        <f>+Data_a!H11</f>
        <v>62256543.535636216</v>
      </c>
      <c r="H9" s="58">
        <f>+Data_a!I11</f>
        <v>62256543.535636216</v>
      </c>
      <c r="J9" s="50" t="s">
        <v>44</v>
      </c>
      <c r="K9" s="418">
        <v>7.4999999999999997E-2</v>
      </c>
      <c r="L9" s="65">
        <v>0</v>
      </c>
      <c r="M9" s="66">
        <v>0</v>
      </c>
    </row>
    <row r="10" spans="2:13" x14ac:dyDescent="0.25">
      <c r="B10" s="6"/>
      <c r="C10" s="24"/>
      <c r="D10" s="12" t="s">
        <v>210</v>
      </c>
      <c r="E10" s="12" t="s">
        <v>208</v>
      </c>
      <c r="F10" s="148">
        <f>+Data_a!G12</f>
        <v>32755.828447150161</v>
      </c>
      <c r="G10" s="59">
        <f>+Data_a!H12</f>
        <v>32755.828447150161</v>
      </c>
      <c r="H10" s="60">
        <f>+Data_a!I12</f>
        <v>32755.828447150161</v>
      </c>
      <c r="J10" s="51" t="s">
        <v>44</v>
      </c>
      <c r="K10" s="419">
        <v>7.4999999999999997E-2</v>
      </c>
      <c r="L10" s="67">
        <v>0</v>
      </c>
      <c r="M10" s="68">
        <v>0</v>
      </c>
    </row>
    <row r="11" spans="2:13" x14ac:dyDescent="0.25">
      <c r="B11" s="6"/>
      <c r="C11" s="24"/>
      <c r="D11" s="12" t="s">
        <v>211</v>
      </c>
      <c r="E11" s="12" t="s">
        <v>208</v>
      </c>
      <c r="F11" s="148">
        <f>+Data_a!G13</f>
        <v>5651360.8703220282</v>
      </c>
      <c r="G11" s="59">
        <f>+Data_a!H13</f>
        <v>5651360.8703220282</v>
      </c>
      <c r="H11" s="60">
        <f>+Data_a!I13</f>
        <v>5651360.8703220282</v>
      </c>
      <c r="J11" s="51" t="s">
        <v>44</v>
      </c>
      <c r="K11" s="419">
        <v>7.4999999999999997E-2</v>
      </c>
      <c r="L11" s="67">
        <v>0</v>
      </c>
      <c r="M11" s="68">
        <v>0</v>
      </c>
    </row>
    <row r="12" spans="2:13" x14ac:dyDescent="0.25">
      <c r="B12" s="6"/>
      <c r="C12" s="24"/>
      <c r="D12" s="12" t="s">
        <v>212</v>
      </c>
      <c r="E12" s="12" t="s">
        <v>208</v>
      </c>
      <c r="F12" s="148">
        <f>+Data_a!G14</f>
        <v>9285700.1460032556</v>
      </c>
      <c r="G12" s="59">
        <f>+Data_a!H14</f>
        <v>9285700.1460032556</v>
      </c>
      <c r="H12" s="60">
        <f>+Data_a!I14</f>
        <v>9285700.1460032556</v>
      </c>
      <c r="J12" s="51" t="s">
        <v>44</v>
      </c>
      <c r="K12" s="419">
        <v>7.4999999999999997E-2</v>
      </c>
      <c r="L12" s="67">
        <v>0</v>
      </c>
      <c r="M12" s="68">
        <v>0</v>
      </c>
    </row>
    <row r="13" spans="2:13" ht="15.75" thickBot="1" x14ac:dyDescent="0.3">
      <c r="B13" s="6"/>
      <c r="C13" s="25"/>
      <c r="D13" s="19" t="s">
        <v>214</v>
      </c>
      <c r="E13" s="19" t="s">
        <v>25</v>
      </c>
      <c r="F13" s="250">
        <f>+Data_a!G15</f>
        <v>0</v>
      </c>
      <c r="G13" s="61">
        <f>+Data_a!H15</f>
        <v>0</v>
      </c>
      <c r="H13" s="62">
        <f>+Data_a!I15</f>
        <v>0</v>
      </c>
      <c r="J13" s="52" t="s">
        <v>44</v>
      </c>
      <c r="K13" s="420">
        <v>7.4999999999999997E-2</v>
      </c>
      <c r="L13" s="69">
        <v>0</v>
      </c>
      <c r="M13" s="70">
        <v>0</v>
      </c>
    </row>
    <row r="14" spans="2:13" x14ac:dyDescent="0.25">
      <c r="B14" s="6"/>
      <c r="C14" s="23" t="s">
        <v>213</v>
      </c>
      <c r="D14" s="14" t="s">
        <v>212</v>
      </c>
      <c r="E14" s="15" t="s">
        <v>208</v>
      </c>
      <c r="F14" s="249">
        <f>+Data_a!G16</f>
        <v>4894243.642328768</v>
      </c>
      <c r="G14" s="57">
        <f>+Data_a!H16</f>
        <v>4894243.642328768</v>
      </c>
      <c r="H14" s="58">
        <f>+Data_a!I16</f>
        <v>4894243.642328768</v>
      </c>
      <c r="J14" s="50" t="s">
        <v>44</v>
      </c>
      <c r="K14" s="418">
        <v>7.4999999999999997E-2</v>
      </c>
      <c r="L14" s="65">
        <v>0</v>
      </c>
      <c r="M14" s="66">
        <v>0</v>
      </c>
    </row>
    <row r="15" spans="2:13" ht="15.75" thickBot="1" x14ac:dyDescent="0.3">
      <c r="B15" s="7"/>
      <c r="C15" s="25"/>
      <c r="D15" s="19" t="s">
        <v>214</v>
      </c>
      <c r="E15" s="19" t="s">
        <v>25</v>
      </c>
      <c r="F15" s="250">
        <f>+Data_a!G17</f>
        <v>0</v>
      </c>
      <c r="G15" s="61">
        <f>+Data_a!H17</f>
        <v>0</v>
      </c>
      <c r="H15" s="62">
        <f>+Data_a!I17</f>
        <v>0</v>
      </c>
      <c r="J15" s="52" t="s">
        <v>44</v>
      </c>
      <c r="K15" s="420">
        <v>7.4999999999999997E-2</v>
      </c>
      <c r="L15" s="69">
        <v>0</v>
      </c>
      <c r="M15" s="70">
        <v>0</v>
      </c>
    </row>
    <row r="16" spans="2:13" x14ac:dyDescent="0.25">
      <c r="B16" s="5" t="s">
        <v>161</v>
      </c>
      <c r="C16" s="23" t="s">
        <v>1</v>
      </c>
      <c r="D16" s="14" t="s">
        <v>209</v>
      </c>
      <c r="E16" s="15" t="s">
        <v>208</v>
      </c>
      <c r="F16" s="249">
        <f>+Data_a!G18</f>
        <v>0</v>
      </c>
      <c r="G16" s="57">
        <f>+Data_a!H18</f>
        <v>0</v>
      </c>
      <c r="H16" s="58">
        <f>+Data_a!I18</f>
        <v>0</v>
      </c>
      <c r="J16" s="50" t="s">
        <v>44</v>
      </c>
      <c r="K16" s="418">
        <v>7.4999999999999997E-2</v>
      </c>
      <c r="L16" s="65">
        <v>0</v>
      </c>
      <c r="M16" s="66">
        <v>0</v>
      </c>
    </row>
    <row r="17" spans="2:13" x14ac:dyDescent="0.25">
      <c r="B17" s="3"/>
      <c r="C17" s="24"/>
      <c r="D17" s="12" t="s">
        <v>210</v>
      </c>
      <c r="E17" s="12" t="s">
        <v>208</v>
      </c>
      <c r="F17" s="148">
        <f>+Data_a!G19</f>
        <v>0</v>
      </c>
      <c r="G17" s="59">
        <f>+Data_a!H19</f>
        <v>0</v>
      </c>
      <c r="H17" s="60">
        <f>+Data_a!I19</f>
        <v>0</v>
      </c>
      <c r="J17" s="51" t="s">
        <v>44</v>
      </c>
      <c r="K17" s="419">
        <v>7.4999999999999997E-2</v>
      </c>
      <c r="L17" s="67">
        <v>0</v>
      </c>
      <c r="M17" s="68">
        <v>0</v>
      </c>
    </row>
    <row r="18" spans="2:13" x14ac:dyDescent="0.25">
      <c r="B18" s="3"/>
      <c r="C18" s="24"/>
      <c r="D18" s="12" t="s">
        <v>211</v>
      </c>
      <c r="E18" s="12" t="s">
        <v>208</v>
      </c>
      <c r="F18" s="148">
        <f>+Data_a!G20</f>
        <v>0</v>
      </c>
      <c r="G18" s="59">
        <f>+Data_a!H20</f>
        <v>0</v>
      </c>
      <c r="H18" s="60">
        <f>+Data_a!I20</f>
        <v>0</v>
      </c>
      <c r="J18" s="51" t="s">
        <v>44</v>
      </c>
      <c r="K18" s="419">
        <v>7.4999999999999997E-2</v>
      </c>
      <c r="L18" s="67">
        <v>0</v>
      </c>
      <c r="M18" s="68">
        <v>0</v>
      </c>
    </row>
    <row r="19" spans="2:13" x14ac:dyDescent="0.25">
      <c r="B19" s="3"/>
      <c r="C19" s="24"/>
      <c r="D19" s="12" t="s">
        <v>212</v>
      </c>
      <c r="E19" s="12" t="s">
        <v>208</v>
      </c>
      <c r="F19" s="148">
        <f>+Data_a!G21</f>
        <v>135109.3512978142</v>
      </c>
      <c r="G19" s="59">
        <f>+Data_a!H21</f>
        <v>135109.3512978142</v>
      </c>
      <c r="H19" s="60">
        <f>+Data_a!I21</f>
        <v>135109.3512978142</v>
      </c>
      <c r="J19" s="51" t="s">
        <v>44</v>
      </c>
      <c r="K19" s="419">
        <v>7.4999999999999997E-2</v>
      </c>
      <c r="L19" s="67">
        <v>0</v>
      </c>
      <c r="M19" s="68">
        <v>0</v>
      </c>
    </row>
    <row r="20" spans="2:13" ht="15.75" thickBot="1" x14ac:dyDescent="0.3">
      <c r="B20" s="3"/>
      <c r="C20" s="25"/>
      <c r="D20" s="19" t="s">
        <v>214</v>
      </c>
      <c r="E20" s="19" t="s">
        <v>25</v>
      </c>
      <c r="F20" s="250">
        <f>+Data_a!G22</f>
        <v>0</v>
      </c>
      <c r="G20" s="61">
        <f>+Data_a!H22</f>
        <v>0</v>
      </c>
      <c r="H20" s="62">
        <f>+Data_a!I22</f>
        <v>0</v>
      </c>
      <c r="J20" s="52" t="s">
        <v>44</v>
      </c>
      <c r="K20" s="420">
        <v>7.4999999999999997E-2</v>
      </c>
      <c r="L20" s="69">
        <v>0</v>
      </c>
      <c r="M20" s="70">
        <v>0</v>
      </c>
    </row>
    <row r="21" spans="2:13" x14ac:dyDescent="0.25">
      <c r="B21" s="3"/>
      <c r="C21" s="23" t="s">
        <v>203</v>
      </c>
      <c r="D21" s="14" t="s">
        <v>209</v>
      </c>
      <c r="E21" s="15" t="s">
        <v>208</v>
      </c>
      <c r="F21" s="249">
        <f>+Data_a!G23</f>
        <v>0</v>
      </c>
      <c r="G21" s="57">
        <f>+Data_a!H23</f>
        <v>0</v>
      </c>
      <c r="H21" s="58">
        <f>+Data_a!I23</f>
        <v>0</v>
      </c>
      <c r="J21" s="50" t="s">
        <v>44</v>
      </c>
      <c r="K21" s="418">
        <v>7.4999999999999997E-2</v>
      </c>
      <c r="L21" s="65">
        <v>0</v>
      </c>
      <c r="M21" s="66">
        <v>0</v>
      </c>
    </row>
    <row r="22" spans="2:13" x14ac:dyDescent="0.25">
      <c r="B22" s="3"/>
      <c r="C22" s="24"/>
      <c r="D22" s="12" t="s">
        <v>210</v>
      </c>
      <c r="E22" s="12" t="s">
        <v>208</v>
      </c>
      <c r="F22" s="148">
        <f>+Data_a!G24</f>
        <v>0</v>
      </c>
      <c r="G22" s="59">
        <f>+Data_a!H24</f>
        <v>0</v>
      </c>
      <c r="H22" s="60">
        <f>+Data_a!I24</f>
        <v>0</v>
      </c>
      <c r="J22" s="51" t="s">
        <v>44</v>
      </c>
      <c r="K22" s="419">
        <v>7.4999999999999997E-2</v>
      </c>
      <c r="L22" s="67">
        <v>0</v>
      </c>
      <c r="M22" s="68">
        <v>0</v>
      </c>
    </row>
    <row r="23" spans="2:13" x14ac:dyDescent="0.25">
      <c r="B23" s="3"/>
      <c r="C23" s="24"/>
      <c r="D23" s="12" t="s">
        <v>211</v>
      </c>
      <c r="E23" s="12" t="s">
        <v>208</v>
      </c>
      <c r="F23" s="148">
        <f>+Data_a!G25</f>
        <v>0</v>
      </c>
      <c r="G23" s="59">
        <f>+Data_a!H25</f>
        <v>0</v>
      </c>
      <c r="H23" s="60">
        <f>+Data_a!I25</f>
        <v>0</v>
      </c>
      <c r="J23" s="51" t="s">
        <v>44</v>
      </c>
      <c r="K23" s="419">
        <v>7.4999999999999997E-2</v>
      </c>
      <c r="L23" s="67">
        <v>0</v>
      </c>
      <c r="M23" s="68">
        <v>0</v>
      </c>
    </row>
    <row r="24" spans="2:13" x14ac:dyDescent="0.25">
      <c r="B24" s="3"/>
      <c r="C24" s="24"/>
      <c r="D24" s="12" t="s">
        <v>212</v>
      </c>
      <c r="E24" s="12" t="s">
        <v>208</v>
      </c>
      <c r="F24" s="148">
        <f>+Data_a!G26</f>
        <v>1445395.787909836</v>
      </c>
      <c r="G24" s="59">
        <f>+Data_a!H26</f>
        <v>1445395.787909836</v>
      </c>
      <c r="H24" s="60">
        <f>+Data_a!I26</f>
        <v>1445395.787909836</v>
      </c>
      <c r="J24" s="51" t="s">
        <v>44</v>
      </c>
      <c r="K24" s="419">
        <v>7.4999999999999997E-2</v>
      </c>
      <c r="L24" s="67">
        <v>0</v>
      </c>
      <c r="M24" s="68">
        <v>0</v>
      </c>
    </row>
    <row r="25" spans="2:13" ht="15.75" thickBot="1" x14ac:dyDescent="0.3">
      <c r="B25" s="3"/>
      <c r="C25" s="25"/>
      <c r="D25" s="19" t="s">
        <v>214</v>
      </c>
      <c r="E25" s="19" t="s">
        <v>25</v>
      </c>
      <c r="F25" s="250">
        <f>+Data_a!G27</f>
        <v>0</v>
      </c>
      <c r="G25" s="61">
        <f>+Data_a!H27</f>
        <v>0</v>
      </c>
      <c r="H25" s="62">
        <f>+Data_a!I27</f>
        <v>0</v>
      </c>
      <c r="J25" s="52" t="s">
        <v>44</v>
      </c>
      <c r="K25" s="420">
        <v>7.4999999999999997E-2</v>
      </c>
      <c r="L25" s="69">
        <v>0</v>
      </c>
      <c r="M25" s="70">
        <v>0</v>
      </c>
    </row>
    <row r="26" spans="2:13" x14ac:dyDescent="0.25">
      <c r="B26" s="3"/>
      <c r="C26" s="23" t="s">
        <v>213</v>
      </c>
      <c r="D26" s="14" t="s">
        <v>212</v>
      </c>
      <c r="E26" s="15" t="s">
        <v>208</v>
      </c>
      <c r="F26" s="249">
        <f>+Data_a!G28</f>
        <v>4894243.642328768</v>
      </c>
      <c r="G26" s="57">
        <f>+Data_a!H28</f>
        <v>4894243.642328768</v>
      </c>
      <c r="H26" s="58">
        <f>+Data_a!I28</f>
        <v>4894243.642328768</v>
      </c>
      <c r="J26" s="50" t="s">
        <v>44</v>
      </c>
      <c r="K26" s="418">
        <v>7.4999999999999997E-2</v>
      </c>
      <c r="L26" s="65">
        <v>0</v>
      </c>
      <c r="M26" s="66">
        <v>0</v>
      </c>
    </row>
    <row r="27" spans="2:13" ht="15.75" thickBot="1" x14ac:dyDescent="0.3">
      <c r="B27" s="3"/>
      <c r="C27" s="25"/>
      <c r="D27" s="19" t="s">
        <v>214</v>
      </c>
      <c r="E27" s="19" t="s">
        <v>25</v>
      </c>
      <c r="F27" s="250">
        <f>+Data_a!G29</f>
        <v>0</v>
      </c>
      <c r="G27" s="61">
        <f>+Data_a!H29</f>
        <v>0</v>
      </c>
      <c r="H27" s="62">
        <f>+Data_a!I29</f>
        <v>0</v>
      </c>
      <c r="J27" s="52" t="s">
        <v>44</v>
      </c>
      <c r="K27" s="420">
        <v>7.4999999999999997E-2</v>
      </c>
      <c r="L27" s="69">
        <v>0</v>
      </c>
      <c r="M27" s="70">
        <v>0</v>
      </c>
    </row>
    <row r="28" spans="2:13" ht="15.75" thickBot="1" x14ac:dyDescent="0.3">
      <c r="B28" s="3"/>
      <c r="C28" s="21" t="s">
        <v>216</v>
      </c>
      <c r="D28" s="22" t="s">
        <v>215</v>
      </c>
      <c r="E28" s="22" t="s">
        <v>208</v>
      </c>
      <c r="F28" s="251">
        <f>+Data_a!G30</f>
        <v>176613219.52500001</v>
      </c>
      <c r="G28" s="63">
        <f>+Data_a!H30</f>
        <v>176613219.52500001</v>
      </c>
      <c r="H28" s="64">
        <f>+Data_a!I30</f>
        <v>176613219.52500001</v>
      </c>
      <c r="J28" s="53" t="s">
        <v>44</v>
      </c>
      <c r="K28" s="421">
        <v>7.4999999999999997E-2</v>
      </c>
      <c r="L28" s="71">
        <v>0</v>
      </c>
      <c r="M28" s="72">
        <v>0</v>
      </c>
    </row>
    <row r="29" spans="2:13" x14ac:dyDescent="0.25">
      <c r="B29" s="3"/>
      <c r="C29" s="23" t="s">
        <v>217</v>
      </c>
      <c r="D29" s="14" t="s">
        <v>218</v>
      </c>
      <c r="E29" s="14" t="s">
        <v>208</v>
      </c>
      <c r="F29" s="249">
        <f>+Data_a!G31</f>
        <v>69817243.855383337</v>
      </c>
      <c r="G29" s="57">
        <f>+Data_a!H31</f>
        <v>69817243.855383337</v>
      </c>
      <c r="H29" s="58">
        <f>+Data_a!I31</f>
        <v>69817243.855383337</v>
      </c>
      <c r="J29" s="54" t="s">
        <v>44</v>
      </c>
      <c r="K29" s="418">
        <v>7.4999999999999997E-2</v>
      </c>
      <c r="L29" s="65">
        <v>0</v>
      </c>
      <c r="M29" s="66">
        <v>0</v>
      </c>
    </row>
    <row r="30" spans="2:13" x14ac:dyDescent="0.25">
      <c r="B30" s="3"/>
      <c r="C30" s="24"/>
      <c r="D30" s="12" t="s">
        <v>219</v>
      </c>
      <c r="E30" s="12" t="s">
        <v>208</v>
      </c>
      <c r="F30" s="148">
        <f>+Data_a!G32</f>
        <v>0</v>
      </c>
      <c r="G30" s="59">
        <f>+Data_a!H32</f>
        <v>0</v>
      </c>
      <c r="H30" s="60">
        <f>+Data_a!I32</f>
        <v>0</v>
      </c>
      <c r="J30" s="51" t="s">
        <v>44</v>
      </c>
      <c r="K30" s="419">
        <v>7.4999999999999997E-2</v>
      </c>
      <c r="L30" s="67">
        <v>0</v>
      </c>
      <c r="M30" s="68">
        <v>0</v>
      </c>
    </row>
    <row r="31" spans="2:13" x14ac:dyDescent="0.25">
      <c r="B31" s="3"/>
      <c r="C31" s="24"/>
      <c r="D31" s="12" t="s">
        <v>220</v>
      </c>
      <c r="E31" s="12" t="s">
        <v>208</v>
      </c>
      <c r="F31" s="148">
        <f>+Data_a!G33</f>
        <v>42056350.902433224</v>
      </c>
      <c r="G31" s="59">
        <f>+Data_a!H33</f>
        <v>42056350.902433224</v>
      </c>
      <c r="H31" s="60">
        <f>+Data_a!I33</f>
        <v>42056350.902433224</v>
      </c>
      <c r="J31" s="51" t="s">
        <v>44</v>
      </c>
      <c r="K31" s="419">
        <v>7.4999999999999997E-2</v>
      </c>
      <c r="L31" s="67">
        <v>0</v>
      </c>
      <c r="M31" s="68">
        <v>0</v>
      </c>
    </row>
    <row r="32" spans="2:13" x14ac:dyDescent="0.25">
      <c r="B32" s="3"/>
      <c r="C32" s="24"/>
      <c r="D32" s="12" t="s">
        <v>221</v>
      </c>
      <c r="E32" s="12" t="s">
        <v>208</v>
      </c>
      <c r="F32" s="148">
        <f>+Data_a!G34</f>
        <v>40939752.517566778</v>
      </c>
      <c r="G32" s="59">
        <f>+Data_a!H34</f>
        <v>40939752.517566778</v>
      </c>
      <c r="H32" s="60">
        <f>+Data_a!I34</f>
        <v>40939752.517566778</v>
      </c>
      <c r="J32" s="51" t="s">
        <v>44</v>
      </c>
      <c r="K32" s="419">
        <v>7.4999999999999997E-2</v>
      </c>
      <c r="L32" s="67">
        <v>0</v>
      </c>
      <c r="M32" s="68">
        <v>0</v>
      </c>
    </row>
    <row r="33" spans="2:13" x14ac:dyDescent="0.25">
      <c r="B33" s="3"/>
      <c r="C33" s="24"/>
      <c r="D33" s="12" t="s">
        <v>222</v>
      </c>
      <c r="E33" s="12" t="s">
        <v>208</v>
      </c>
      <c r="F33" s="148">
        <f>+Data_a!G35</f>
        <v>0</v>
      </c>
      <c r="G33" s="59">
        <f>+Data_a!H35</f>
        <v>0</v>
      </c>
      <c r="H33" s="60">
        <f>+Data_a!I35</f>
        <v>0</v>
      </c>
      <c r="J33" s="51" t="s">
        <v>44</v>
      </c>
      <c r="K33" s="419">
        <v>7.4999999999999997E-2</v>
      </c>
      <c r="L33" s="67">
        <v>0</v>
      </c>
      <c r="M33" s="68">
        <v>0</v>
      </c>
    </row>
    <row r="34" spans="2:13" ht="15.75" thickBot="1" x14ac:dyDescent="0.3">
      <c r="B34" s="4"/>
      <c r="C34" s="25"/>
      <c r="D34" s="19" t="s">
        <v>223</v>
      </c>
      <c r="E34" s="19" t="s">
        <v>208</v>
      </c>
      <c r="F34" s="250">
        <f>+Data_a!G36</f>
        <v>0</v>
      </c>
      <c r="G34" s="61">
        <f>+Data_a!H36</f>
        <v>0</v>
      </c>
      <c r="H34" s="62">
        <f>+Data_a!I36</f>
        <v>0</v>
      </c>
      <c r="J34" s="52" t="s">
        <v>44</v>
      </c>
      <c r="K34" s="420">
        <v>7.4999999999999997E-2</v>
      </c>
      <c r="L34" s="69">
        <v>0</v>
      </c>
      <c r="M34" s="70">
        <v>0</v>
      </c>
    </row>
    <row r="35" spans="2:13" x14ac:dyDescent="0.25"/>
    <row r="36" spans="2:13" ht="15.75" thickBot="1" x14ac:dyDescent="0.3"/>
    <row r="37" spans="2:13" ht="15.75" thickBot="1" x14ac:dyDescent="0.3">
      <c r="E37" s="2" t="s">
        <v>224</v>
      </c>
      <c r="F37" s="26" t="s">
        <v>6</v>
      </c>
      <c r="G37" s="26" t="s">
        <v>7</v>
      </c>
      <c r="H37" s="26" t="s">
        <v>8</v>
      </c>
    </row>
    <row r="38" spans="2:13" ht="15.75" thickBot="1" x14ac:dyDescent="0.3">
      <c r="C38" s="354"/>
      <c r="D38" s="441"/>
      <c r="E38" s="8" t="s">
        <v>207</v>
      </c>
      <c r="F38" s="9"/>
      <c r="G38" s="10"/>
      <c r="H38" s="11"/>
    </row>
    <row r="39" spans="2:13" ht="15.75" thickBot="1" x14ac:dyDescent="0.3">
      <c r="C39" s="130" t="s">
        <v>310</v>
      </c>
      <c r="D39" s="442"/>
      <c r="E39" s="273" t="s">
        <v>41</v>
      </c>
      <c r="F39" s="156">
        <v>92840000</v>
      </c>
      <c r="G39" s="156">
        <v>92840000</v>
      </c>
      <c r="H39" s="157">
        <v>92840000</v>
      </c>
    </row>
    <row r="40" spans="2:13" x14ac:dyDescent="0.25">
      <c r="F40" s="292"/>
    </row>
    <row r="41" spans="2:13" hidden="1" x14ac:dyDescent="0.25"/>
    <row r="42" spans="2:13" hidden="1" x14ac:dyDescent="0.25"/>
    <row r="43" spans="2:13" hidden="1" x14ac:dyDescent="0.25"/>
    <row r="44" spans="2:13" hidden="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N37"/>
  <sheetViews>
    <sheetView showGridLines="0" zoomScale="90" zoomScaleNormal="90" workbookViewId="0">
      <selection activeCell="B3" sqref="B3"/>
    </sheetView>
  </sheetViews>
  <sheetFormatPr defaultColWidth="0" defaultRowHeight="0" customHeight="1" zeroHeight="1" x14ac:dyDescent="0.25"/>
  <cols>
    <col min="1" max="1" width="12.140625" customWidth="1"/>
    <col min="2" max="2" width="17.7109375" customWidth="1"/>
    <col min="3" max="3" width="34.42578125" customWidth="1"/>
    <col min="4" max="4" width="61" customWidth="1"/>
    <col min="5" max="5" width="16.140625" customWidth="1"/>
    <col min="6" max="7" width="29.42578125" customWidth="1"/>
    <col min="8" max="8" width="2.7109375" customWidth="1"/>
    <col min="9" max="9" width="19.85546875" customWidth="1"/>
    <col min="10" max="10" width="4.42578125" customWidth="1"/>
    <col min="11" max="14" width="0" hidden="1" customWidth="1"/>
    <col min="15" max="16384" width="9.140625" hidden="1"/>
  </cols>
  <sheetData>
    <row r="1" spans="1:9" ht="15.75" thickBot="1" x14ac:dyDescent="0.3">
      <c r="C1" s="292"/>
    </row>
    <row r="2" spans="1:9" ht="15.75" thickBot="1" x14ac:dyDescent="0.3">
      <c r="B2" s="434" t="s">
        <v>307</v>
      </c>
      <c r="C2" s="292"/>
    </row>
    <row r="3" spans="1:9" ht="15.75" thickBot="1" x14ac:dyDescent="0.3">
      <c r="A3" s="196" t="s">
        <v>308</v>
      </c>
      <c r="B3" s="432" t="s">
        <v>6</v>
      </c>
    </row>
    <row r="4" spans="1:9" ht="75.75" thickBot="1" x14ac:dyDescent="0.3">
      <c r="F4" s="433" t="s">
        <v>306</v>
      </c>
      <c r="G4" s="431" t="s">
        <v>171</v>
      </c>
    </row>
    <row r="5" spans="1:9" ht="15.75" thickBot="1" x14ac:dyDescent="0.3">
      <c r="C5" s="8" t="str">
        <f>+'Pre-scaling RPM'!F13</f>
        <v>Ponto</v>
      </c>
      <c r="D5" s="8" t="str">
        <f>+'Pre-scaling RPM'!G13</f>
        <v>Produto</v>
      </c>
      <c r="E5" s="55" t="str">
        <f>+'Pre-scaling RPM'!H13</f>
        <v>Unidade</v>
      </c>
      <c r="F5" s="439" t="str">
        <f>+Data_c!F4</f>
        <v>2018-2019</v>
      </c>
      <c r="G5" s="440" t="str">
        <f>+B3</f>
        <v>2019-2020</v>
      </c>
      <c r="I5" s="5" t="s">
        <v>305</v>
      </c>
    </row>
    <row r="6" spans="1:9" ht="15" x14ac:dyDescent="0.25">
      <c r="B6" s="5" t="str">
        <f>+'Pre-scaling RPM'!E14</f>
        <v>Entrada</v>
      </c>
      <c r="C6" s="23" t="str">
        <f>+'Pre-scaling RPM'!F14</f>
        <v>VIP</v>
      </c>
      <c r="D6" s="14" t="str">
        <f>+'Pre-scaling RPM'!G14</f>
        <v>Anual</v>
      </c>
      <c r="E6" s="121" t="str">
        <f>+'Pre-scaling RPM'!H14</f>
        <v>€/(kWh/dia)/ano</v>
      </c>
      <c r="F6" s="427">
        <f>+Data_c!F5</f>
        <v>0.12179685</v>
      </c>
      <c r="G6" s="435">
        <f>+'Reference prices RPM'!R5</f>
        <v>0.12105867385712639</v>
      </c>
      <c r="I6" s="422">
        <f>IF(F6=0,"-",G6/F6-1)</f>
        <v>-6.0607162079611143E-3</v>
      </c>
    </row>
    <row r="7" spans="1:9" ht="15" x14ac:dyDescent="0.25">
      <c r="B7" s="6"/>
      <c r="C7" s="24"/>
      <c r="D7" s="12" t="str">
        <f>+'Pre-scaling RPM'!G15</f>
        <v>Trimestral</v>
      </c>
      <c r="E7" s="426" t="str">
        <f>+'Pre-scaling RPM'!H15</f>
        <v>€/(kWh/dia)/ano</v>
      </c>
      <c r="F7" s="428">
        <f>+Data_c!F6</f>
        <v>0.15833334999999998</v>
      </c>
      <c r="G7" s="436">
        <f>+'Reference prices RPM'!R6</f>
        <v>0.15737627601426432</v>
      </c>
      <c r="I7" s="423">
        <f t="shared" ref="I7:I36" si="0">IF(F7=0,"-",G7/F7-1)</f>
        <v>-6.0446771683644318E-3</v>
      </c>
    </row>
    <row r="8" spans="1:9" ht="15" x14ac:dyDescent="0.25">
      <c r="B8" s="6"/>
      <c r="C8" s="24"/>
      <c r="D8" s="12" t="str">
        <f>+'Pre-scaling RPM'!G16</f>
        <v>Mensal</v>
      </c>
      <c r="E8" s="426" t="str">
        <f>+'Pre-scaling RPM'!H16</f>
        <v>€/(kWh/dia)/ano</v>
      </c>
      <c r="F8" s="428">
        <f>+Data_c!F7</f>
        <v>0.18269345000000001</v>
      </c>
      <c r="G8" s="436">
        <f>+'Reference prices RPM'!R7</f>
        <v>0.18158801078568959</v>
      </c>
      <c r="I8" s="423">
        <f t="shared" si="0"/>
        <v>-6.050787339723529E-3</v>
      </c>
    </row>
    <row r="9" spans="1:9" ht="15" x14ac:dyDescent="0.25">
      <c r="B9" s="6"/>
      <c r="C9" s="24"/>
      <c r="D9" s="12" t="str">
        <f>+'Pre-scaling RPM'!G17</f>
        <v>Diário</v>
      </c>
      <c r="E9" s="426" t="str">
        <f>+'Pre-scaling RPM'!H17</f>
        <v>€/(kWh/dia)/ano</v>
      </c>
      <c r="F9" s="428">
        <f>+Data_c!F8</f>
        <v>0.2435937</v>
      </c>
      <c r="G9" s="436">
        <f>+'Reference prices RPM'!R8</f>
        <v>0.24211734771425278</v>
      </c>
      <c r="I9" s="423">
        <f t="shared" si="0"/>
        <v>-6.0607162079611143E-3</v>
      </c>
    </row>
    <row r="10" spans="1:9" ht="15.75" thickBot="1" x14ac:dyDescent="0.3">
      <c r="B10" s="6"/>
      <c r="C10" s="25"/>
      <c r="D10" s="19" t="str">
        <f>+'Pre-scaling RPM'!G18</f>
        <v>Intradiário</v>
      </c>
      <c r="E10" s="99" t="str">
        <f>+'Pre-scaling RPM'!H18</f>
        <v>€/(kWh/h)/ano</v>
      </c>
      <c r="F10" s="429">
        <f>+Data_c!F9</f>
        <v>6.4308036</v>
      </c>
      <c r="G10" s="437">
        <f>+'Reference prices RPM'!R9</f>
        <v>6.3918979796562745</v>
      </c>
      <c r="I10" s="424">
        <f t="shared" si="0"/>
        <v>-6.049884705501718E-3</v>
      </c>
    </row>
    <row r="11" spans="1:9" ht="15" x14ac:dyDescent="0.25">
      <c r="B11" s="6"/>
      <c r="C11" s="23" t="str">
        <f>+'Pre-scaling RPM'!F19</f>
        <v>Terminal GNL</v>
      </c>
      <c r="D11" s="14" t="str">
        <f>+'Pre-scaling RPM'!G19</f>
        <v>Anual</v>
      </c>
      <c r="E11" s="121" t="str">
        <f>+'Pre-scaling RPM'!H19</f>
        <v>€/(kWh/dia)/ano</v>
      </c>
      <c r="F11" s="427">
        <f>+Data_c!F10</f>
        <v>0.12179685</v>
      </c>
      <c r="G11" s="435">
        <f>+'Reference prices RPM'!R10</f>
        <v>0.11140452204426336</v>
      </c>
      <c r="I11" s="422">
        <f t="shared" si="0"/>
        <v>-8.5325096303694559E-2</v>
      </c>
    </row>
    <row r="12" spans="1:9" ht="15" x14ac:dyDescent="0.25">
      <c r="B12" s="6"/>
      <c r="C12" s="24"/>
      <c r="D12" s="12" t="str">
        <f>+'Pre-scaling RPM'!G20</f>
        <v>Trimestral</v>
      </c>
      <c r="E12" s="426" t="str">
        <f>+'Pre-scaling RPM'!H20</f>
        <v>€/(kWh/dia)/ano</v>
      </c>
      <c r="F12" s="428">
        <f>+Data_c!F11</f>
        <v>0.15833334999999998</v>
      </c>
      <c r="G12" s="436">
        <f>+'Reference prices RPM'!R11</f>
        <v>0.14482587865754237</v>
      </c>
      <c r="I12" s="423">
        <f t="shared" si="0"/>
        <v>-8.5310336340749471E-2</v>
      </c>
    </row>
    <row r="13" spans="1:9" ht="15" x14ac:dyDescent="0.25">
      <c r="B13" s="6"/>
      <c r="C13" s="24"/>
      <c r="D13" s="12" t="str">
        <f>+'Pre-scaling RPM'!G21</f>
        <v>Mensal</v>
      </c>
      <c r="E13" s="426" t="str">
        <f>+'Pre-scaling RPM'!H21</f>
        <v>€/(kWh/dia)/ano</v>
      </c>
      <c r="F13" s="428">
        <f>+Data_c!F12</f>
        <v>0.18269345000000001</v>
      </c>
      <c r="G13" s="436">
        <f>+'Reference prices RPM'!R12</f>
        <v>0.16710678306639504</v>
      </c>
      <c r="I13" s="423">
        <f t="shared" si="0"/>
        <v>-8.5315959239945172E-2</v>
      </c>
    </row>
    <row r="14" spans="1:9" ht="15" x14ac:dyDescent="0.25">
      <c r="B14" s="6"/>
      <c r="C14" s="24"/>
      <c r="D14" s="12" t="str">
        <f>+'Pre-scaling RPM'!G22</f>
        <v>Diário</v>
      </c>
      <c r="E14" s="426" t="str">
        <f>+'Pre-scaling RPM'!H22</f>
        <v>€/(kWh/dia)/ano</v>
      </c>
      <c r="F14" s="428">
        <f>+Data_c!F13</f>
        <v>0.2435937</v>
      </c>
      <c r="G14" s="436">
        <f>+'Reference prices RPM'!R13</f>
        <v>0.22280904408852673</v>
      </c>
      <c r="I14" s="423">
        <f t="shared" si="0"/>
        <v>-8.5325096303694559E-2</v>
      </c>
    </row>
    <row r="15" spans="1:9" ht="15.75" thickBot="1" x14ac:dyDescent="0.3">
      <c r="B15" s="6"/>
      <c r="C15" s="25"/>
      <c r="D15" s="19" t="str">
        <f>+'Pre-scaling RPM'!G23</f>
        <v>Intradiário</v>
      </c>
      <c r="E15" s="99" t="str">
        <f>+'Pre-scaling RPM'!H23</f>
        <v>€/(kWh/h)/ano</v>
      </c>
      <c r="F15" s="429">
        <f>+Data_c!F14</f>
        <v>6.4308036</v>
      </c>
      <c r="G15" s="437">
        <f>+'Reference prices RPM'!R14</f>
        <v>5.882158763937106</v>
      </c>
      <c r="I15" s="424">
        <f t="shared" si="0"/>
        <v>-8.5315128588734024E-2</v>
      </c>
    </row>
    <row r="16" spans="1:9" ht="15" x14ac:dyDescent="0.25">
      <c r="B16" s="6"/>
      <c r="C16" s="23" t="str">
        <f>+'Pre-scaling RPM'!F24</f>
        <v>Armazenamento subterrâneo</v>
      </c>
      <c r="D16" s="14" t="str">
        <f>+'Pre-scaling RPM'!G24</f>
        <v>Diário</v>
      </c>
      <c r="E16" s="121" t="str">
        <f>+'Pre-scaling RPM'!H24</f>
        <v>€/(kWh/dia)/ano</v>
      </c>
      <c r="F16" s="427">
        <f>+Data_c!F15</f>
        <v>3.4164E-3</v>
      </c>
      <c r="G16" s="435">
        <f>+'Reference prices RPM'!R15</f>
        <v>0</v>
      </c>
      <c r="I16" s="422">
        <f t="shared" si="0"/>
        <v>-1</v>
      </c>
    </row>
    <row r="17" spans="2:9" ht="15.75" thickBot="1" x14ac:dyDescent="0.3">
      <c r="B17" s="7"/>
      <c r="C17" s="25"/>
      <c r="D17" s="19" t="str">
        <f>+'Pre-scaling RPM'!G25</f>
        <v>Intradiário</v>
      </c>
      <c r="E17" s="99" t="str">
        <f>+'Pre-scaling RPM'!H25</f>
        <v>€/(kWh/h)/ano</v>
      </c>
      <c r="F17" s="429">
        <f>+Data_c!F16</f>
        <v>9.0228000000000003E-2</v>
      </c>
      <c r="G17" s="437">
        <f>+'Reference prices RPM'!R16</f>
        <v>0</v>
      </c>
      <c r="I17" s="424">
        <f t="shared" si="0"/>
        <v>-1</v>
      </c>
    </row>
    <row r="18" spans="2:9" ht="15" x14ac:dyDescent="0.25">
      <c r="B18" s="5" t="str">
        <f>+'Pre-scaling RPM'!E26</f>
        <v>Saída</v>
      </c>
      <c r="C18" s="23" t="str">
        <f>+'Pre-scaling RPM'!F26</f>
        <v>VIP</v>
      </c>
      <c r="D18" s="14" t="str">
        <f>+'Pre-scaling RPM'!G26</f>
        <v>Anual</v>
      </c>
      <c r="E18" s="121" t="str">
        <f>+'Pre-scaling RPM'!H26</f>
        <v>€/(kWh/dia)/ano</v>
      </c>
      <c r="F18" s="427">
        <f>+Data_c!F17</f>
        <v>0</v>
      </c>
      <c r="G18" s="435">
        <f>+'Reference prices RPM'!R17</f>
        <v>2.3958713237221051E-2</v>
      </c>
      <c r="I18" s="422" t="str">
        <f t="shared" si="0"/>
        <v>-</v>
      </c>
    </row>
    <row r="19" spans="2:9" ht="15" x14ac:dyDescent="0.25">
      <c r="B19" s="3"/>
      <c r="C19" s="24"/>
      <c r="D19" s="12" t="str">
        <f>+'Pre-scaling RPM'!G27</f>
        <v>Trimestral</v>
      </c>
      <c r="E19" s="426" t="str">
        <f>+'Pre-scaling RPM'!H27</f>
        <v>€/(kWh/dia)/ano</v>
      </c>
      <c r="F19" s="428">
        <f>+Data_c!F18</f>
        <v>0</v>
      </c>
      <c r="G19" s="436">
        <f>+'Reference prices RPM'!R18</f>
        <v>3.1146327208387364E-2</v>
      </c>
      <c r="I19" s="423" t="str">
        <f t="shared" si="0"/>
        <v>-</v>
      </c>
    </row>
    <row r="20" spans="2:9" ht="15" x14ac:dyDescent="0.25">
      <c r="B20" s="3"/>
      <c r="C20" s="24"/>
      <c r="D20" s="12" t="str">
        <f>+'Pre-scaling RPM'!G28</f>
        <v>Mensal</v>
      </c>
      <c r="E20" s="426" t="str">
        <f>+'Pre-scaling RPM'!H28</f>
        <v>€/(kWh/dia)/ano</v>
      </c>
      <c r="F20" s="428">
        <f>+Data_c!F19</f>
        <v>0</v>
      </c>
      <c r="G20" s="436">
        <f>+'Reference prices RPM'!R19</f>
        <v>3.5938069855831582E-2</v>
      </c>
      <c r="I20" s="423" t="str">
        <f t="shared" si="0"/>
        <v>-</v>
      </c>
    </row>
    <row r="21" spans="2:9" ht="15" x14ac:dyDescent="0.25">
      <c r="B21" s="3"/>
      <c r="C21" s="24"/>
      <c r="D21" s="12" t="str">
        <f>+'Pre-scaling RPM'!G29</f>
        <v>Diário</v>
      </c>
      <c r="E21" s="426" t="str">
        <f>+'Pre-scaling RPM'!H29</f>
        <v>€/(kWh/dia)/ano</v>
      </c>
      <c r="F21" s="428">
        <f>+Data_c!F20</f>
        <v>0</v>
      </c>
      <c r="G21" s="436">
        <f>+'Reference prices RPM'!R20</f>
        <v>4.7917426474442103E-2</v>
      </c>
      <c r="I21" s="423" t="str">
        <f t="shared" si="0"/>
        <v>-</v>
      </c>
    </row>
    <row r="22" spans="2:9" ht="15.75" thickBot="1" x14ac:dyDescent="0.3">
      <c r="B22" s="3"/>
      <c r="C22" s="25"/>
      <c r="D22" s="19" t="str">
        <f>+'Pre-scaling RPM'!G30</f>
        <v>Intradiário</v>
      </c>
      <c r="E22" s="99" t="str">
        <f>+'Pre-scaling RPM'!H30</f>
        <v>€/(kWh/h)/ano</v>
      </c>
      <c r="F22" s="429">
        <f>+Data_c!F21</f>
        <v>0</v>
      </c>
      <c r="G22" s="437">
        <f>+'Reference prices RPM'!R21</f>
        <v>1.2650200589252718</v>
      </c>
      <c r="I22" s="424" t="str">
        <f t="shared" si="0"/>
        <v>-</v>
      </c>
    </row>
    <row r="23" spans="2:9" ht="15" x14ac:dyDescent="0.25">
      <c r="B23" s="3"/>
      <c r="C23" s="23" t="str">
        <f>+'Pre-scaling RPM'!F31</f>
        <v>Terminal GNL</v>
      </c>
      <c r="D23" s="14" t="str">
        <f>+'Pre-scaling RPM'!G31</f>
        <v>Anual</v>
      </c>
      <c r="E23" s="121" t="str">
        <f>+'Pre-scaling RPM'!H31</f>
        <v>€/(kWh/dia)/ano</v>
      </c>
      <c r="F23" s="427">
        <f>+Data_c!F22</f>
        <v>0</v>
      </c>
      <c r="G23" s="435">
        <f>+'Reference prices RPM'!R22</f>
        <v>0</v>
      </c>
      <c r="I23" s="422" t="str">
        <f t="shared" si="0"/>
        <v>-</v>
      </c>
    </row>
    <row r="24" spans="2:9" ht="15" x14ac:dyDescent="0.25">
      <c r="B24" s="3"/>
      <c r="C24" s="24"/>
      <c r="D24" s="12" t="str">
        <f>+'Pre-scaling RPM'!G32</f>
        <v>Trimestral</v>
      </c>
      <c r="E24" s="426" t="str">
        <f>+'Pre-scaling RPM'!H32</f>
        <v>€/(kWh/dia)/ano</v>
      </c>
      <c r="F24" s="428">
        <f>+Data_c!F23</f>
        <v>0</v>
      </c>
      <c r="G24" s="436">
        <f>+'Reference prices RPM'!R23</f>
        <v>0</v>
      </c>
      <c r="I24" s="423" t="str">
        <f t="shared" si="0"/>
        <v>-</v>
      </c>
    </row>
    <row r="25" spans="2:9" ht="15" x14ac:dyDescent="0.25">
      <c r="B25" s="3"/>
      <c r="C25" s="24"/>
      <c r="D25" s="12" t="str">
        <f>+'Pre-scaling RPM'!G33</f>
        <v>Mensal</v>
      </c>
      <c r="E25" s="426" t="str">
        <f>+'Pre-scaling RPM'!H33</f>
        <v>€/(kWh/dia)/ano</v>
      </c>
      <c r="F25" s="428">
        <f>+Data_c!F24</f>
        <v>0</v>
      </c>
      <c r="G25" s="436">
        <f>+'Reference prices RPM'!R24</f>
        <v>0</v>
      </c>
      <c r="I25" s="423" t="str">
        <f t="shared" si="0"/>
        <v>-</v>
      </c>
    </row>
    <row r="26" spans="2:9" ht="15" x14ac:dyDescent="0.25">
      <c r="B26" s="3"/>
      <c r="C26" s="24"/>
      <c r="D26" s="12" t="str">
        <f>+'Pre-scaling RPM'!G34</f>
        <v>Diário</v>
      </c>
      <c r="E26" s="426" t="str">
        <f>+'Pre-scaling RPM'!H34</f>
        <v>€/(kWh/dia)/ano</v>
      </c>
      <c r="F26" s="428">
        <f>+Data_c!F25</f>
        <v>0</v>
      </c>
      <c r="G26" s="436">
        <f>+'Reference prices RPM'!R25</f>
        <v>0</v>
      </c>
      <c r="I26" s="423" t="str">
        <f t="shared" si="0"/>
        <v>-</v>
      </c>
    </row>
    <row r="27" spans="2:9" ht="15.75" thickBot="1" x14ac:dyDescent="0.3">
      <c r="B27" s="3"/>
      <c r="C27" s="25"/>
      <c r="D27" s="19" t="str">
        <f>+'Pre-scaling RPM'!G35</f>
        <v>Intradiário</v>
      </c>
      <c r="E27" s="99" t="str">
        <f>+'Pre-scaling RPM'!H35</f>
        <v>€/(kWh/h)/ano</v>
      </c>
      <c r="F27" s="429">
        <f>+Data_c!F26</f>
        <v>0</v>
      </c>
      <c r="G27" s="437">
        <f>+'Reference prices RPM'!R26</f>
        <v>0</v>
      </c>
      <c r="I27" s="424" t="str">
        <f t="shared" si="0"/>
        <v>-</v>
      </c>
    </row>
    <row r="28" spans="2:9" ht="15" x14ac:dyDescent="0.25">
      <c r="B28" s="3"/>
      <c r="C28" s="23" t="str">
        <f>+'Pre-scaling RPM'!F36</f>
        <v>Armazenamento subterrâneo</v>
      </c>
      <c r="D28" s="14" t="str">
        <f>+'Pre-scaling RPM'!G36</f>
        <v>Diário</v>
      </c>
      <c r="E28" s="121" t="str">
        <f>+'Pre-scaling RPM'!H36</f>
        <v>€/(kWh/dia)/ano</v>
      </c>
      <c r="F28" s="427">
        <f>+Data_c!F27</f>
        <v>0</v>
      </c>
      <c r="G28" s="435">
        <f>+'Reference prices RPM'!R27</f>
        <v>0</v>
      </c>
      <c r="I28" s="422" t="str">
        <f t="shared" si="0"/>
        <v>-</v>
      </c>
    </row>
    <row r="29" spans="2:9" ht="15.75" thickBot="1" x14ac:dyDescent="0.3">
      <c r="B29" s="3"/>
      <c r="C29" s="25"/>
      <c r="D29" s="19" t="str">
        <f>+'Pre-scaling RPM'!G37</f>
        <v>Intradiário</v>
      </c>
      <c r="E29" s="99" t="str">
        <f>+'Pre-scaling RPM'!H37</f>
        <v>€/(kWh/h)/ano</v>
      </c>
      <c r="F29" s="429">
        <f>+Data_c!F28</f>
        <v>0</v>
      </c>
      <c r="G29" s="437">
        <f>+'Reference prices RPM'!R28</f>
        <v>0</v>
      </c>
      <c r="I29" s="424" t="str">
        <f t="shared" si="0"/>
        <v>-</v>
      </c>
    </row>
    <row r="30" spans="2:9" ht="15.75" thickBot="1" x14ac:dyDescent="0.3">
      <c r="B30" s="3"/>
      <c r="C30" s="21" t="str">
        <f>+'Pre-scaling RPM'!F38</f>
        <v>Redes de distribuição e Clientes em AP</v>
      </c>
      <c r="D30" s="22" t="str">
        <f>+'Pre-scaling RPM'!G38</f>
        <v>Longas utilizações</v>
      </c>
      <c r="E30" s="140" t="str">
        <f>+'Pre-scaling RPM'!H38</f>
        <v>€/(kWh/dia)/ano</v>
      </c>
      <c r="F30" s="430">
        <f>+Data_c!F29</f>
        <v>0.21097199999999999</v>
      </c>
      <c r="G30" s="438">
        <f>+'Reference prices RPM'!R29</f>
        <v>0.19645630588742741</v>
      </c>
      <c r="I30" s="425">
        <f t="shared" si="0"/>
        <v>-6.8803889201280666E-2</v>
      </c>
    </row>
    <row r="31" spans="2:9" ht="15" x14ac:dyDescent="0.25">
      <c r="B31" s="3"/>
      <c r="C31" s="23" t="str">
        <f>+'Pre-scaling RPM'!F39</f>
        <v>Clientes em AP</v>
      </c>
      <c r="D31" s="14" t="str">
        <f>+'Pre-scaling RPM'!G39</f>
        <v>Tarifa flexível anual - capacidade base anual</v>
      </c>
      <c r="E31" s="96" t="str">
        <f>+'Pre-scaling RPM'!H39</f>
        <v>€/(kWh/dia)/ano</v>
      </c>
      <c r="F31" s="427">
        <f>+Data_c!F30</f>
        <v>0.21097199999999999</v>
      </c>
      <c r="G31" s="435">
        <f>+'Reference prices RPM'!R30</f>
        <v>0.19645630588742741</v>
      </c>
      <c r="I31" s="422">
        <f t="shared" si="0"/>
        <v>-6.8803889201280666E-2</v>
      </c>
    </row>
    <row r="32" spans="2:9" ht="15" x14ac:dyDescent="0.25">
      <c r="B32" s="3"/>
      <c r="C32" s="24"/>
      <c r="D32" s="12" t="str">
        <f>+'Pre-scaling RPM'!G40</f>
        <v>Tarifa flexível anual - capacidade mensal adicional (abril a setembro)</v>
      </c>
      <c r="E32" s="426" t="str">
        <f>+'Pre-scaling RPM'!H40</f>
        <v>€/(kWh/dia)/ano</v>
      </c>
      <c r="F32" s="428">
        <f>+Data_c!F31</f>
        <v>0.31645199999999996</v>
      </c>
      <c r="G32" s="436">
        <f>+'Reference prices RPM'!R31</f>
        <v>0.29468445883114114</v>
      </c>
      <c r="I32" s="423">
        <f t="shared" si="0"/>
        <v>-6.8786233516801354E-2</v>
      </c>
    </row>
    <row r="33" spans="2:9" ht="15" x14ac:dyDescent="0.25">
      <c r="B33" s="3"/>
      <c r="C33" s="24"/>
      <c r="D33" s="12" t="str">
        <f>+'Pre-scaling RPM'!G41</f>
        <v>Tarifa flexível mensal - capacidade mensal (outubro a março)</v>
      </c>
      <c r="E33" s="426" t="str">
        <f>+'Pre-scaling RPM'!H41</f>
        <v>€/(kWh/dia)/ano</v>
      </c>
      <c r="F33" s="428">
        <f>+Data_c!F32</f>
        <v>0.63290399999999991</v>
      </c>
      <c r="G33" s="436">
        <f>+'Reference prices RPM'!R32</f>
        <v>0.58936891766228228</v>
      </c>
      <c r="I33" s="423">
        <f t="shared" si="0"/>
        <v>-6.8786233516801354E-2</v>
      </c>
    </row>
    <row r="34" spans="2:9" ht="15" x14ac:dyDescent="0.25">
      <c r="B34" s="3"/>
      <c r="C34" s="24"/>
      <c r="D34" s="12" t="str">
        <f>+'Pre-scaling RPM'!G42</f>
        <v>Tarifa flexível mensal - capacidade mensal (abril a setembro)</v>
      </c>
      <c r="E34" s="426" t="str">
        <f>+'Pre-scaling RPM'!H42</f>
        <v>€/(kWh/dia)/ano</v>
      </c>
      <c r="F34" s="428">
        <f>+Data_c!F33</f>
        <v>0.31645199999999996</v>
      </c>
      <c r="G34" s="436">
        <f>+'Reference prices RPM'!R33</f>
        <v>0.29468445883114114</v>
      </c>
      <c r="I34" s="423">
        <f t="shared" si="0"/>
        <v>-6.8786233516801354E-2</v>
      </c>
    </row>
    <row r="35" spans="2:9" ht="15" x14ac:dyDescent="0.25">
      <c r="B35" s="3"/>
      <c r="C35" s="24"/>
      <c r="D35" s="12" t="str">
        <f>+'Pre-scaling RPM'!G43</f>
        <v>Tarifa flexível diária - capacidade diária (outubro a março)</v>
      </c>
      <c r="E35" s="426" t="str">
        <f>+'Pre-scaling RPM'!H43</f>
        <v>€/(kWh/dia)/ano</v>
      </c>
      <c r="F35" s="428">
        <f>+Data_c!F34</f>
        <v>2.1097000000000001</v>
      </c>
      <c r="G35" s="436">
        <f>+'Reference prices RPM'!R34</f>
        <v>1.964563058874274</v>
      </c>
      <c r="I35" s="423">
        <f t="shared" si="0"/>
        <v>-6.8795061442729399E-2</v>
      </c>
    </row>
    <row r="36" spans="2:9" ht="15.75" thickBot="1" x14ac:dyDescent="0.3">
      <c r="B36" s="4"/>
      <c r="C36" s="25"/>
      <c r="D36" s="19" t="str">
        <f>+'Pre-scaling RPM'!G44</f>
        <v>Tarifa flexível diária - capacidade diária (abril a setembro)</v>
      </c>
      <c r="E36" s="99" t="str">
        <f>+'Pre-scaling RPM'!H44</f>
        <v>€/(kWh/dia)/ano</v>
      </c>
      <c r="F36" s="429">
        <f>+Data_c!F35</f>
        <v>1.2658200000000002</v>
      </c>
      <c r="G36" s="437">
        <f>+'Reference prices RPM'!R35</f>
        <v>1.1787378353245646</v>
      </c>
      <c r="I36" s="424">
        <f t="shared" si="0"/>
        <v>-6.8795061442729288E-2</v>
      </c>
    </row>
    <row r="37" spans="2:9" ht="15" x14ac:dyDescent="0.25"/>
  </sheetData>
  <dataValidations count="1">
    <dataValidation type="list" allowBlank="1" showInputMessage="1" showErrorMessage="1" sqref="B3">
      <formula1>anos_gás</formula1>
    </dataValidation>
  </dataValidations>
  <pageMargins left="0.25" right="0.25" top="0.75" bottom="0.75" header="0.3" footer="0.3"/>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32"/>
  <sheetViews>
    <sheetView showGridLines="0" workbookViewId="0">
      <selection activeCell="E5" sqref="E5"/>
    </sheetView>
  </sheetViews>
  <sheetFormatPr defaultColWidth="0" defaultRowHeight="15" zeroHeight="1" x14ac:dyDescent="0.25"/>
  <cols>
    <col min="1" max="2" width="9.140625" customWidth="1"/>
    <col min="3" max="3" width="4.140625" customWidth="1"/>
    <col min="4" max="4" width="46.42578125" bestFit="1" customWidth="1"/>
    <col min="5" max="5" width="31.42578125" bestFit="1" customWidth="1"/>
    <col min="6" max="6" width="24.28515625" bestFit="1" customWidth="1"/>
    <col min="7" max="7" width="9.140625" customWidth="1"/>
    <col min="8" max="9" width="21.140625" bestFit="1" customWidth="1"/>
    <col min="10" max="11" width="9.140625" customWidth="1"/>
    <col min="12" max="16384" width="9.140625" hidden="1"/>
  </cols>
  <sheetData>
    <row r="1" spans="2:9" ht="15.75" thickBot="1" x14ac:dyDescent="0.3"/>
    <row r="2" spans="2:9" ht="15.75" thickBot="1" x14ac:dyDescent="0.3">
      <c r="E2" s="146" t="s">
        <v>309</v>
      </c>
      <c r="F2" s="146" t="s">
        <v>302</v>
      </c>
      <c r="H2" s="146" t="s">
        <v>225</v>
      </c>
      <c r="I2" s="146" t="s">
        <v>226</v>
      </c>
    </row>
    <row r="3" spans="2:9" ht="15.75" thickBot="1" x14ac:dyDescent="0.3">
      <c r="E3" s="145" t="s">
        <v>208</v>
      </c>
      <c r="F3" s="145" t="s">
        <v>28</v>
      </c>
      <c r="H3" s="145" t="s">
        <v>208</v>
      </c>
      <c r="I3" s="145" t="s">
        <v>208</v>
      </c>
    </row>
    <row r="4" spans="2:9" x14ac:dyDescent="0.25">
      <c r="B4" s="5" t="s">
        <v>160</v>
      </c>
      <c r="C4" s="142" t="s">
        <v>30</v>
      </c>
      <c r="D4" s="102" t="s">
        <v>116</v>
      </c>
      <c r="E4" s="197">
        <f>+SUM(Data_a!G6:G10)*I4/($I$4+$I$5)</f>
        <v>114322488.9063724</v>
      </c>
      <c r="F4" s="188">
        <f>SUM($H$4:$H$5)/SUM($I$4:$I$5)</f>
        <v>0.90419775503312938</v>
      </c>
      <c r="H4" s="182">
        <f>Data_a!$P$40*I4/($I$4+$I$5)</f>
        <v>121162499.17443934</v>
      </c>
      <c r="I4" s="183">
        <f>+Data_a!U51</f>
        <v>134000000</v>
      </c>
    </row>
    <row r="5" spans="2:9" x14ac:dyDescent="0.25">
      <c r="B5" s="6"/>
      <c r="C5" s="143" t="s">
        <v>31</v>
      </c>
      <c r="D5" s="103" t="s">
        <v>117</v>
      </c>
      <c r="E5" s="198">
        <f>SUM(Data_a!G6:G10)*I5/($I$4+$I$5)</f>
        <v>8531529.0228636116</v>
      </c>
      <c r="F5" s="189">
        <f>SUM($H$4:$H$5)/SUM($I$4:$I$5)</f>
        <v>0.90419775503312938</v>
      </c>
      <c r="H5" s="184">
        <f>Data_a!$P$40*I5/($I$4+$I$5)</f>
        <v>9041977.5503312927</v>
      </c>
      <c r="I5" s="185">
        <f>+Data_a!U52</f>
        <v>10000000</v>
      </c>
    </row>
    <row r="6" spans="2:9" x14ac:dyDescent="0.25">
      <c r="B6" s="6"/>
      <c r="C6" s="143" t="s">
        <v>32</v>
      </c>
      <c r="D6" s="103" t="s">
        <v>118</v>
      </c>
      <c r="E6" s="198">
        <f>+SUM(Data_a!G11:G15)</f>
        <v>77226360.38040866</v>
      </c>
      <c r="F6" s="189">
        <f>+H6/I6</f>
        <v>0.8940959594036697</v>
      </c>
      <c r="H6" s="184">
        <f>Data_a!$P$41</f>
        <v>178819191.88073394</v>
      </c>
      <c r="I6" s="185">
        <f>+Data_a!U53</f>
        <v>200000000</v>
      </c>
    </row>
    <row r="7" spans="2:9" ht="15.75" thickBot="1" x14ac:dyDescent="0.3">
      <c r="B7" s="7"/>
      <c r="C7" s="144" t="s">
        <v>33</v>
      </c>
      <c r="D7" s="104" t="s">
        <v>119</v>
      </c>
      <c r="E7" s="199">
        <f>+SUM(Data_a!G16:G17)</f>
        <v>4894243.642328768</v>
      </c>
      <c r="F7" s="190">
        <f>+H7/I7</f>
        <v>0.49262302658066282</v>
      </c>
      <c r="H7" s="186">
        <f>Data_a!$P$42</f>
        <v>42207940.917431191</v>
      </c>
      <c r="I7" s="187">
        <f>+Data_a!U54</f>
        <v>85680000</v>
      </c>
    </row>
    <row r="8" spans="2:9" x14ac:dyDescent="0.25">
      <c r="B8" s="5" t="s">
        <v>161</v>
      </c>
      <c r="C8" s="142" t="s">
        <v>30</v>
      </c>
      <c r="D8" s="102" t="s">
        <v>116</v>
      </c>
      <c r="E8" s="197">
        <f>+SUM(Data_a!G18:G22)*I8/($I$8+$I$9)</f>
        <v>92887.679017247254</v>
      </c>
      <c r="F8" s="188">
        <f>SUM($H$8:$H$9)/SUM($I$8:$I$9)</f>
        <v>6.6988626720183478E-2</v>
      </c>
      <c r="H8" s="182">
        <f>Data_a!$P$43*I8/($I$8+$I$9)</f>
        <v>3684374.4696100913</v>
      </c>
      <c r="I8" s="183">
        <f>+Data_a!U55</f>
        <v>55000000</v>
      </c>
    </row>
    <row r="9" spans="2:9" x14ac:dyDescent="0.25">
      <c r="B9" s="3"/>
      <c r="C9" s="143" t="s">
        <v>31</v>
      </c>
      <c r="D9" s="103" t="s">
        <v>117</v>
      </c>
      <c r="E9" s="198">
        <f>+SUM(Data_a!G18:G22)*I9/($I$8+$I$9)</f>
        <v>42221.672280566934</v>
      </c>
      <c r="F9" s="189">
        <f>SUM($H$8:$H$9)/SUM($I$8:$I$9)</f>
        <v>6.6988626720183478E-2</v>
      </c>
      <c r="H9" s="184">
        <f>Data_a!$P$43*I9/($I$8+$I$9)</f>
        <v>1674715.6680045871</v>
      </c>
      <c r="I9" s="185">
        <f>+Data_a!U56</f>
        <v>25000000</v>
      </c>
    </row>
    <row r="10" spans="2:9" x14ac:dyDescent="0.25">
      <c r="B10" s="3"/>
      <c r="C10" s="143" t="s">
        <v>32</v>
      </c>
      <c r="D10" s="103" t="s">
        <v>118</v>
      </c>
      <c r="E10" s="198">
        <f>+SUM(Data_a!G23:G27)</f>
        <v>1445395.787909836</v>
      </c>
      <c r="F10" s="189">
        <f t="shared" ref="F10:F18" si="0">+H10/I10</f>
        <v>0</v>
      </c>
      <c r="H10" s="184">
        <f>Data_a!$P$44</f>
        <v>0</v>
      </c>
      <c r="I10" s="185">
        <f>+Data_a!U57</f>
        <v>5000000</v>
      </c>
    </row>
    <row r="11" spans="2:9" x14ac:dyDescent="0.25">
      <c r="B11" s="3"/>
      <c r="C11" s="143" t="s">
        <v>33</v>
      </c>
      <c r="D11" s="103" t="s">
        <v>119</v>
      </c>
      <c r="E11" s="198">
        <f>SUM(Data_a!G28:G29)</f>
        <v>4894243.642328768</v>
      </c>
      <c r="F11" s="189">
        <f t="shared" si="0"/>
        <v>0.28108548364299851</v>
      </c>
      <c r="H11" s="184">
        <f>Data_a!$P$45</f>
        <v>24083404.238532111</v>
      </c>
      <c r="I11" s="185">
        <f>+Data_a!U58</f>
        <v>85680000</v>
      </c>
    </row>
    <row r="12" spans="2:9" x14ac:dyDescent="0.25">
      <c r="B12" s="3"/>
      <c r="C12" s="143" t="s">
        <v>34</v>
      </c>
      <c r="D12" s="103" t="s">
        <v>120</v>
      </c>
      <c r="E12" s="198">
        <f>(Data_a!$G$30+Data_a!$G$31+Data_a!$G$33/2+Data_a!$G$34/2)*Data_a!Y64/Data_a!$Y$71</f>
        <v>66686724.795415401</v>
      </c>
      <c r="F12" s="189">
        <f>+H12/I12</f>
        <v>0.58863487865516284</v>
      </c>
      <c r="H12" s="184">
        <f>Data_a!$P$46*Data_a!Y64/Data_a!$Y$71</f>
        <v>58579524.505568646</v>
      </c>
      <c r="I12" s="185">
        <f>(Data_a!$U$59+Data_a!$U$60)*Data_a!Y64/Data_a!$Y$71</f>
        <v>99517589.986178875</v>
      </c>
    </row>
    <row r="13" spans="2:9" x14ac:dyDescent="0.25">
      <c r="B13" s="3"/>
      <c r="C13" s="143" t="s">
        <v>35</v>
      </c>
      <c r="D13" s="103" t="s">
        <v>121</v>
      </c>
      <c r="E13" s="198">
        <f>(Data_a!$G$30+Data_a!$G$31+Data_a!$G$33/2+Data_a!$G$34/2)*Data_a!Y65/Data_a!$Y$71</f>
        <v>79763458.275401399</v>
      </c>
      <c r="F13" s="189">
        <f t="shared" si="0"/>
        <v>0.58863487865516284</v>
      </c>
      <c r="H13" s="184">
        <f>Data_a!$P$46*Data_a!Y65/Data_a!$Y$71</f>
        <v>70066500.83697027</v>
      </c>
      <c r="I13" s="185">
        <f>(Data_a!$U$59+Data_a!$U$60)*Data_a!Y65/Data_a!$Y$71</f>
        <v>119032193.60199855</v>
      </c>
    </row>
    <row r="14" spans="2:9" x14ac:dyDescent="0.25">
      <c r="B14" s="3"/>
      <c r="C14" s="143" t="s">
        <v>36</v>
      </c>
      <c r="D14" s="103" t="s">
        <v>122</v>
      </c>
      <c r="E14" s="198">
        <f>(Data_a!$G$30+Data_a!$G$31+Data_a!$G$33/2+Data_a!$G$34/2)*Data_a!Y66/Data_a!$Y$71</f>
        <v>69210379.031935275</v>
      </c>
      <c r="F14" s="189">
        <f t="shared" si="0"/>
        <v>0.58863487865516284</v>
      </c>
      <c r="H14" s="184">
        <f>Data_a!$P$46*Data_a!Y66/Data_a!$Y$71</f>
        <v>60796374.495507911</v>
      </c>
      <c r="I14" s="185">
        <f>(Data_a!$U$59+Data_a!$U$60)*Data_a!Y66/Data_a!$Y$71</f>
        <v>103283676.69005214</v>
      </c>
    </row>
    <row r="15" spans="2:9" x14ac:dyDescent="0.25">
      <c r="B15" s="3"/>
      <c r="C15" s="143" t="s">
        <v>37</v>
      </c>
      <c r="D15" s="103" t="s">
        <v>123</v>
      </c>
      <c r="E15" s="198">
        <f>(Data_a!$G$30+Data_a!$G$31+Data_a!$G$33/2+Data_a!$G$34/2)*Data_a!Y67/Data_a!$Y$71</f>
        <v>34031046.791914254</v>
      </c>
      <c r="F15" s="189">
        <f t="shared" si="0"/>
        <v>0.58863487865516284</v>
      </c>
      <c r="H15" s="184">
        <f>Data_a!$P$46*Data_a!Y67/Data_a!$Y$71</f>
        <v>29893843.873918153</v>
      </c>
      <c r="I15" s="185">
        <f>(Data_a!$U$59+Data_a!$U$60)*Data_a!Y67/Data_a!$Y$71</f>
        <v>50785036.629524499</v>
      </c>
    </row>
    <row r="16" spans="2:9" x14ac:dyDescent="0.25">
      <c r="B16" s="3"/>
      <c r="C16" s="143" t="s">
        <v>38</v>
      </c>
      <c r="D16" s="103" t="s">
        <v>124</v>
      </c>
      <c r="E16" s="198">
        <f>(Data_a!$G$30+Data_a!$G$31+Data_a!$G$33/2+Data_a!$G$34/2)*Data_a!Y68/Data_a!$Y$71</f>
        <v>4795636.2217316274</v>
      </c>
      <c r="F16" s="189">
        <f t="shared" si="0"/>
        <v>0.58863487865516284</v>
      </c>
      <c r="H16" s="184">
        <f>Data_a!$P$46*Data_a!Y68/Data_a!$Y$71</f>
        <v>4212623.8832774963</v>
      </c>
      <c r="I16" s="185">
        <f>(Data_a!$U$59+Data_a!$U$60)*Data_a!Y68/Data_a!$Y$71</f>
        <v>7156599.1687443955</v>
      </c>
    </row>
    <row r="17" spans="2:9" x14ac:dyDescent="0.25">
      <c r="B17" s="3"/>
      <c r="C17" s="143" t="s">
        <v>39</v>
      </c>
      <c r="D17" s="103" t="s">
        <v>125</v>
      </c>
      <c r="E17" s="198">
        <f>(Data_a!$G$30+Data_a!$G$31+Data_a!$G$33/2+Data_a!$G$34/2)*Data_a!Y69/Data_a!$Y$71</f>
        <v>29893276.585015573</v>
      </c>
      <c r="F17" s="189">
        <f t="shared" si="0"/>
        <v>0.58863487865516284</v>
      </c>
      <c r="H17" s="184">
        <f>Data_a!$P$46*Data_a!Y69/Data_a!$Y$71</f>
        <v>26259108.295329701</v>
      </c>
      <c r="I17" s="185">
        <f>(Data_a!$U$59+Data_a!$U$60)*Data_a!Y69/Data_a!$Y$71</f>
        <v>44610180.686749533</v>
      </c>
    </row>
    <row r="18" spans="2:9" ht="15.75" thickBot="1" x14ac:dyDescent="0.3">
      <c r="B18" s="4"/>
      <c r="C18" s="144" t="s">
        <v>40</v>
      </c>
      <c r="D18" s="104" t="s">
        <v>126</v>
      </c>
      <c r="E18" s="199">
        <f>(Data_a!$G$30+Data_a!$G$31+Data_a!$G$33/2+Data_a!$G$34/2)*Data_a!Y70/Data_a!$Y$71</f>
        <v>3547993.3889698228</v>
      </c>
      <c r="F18" s="190">
        <f t="shared" si="0"/>
        <v>0.58863487865516284</v>
      </c>
      <c r="H18" s="186">
        <f>Data_a!$P$46*Data_a!Y70/Data_a!$Y$71</f>
        <v>3116658.769978188</v>
      </c>
      <c r="I18" s="187">
        <f>(Data_a!$U$59+Data_a!$U$60)*Data_a!Y70/Data_a!$Y$71</f>
        <v>5294723.2367520062</v>
      </c>
    </row>
    <row r="19" spans="2:9" x14ac:dyDescent="0.25"/>
    <row r="20" spans="2:9" ht="15.75" thickBot="1" x14ac:dyDescent="0.3">
      <c r="F20" s="416"/>
    </row>
    <row r="21" spans="2:9" ht="15.75" thickBot="1" x14ac:dyDescent="0.3">
      <c r="D21" s="2" t="s">
        <v>227</v>
      </c>
      <c r="E21" s="82"/>
    </row>
    <row r="22" spans="2:9" x14ac:dyDescent="0.25">
      <c r="D22" s="158" t="s">
        <v>228</v>
      </c>
      <c r="E22" s="37">
        <f>+Input!F39</f>
        <v>92840000</v>
      </c>
    </row>
    <row r="23" spans="2:9" ht="15.75" thickBot="1" x14ac:dyDescent="0.3">
      <c r="D23" s="159" t="s">
        <v>229</v>
      </c>
      <c r="E23" s="147">
        <f>+Data_b!D4</f>
        <v>0.28000000000000003</v>
      </c>
    </row>
    <row r="24" spans="2:9" ht="15.75" thickBot="1" x14ac:dyDescent="0.3">
      <c r="D24" s="240"/>
      <c r="E24" s="241"/>
    </row>
    <row r="25" spans="2:9" ht="15.75" thickBot="1" x14ac:dyDescent="0.3">
      <c r="D25" s="2" t="s">
        <v>199</v>
      </c>
      <c r="E25" s="82"/>
    </row>
    <row r="26" spans="2:9" x14ac:dyDescent="0.25">
      <c r="D26" s="158" t="s">
        <v>231</v>
      </c>
      <c r="E26" s="242">
        <f>SUM(Data_b!$I$4:$I$5)/SUM(Data_b!$I$4:$I$5)</f>
        <v>1</v>
      </c>
    </row>
    <row r="27" spans="2:9" ht="15.75" thickBot="1" x14ac:dyDescent="0.3">
      <c r="D27" s="159" t="s">
        <v>230</v>
      </c>
      <c r="E27" s="147">
        <f>SUM(Data_b!$I$4:$I$6)/SUM(Data_b!$I$4:$I$5)</f>
        <v>1.3157894736842106</v>
      </c>
    </row>
    <row r="28" spans="2:9" x14ac:dyDescent="0.25"/>
    <row r="29" spans="2:9" hidden="1" x14ac:dyDescent="0.25"/>
    <row r="30" spans="2:9" hidden="1" x14ac:dyDescent="0.25"/>
    <row r="31" spans="2:9" hidden="1" x14ac:dyDescent="0.25"/>
    <row r="32" spans="2:9" hidden="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zoomScale="90" zoomScaleNormal="90" workbookViewId="0">
      <selection activeCell="I41" sqref="I41"/>
    </sheetView>
  </sheetViews>
  <sheetFormatPr defaultColWidth="0" defaultRowHeight="15" zeroHeight="1" x14ac:dyDescent="0.25"/>
  <cols>
    <col min="1" max="1" width="3.42578125" customWidth="1"/>
    <col min="2" max="2" width="9.140625" customWidth="1"/>
    <col min="3" max="6" width="9.7109375" customWidth="1"/>
    <col min="7" max="13" width="11" customWidth="1"/>
    <col min="14" max="14" width="2.85546875" customWidth="1"/>
    <col min="15" max="15" width="4" customWidth="1"/>
    <col min="16" max="16" width="12" customWidth="1"/>
    <col min="17" max="17" width="6.7109375" bestFit="1" customWidth="1"/>
    <col min="18" max="18" width="11.85546875" customWidth="1"/>
    <col min="19" max="19" width="6.5703125" bestFit="1" customWidth="1"/>
    <col min="20" max="20" width="6.42578125" bestFit="1" customWidth="1"/>
    <col min="21" max="21" width="7.28515625" customWidth="1"/>
    <col min="22" max="22" width="7.7109375" customWidth="1"/>
    <col min="23" max="23" width="6.5703125" bestFit="1" customWidth="1"/>
    <col min="24" max="24" width="2.28515625" customWidth="1"/>
    <col min="25" max="25" width="90.85546875" bestFit="1" customWidth="1"/>
    <col min="26" max="16384" width="9.140625" hidden="1"/>
  </cols>
  <sheetData>
    <row r="1" spans="2:21" x14ac:dyDescent="0.25"/>
    <row r="2" spans="2:21" x14ac:dyDescent="0.25">
      <c r="B2" s="113" t="s">
        <v>196</v>
      </c>
      <c r="C2" s="114"/>
      <c r="D2" s="114"/>
      <c r="E2" s="114"/>
      <c r="F2" s="114"/>
      <c r="G2" s="114"/>
      <c r="H2" s="114"/>
      <c r="I2" s="114"/>
      <c r="J2" s="114"/>
      <c r="K2" s="114"/>
      <c r="L2" s="114"/>
      <c r="M2" s="115"/>
    </row>
    <row r="3" spans="2:21" x14ac:dyDescent="0.25">
      <c r="B3" s="116" t="s">
        <v>29</v>
      </c>
      <c r="C3" s="29" t="s">
        <v>30</v>
      </c>
      <c r="D3" s="29" t="s">
        <v>31</v>
      </c>
      <c r="E3" s="29" t="s">
        <v>32</v>
      </c>
      <c r="F3" s="29" t="s">
        <v>33</v>
      </c>
      <c r="G3" s="29" t="s">
        <v>34</v>
      </c>
      <c r="H3" s="29" t="s">
        <v>35</v>
      </c>
      <c r="I3" s="29" t="s">
        <v>36</v>
      </c>
      <c r="J3" s="29" t="s">
        <v>37</v>
      </c>
      <c r="K3" s="29" t="s">
        <v>38</v>
      </c>
      <c r="L3" s="29" t="s">
        <v>39</v>
      </c>
      <c r="M3" s="29" t="s">
        <v>40</v>
      </c>
    </row>
    <row r="4" spans="2:21" x14ac:dyDescent="0.25">
      <c r="B4" s="29" t="s">
        <v>30</v>
      </c>
      <c r="C4" s="141">
        <f>INDEX(Data_d!$F$27:$F$70,MATCH($B4&amp;C$3,Data_d!$E$27:$E$70,0))</f>
        <v>0</v>
      </c>
      <c r="D4" s="141">
        <f>INDEX(Data_d!$F$27:$F$70,MATCH($B4&amp;D$3,Data_d!$E$27:$E$70,0))</f>
        <v>509.03899999999999</v>
      </c>
      <c r="E4" s="141">
        <f>INDEX(Data_d!$F$27:$F$70,MATCH($B4&amp;E$3,Data_d!$E$27:$E$70,0))</f>
        <v>481.84000000000003</v>
      </c>
      <c r="F4" s="141">
        <f>INDEX(Data_d!$F$27:$F$70,MATCH($B4&amp;F$3,Data_d!$E$27:$E$70,0))</f>
        <v>254.26299999999998</v>
      </c>
      <c r="G4" s="141">
        <f>INDEX(Data_d!$F$27:$F$70,MATCH($B4&amp;G$3,Data_d!$E$27:$E$70,0))</f>
        <v>416.85699999999997</v>
      </c>
      <c r="H4" s="141">
        <f>INDEX(Data_d!$F$27:$F$70,MATCH($B4&amp;H$3,Data_d!$E$27:$E$70,0))</f>
        <v>434.01900000000001</v>
      </c>
      <c r="I4" s="141">
        <f>INDEX(Data_d!$F$27:$F$70,MATCH($B4&amp;I$3,Data_d!$E$27:$E$70,0))</f>
        <v>290.23699999999997</v>
      </c>
      <c r="J4" s="141">
        <f>INDEX(Data_d!$F$27:$F$70,MATCH($B4&amp;J$3,Data_d!$E$27:$E$70,0))</f>
        <v>148.19899999999998</v>
      </c>
      <c r="K4" s="141">
        <f>INDEX(Data_d!$F$27:$F$70,MATCH($B4&amp;K$3,Data_d!$E$27:$E$70,0))</f>
        <v>477.80899999999997</v>
      </c>
      <c r="L4" s="141">
        <f>INDEX(Data_d!$F$27:$F$70,MATCH($B4&amp;L$3,Data_d!$E$27:$E$70,0))</f>
        <v>441.00900000000001</v>
      </c>
      <c r="M4" s="141">
        <f>INDEX(Data_d!$F$27:$F$70,MATCH($B4&amp;M$3,Data_d!$E$27:$E$70,0))</f>
        <v>274.86</v>
      </c>
    </row>
    <row r="5" spans="2:21" x14ac:dyDescent="0.25">
      <c r="B5" s="29" t="s">
        <v>31</v>
      </c>
      <c r="C5" s="141">
        <f>INDEX(Data_d!$F$27:$F$70,MATCH($B5&amp;C$3,Data_d!$E$27:$E$70,0))</f>
        <v>509.03899999999999</v>
      </c>
      <c r="D5" s="141">
        <f>INDEX(Data_d!$F$27:$F$70,MATCH($B5&amp;D$3,Data_d!$E$27:$E$70,0))</f>
        <v>0</v>
      </c>
      <c r="E5" s="141">
        <f>INDEX(Data_d!$F$27:$F$70,MATCH($B5&amp;E$3,Data_d!$E$27:$E$70,0))</f>
        <v>549.45300000000009</v>
      </c>
      <c r="F5" s="141">
        <f>INDEX(Data_d!$F$27:$F$70,MATCH($B5&amp;F$3,Data_d!$E$27:$E$70,0))</f>
        <v>321.87600000000003</v>
      </c>
      <c r="G5" s="141">
        <f>INDEX(Data_d!$F$27:$F$70,MATCH($B5&amp;G$3,Data_d!$E$27:$E$70,0))</f>
        <v>484.47</v>
      </c>
      <c r="H5" s="141">
        <f>INDEX(Data_d!$F$27:$F$70,MATCH($B5&amp;H$3,Data_d!$E$27:$E$70,0))</f>
        <v>190.702</v>
      </c>
      <c r="I5" s="141">
        <f>INDEX(Data_d!$F$27:$F$70,MATCH($B5&amp;I$3,Data_d!$E$27:$E$70,0))</f>
        <v>357.85</v>
      </c>
      <c r="J5" s="141">
        <f>INDEX(Data_d!$F$27:$F$70,MATCH($B5&amp;J$3,Data_d!$E$27:$E$70,0))</f>
        <v>370.96000000000004</v>
      </c>
      <c r="K5" s="141">
        <f>INDEX(Data_d!$F$27:$F$70,MATCH($B5&amp;K$3,Data_d!$E$27:$E$70,0))</f>
        <v>71.706000000000003</v>
      </c>
      <c r="L5" s="141">
        <f>INDEX(Data_d!$F$27:$F$70,MATCH($B5&amp;L$3,Data_d!$E$27:$E$70,0))</f>
        <v>508.62200000000007</v>
      </c>
      <c r="M5" s="141">
        <f>INDEX(Data_d!$F$27:$F$70,MATCH($B5&amp;M$3,Data_d!$E$27:$E$70,0))</f>
        <v>334.01</v>
      </c>
    </row>
    <row r="6" spans="2:21" x14ac:dyDescent="0.25">
      <c r="B6" s="29" t="s">
        <v>32</v>
      </c>
      <c r="C6" s="141">
        <f>INDEX(Data_d!$F$27:$F$70,MATCH($B6&amp;C$3,Data_d!$E$27:$E$70,0))</f>
        <v>481.84000000000003</v>
      </c>
      <c r="D6" s="141">
        <f>INDEX(Data_d!$F$27:$F$70,MATCH($B6&amp;D$3,Data_d!$E$27:$E$70,0))</f>
        <v>549.45300000000009</v>
      </c>
      <c r="E6" s="141">
        <f>INDEX(Data_d!$F$27:$F$70,MATCH($B6&amp;E$3,Data_d!$E$27:$E$70,0))</f>
        <v>0</v>
      </c>
      <c r="F6" s="141">
        <f>INDEX(Data_d!$F$27:$F$70,MATCH($B6&amp;F$3,Data_d!$E$27:$E$70,0))</f>
        <v>294.67700000000002</v>
      </c>
      <c r="G6" s="141">
        <f>INDEX(Data_d!$F$27:$F$70,MATCH($B6&amp;G$3,Data_d!$E$27:$E$70,0))</f>
        <v>276.803</v>
      </c>
      <c r="H6" s="141">
        <f>INDEX(Data_d!$F$27:$F$70,MATCH($B6&amp;H$3,Data_d!$E$27:$E$70,0))</f>
        <v>474.43299999999999</v>
      </c>
      <c r="I6" s="141">
        <f>INDEX(Data_d!$F$27:$F$70,MATCH($B6&amp;I$3,Data_d!$E$27:$E$70,0))</f>
        <v>330.65100000000001</v>
      </c>
      <c r="J6" s="141">
        <f>INDEX(Data_d!$F$27:$F$70,MATCH($B6&amp;J$3,Data_d!$E$27:$E$70,0))</f>
        <v>343.76099999999997</v>
      </c>
      <c r="K6" s="141">
        <f>INDEX(Data_d!$F$27:$F$70,MATCH($B6&amp;K$3,Data_d!$E$27:$E$70,0))</f>
        <v>518.22300000000007</v>
      </c>
      <c r="L6" s="141">
        <f>INDEX(Data_d!$F$27:$F$70,MATCH($B6&amp;L$3,Data_d!$E$27:$E$70,0))</f>
        <v>51.051000000000002</v>
      </c>
      <c r="M6" s="141">
        <f>INDEX(Data_d!$F$27:$F$70,MATCH($B6&amp;M$3,Data_d!$E$27:$E$70,0))</f>
        <v>462.79100000000005</v>
      </c>
    </row>
    <row r="7" spans="2:21" x14ac:dyDescent="0.25">
      <c r="B7" s="29" t="s">
        <v>33</v>
      </c>
      <c r="C7" s="141">
        <f>INDEX(Data_d!$F$27:$F$70,MATCH($B7&amp;C$3,Data_d!$E$27:$E$70,0))</f>
        <v>254.26299999999998</v>
      </c>
      <c r="D7" s="141">
        <f>INDEX(Data_d!$F$27:$F$70,MATCH($B7&amp;D$3,Data_d!$E$27:$E$70,0))</f>
        <v>321.87600000000003</v>
      </c>
      <c r="E7" s="141">
        <f>INDEX(Data_d!$F$27:$F$70,MATCH($B7&amp;E$3,Data_d!$E$27:$E$70,0))</f>
        <v>294.67700000000002</v>
      </c>
      <c r="F7" s="141">
        <f>INDEX(Data_d!$F$27:$F$70,MATCH($B7&amp;F$3,Data_d!$E$27:$E$70,0))</f>
        <v>0</v>
      </c>
      <c r="G7" s="141">
        <f>INDEX(Data_d!$F$27:$F$70,MATCH($B7&amp;G$3,Data_d!$E$27:$E$70,0))</f>
        <v>229.69400000000002</v>
      </c>
      <c r="H7" s="141">
        <f>INDEX(Data_d!$F$27:$F$70,MATCH($B7&amp;H$3,Data_d!$E$27:$E$70,0))</f>
        <v>246.85599999999999</v>
      </c>
      <c r="I7" s="141">
        <f>INDEX(Data_d!$F$27:$F$70,MATCH($B7&amp;I$3,Data_d!$E$27:$E$70,0))</f>
        <v>35.974000000000004</v>
      </c>
      <c r="J7" s="141">
        <f>INDEX(Data_d!$F$27:$F$70,MATCH($B7&amp;J$3,Data_d!$E$27:$E$70,0))</f>
        <v>116.184</v>
      </c>
      <c r="K7" s="141">
        <f>INDEX(Data_d!$F$27:$F$70,MATCH($B7&amp;K$3,Data_d!$E$27:$E$70,0))</f>
        <v>290.64600000000002</v>
      </c>
      <c r="L7" s="141">
        <f>INDEX(Data_d!$F$27:$F$70,MATCH($B7&amp;L$3,Data_d!$E$27:$E$70,0))</f>
        <v>253.846</v>
      </c>
      <c r="M7" s="141">
        <f>INDEX(Data_d!$F$27:$F$70,MATCH($B7&amp;M$3,Data_d!$E$27:$E$70,0))</f>
        <v>235.214</v>
      </c>
    </row>
    <row r="8" spans="2:21" x14ac:dyDescent="0.25"/>
    <row r="9" spans="2:21" x14ac:dyDescent="0.25">
      <c r="B9" s="113" t="s">
        <v>197</v>
      </c>
      <c r="C9" s="114"/>
      <c r="D9" s="114"/>
      <c r="E9" s="114"/>
      <c r="F9" s="114"/>
      <c r="G9" s="114"/>
      <c r="H9" s="114"/>
      <c r="I9" s="114"/>
      <c r="J9" s="114"/>
      <c r="K9" s="114"/>
      <c r="L9" s="114"/>
      <c r="M9" s="115"/>
    </row>
    <row r="10" spans="2:21" x14ac:dyDescent="0.25">
      <c r="B10" s="117" t="s">
        <v>28</v>
      </c>
      <c r="C10" s="31" t="s">
        <v>30</v>
      </c>
      <c r="D10" s="31" t="s">
        <v>31</v>
      </c>
      <c r="E10" s="31" t="s">
        <v>32</v>
      </c>
      <c r="F10" s="31" t="s">
        <v>33</v>
      </c>
      <c r="G10" s="31" t="s">
        <v>34</v>
      </c>
      <c r="H10" s="31" t="s">
        <v>35</v>
      </c>
      <c r="I10" s="31" t="s">
        <v>36</v>
      </c>
      <c r="J10" s="31" t="s">
        <v>37</v>
      </c>
      <c r="K10" s="31" t="s">
        <v>38</v>
      </c>
      <c r="L10" s="31" t="s">
        <v>39</v>
      </c>
      <c r="M10" s="31" t="s">
        <v>40</v>
      </c>
      <c r="N10" s="30"/>
      <c r="O10" s="30"/>
      <c r="P10" s="30"/>
      <c r="Q10" s="30"/>
      <c r="R10" s="30"/>
      <c r="S10" s="30"/>
      <c r="T10" s="30"/>
      <c r="U10" s="30"/>
    </row>
    <row r="11" spans="2:21" x14ac:dyDescent="0.25">
      <c r="B11" s="29" t="s">
        <v>30</v>
      </c>
      <c r="C11" s="32">
        <f>'RPM inputs'!$E$26</f>
        <v>1</v>
      </c>
      <c r="D11" s="32">
        <f>'RPM inputs'!$E$26</f>
        <v>1</v>
      </c>
      <c r="E11" s="32">
        <f>'RPM inputs'!$E$26</f>
        <v>1</v>
      </c>
      <c r="F11" s="32">
        <f>'RPM inputs'!$E$26</f>
        <v>1</v>
      </c>
      <c r="G11" s="32">
        <f>'RPM inputs'!$E$27</f>
        <v>1.3157894736842106</v>
      </c>
      <c r="H11" s="32">
        <f>'RPM inputs'!$E$27</f>
        <v>1.3157894736842106</v>
      </c>
      <c r="I11" s="32">
        <f>'RPM inputs'!$E$27</f>
        <v>1.3157894736842106</v>
      </c>
      <c r="J11" s="32">
        <f>'RPM inputs'!$E$27</f>
        <v>1.3157894736842106</v>
      </c>
      <c r="K11" s="32">
        <f>'RPM inputs'!$E$27</f>
        <v>1.3157894736842106</v>
      </c>
      <c r="L11" s="32">
        <f>'RPM inputs'!$E$27</f>
        <v>1.3157894736842106</v>
      </c>
      <c r="M11" s="32">
        <f>'RPM inputs'!$E$27</f>
        <v>1.3157894736842106</v>
      </c>
      <c r="N11" s="30"/>
      <c r="O11" s="30"/>
      <c r="P11" s="30"/>
      <c r="Q11" s="30"/>
      <c r="R11" s="30"/>
      <c r="S11" s="30"/>
      <c r="T11" s="30"/>
      <c r="U11" s="30"/>
    </row>
    <row r="12" spans="2:21" x14ac:dyDescent="0.25">
      <c r="B12" s="29" t="s">
        <v>31</v>
      </c>
      <c r="C12" s="32">
        <f>'RPM inputs'!$E$26</f>
        <v>1</v>
      </c>
      <c r="D12" s="32">
        <f>'RPM inputs'!$E$26</f>
        <v>1</v>
      </c>
      <c r="E12" s="32">
        <f>'RPM inputs'!$E$26</f>
        <v>1</v>
      </c>
      <c r="F12" s="32">
        <f>'RPM inputs'!$E$26</f>
        <v>1</v>
      </c>
      <c r="G12" s="32">
        <f>'RPM inputs'!$E$27</f>
        <v>1.3157894736842106</v>
      </c>
      <c r="H12" s="32">
        <f>'RPM inputs'!$E$27</f>
        <v>1.3157894736842106</v>
      </c>
      <c r="I12" s="32">
        <f>'RPM inputs'!$E$27</f>
        <v>1.3157894736842106</v>
      </c>
      <c r="J12" s="32">
        <f>'RPM inputs'!$E$27</f>
        <v>1.3157894736842106</v>
      </c>
      <c r="K12" s="32">
        <f>'RPM inputs'!$E$27</f>
        <v>1.3157894736842106</v>
      </c>
      <c r="L12" s="32">
        <f>'RPM inputs'!$E$27</f>
        <v>1.3157894736842106</v>
      </c>
      <c r="M12" s="32">
        <f>'RPM inputs'!$E$27</f>
        <v>1.3157894736842106</v>
      </c>
      <c r="N12" s="30"/>
      <c r="O12" s="30"/>
      <c r="P12" s="30"/>
      <c r="Q12" s="30"/>
      <c r="R12" s="30"/>
      <c r="S12" s="30"/>
      <c r="T12" s="30"/>
      <c r="U12" s="30"/>
    </row>
    <row r="13" spans="2:21" x14ac:dyDescent="0.25">
      <c r="B13" s="29" t="s">
        <v>32</v>
      </c>
      <c r="C13" s="32">
        <f>'RPM inputs'!$E$26</f>
        <v>1</v>
      </c>
      <c r="D13" s="32">
        <f>'RPM inputs'!$E$26</f>
        <v>1</v>
      </c>
      <c r="E13" s="32">
        <f>'RPM inputs'!$E$26</f>
        <v>1</v>
      </c>
      <c r="F13" s="32">
        <f>'RPM inputs'!$E$26</f>
        <v>1</v>
      </c>
      <c r="G13" s="32">
        <f>'RPM inputs'!$E$27</f>
        <v>1.3157894736842106</v>
      </c>
      <c r="H13" s="301">
        <f>'RPM inputs'!$E$27</f>
        <v>1.3157894736842106</v>
      </c>
      <c r="I13" s="32">
        <f>'RPM inputs'!$E$27</f>
        <v>1.3157894736842106</v>
      </c>
      <c r="J13" s="32">
        <f>'RPM inputs'!$E$27</f>
        <v>1.3157894736842106</v>
      </c>
      <c r="K13" s="32">
        <f>'RPM inputs'!$E$27</f>
        <v>1.3157894736842106</v>
      </c>
      <c r="L13" s="32">
        <f>'RPM inputs'!$E$27</f>
        <v>1.3157894736842106</v>
      </c>
      <c r="M13" s="32">
        <f>'RPM inputs'!$E$27</f>
        <v>1.3157894736842106</v>
      </c>
      <c r="N13" s="30"/>
      <c r="O13" s="30"/>
      <c r="P13" s="30"/>
      <c r="Q13" s="30"/>
      <c r="R13" s="30"/>
      <c r="S13" s="30"/>
      <c r="T13" s="30"/>
      <c r="U13" s="30"/>
    </row>
    <row r="14" spans="2:21" x14ac:dyDescent="0.25">
      <c r="B14" s="29" t="s">
        <v>33</v>
      </c>
      <c r="C14" s="32">
        <f>'RPM inputs'!$E$26</f>
        <v>1</v>
      </c>
      <c r="D14" s="32">
        <f>'RPM inputs'!$E$26</f>
        <v>1</v>
      </c>
      <c r="E14" s="32">
        <f>'RPM inputs'!$E$26</f>
        <v>1</v>
      </c>
      <c r="F14" s="32">
        <f>'RPM inputs'!$E$26</f>
        <v>1</v>
      </c>
      <c r="G14" s="32">
        <f>'RPM inputs'!$E$27</f>
        <v>1.3157894736842106</v>
      </c>
      <c r="H14" s="32">
        <f>'RPM inputs'!$E$27</f>
        <v>1.3157894736842106</v>
      </c>
      <c r="I14" s="32">
        <f>'RPM inputs'!$E$27</f>
        <v>1.3157894736842106</v>
      </c>
      <c r="J14" s="32">
        <f>'RPM inputs'!$E$27</f>
        <v>1.3157894736842106</v>
      </c>
      <c r="K14" s="32">
        <f>'RPM inputs'!$E$27</f>
        <v>1.3157894736842106</v>
      </c>
      <c r="L14" s="32">
        <f>'RPM inputs'!$E$27</f>
        <v>1.3157894736842106</v>
      </c>
      <c r="M14" s="32">
        <f>'RPM inputs'!$E$27</f>
        <v>1.3157894736842106</v>
      </c>
      <c r="N14" s="30"/>
      <c r="O14" s="30"/>
      <c r="P14" s="30"/>
      <c r="Q14" s="30"/>
      <c r="R14" s="30"/>
      <c r="S14" s="30"/>
      <c r="T14" s="30"/>
      <c r="U14" s="30"/>
    </row>
    <row r="15" spans="2:21" x14ac:dyDescent="0.25">
      <c r="N15" s="30"/>
      <c r="O15" s="30"/>
      <c r="P15" s="30"/>
      <c r="Q15" s="30"/>
      <c r="R15" s="30"/>
      <c r="S15" s="30"/>
      <c r="T15" s="30"/>
      <c r="U15" s="30"/>
    </row>
    <row r="16" spans="2:21" x14ac:dyDescent="0.25">
      <c r="B16" s="113" t="s">
        <v>198</v>
      </c>
      <c r="C16" s="114"/>
      <c r="D16" s="114"/>
      <c r="E16" s="114"/>
      <c r="F16" s="114"/>
      <c r="G16" s="114"/>
      <c r="H16" s="114"/>
      <c r="I16" s="114"/>
      <c r="J16" s="114"/>
      <c r="K16" s="114"/>
      <c r="L16" s="114"/>
      <c r="M16" s="115"/>
      <c r="N16" s="56"/>
      <c r="O16" s="56"/>
      <c r="P16" s="195" t="s">
        <v>233</v>
      </c>
      <c r="Q16" s="114"/>
      <c r="R16" s="114"/>
      <c r="S16" s="114"/>
      <c r="T16" s="114"/>
      <c r="U16" s="115"/>
    </row>
    <row r="17" spans="2:25" ht="18.75" x14ac:dyDescent="0.35">
      <c r="B17" s="116" t="s">
        <v>29</v>
      </c>
      <c r="C17" s="31" t="s">
        <v>30</v>
      </c>
      <c r="D17" s="31" t="s">
        <v>31</v>
      </c>
      <c r="E17" s="31" t="s">
        <v>32</v>
      </c>
      <c r="F17" s="31" t="s">
        <v>33</v>
      </c>
      <c r="G17" s="31" t="s">
        <v>34</v>
      </c>
      <c r="H17" s="31" t="s">
        <v>35</v>
      </c>
      <c r="I17" s="31" t="s">
        <v>36</v>
      </c>
      <c r="J17" s="31" t="s">
        <v>37</v>
      </c>
      <c r="K17" s="31" t="s">
        <v>38</v>
      </c>
      <c r="L17" s="31" t="s">
        <v>39</v>
      </c>
      <c r="M17" s="31" t="s">
        <v>40</v>
      </c>
      <c r="N17" s="56"/>
      <c r="O17" s="56"/>
      <c r="P17" s="407" t="s">
        <v>235</v>
      </c>
      <c r="Q17" s="407" t="s">
        <v>236</v>
      </c>
      <c r="R17" s="407" t="s">
        <v>237</v>
      </c>
      <c r="S17" s="407" t="s">
        <v>238</v>
      </c>
      <c r="T17" s="407" t="s">
        <v>239</v>
      </c>
      <c r="U17" s="407" t="s">
        <v>240</v>
      </c>
    </row>
    <row r="18" spans="2:25" x14ac:dyDescent="0.25">
      <c r="B18" s="29" t="s">
        <v>30</v>
      </c>
      <c r="C18" s="377">
        <f>+C4*C11</f>
        <v>0</v>
      </c>
      <c r="D18" s="377">
        <f t="shared" ref="D18:M18" si="0">+D4*D11</f>
        <v>509.03899999999999</v>
      </c>
      <c r="E18" s="377">
        <f t="shared" si="0"/>
        <v>481.84000000000003</v>
      </c>
      <c r="F18" s="377">
        <f t="shared" si="0"/>
        <v>254.26299999999998</v>
      </c>
      <c r="G18" s="377">
        <f t="shared" si="0"/>
        <v>548.496052631579</v>
      </c>
      <c r="H18" s="377">
        <f t="shared" si="0"/>
        <v>571.07763157894738</v>
      </c>
      <c r="I18" s="377">
        <f t="shared" si="0"/>
        <v>381.89078947368421</v>
      </c>
      <c r="J18" s="377">
        <f t="shared" si="0"/>
        <v>194.99868421052631</v>
      </c>
      <c r="K18" s="377">
        <f t="shared" si="0"/>
        <v>628.69605263157894</v>
      </c>
      <c r="L18" s="377">
        <f t="shared" si="0"/>
        <v>580.27500000000009</v>
      </c>
      <c r="M18" s="377">
        <f t="shared" si="0"/>
        <v>361.65789473684214</v>
      </c>
      <c r="N18" s="56"/>
      <c r="O18" s="29" t="s">
        <v>30</v>
      </c>
      <c r="P18" s="148">
        <f>+'RPM inputs'!E4</f>
        <v>114322488.9063724</v>
      </c>
      <c r="Q18" s="149">
        <f>+'RPM inputs'!F4</f>
        <v>0.90419775503312938</v>
      </c>
      <c r="R18" s="34">
        <f>+P18*Q18</f>
        <v>103370137.81894176</v>
      </c>
      <c r="S18" s="35">
        <f>SUMPRODUCT(C$27:M$27,C18:M18)/SUMIFS(C$27:M$27,C18:M18,"&gt;0")</f>
        <v>473.47748813281277</v>
      </c>
      <c r="T18" s="36">
        <f>R18*S18/SUMPRODUCT(R$18:R$21,S$18:S$21)</f>
        <v>0.58641032430269846</v>
      </c>
      <c r="U18" s="39">
        <f>IF(P18=0,0,'RPM inputs'!$E$23*T18*'RPM inputs'!$E$22/P18)</f>
        <v>0.13334081341421711</v>
      </c>
    </row>
    <row r="19" spans="2:25" x14ac:dyDescent="0.25">
      <c r="B19" s="29" t="s">
        <v>31</v>
      </c>
      <c r="C19" s="377">
        <f>+C5*C12</f>
        <v>509.03899999999999</v>
      </c>
      <c r="D19" s="377">
        <f t="shared" ref="D19:M19" si="1">+D5*D12</f>
        <v>0</v>
      </c>
      <c r="E19" s="377">
        <f t="shared" si="1"/>
        <v>549.45300000000009</v>
      </c>
      <c r="F19" s="377">
        <f t="shared" si="1"/>
        <v>321.87600000000003</v>
      </c>
      <c r="G19" s="377">
        <f t="shared" si="1"/>
        <v>637.46052631578959</v>
      </c>
      <c r="H19" s="377">
        <f t="shared" si="1"/>
        <v>250.92368421052632</v>
      </c>
      <c r="I19" s="377">
        <f t="shared" si="1"/>
        <v>470.8552631578948</v>
      </c>
      <c r="J19" s="377">
        <f t="shared" si="1"/>
        <v>488.1052631578948</v>
      </c>
      <c r="K19" s="377">
        <f t="shared" si="1"/>
        <v>94.350000000000009</v>
      </c>
      <c r="L19" s="377">
        <f t="shared" si="1"/>
        <v>669.23947368421068</v>
      </c>
      <c r="M19" s="377">
        <f t="shared" si="1"/>
        <v>439.48684210526318</v>
      </c>
      <c r="N19" s="56"/>
      <c r="O19" s="29" t="s">
        <v>31</v>
      </c>
      <c r="P19" s="148">
        <f>+'RPM inputs'!E5</f>
        <v>8531529.0228636116</v>
      </c>
      <c r="Q19" s="149">
        <f>+'RPM inputs'!F5</f>
        <v>0.90419775503312938</v>
      </c>
      <c r="R19" s="34">
        <f t="shared" ref="R19:R21" si="2">+P19*Q19</f>
        <v>7714189.389473266</v>
      </c>
      <c r="S19" s="35">
        <f>SUMPRODUCT(C$27:M$27,C19:M19)/SUMIFS(C$27:M$27,C19:M19,"&gt;0")</f>
        <v>463.34721382152958</v>
      </c>
      <c r="T19" s="36">
        <f>R19*S19/SUMPRODUCT(R$18:R$21,S$18:S$21)</f>
        <v>4.2825656616724307E-2</v>
      </c>
      <c r="U19" s="39">
        <f>IF(P19=0,0,'RPM inputs'!$E$23*T19*'RPM inputs'!$E$22/P19)</f>
        <v>0.13048792378243648</v>
      </c>
    </row>
    <row r="20" spans="2:25" x14ac:dyDescent="0.25">
      <c r="B20" s="29" t="s">
        <v>32</v>
      </c>
      <c r="C20" s="377">
        <f>+C6*C13</f>
        <v>481.84000000000003</v>
      </c>
      <c r="D20" s="377">
        <f t="shared" ref="D20:M20" si="3">+D6*D13</f>
        <v>549.45300000000009</v>
      </c>
      <c r="E20" s="377">
        <f t="shared" si="3"/>
        <v>0</v>
      </c>
      <c r="F20" s="377">
        <f t="shared" si="3"/>
        <v>294.67700000000002</v>
      </c>
      <c r="G20" s="377">
        <f t="shared" si="3"/>
        <v>364.21447368421053</v>
      </c>
      <c r="H20" s="377">
        <f t="shared" si="3"/>
        <v>624.25394736842111</v>
      </c>
      <c r="I20" s="377">
        <f t="shared" si="3"/>
        <v>435.06710526315794</v>
      </c>
      <c r="J20" s="377">
        <f t="shared" si="3"/>
        <v>452.31710526315788</v>
      </c>
      <c r="K20" s="377">
        <f t="shared" si="3"/>
        <v>681.87236842105278</v>
      </c>
      <c r="L20" s="377">
        <f t="shared" si="3"/>
        <v>67.172368421052639</v>
      </c>
      <c r="M20" s="377">
        <f t="shared" si="3"/>
        <v>608.93552631578962</v>
      </c>
      <c r="N20" s="56"/>
      <c r="O20" s="29" t="s">
        <v>32</v>
      </c>
      <c r="P20" s="148">
        <f>+'RPM inputs'!E6</f>
        <v>77226360.38040866</v>
      </c>
      <c r="Q20" s="149">
        <f>+'RPM inputs'!F6</f>
        <v>0.8940959594036697</v>
      </c>
      <c r="R20" s="34">
        <f t="shared" si="2"/>
        <v>69047776.775575027</v>
      </c>
      <c r="S20" s="35">
        <f>SUMPRODUCT(C$27:M$27,C20:M20)/SUMIFS(C$27:M$27,C20:M20,"&gt;0")</f>
        <v>439.98693594286004</v>
      </c>
      <c r="T20" s="36">
        <f t="shared" ref="T20:T21" si="4">R20*S20/SUMPRODUCT(R$18:R$21,S$18:S$21)</f>
        <v>0.36399603995341151</v>
      </c>
      <c r="U20" s="39">
        <f>IF(P20=0,0,'RPM inputs'!$E$23*T20*'RPM inputs'!$E$22/P20)</f>
        <v>0.12252487118630738</v>
      </c>
    </row>
    <row r="21" spans="2:25" x14ac:dyDescent="0.25">
      <c r="B21" s="29" t="s">
        <v>33</v>
      </c>
      <c r="C21" s="377">
        <f>+C7*C14</f>
        <v>254.26299999999998</v>
      </c>
      <c r="D21" s="377">
        <f t="shared" ref="D21:M21" si="5">+D7*D14</f>
        <v>321.87600000000003</v>
      </c>
      <c r="E21" s="377">
        <f t="shared" si="5"/>
        <v>294.67700000000002</v>
      </c>
      <c r="F21" s="377">
        <f t="shared" si="5"/>
        <v>0</v>
      </c>
      <c r="G21" s="377">
        <f t="shared" si="5"/>
        <v>302.22894736842107</v>
      </c>
      <c r="H21" s="377">
        <f t="shared" si="5"/>
        <v>324.8105263157895</v>
      </c>
      <c r="I21" s="377">
        <f t="shared" si="5"/>
        <v>47.3342105263158</v>
      </c>
      <c r="J21" s="377">
        <f t="shared" si="5"/>
        <v>152.87368421052633</v>
      </c>
      <c r="K21" s="377">
        <f t="shared" si="5"/>
        <v>382.42894736842112</v>
      </c>
      <c r="L21" s="377">
        <f t="shared" si="5"/>
        <v>334.00789473684216</v>
      </c>
      <c r="M21" s="377">
        <f t="shared" si="5"/>
        <v>309.4921052631579</v>
      </c>
      <c r="N21" s="56"/>
      <c r="O21" s="29" t="s">
        <v>33</v>
      </c>
      <c r="P21" s="148">
        <f>+'RPM inputs'!E7</f>
        <v>4894243.642328768</v>
      </c>
      <c r="Q21" s="149">
        <f>+'RPM inputs'!F7</f>
        <v>0.49262302658066282</v>
      </c>
      <c r="R21" s="34">
        <f t="shared" si="2"/>
        <v>2411017.1159071648</v>
      </c>
      <c r="S21" s="35">
        <f>SUMPRODUCT(C$27:M$27,C21:M21)/SUMIFS(C$27:M$27,C21:M21,"&gt;0")</f>
        <v>234.28880625731696</v>
      </c>
      <c r="T21" s="36">
        <f t="shared" si="4"/>
        <v>6.7679791271658025E-3</v>
      </c>
      <c r="U21" s="39">
        <f>IF(P21=0,0,'RPM inputs'!$E$23*T21*'RPM inputs'!$E$22/P21)</f>
        <v>3.5947325851311218E-2</v>
      </c>
    </row>
    <row r="22" spans="2:25" x14ac:dyDescent="0.25">
      <c r="N22" s="56"/>
      <c r="O22" s="56"/>
      <c r="P22" s="56"/>
      <c r="Q22" s="56"/>
      <c r="R22" s="56"/>
      <c r="S22" s="56"/>
      <c r="T22" s="56"/>
      <c r="U22" s="56"/>
    </row>
    <row r="23" spans="2:25" x14ac:dyDescent="0.25">
      <c r="B23" s="113" t="s">
        <v>232</v>
      </c>
      <c r="C23" s="114"/>
      <c r="D23" s="114"/>
      <c r="E23" s="114"/>
      <c r="F23" s="114"/>
      <c r="G23" s="114"/>
      <c r="H23" s="114"/>
      <c r="I23" s="114"/>
      <c r="J23" s="114"/>
      <c r="K23" s="114"/>
      <c r="L23" s="114"/>
      <c r="M23" s="115"/>
      <c r="N23" s="56"/>
      <c r="O23" s="56"/>
      <c r="P23" s="56"/>
      <c r="Q23" s="56"/>
      <c r="R23" s="56"/>
      <c r="S23" s="56"/>
      <c r="T23" s="56"/>
      <c r="U23" s="56"/>
    </row>
    <row r="24" spans="2:25" x14ac:dyDescent="0.25">
      <c r="B24" s="116"/>
      <c r="C24" s="31" t="s">
        <v>30</v>
      </c>
      <c r="D24" s="31" t="s">
        <v>31</v>
      </c>
      <c r="E24" s="31" t="s">
        <v>32</v>
      </c>
      <c r="F24" s="31" t="s">
        <v>33</v>
      </c>
      <c r="G24" s="31" t="s">
        <v>34</v>
      </c>
      <c r="H24" s="31" t="s">
        <v>35</v>
      </c>
      <c r="I24" s="31" t="s">
        <v>36</v>
      </c>
      <c r="J24" s="31" t="s">
        <v>37</v>
      </c>
      <c r="K24" s="31" t="s">
        <v>38</v>
      </c>
      <c r="L24" s="31" t="s">
        <v>39</v>
      </c>
      <c r="M24" s="31" t="s">
        <v>40</v>
      </c>
      <c r="N24" s="56"/>
      <c r="O24" s="56"/>
      <c r="P24" s="56"/>
      <c r="Q24" s="56"/>
      <c r="R24" s="56"/>
      <c r="S24" s="56"/>
      <c r="T24" s="56"/>
      <c r="U24" s="56"/>
    </row>
    <row r="25" spans="2:25" ht="18" x14ac:dyDescent="0.35">
      <c r="B25" s="408" t="s">
        <v>241</v>
      </c>
      <c r="C25" s="148">
        <f t="array" ref="C25:M25">TRANSPOSE('RPM inputs'!$E$8:$E$18)</f>
        <v>92887.679017247254</v>
      </c>
      <c r="D25" s="148">
        <v>42221.672280566934</v>
      </c>
      <c r="E25" s="148">
        <v>1445395.787909836</v>
      </c>
      <c r="F25" s="148">
        <v>4894243.642328768</v>
      </c>
      <c r="G25" s="148">
        <v>66686724.795415401</v>
      </c>
      <c r="H25" s="148">
        <v>79763458.275401399</v>
      </c>
      <c r="I25" s="148">
        <v>69210379.031935275</v>
      </c>
      <c r="J25" s="148">
        <v>34031046.791914254</v>
      </c>
      <c r="K25" s="148">
        <v>4795636.2217316274</v>
      </c>
      <c r="L25" s="148">
        <v>29893276.585015573</v>
      </c>
      <c r="M25" s="148">
        <v>3547993.3889698228</v>
      </c>
      <c r="N25" s="56"/>
      <c r="O25" s="56"/>
      <c r="P25" s="56"/>
      <c r="Q25" s="56"/>
      <c r="R25" s="56"/>
      <c r="S25" s="56"/>
      <c r="T25" s="56"/>
      <c r="U25" s="56"/>
    </row>
    <row r="26" spans="2:25" ht="18" x14ac:dyDescent="0.35">
      <c r="B26" s="407" t="s">
        <v>242</v>
      </c>
      <c r="C26" s="191">
        <f t="array" ref="C26:M26">TRANSPOSE('RPM inputs'!$F$8:$F$18)</f>
        <v>6.6988626720183478E-2</v>
      </c>
      <c r="D26" s="191">
        <v>6.6988626720183478E-2</v>
      </c>
      <c r="E26" s="191">
        <v>0</v>
      </c>
      <c r="F26" s="191">
        <v>0.28108548364299851</v>
      </c>
      <c r="G26" s="191">
        <v>0.58863487865516284</v>
      </c>
      <c r="H26" s="191">
        <v>0.58863487865516284</v>
      </c>
      <c r="I26" s="191">
        <v>0.58863487865516284</v>
      </c>
      <c r="J26" s="191">
        <v>0.58863487865516284</v>
      </c>
      <c r="K26" s="191">
        <v>0.58863487865516284</v>
      </c>
      <c r="L26" s="191">
        <v>0.58863487865516284</v>
      </c>
      <c r="M26" s="191">
        <v>0.58863487865516284</v>
      </c>
      <c r="N26" s="56"/>
      <c r="O26" s="56"/>
      <c r="P26" s="56"/>
      <c r="Q26" s="56"/>
      <c r="R26" s="56"/>
      <c r="S26" s="56"/>
      <c r="T26" s="56"/>
      <c r="U26" s="56"/>
    </row>
    <row r="27" spans="2:25" ht="18.75" x14ac:dyDescent="0.35">
      <c r="B27" s="407" t="s">
        <v>243</v>
      </c>
      <c r="C27" s="34">
        <f>+C25*C26</f>
        <v>6222.4180565905954</v>
      </c>
      <c r="D27" s="34">
        <f t="shared" ref="D27:M27" si="6">+D25*D26</f>
        <v>2828.3718439048162</v>
      </c>
      <c r="E27" s="34">
        <f t="shared" si="6"/>
        <v>0</v>
      </c>
      <c r="F27" s="34">
        <f t="shared" si="6"/>
        <v>1375700.8412706524</v>
      </c>
      <c r="G27" s="34">
        <f t="shared" si="6"/>
        <v>39254132.157859586</v>
      </c>
      <c r="H27" s="34">
        <f t="shared" si="6"/>
        <v>46951553.583057046</v>
      </c>
      <c r="I27" s="34">
        <f t="shared" si="6"/>
        <v>40739643.063141048</v>
      </c>
      <c r="J27" s="34">
        <f t="shared" si="6"/>
        <v>20031861.098866615</v>
      </c>
      <c r="K27" s="34">
        <f t="shared" si="6"/>
        <v>2822878.7454533</v>
      </c>
      <c r="L27" s="34">
        <f t="shared" si="6"/>
        <v>17596225.235225864</v>
      </c>
      <c r="M27" s="34">
        <f t="shared" si="6"/>
        <v>2088472.6579855715</v>
      </c>
      <c r="N27" s="56"/>
      <c r="O27" s="56"/>
      <c r="P27" s="56"/>
      <c r="Q27" s="56"/>
      <c r="R27" s="56"/>
      <c r="S27" s="56"/>
      <c r="T27" s="56"/>
      <c r="U27" s="56"/>
    </row>
    <row r="28" spans="2:25" ht="18" x14ac:dyDescent="0.35">
      <c r="B28" s="407" t="s">
        <v>244</v>
      </c>
      <c r="C28" s="35">
        <f>SUMPRODUCT($R18:$R21,C18:C21)/SUMIFS($R18:$R21,C18:C21,"&gt;0")</f>
        <v>477.55983028882486</v>
      </c>
      <c r="D28" s="35">
        <f t="shared" ref="D28:M28" si="7">SUMPRODUCT($R18:$R21,D18:D21)/SUMIFS($R18:$R21,D18:D21,"&gt;0")</f>
        <v>522.4191861697476</v>
      </c>
      <c r="E28" s="35">
        <f t="shared" si="7"/>
        <v>482.45964031339446</v>
      </c>
      <c r="F28" s="35">
        <f t="shared" si="7"/>
        <v>272.64992972848927</v>
      </c>
      <c r="G28" s="35">
        <f t="shared" si="7"/>
        <v>479.29761525504676</v>
      </c>
      <c r="H28" s="35">
        <f t="shared" si="7"/>
        <v>574.40957851319729</v>
      </c>
      <c r="I28" s="35">
        <f t="shared" si="7"/>
        <v>401.34577370882795</v>
      </c>
      <c r="J28" s="35">
        <f t="shared" si="7"/>
        <v>304.16072955253378</v>
      </c>
      <c r="K28" s="35">
        <f t="shared" si="7"/>
        <v>622.97633848008616</v>
      </c>
      <c r="L28" s="35">
        <f t="shared" si="7"/>
        <v>386.69848414857506</v>
      </c>
      <c r="M28" s="35">
        <f t="shared" si="7"/>
        <v>457.79181219051617</v>
      </c>
      <c r="N28" s="56"/>
      <c r="O28" s="56"/>
      <c r="P28" s="56"/>
      <c r="Q28" s="56"/>
      <c r="R28" s="56"/>
      <c r="S28" s="56"/>
      <c r="T28" s="56"/>
      <c r="U28" s="56"/>
    </row>
    <row r="29" spans="2:25" ht="18" x14ac:dyDescent="0.35">
      <c r="B29" s="407" t="s">
        <v>245</v>
      </c>
      <c r="C29" s="36">
        <f>C27*C28/SUMPRODUCT($C27:$M27,$C28:$M28)</f>
        <v>3.8035666947383149E-5</v>
      </c>
      <c r="D29" s="36">
        <f t="shared" ref="D29:M29" si="8">D27*D28/SUMPRODUCT($C27:$M27,$C28:$M28)</f>
        <v>1.8912967845551886E-5</v>
      </c>
      <c r="E29" s="36">
        <f t="shared" si="8"/>
        <v>0</v>
      </c>
      <c r="F29" s="36">
        <f t="shared" si="8"/>
        <v>4.8010193197248526E-3</v>
      </c>
      <c r="G29" s="36">
        <f t="shared" si="8"/>
        <v>0.24082119611030764</v>
      </c>
      <c r="H29" s="36">
        <f t="shared" si="8"/>
        <v>0.34520390607737028</v>
      </c>
      <c r="I29" s="36">
        <f t="shared" si="8"/>
        <v>0.20928590209105397</v>
      </c>
      <c r="J29" s="36">
        <f t="shared" si="8"/>
        <v>7.798812911325835E-2</v>
      </c>
      <c r="K29" s="36">
        <f t="shared" si="8"/>
        <v>2.2509603043211035E-2</v>
      </c>
      <c r="L29" s="36">
        <f t="shared" si="8"/>
        <v>8.709556537729575E-2</v>
      </c>
      <c r="M29" s="36">
        <f t="shared" si="8"/>
        <v>1.2237730232985291E-2</v>
      </c>
      <c r="N29" s="56"/>
      <c r="O29" s="56"/>
      <c r="P29" s="56"/>
      <c r="Q29" s="56"/>
      <c r="R29" s="56"/>
      <c r="S29" s="56"/>
      <c r="T29" s="56"/>
      <c r="U29" s="56"/>
    </row>
    <row r="30" spans="2:25" ht="18" x14ac:dyDescent="0.35">
      <c r="B30" s="407" t="s">
        <v>246</v>
      </c>
      <c r="C30" s="38">
        <f>IF(C25=0,0,(1-'RPM inputs'!$E$23)*C29*'RPM inputs'!$E$22/C25)</f>
        <v>2.7371623199804053E-2</v>
      </c>
      <c r="D30" s="38">
        <f>IF(D25=0,0,(1-'RPM inputs'!$E$23)*D29*'RPM inputs'!$E$22/D25)</f>
        <v>2.9942763627205413E-2</v>
      </c>
      <c r="E30" s="38">
        <f>IF(E25=0,0,(1-'RPM inputs'!$E$23)*E29*'RPM inputs'!$E$22/E25)</f>
        <v>0</v>
      </c>
      <c r="F30" s="38">
        <f>IF(F25=0,0,(1-'RPM inputs'!$E$23)*F29*'RPM inputs'!$E$22/F25)</f>
        <v>6.5571557052775342E-2</v>
      </c>
      <c r="G30" s="38">
        <f>IF(G25=0,0,(1-'RPM inputs'!$E$23)*G29*'RPM inputs'!$E$22/G25)</f>
        <v>0.24139204225637692</v>
      </c>
      <c r="H30" s="38">
        <f>IF(H25=0,0,(1-'RPM inputs'!$E$23)*H29*'RPM inputs'!$E$22/H25)</f>
        <v>0.28929395189070967</v>
      </c>
      <c r="I30" s="38">
        <f>IF(I25=0,0,(1-'RPM inputs'!$E$23)*I29*'RPM inputs'!$E$22/I25)</f>
        <v>0.2021326058861912</v>
      </c>
      <c r="J30" s="38">
        <f>IF(J25=0,0,(1-'RPM inputs'!$E$23)*J29*'RPM inputs'!$E$22/J25)</f>
        <v>0.15318661588125346</v>
      </c>
      <c r="K30" s="38">
        <f>IF(K25=0,0,(1-'RPM inputs'!$E$23)*K29*'RPM inputs'!$E$22/K25)</f>
        <v>0.3137539721391811</v>
      </c>
      <c r="L30" s="38">
        <f>IF(L25=0,0,(1-'RPM inputs'!$E$23)*L29*'RPM inputs'!$E$22/L25)</f>
        <v>0.19475568802151857</v>
      </c>
      <c r="M30" s="38">
        <f>IF(M25=0,0,(1-'RPM inputs'!$E$23)*M29*'RPM inputs'!$E$22/M25)</f>
        <v>0.2305609228080816</v>
      </c>
      <c r="N30" s="56"/>
      <c r="O30" s="56"/>
      <c r="P30" s="56"/>
      <c r="Q30" s="56"/>
      <c r="R30" s="56"/>
      <c r="S30" s="56"/>
      <c r="T30" s="56"/>
      <c r="U30" s="56"/>
    </row>
    <row r="31" spans="2:25" x14ac:dyDescent="0.25">
      <c r="N31" s="56"/>
      <c r="O31" s="56"/>
      <c r="P31" s="56"/>
      <c r="Q31" s="56"/>
      <c r="R31" s="56"/>
      <c r="S31" s="56"/>
      <c r="T31" s="56"/>
      <c r="U31" s="56"/>
      <c r="W31" s="404" t="s">
        <v>234</v>
      </c>
    </row>
    <row r="32" spans="2:25" ht="18" x14ac:dyDescent="0.35">
      <c r="N32" s="56"/>
      <c r="O32" s="56"/>
      <c r="P32" s="56"/>
      <c r="Q32" s="56"/>
      <c r="R32" s="56"/>
      <c r="S32" s="56"/>
      <c r="T32" s="56"/>
      <c r="W32" s="405" t="s">
        <v>247</v>
      </c>
      <c r="X32" s="406" t="s">
        <v>200</v>
      </c>
      <c r="Y32" t="s">
        <v>253</v>
      </c>
    </row>
    <row r="33" spans="14:25" ht="18" x14ac:dyDescent="0.35">
      <c r="N33" s="56"/>
      <c r="O33" s="56"/>
      <c r="P33" s="56"/>
      <c r="Q33" s="56"/>
      <c r="R33" s="56"/>
      <c r="S33" s="56"/>
      <c r="T33" s="56"/>
      <c r="W33" s="405" t="s">
        <v>248</v>
      </c>
      <c r="X33" t="s">
        <v>200</v>
      </c>
      <c r="Y33" t="s">
        <v>254</v>
      </c>
    </row>
    <row r="34" spans="14:25" ht="18.75" x14ac:dyDescent="0.35">
      <c r="N34" s="56"/>
      <c r="O34" s="56"/>
      <c r="P34" s="56"/>
      <c r="Q34" s="56"/>
      <c r="R34" s="56"/>
      <c r="S34" s="56"/>
      <c r="T34" s="56"/>
      <c r="W34" s="405" t="s">
        <v>249</v>
      </c>
      <c r="X34" t="s">
        <v>200</v>
      </c>
      <c r="Y34" t="s">
        <v>255</v>
      </c>
    </row>
    <row r="35" spans="14:25" ht="18" x14ac:dyDescent="0.35">
      <c r="N35" s="56"/>
      <c r="O35" s="56"/>
      <c r="P35" s="56"/>
      <c r="Q35" s="56"/>
      <c r="R35" s="56"/>
      <c r="S35" s="56"/>
      <c r="T35" s="56"/>
      <c r="W35" s="405" t="s">
        <v>250</v>
      </c>
      <c r="X35" t="s">
        <v>200</v>
      </c>
      <c r="Y35" t="s">
        <v>256</v>
      </c>
    </row>
    <row r="36" spans="14:25" ht="18" x14ac:dyDescent="0.35">
      <c r="N36" s="56"/>
      <c r="O36" s="56"/>
      <c r="P36" s="56"/>
      <c r="Q36" s="56"/>
      <c r="R36" s="56"/>
      <c r="S36" s="56"/>
      <c r="T36" s="56"/>
      <c r="W36" s="405" t="s">
        <v>251</v>
      </c>
      <c r="X36" t="s">
        <v>200</v>
      </c>
      <c r="Y36" t="s">
        <v>257</v>
      </c>
    </row>
    <row r="37" spans="14:25" ht="18" x14ac:dyDescent="0.35">
      <c r="N37" s="56"/>
      <c r="O37" s="56"/>
      <c r="P37" s="56"/>
      <c r="Q37" s="56"/>
      <c r="R37" s="56"/>
      <c r="S37" s="56"/>
      <c r="T37" s="56"/>
      <c r="W37" s="405" t="s">
        <v>252</v>
      </c>
      <c r="X37" t="s">
        <v>200</v>
      </c>
      <c r="Y37" t="s">
        <v>258</v>
      </c>
    </row>
    <row r="38" spans="14:25" ht="18" x14ac:dyDescent="0.35">
      <c r="N38" s="56"/>
      <c r="O38" s="56"/>
      <c r="P38" s="56"/>
      <c r="Q38" s="56"/>
      <c r="R38" s="56"/>
      <c r="S38" s="56"/>
      <c r="T38" s="56"/>
      <c r="W38" s="405" t="s">
        <v>259</v>
      </c>
      <c r="X38" s="406" t="s">
        <v>200</v>
      </c>
      <c r="Y38" t="s">
        <v>265</v>
      </c>
    </row>
    <row r="39" spans="14:25" ht="18" x14ac:dyDescent="0.35">
      <c r="W39" s="405" t="s">
        <v>260</v>
      </c>
      <c r="X39" t="s">
        <v>200</v>
      </c>
      <c r="Y39" t="s">
        <v>266</v>
      </c>
    </row>
    <row r="40" spans="14:25" ht="18.75" x14ac:dyDescent="0.35">
      <c r="W40" s="405" t="s">
        <v>261</v>
      </c>
      <c r="X40" t="s">
        <v>200</v>
      </c>
      <c r="Y40" t="s">
        <v>267</v>
      </c>
    </row>
    <row r="41" spans="14:25" ht="18" x14ac:dyDescent="0.35">
      <c r="W41" s="405" t="s">
        <v>262</v>
      </c>
      <c r="X41" t="s">
        <v>200</v>
      </c>
      <c r="Y41" t="s">
        <v>268</v>
      </c>
    </row>
    <row r="42" spans="14:25" ht="18" x14ac:dyDescent="0.35">
      <c r="W42" s="405" t="s">
        <v>263</v>
      </c>
      <c r="X42" t="s">
        <v>200</v>
      </c>
      <c r="Y42" t="s">
        <v>269</v>
      </c>
    </row>
    <row r="43" spans="14:25" ht="18" x14ac:dyDescent="0.35">
      <c r="W43" s="405" t="s">
        <v>264</v>
      </c>
      <c r="X43" t="s">
        <v>200</v>
      </c>
      <c r="Y43" t="s">
        <v>270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53"/>
  <sheetViews>
    <sheetView showGridLines="0" zoomScale="90" zoomScaleNormal="90" workbookViewId="0">
      <selection activeCell="G28" sqref="G28"/>
    </sheetView>
  </sheetViews>
  <sheetFormatPr defaultColWidth="0" defaultRowHeight="0" customHeight="1" zeroHeight="1" x14ac:dyDescent="0.25"/>
  <cols>
    <col min="1" max="1" width="9.140625" customWidth="1"/>
    <col min="2" max="2" width="20" bestFit="1" customWidth="1"/>
    <col min="3" max="3" width="15.42578125" bestFit="1" customWidth="1"/>
    <col min="4" max="4" width="2.7109375" customWidth="1"/>
    <col min="5" max="5" width="11" customWidth="1"/>
    <col min="6" max="6" width="35.140625" bestFit="1" customWidth="1"/>
    <col min="7" max="7" width="64" bestFit="1" customWidth="1"/>
    <col min="8" max="8" width="32.140625" customWidth="1"/>
    <col min="9" max="9" width="13.85546875" customWidth="1"/>
    <col min="10" max="10" width="2.7109375" customWidth="1"/>
    <col min="11" max="11" width="13.140625" bestFit="1" customWidth="1"/>
    <col min="12" max="12" width="2.7109375" customWidth="1"/>
    <col min="13" max="13" width="9.28515625" bestFit="1" customWidth="1"/>
    <col min="14" max="14" width="2.7109375" customWidth="1"/>
    <col min="15" max="15" width="26.140625" bestFit="1" customWidth="1"/>
    <col min="16" max="16" width="13.85546875" customWidth="1"/>
    <col min="17" max="17" width="9.140625" customWidth="1"/>
    <col min="18" max="19" width="9.140625" hidden="1" customWidth="1"/>
    <col min="20" max="20" width="11.7109375" hidden="1" customWidth="1"/>
    <col min="21" max="16384" width="9.140625" hidden="1"/>
  </cols>
  <sheetData>
    <row r="1" spans="1:16" ht="15.75" thickBot="1" x14ac:dyDescent="0.3"/>
    <row r="2" spans="1:16" ht="15.75" thickBot="1" x14ac:dyDescent="0.3">
      <c r="A2" s="2" t="s">
        <v>271</v>
      </c>
      <c r="B2" s="93"/>
      <c r="C2" s="94"/>
      <c r="H2" s="192"/>
    </row>
    <row r="3" spans="1:16" ht="15.75" thickBot="1" x14ac:dyDescent="0.3">
      <c r="A3" s="95"/>
      <c r="B3" s="47" t="s">
        <v>205</v>
      </c>
      <c r="C3" s="90" t="s">
        <v>275</v>
      </c>
    </row>
    <row r="4" spans="1:16" ht="15" x14ac:dyDescent="0.25">
      <c r="A4" s="40" t="s">
        <v>160</v>
      </c>
      <c r="B4" s="13" t="str">
        <f>+Input!C4</f>
        <v>VIP</v>
      </c>
      <c r="C4" s="46">
        <f>'RPM inputs'!$E$23*(RPM!T18+RPM!T19)*'RPM inputs'!$E$22/(RPM!P18+RPM!P19)</f>
        <v>0.13314269607867682</v>
      </c>
      <c r="E4" s="252"/>
    </row>
    <row r="5" spans="1:16" ht="15" x14ac:dyDescent="0.25">
      <c r="A5" s="41"/>
      <c r="B5" s="16" t="str">
        <f>+Input!C9</f>
        <v>Terminal GNL</v>
      </c>
      <c r="C5" s="43">
        <f>+RPM!U20</f>
        <v>0.12252487118630738</v>
      </c>
    </row>
    <row r="6" spans="1:16" ht="15.75" thickBot="1" x14ac:dyDescent="0.3">
      <c r="A6" s="42"/>
      <c r="B6" s="18" t="s">
        <v>168</v>
      </c>
      <c r="C6" s="44">
        <f>+RPM!U21</f>
        <v>3.5947325851311218E-2</v>
      </c>
    </row>
    <row r="7" spans="1:16" ht="15" x14ac:dyDescent="0.25">
      <c r="A7" s="40" t="s">
        <v>161</v>
      </c>
      <c r="B7" s="13" t="s">
        <v>1</v>
      </c>
      <c r="C7" s="46">
        <f>IF((RPM!C25+RPM!D25)=0,0,(1-'RPM inputs'!$E$23)*(RPM!C29+RPM!D29)*'RPM inputs'!$E$22/(RPM!C25+RPM!D25))</f>
        <v>2.8175104583366979E-2</v>
      </c>
    </row>
    <row r="8" spans="1:16" ht="15" x14ac:dyDescent="0.25">
      <c r="A8" s="41"/>
      <c r="B8" s="16" t="s">
        <v>203</v>
      </c>
      <c r="C8" s="45">
        <f>+RPM!E30</f>
        <v>0</v>
      </c>
    </row>
    <row r="9" spans="1:16" ht="15" x14ac:dyDescent="0.25">
      <c r="A9" s="41"/>
      <c r="B9" s="16" t="s">
        <v>168</v>
      </c>
      <c r="C9" s="45">
        <f>+RPM!F30</f>
        <v>6.5571557052775342E-2</v>
      </c>
    </row>
    <row r="10" spans="1:16" ht="15.75" thickBot="1" x14ac:dyDescent="0.3">
      <c r="A10" s="42"/>
      <c r="B10" s="18" t="s">
        <v>169</v>
      </c>
      <c r="C10" s="44">
        <f>(1-'RPM inputs'!$E$23)*SUM(RPM!G29:M29)*'RPM inputs'!$E$22/SUM(RPM!G25:M25)</f>
        <v>0.23102980989150237</v>
      </c>
    </row>
    <row r="11" spans="1:16" ht="15.75" thickBot="1" x14ac:dyDescent="0.3"/>
    <row r="12" spans="1:16" ht="15.75" thickBot="1" x14ac:dyDescent="0.3">
      <c r="H12" s="28" t="str">
        <f>+A2</f>
        <v>Preços pós-equalização</v>
      </c>
      <c r="I12" s="26" t="str">
        <f>+Data_a!$K$4</f>
        <v>2019-2020</v>
      </c>
      <c r="K12" s="28" t="s">
        <v>272</v>
      </c>
      <c r="M12" s="28" t="s">
        <v>273</v>
      </c>
      <c r="O12" s="28" t="s">
        <v>274</v>
      </c>
      <c r="P12" s="26" t="str">
        <f>+Data_a!$K$4</f>
        <v>2019-2020</v>
      </c>
    </row>
    <row r="13" spans="1:16" ht="15.75" thickBot="1" x14ac:dyDescent="0.3">
      <c r="F13" s="8" t="str">
        <f>+Input!C3</f>
        <v>Ponto</v>
      </c>
      <c r="G13" s="8" t="str">
        <f>+Input!D3</f>
        <v>Produto</v>
      </c>
      <c r="H13" s="8" t="str">
        <f>+Input!E3</f>
        <v>Unidade</v>
      </c>
      <c r="I13" s="48"/>
      <c r="K13" s="55"/>
      <c r="M13" s="55"/>
      <c r="O13" s="8" t="str">
        <f>+H13</f>
        <v>Unidade</v>
      </c>
      <c r="P13" s="48"/>
    </row>
    <row r="14" spans="1:16" ht="15" x14ac:dyDescent="0.25">
      <c r="E14" s="5" t="str">
        <f>+Input!B4</f>
        <v>Entrada</v>
      </c>
      <c r="F14" s="23" t="str">
        <f>+Input!C4</f>
        <v>VIP</v>
      </c>
      <c r="G14" s="14" t="str">
        <f>+Input!D4</f>
        <v>Anual</v>
      </c>
      <c r="H14" s="49" t="s">
        <v>275</v>
      </c>
      <c r="I14" s="46">
        <f>$C$4</f>
        <v>0.13314269607867682</v>
      </c>
      <c r="K14" s="74">
        <f>+Data_b!D18</f>
        <v>1</v>
      </c>
      <c r="M14" s="193">
        <f>+Data_b!$D$13</f>
        <v>0</v>
      </c>
      <c r="O14" s="49" t="str">
        <f>+H14</f>
        <v>€/(kWh/dia)/ano</v>
      </c>
      <c r="P14" s="46">
        <f>+I14*K14*(1-M14)</f>
        <v>0.13314269607867682</v>
      </c>
    </row>
    <row r="15" spans="1:16" ht="15" x14ac:dyDescent="0.25">
      <c r="E15" s="6"/>
      <c r="F15" s="24"/>
      <c r="G15" s="12" t="str">
        <f>+Input!D5</f>
        <v>Trimestral</v>
      </c>
      <c r="H15" s="16" t="s">
        <v>275</v>
      </c>
      <c r="I15" s="43">
        <f>$C$4</f>
        <v>0.13314269607867682</v>
      </c>
      <c r="K15" s="75">
        <f>+Data_b!D19</f>
        <v>1.3</v>
      </c>
      <c r="M15" s="244">
        <f>+Data_b!$D$13</f>
        <v>0</v>
      </c>
      <c r="O15" s="16" t="str">
        <f t="shared" ref="O15:O44" si="0">+H15</f>
        <v>€/(kWh/dia)/ano</v>
      </c>
      <c r="P15" s="43">
        <f t="shared" ref="P15:P44" si="1">+I15*K15*(1-M15)</f>
        <v>0.17308550490227986</v>
      </c>
    </row>
    <row r="16" spans="1:16" ht="15" x14ac:dyDescent="0.25">
      <c r="E16" s="6"/>
      <c r="F16" s="24"/>
      <c r="G16" s="12" t="str">
        <f>+Input!D6</f>
        <v>Mensal</v>
      </c>
      <c r="H16" s="16" t="s">
        <v>275</v>
      </c>
      <c r="I16" s="43">
        <f>$C$4</f>
        <v>0.13314269607867682</v>
      </c>
      <c r="K16" s="75">
        <f>+Data_b!D20</f>
        <v>1.5</v>
      </c>
      <c r="M16" s="244">
        <f>+Data_b!$D$13</f>
        <v>0</v>
      </c>
      <c r="O16" s="16" t="str">
        <f t="shared" si="0"/>
        <v>€/(kWh/dia)/ano</v>
      </c>
      <c r="P16" s="43">
        <f t="shared" si="1"/>
        <v>0.19971404411801524</v>
      </c>
    </row>
    <row r="17" spans="5:16" ht="15" x14ac:dyDescent="0.25">
      <c r="E17" s="6"/>
      <c r="F17" s="24"/>
      <c r="G17" s="12" t="str">
        <f>+Input!D7</f>
        <v>Diário</v>
      </c>
      <c r="H17" s="16" t="s">
        <v>275</v>
      </c>
      <c r="I17" s="43">
        <f>$C$4</f>
        <v>0.13314269607867682</v>
      </c>
      <c r="K17" s="75">
        <f>+Data_b!D21</f>
        <v>2</v>
      </c>
      <c r="M17" s="244">
        <f>+Data_b!$D$13</f>
        <v>0</v>
      </c>
      <c r="O17" s="16" t="str">
        <f t="shared" si="0"/>
        <v>€/(kWh/dia)/ano</v>
      </c>
      <c r="P17" s="43">
        <f t="shared" si="1"/>
        <v>0.26628539215735364</v>
      </c>
    </row>
    <row r="18" spans="5:16" ht="15.75" thickBot="1" x14ac:dyDescent="0.3">
      <c r="E18" s="6"/>
      <c r="F18" s="25"/>
      <c r="G18" s="19" t="str">
        <f>+Input!D8</f>
        <v>Intradiário</v>
      </c>
      <c r="H18" s="18" t="s">
        <v>276</v>
      </c>
      <c r="I18" s="44">
        <f>$C$4*24</f>
        <v>3.1954247058882439</v>
      </c>
      <c r="K18" s="76">
        <f>+Data_b!D22</f>
        <v>2.2000000000000002</v>
      </c>
      <c r="M18" s="194">
        <f>+Data_b!$D$13</f>
        <v>0</v>
      </c>
      <c r="O18" s="18" t="str">
        <f t="shared" si="0"/>
        <v>€/(kWh/h)/ano</v>
      </c>
      <c r="P18" s="44">
        <f t="shared" si="1"/>
        <v>7.0299343529541369</v>
      </c>
    </row>
    <row r="19" spans="5:16" ht="15" x14ac:dyDescent="0.25">
      <c r="E19" s="6"/>
      <c r="F19" s="23" t="str">
        <f>+Input!C9</f>
        <v>Terminal GNL</v>
      </c>
      <c r="G19" s="14" t="str">
        <f>+Input!D9</f>
        <v>Anual</v>
      </c>
      <c r="H19" s="49" t="s">
        <v>275</v>
      </c>
      <c r="I19" s="46">
        <f>$C$5</f>
        <v>0.12252487118630738</v>
      </c>
      <c r="K19" s="74">
        <f>+Data_b!D23</f>
        <v>1</v>
      </c>
      <c r="M19" s="193">
        <f>+Data_b!$D$13</f>
        <v>0</v>
      </c>
      <c r="O19" s="49" t="str">
        <f t="shared" si="0"/>
        <v>€/(kWh/dia)/ano</v>
      </c>
      <c r="P19" s="46">
        <f t="shared" si="1"/>
        <v>0.12252487118630738</v>
      </c>
    </row>
    <row r="20" spans="5:16" ht="15" x14ac:dyDescent="0.25">
      <c r="E20" s="6"/>
      <c r="F20" s="24"/>
      <c r="G20" s="12" t="str">
        <f>+Input!D10</f>
        <v>Trimestral</v>
      </c>
      <c r="H20" s="16" t="s">
        <v>275</v>
      </c>
      <c r="I20" s="43">
        <f>$C$5</f>
        <v>0.12252487118630738</v>
      </c>
      <c r="K20" s="75">
        <f>+Data_b!D24</f>
        <v>1.3</v>
      </c>
      <c r="M20" s="244">
        <f>+Data_b!$D$13</f>
        <v>0</v>
      </c>
      <c r="O20" s="16" t="str">
        <f t="shared" si="0"/>
        <v>€/(kWh/dia)/ano</v>
      </c>
      <c r="P20" s="43">
        <f t="shared" si="1"/>
        <v>0.15928233254219959</v>
      </c>
    </row>
    <row r="21" spans="5:16" ht="15" x14ac:dyDescent="0.25">
      <c r="E21" s="6"/>
      <c r="F21" s="24"/>
      <c r="G21" s="12" t="str">
        <f>+Input!D11</f>
        <v>Mensal</v>
      </c>
      <c r="H21" s="16" t="s">
        <v>275</v>
      </c>
      <c r="I21" s="43">
        <f>$C$5</f>
        <v>0.12252487118630738</v>
      </c>
      <c r="K21" s="75">
        <f>+Data_b!D25</f>
        <v>1.5</v>
      </c>
      <c r="M21" s="244">
        <f>+Data_b!$D$13</f>
        <v>0</v>
      </c>
      <c r="O21" s="16" t="str">
        <f t="shared" si="0"/>
        <v>€/(kWh/dia)/ano</v>
      </c>
      <c r="P21" s="43">
        <f t="shared" si="1"/>
        <v>0.18378730677946106</v>
      </c>
    </row>
    <row r="22" spans="5:16" ht="15" x14ac:dyDescent="0.25">
      <c r="E22" s="6"/>
      <c r="F22" s="24"/>
      <c r="G22" s="12" t="str">
        <f>+Input!D12</f>
        <v>Diário</v>
      </c>
      <c r="H22" s="16" t="s">
        <v>275</v>
      </c>
      <c r="I22" s="43">
        <f>$C$5</f>
        <v>0.12252487118630738</v>
      </c>
      <c r="K22" s="75">
        <f>+Data_b!D26</f>
        <v>2</v>
      </c>
      <c r="M22" s="244">
        <f>+Data_b!$D$13</f>
        <v>0</v>
      </c>
      <c r="O22" s="16" t="str">
        <f t="shared" si="0"/>
        <v>€/(kWh/dia)/ano</v>
      </c>
      <c r="P22" s="43">
        <f t="shared" si="1"/>
        <v>0.24504974237261476</v>
      </c>
    </row>
    <row r="23" spans="5:16" ht="15.75" thickBot="1" x14ac:dyDescent="0.3">
      <c r="E23" s="6"/>
      <c r="F23" s="25"/>
      <c r="G23" s="19" t="str">
        <f>+Input!D13</f>
        <v>Intradiário</v>
      </c>
      <c r="H23" s="18" t="s">
        <v>276</v>
      </c>
      <c r="I23" s="44">
        <f>$C$5*24</f>
        <v>2.940596908471377</v>
      </c>
      <c r="K23" s="76">
        <f>+Data_b!D27</f>
        <v>2.2000000000000002</v>
      </c>
      <c r="M23" s="194">
        <f>+Data_b!$D$13</f>
        <v>0</v>
      </c>
      <c r="O23" s="18" t="str">
        <f t="shared" si="0"/>
        <v>€/(kWh/h)/ano</v>
      </c>
      <c r="P23" s="44">
        <f t="shared" si="1"/>
        <v>6.46931319863703</v>
      </c>
    </row>
    <row r="24" spans="5:16" ht="15" x14ac:dyDescent="0.25">
      <c r="E24" s="6"/>
      <c r="F24" s="23" t="str">
        <f>+Input!C14</f>
        <v>Armazenamento subterrâneo</v>
      </c>
      <c r="G24" s="14" t="str">
        <f>+Input!D14</f>
        <v>Diário</v>
      </c>
      <c r="H24" s="49" t="s">
        <v>275</v>
      </c>
      <c r="I24" s="46">
        <f>$C$6</f>
        <v>3.5947325851311218E-2</v>
      </c>
      <c r="K24" s="74">
        <f>+Data_b!D28</f>
        <v>1</v>
      </c>
      <c r="M24" s="193">
        <f>+Data_b!$D$11</f>
        <v>1</v>
      </c>
      <c r="O24" s="49" t="str">
        <f t="shared" si="0"/>
        <v>€/(kWh/dia)/ano</v>
      </c>
      <c r="P24" s="46">
        <f t="shared" si="1"/>
        <v>0</v>
      </c>
    </row>
    <row r="25" spans="5:16" ht="15.75" thickBot="1" x14ac:dyDescent="0.3">
      <c r="E25" s="7"/>
      <c r="F25" s="25"/>
      <c r="G25" s="19" t="str">
        <f>+Input!D15</f>
        <v>Intradiário</v>
      </c>
      <c r="H25" s="18" t="s">
        <v>276</v>
      </c>
      <c r="I25" s="44">
        <f>$C$6*24</f>
        <v>0.86273582043146924</v>
      </c>
      <c r="K25" s="76">
        <f>+Data_b!D29</f>
        <v>1.1000000000000001</v>
      </c>
      <c r="M25" s="194">
        <f>+Data_b!$D$11</f>
        <v>1</v>
      </c>
      <c r="O25" s="18" t="str">
        <f t="shared" si="0"/>
        <v>€/(kWh/h)/ano</v>
      </c>
      <c r="P25" s="44">
        <f t="shared" si="1"/>
        <v>0</v>
      </c>
    </row>
    <row r="26" spans="5:16" ht="15" x14ac:dyDescent="0.25">
      <c r="E26" s="5" t="str">
        <f>+Input!B16</f>
        <v>Saída</v>
      </c>
      <c r="F26" s="23" t="str">
        <f>+Input!C16</f>
        <v>VIP</v>
      </c>
      <c r="G26" s="14" t="str">
        <f>+Input!D16</f>
        <v>Anual</v>
      </c>
      <c r="H26" s="49" t="s">
        <v>275</v>
      </c>
      <c r="I26" s="46">
        <f>$C$7</f>
        <v>2.8175104583366979E-2</v>
      </c>
      <c r="K26" s="74">
        <f>+Data_b!D30</f>
        <v>1</v>
      </c>
      <c r="M26" s="193">
        <f>+Data_b!$D$13</f>
        <v>0</v>
      </c>
      <c r="O26" s="49" t="str">
        <f t="shared" si="0"/>
        <v>€/(kWh/dia)/ano</v>
      </c>
      <c r="P26" s="46">
        <f t="shared" si="1"/>
        <v>2.8175104583366979E-2</v>
      </c>
    </row>
    <row r="27" spans="5:16" ht="15" x14ac:dyDescent="0.25">
      <c r="E27" s="3"/>
      <c r="F27" s="24"/>
      <c r="G27" s="12" t="str">
        <f>+Input!D17</f>
        <v>Trimestral</v>
      </c>
      <c r="H27" s="16" t="s">
        <v>275</v>
      </c>
      <c r="I27" s="43">
        <f>$C$7</f>
        <v>2.8175104583366979E-2</v>
      </c>
      <c r="K27" s="75">
        <f>+Data_b!D31</f>
        <v>1.3</v>
      </c>
      <c r="M27" s="244">
        <f>+Data_b!$D$13</f>
        <v>0</v>
      </c>
      <c r="O27" s="16" t="str">
        <f t="shared" si="0"/>
        <v>€/(kWh/dia)/ano</v>
      </c>
      <c r="P27" s="43">
        <f t="shared" si="1"/>
        <v>3.6627635958377071E-2</v>
      </c>
    </row>
    <row r="28" spans="5:16" ht="15" x14ac:dyDescent="0.25">
      <c r="E28" s="3"/>
      <c r="F28" s="24"/>
      <c r="G28" s="12" t="str">
        <f>+Input!D18</f>
        <v>Mensal</v>
      </c>
      <c r="H28" s="16" t="s">
        <v>275</v>
      </c>
      <c r="I28" s="43">
        <f>$C$7</f>
        <v>2.8175104583366979E-2</v>
      </c>
      <c r="K28" s="75">
        <f>+Data_b!D32</f>
        <v>1.5</v>
      </c>
      <c r="M28" s="244">
        <f>+Data_b!$D$13</f>
        <v>0</v>
      </c>
      <c r="O28" s="16" t="str">
        <f t="shared" si="0"/>
        <v>€/(kWh/dia)/ano</v>
      </c>
      <c r="P28" s="43">
        <f t="shared" si="1"/>
        <v>4.2262656875050472E-2</v>
      </c>
    </row>
    <row r="29" spans="5:16" ht="15" x14ac:dyDescent="0.25">
      <c r="E29" s="3"/>
      <c r="F29" s="24"/>
      <c r="G29" s="12" t="str">
        <f>+Input!D19</f>
        <v>Diário</v>
      </c>
      <c r="H29" s="16" t="s">
        <v>275</v>
      </c>
      <c r="I29" s="43">
        <f>$C$7</f>
        <v>2.8175104583366979E-2</v>
      </c>
      <c r="K29" s="75">
        <f>+Data_b!D33</f>
        <v>2</v>
      </c>
      <c r="M29" s="244">
        <f>+Data_b!$D$13</f>
        <v>0</v>
      </c>
      <c r="O29" s="16" t="str">
        <f t="shared" si="0"/>
        <v>€/(kWh/dia)/ano</v>
      </c>
      <c r="P29" s="43">
        <f t="shared" si="1"/>
        <v>5.6350209166733958E-2</v>
      </c>
    </row>
    <row r="30" spans="5:16" ht="15.75" thickBot="1" x14ac:dyDescent="0.3">
      <c r="E30" s="3"/>
      <c r="F30" s="25"/>
      <c r="G30" s="19" t="str">
        <f>+Input!D20</f>
        <v>Intradiário</v>
      </c>
      <c r="H30" s="18" t="s">
        <v>276</v>
      </c>
      <c r="I30" s="44">
        <f>$C$7*24</f>
        <v>0.67620251000080756</v>
      </c>
      <c r="K30" s="76">
        <f>+Data_b!D34</f>
        <v>2.2000000000000002</v>
      </c>
      <c r="M30" s="194">
        <f>+Data_b!$D$13</f>
        <v>0</v>
      </c>
      <c r="O30" s="18" t="str">
        <f t="shared" si="0"/>
        <v>€/(kWh/h)/ano</v>
      </c>
      <c r="P30" s="44">
        <f t="shared" si="1"/>
        <v>1.4876455220017768</v>
      </c>
    </row>
    <row r="31" spans="5:16" ht="15" x14ac:dyDescent="0.25">
      <c r="E31" s="3"/>
      <c r="F31" s="23" t="str">
        <f>+Input!C21</f>
        <v>Terminal GNL</v>
      </c>
      <c r="G31" s="14" t="str">
        <f>+Input!D21</f>
        <v>Anual</v>
      </c>
      <c r="H31" s="49" t="s">
        <v>275</v>
      </c>
      <c r="I31" s="46">
        <f>$C$8</f>
        <v>0</v>
      </c>
      <c r="K31" s="74">
        <f>+Data_b!D35</f>
        <v>1</v>
      </c>
      <c r="M31" s="193">
        <f>+Data_b!$D$13</f>
        <v>0</v>
      </c>
      <c r="O31" s="49" t="str">
        <f t="shared" si="0"/>
        <v>€/(kWh/dia)/ano</v>
      </c>
      <c r="P31" s="46">
        <f t="shared" si="1"/>
        <v>0</v>
      </c>
    </row>
    <row r="32" spans="5:16" ht="15" x14ac:dyDescent="0.25">
      <c r="E32" s="3"/>
      <c r="F32" s="24"/>
      <c r="G32" s="12" t="str">
        <f>+Input!D22</f>
        <v>Trimestral</v>
      </c>
      <c r="H32" s="16" t="s">
        <v>275</v>
      </c>
      <c r="I32" s="43">
        <f>$C$8</f>
        <v>0</v>
      </c>
      <c r="K32" s="75">
        <f>+Data_b!D36</f>
        <v>1.3</v>
      </c>
      <c r="M32" s="244">
        <f>+Data_b!$D$13</f>
        <v>0</v>
      </c>
      <c r="O32" s="16" t="str">
        <f t="shared" si="0"/>
        <v>€/(kWh/dia)/ano</v>
      </c>
      <c r="P32" s="43">
        <f t="shared" si="1"/>
        <v>0</v>
      </c>
    </row>
    <row r="33" spans="5:16" ht="15" x14ac:dyDescent="0.25">
      <c r="E33" s="3"/>
      <c r="F33" s="24"/>
      <c r="G33" s="12" t="str">
        <f>+Input!D23</f>
        <v>Mensal</v>
      </c>
      <c r="H33" s="16" t="s">
        <v>275</v>
      </c>
      <c r="I33" s="43">
        <f>$C$8</f>
        <v>0</v>
      </c>
      <c r="K33" s="75">
        <f>+Data_b!D37</f>
        <v>1.5</v>
      </c>
      <c r="M33" s="244">
        <f>+Data_b!$D$13</f>
        <v>0</v>
      </c>
      <c r="O33" s="16" t="str">
        <f t="shared" si="0"/>
        <v>€/(kWh/dia)/ano</v>
      </c>
      <c r="P33" s="43">
        <f t="shared" si="1"/>
        <v>0</v>
      </c>
    </row>
    <row r="34" spans="5:16" ht="15" x14ac:dyDescent="0.25">
      <c r="E34" s="3"/>
      <c r="F34" s="24"/>
      <c r="G34" s="12" t="str">
        <f>+Input!D24</f>
        <v>Diário</v>
      </c>
      <c r="H34" s="16" t="s">
        <v>275</v>
      </c>
      <c r="I34" s="43">
        <f>$C$8</f>
        <v>0</v>
      </c>
      <c r="K34" s="75">
        <f>+Data_b!D38</f>
        <v>2</v>
      </c>
      <c r="M34" s="244">
        <f>+Data_b!$D$13</f>
        <v>0</v>
      </c>
      <c r="O34" s="16" t="str">
        <f t="shared" si="0"/>
        <v>€/(kWh/dia)/ano</v>
      </c>
      <c r="P34" s="43">
        <f t="shared" si="1"/>
        <v>0</v>
      </c>
    </row>
    <row r="35" spans="5:16" ht="15.75" thickBot="1" x14ac:dyDescent="0.3">
      <c r="E35" s="3"/>
      <c r="F35" s="25"/>
      <c r="G35" s="19" t="str">
        <f>+Input!D25</f>
        <v>Intradiário</v>
      </c>
      <c r="H35" s="18" t="s">
        <v>276</v>
      </c>
      <c r="I35" s="44">
        <f>$C$8*24</f>
        <v>0</v>
      </c>
      <c r="K35" s="76">
        <f>+Data_b!D39</f>
        <v>2.2000000000000002</v>
      </c>
      <c r="M35" s="194">
        <f>+Data_b!$D$13</f>
        <v>0</v>
      </c>
      <c r="O35" s="18" t="str">
        <f t="shared" si="0"/>
        <v>€/(kWh/h)/ano</v>
      </c>
      <c r="P35" s="44">
        <f t="shared" si="1"/>
        <v>0</v>
      </c>
    </row>
    <row r="36" spans="5:16" ht="15" x14ac:dyDescent="0.25">
      <c r="E36" s="3"/>
      <c r="F36" s="23" t="str">
        <f>+Input!C26</f>
        <v>Armazenamento subterrâneo</v>
      </c>
      <c r="G36" s="14" t="str">
        <f>+Input!D26</f>
        <v>Diário</v>
      </c>
      <c r="H36" s="49" t="s">
        <v>275</v>
      </c>
      <c r="I36" s="46">
        <f>$C$9</f>
        <v>6.5571557052775342E-2</v>
      </c>
      <c r="K36" s="74">
        <f>+Data_b!D40</f>
        <v>1</v>
      </c>
      <c r="M36" s="193">
        <f>+Data_b!$D$12</f>
        <v>1</v>
      </c>
      <c r="O36" s="49" t="str">
        <f t="shared" si="0"/>
        <v>€/(kWh/dia)/ano</v>
      </c>
      <c r="P36" s="46">
        <f t="shared" si="1"/>
        <v>0</v>
      </c>
    </row>
    <row r="37" spans="5:16" ht="15.75" thickBot="1" x14ac:dyDescent="0.3">
      <c r="E37" s="3"/>
      <c r="F37" s="25"/>
      <c r="G37" s="19" t="str">
        <f>+Input!D27</f>
        <v>Intradiário</v>
      </c>
      <c r="H37" s="18" t="s">
        <v>276</v>
      </c>
      <c r="I37" s="44">
        <f>$C$9*24</f>
        <v>1.5737173692666082</v>
      </c>
      <c r="K37" s="76">
        <f>+Data_b!D41</f>
        <v>1.1000000000000001</v>
      </c>
      <c r="M37" s="194">
        <f>+Data_b!$D$12</f>
        <v>1</v>
      </c>
      <c r="O37" s="18" t="str">
        <f t="shared" si="0"/>
        <v>€/(kWh/h)/ano</v>
      </c>
      <c r="P37" s="44">
        <f t="shared" si="1"/>
        <v>0</v>
      </c>
    </row>
    <row r="38" spans="5:16" ht="15.75" thickBot="1" x14ac:dyDescent="0.3">
      <c r="E38" s="3"/>
      <c r="F38" s="21" t="str">
        <f>+Input!C28</f>
        <v>Redes de distribuição e Clientes em AP</v>
      </c>
      <c r="G38" s="22" t="str">
        <f>+Input!D28</f>
        <v>Longas utilizações</v>
      </c>
      <c r="H38" s="21" t="s">
        <v>275</v>
      </c>
      <c r="I38" s="73">
        <f t="shared" ref="I38:I44" si="2">$C$10</f>
        <v>0.23102980989150237</v>
      </c>
      <c r="K38" s="77">
        <f>+Data_b!D42</f>
        <v>1</v>
      </c>
      <c r="M38" s="245">
        <f>+Data_b!$D$13</f>
        <v>0</v>
      </c>
      <c r="O38" s="21" t="str">
        <f t="shared" si="0"/>
        <v>€/(kWh/dia)/ano</v>
      </c>
      <c r="P38" s="73">
        <f t="shared" si="1"/>
        <v>0.23102980989150237</v>
      </c>
    </row>
    <row r="39" spans="5:16" ht="15" x14ac:dyDescent="0.25">
      <c r="E39" s="3"/>
      <c r="F39" s="23" t="str">
        <f>+Input!C29</f>
        <v>Clientes em AP</v>
      </c>
      <c r="G39" s="14" t="str">
        <f>+Input!D29</f>
        <v>Tarifa flexível anual - capacidade base anual</v>
      </c>
      <c r="H39" s="13" t="s">
        <v>275</v>
      </c>
      <c r="I39" s="46">
        <f t="shared" si="2"/>
        <v>0.23102980989150237</v>
      </c>
      <c r="K39" s="74">
        <f>+Data_b!D43</f>
        <v>1</v>
      </c>
      <c r="M39" s="193">
        <f>+Data_b!$D$13</f>
        <v>0</v>
      </c>
      <c r="O39" s="13" t="str">
        <f t="shared" si="0"/>
        <v>€/(kWh/dia)/ano</v>
      </c>
      <c r="P39" s="46">
        <f t="shared" si="1"/>
        <v>0.23102980989150237</v>
      </c>
    </row>
    <row r="40" spans="5:16" ht="15" x14ac:dyDescent="0.25">
      <c r="E40" s="3"/>
      <c r="F40" s="24"/>
      <c r="G40" s="12" t="str">
        <f>+Input!D30</f>
        <v>Tarifa flexível anual - capacidade mensal adicional (abril a setembro)</v>
      </c>
      <c r="H40" s="16" t="s">
        <v>275</v>
      </c>
      <c r="I40" s="43">
        <f t="shared" si="2"/>
        <v>0.23102980989150237</v>
      </c>
      <c r="K40" s="75">
        <f>+Data_b!D44</f>
        <v>1.5</v>
      </c>
      <c r="M40" s="244">
        <f>+Data_b!$D$13</f>
        <v>0</v>
      </c>
      <c r="O40" s="16" t="str">
        <f t="shared" si="0"/>
        <v>€/(kWh/dia)/ano</v>
      </c>
      <c r="P40" s="43">
        <f t="shared" si="1"/>
        <v>0.34654471483725358</v>
      </c>
    </row>
    <row r="41" spans="5:16" ht="15" x14ac:dyDescent="0.25">
      <c r="E41" s="3"/>
      <c r="F41" s="24"/>
      <c r="G41" s="12" t="str">
        <f>+Input!D31</f>
        <v>Tarifa flexível mensal - capacidade mensal (outubro a março)</v>
      </c>
      <c r="H41" s="16" t="s">
        <v>275</v>
      </c>
      <c r="I41" s="43">
        <f t="shared" si="2"/>
        <v>0.23102980989150237</v>
      </c>
      <c r="K41" s="75">
        <f>+Data_b!D45</f>
        <v>3</v>
      </c>
      <c r="M41" s="244">
        <f>+Data_b!$D$13</f>
        <v>0</v>
      </c>
      <c r="O41" s="16" t="str">
        <f t="shared" si="0"/>
        <v>€/(kWh/dia)/ano</v>
      </c>
      <c r="P41" s="43">
        <f t="shared" si="1"/>
        <v>0.69308942967450715</v>
      </c>
    </row>
    <row r="42" spans="5:16" ht="15" x14ac:dyDescent="0.25">
      <c r="E42" s="3"/>
      <c r="F42" s="24"/>
      <c r="G42" s="12" t="str">
        <f>+Input!D32</f>
        <v>Tarifa flexível mensal - capacidade mensal (abril a setembro)</v>
      </c>
      <c r="H42" s="16" t="s">
        <v>275</v>
      </c>
      <c r="I42" s="43">
        <f t="shared" si="2"/>
        <v>0.23102980989150237</v>
      </c>
      <c r="K42" s="75">
        <f>+Data_b!D46</f>
        <v>1.5</v>
      </c>
      <c r="M42" s="244">
        <f>+Data_b!$D$13</f>
        <v>0</v>
      </c>
      <c r="O42" s="16" t="str">
        <f t="shared" si="0"/>
        <v>€/(kWh/dia)/ano</v>
      </c>
      <c r="P42" s="43">
        <f t="shared" si="1"/>
        <v>0.34654471483725358</v>
      </c>
    </row>
    <row r="43" spans="5:16" ht="15" x14ac:dyDescent="0.25">
      <c r="E43" s="3"/>
      <c r="F43" s="24"/>
      <c r="G43" s="12" t="str">
        <f>+Input!D33</f>
        <v>Tarifa flexível diária - capacidade diária (outubro a março)</v>
      </c>
      <c r="H43" s="16" t="s">
        <v>275</v>
      </c>
      <c r="I43" s="43">
        <f t="shared" si="2"/>
        <v>0.23102980989150237</v>
      </c>
      <c r="K43" s="75">
        <f>+Data_b!D47</f>
        <v>10</v>
      </c>
      <c r="M43" s="244">
        <f>+Data_b!$D$13</f>
        <v>0</v>
      </c>
      <c r="O43" s="16" t="str">
        <f t="shared" si="0"/>
        <v>€/(kWh/dia)/ano</v>
      </c>
      <c r="P43" s="43">
        <f t="shared" si="1"/>
        <v>2.3102980989150237</v>
      </c>
    </row>
    <row r="44" spans="5:16" ht="15.75" thickBot="1" x14ac:dyDescent="0.3">
      <c r="E44" s="4"/>
      <c r="F44" s="25"/>
      <c r="G44" s="19" t="str">
        <f>+Input!D34</f>
        <v>Tarifa flexível diária - capacidade diária (abril a setembro)</v>
      </c>
      <c r="H44" s="18" t="s">
        <v>275</v>
      </c>
      <c r="I44" s="44">
        <f t="shared" si="2"/>
        <v>0.23102980989150237</v>
      </c>
      <c r="K44" s="76">
        <f>+Data_b!D48</f>
        <v>6</v>
      </c>
      <c r="M44" s="194">
        <f>+Data_b!$D$13</f>
        <v>0</v>
      </c>
      <c r="O44" s="18" t="str">
        <f t="shared" si="0"/>
        <v>€/(kWh/dia)/ano</v>
      </c>
      <c r="P44" s="44">
        <f t="shared" si="1"/>
        <v>1.3861788593490143</v>
      </c>
    </row>
    <row r="45" spans="5:16" ht="15" x14ac:dyDescent="0.25"/>
    <row r="46" spans="5:16" ht="15" hidden="1" x14ac:dyDescent="0.25"/>
    <row r="47" spans="5:16" ht="15" hidden="1" x14ac:dyDescent="0.25"/>
    <row r="48" spans="5:16"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sheetData>
  <pageMargins left="0.7" right="0.7" top="0.75" bottom="0.75" header="0.3" footer="0.3"/>
  <pageSetup paperSize="9" orientation="portrait" r:id="rId1"/>
  <ignoredErrors>
    <ignoredError sqref="C10"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44"/>
  <sheetViews>
    <sheetView showGridLines="0" topLeftCell="D1" zoomScale="90" zoomScaleNormal="90" workbookViewId="0">
      <selection activeCell="R5" sqref="R5"/>
    </sheetView>
  </sheetViews>
  <sheetFormatPr defaultColWidth="0" defaultRowHeight="0" customHeight="1" zeroHeight="1" x14ac:dyDescent="0.25"/>
  <cols>
    <col min="1" max="1" width="9.140625" customWidth="1"/>
    <col min="2" max="2" width="11" customWidth="1"/>
    <col min="3" max="3" width="35.7109375" customWidth="1"/>
    <col min="4" max="4" width="64" bestFit="1" customWidth="1"/>
    <col min="5" max="5" width="20.140625" bestFit="1" customWidth="1"/>
    <col min="6" max="6" width="9.7109375" bestFit="1" customWidth="1"/>
    <col min="7" max="7" width="13.85546875" customWidth="1"/>
    <col min="8" max="8" width="2.7109375" customWidth="1"/>
    <col min="9" max="9" width="26.140625" bestFit="1" customWidth="1"/>
    <col min="10" max="10" width="13.85546875" customWidth="1"/>
    <col min="11" max="11" width="2.7109375" customWidth="1"/>
    <col min="12" max="12" width="27.5703125" bestFit="1" customWidth="1"/>
    <col min="13" max="13" width="13.85546875" customWidth="1"/>
    <col min="14" max="14" width="2.7109375" customWidth="1"/>
    <col min="15" max="15" width="22.7109375" bestFit="1" customWidth="1"/>
    <col min="16" max="16" width="2.7109375" customWidth="1"/>
    <col min="17" max="17" width="19.42578125" bestFit="1" customWidth="1"/>
    <col min="18" max="18" width="13.85546875" customWidth="1"/>
    <col min="19" max="19" width="9.140625" customWidth="1"/>
    <col min="20" max="20" width="25" bestFit="1" customWidth="1"/>
    <col min="21" max="21" width="13.140625" customWidth="1"/>
    <col min="22" max="22" width="9.140625" customWidth="1"/>
    <col min="23" max="16384" width="9.140625" hidden="1"/>
  </cols>
  <sheetData>
    <row r="1" spans="2:21" ht="15" x14ac:dyDescent="0.25"/>
    <row r="2" spans="2:21" ht="15.75" thickBot="1" x14ac:dyDescent="0.3"/>
    <row r="3" spans="2:21" ht="15.75" thickBot="1" x14ac:dyDescent="0.3">
      <c r="E3" s="2" t="str">
        <f>+Input!E2</f>
        <v>Capacidades previstas</v>
      </c>
      <c r="F3" s="160"/>
      <c r="G3" s="26" t="str">
        <f>+Output!$B$3</f>
        <v>2019-2020</v>
      </c>
      <c r="I3" s="2" t="str">
        <f>+'Pre-scaling RPM'!O12</f>
        <v>Preços pré-escalamento</v>
      </c>
      <c r="J3" s="26" t="str">
        <f>+Data_a!$K$4</f>
        <v>2019-2020</v>
      </c>
      <c r="L3" s="2" t="s">
        <v>283</v>
      </c>
      <c r="M3" s="26" t="str">
        <f>+Data_a!$K$4</f>
        <v>2019-2020</v>
      </c>
      <c r="O3" s="28" t="s">
        <v>278</v>
      </c>
      <c r="Q3" s="2" t="s">
        <v>282</v>
      </c>
      <c r="R3" s="26" t="str">
        <f>+Output!$B$3</f>
        <v>2019-2020</v>
      </c>
      <c r="T3" s="2" t="s">
        <v>284</v>
      </c>
      <c r="U3" s="26" t="str">
        <f>+Output!$B$3</f>
        <v>2019-2020</v>
      </c>
    </row>
    <row r="4" spans="2:21" ht="15.75" thickBot="1" x14ac:dyDescent="0.3">
      <c r="C4" s="8" t="str">
        <f>+Input!C3</f>
        <v>Ponto</v>
      </c>
      <c r="D4" s="8" t="str">
        <f>+Input!D3</f>
        <v>Produto</v>
      </c>
      <c r="E4" s="8" t="str">
        <f>+Input!E3</f>
        <v>Unidade</v>
      </c>
      <c r="F4" s="8" t="s">
        <v>277</v>
      </c>
      <c r="G4" s="48"/>
      <c r="I4" s="271" t="str">
        <f>+E4</f>
        <v>Unidade</v>
      </c>
      <c r="J4" s="272"/>
      <c r="L4" s="271" t="str">
        <f>+E4</f>
        <v>Unidade</v>
      </c>
      <c r="M4" s="272"/>
      <c r="O4" s="55" t="s">
        <v>279</v>
      </c>
      <c r="Q4" s="271" t="str">
        <f>+E4</f>
        <v>Unidade</v>
      </c>
      <c r="R4" s="272"/>
      <c r="S4" s="276"/>
      <c r="T4" s="271" t="str">
        <f>+E4</f>
        <v>Unidade</v>
      </c>
      <c r="U4" s="272"/>
    </row>
    <row r="5" spans="2:21" ht="15" x14ac:dyDescent="0.25">
      <c r="B5" s="5" t="str">
        <f>+Input!B4</f>
        <v>Entrada</v>
      </c>
      <c r="C5" s="23" t="str">
        <f>+Input!C4</f>
        <v>VIP</v>
      </c>
      <c r="D5" s="14" t="str">
        <f>+Input!D4</f>
        <v>Anual</v>
      </c>
      <c r="E5" s="15" t="str">
        <f>+Input!E4</f>
        <v>kWh/dia</v>
      </c>
      <c r="F5" s="265">
        <f>Data_b!$D$53</f>
        <v>12</v>
      </c>
      <c r="G5" s="58">
        <f>+Data_a!K6</f>
        <v>108634638.44687434</v>
      </c>
      <c r="I5" s="49" t="str">
        <f>+'Pre-scaling RPM'!H14</f>
        <v>€/(kWh/dia)/ano</v>
      </c>
      <c r="J5" s="46">
        <f>+'Pre-scaling RPM'!P14</f>
        <v>0.13314269607867682</v>
      </c>
      <c r="L5" s="49" t="s">
        <v>41</v>
      </c>
      <c r="M5" s="58">
        <f>+G5*J5*F5/12</f>
        <v>14463908.650349131</v>
      </c>
      <c r="O5" s="85">
        <f>$O$38</f>
        <v>0.90924006665442825</v>
      </c>
      <c r="Q5" s="49" t="str">
        <f>+I5</f>
        <v>€/(kWh/dia)/ano</v>
      </c>
      <c r="R5" s="46">
        <f>+J5*O5</f>
        <v>0.12105867385712639</v>
      </c>
      <c r="S5" s="277"/>
      <c r="T5" s="49" t="s">
        <v>41</v>
      </c>
      <c r="U5" s="58">
        <f>+G5*R5*F5/12</f>
        <v>13151165.265327001</v>
      </c>
    </row>
    <row r="6" spans="2:21" ht="15" x14ac:dyDescent="0.25">
      <c r="B6" s="6"/>
      <c r="C6" s="24"/>
      <c r="D6" s="12" t="str">
        <f>+Input!D5</f>
        <v>Trimestral</v>
      </c>
      <c r="E6" s="12" t="str">
        <f>+Input!E5</f>
        <v>kWh/dia</v>
      </c>
      <c r="F6" s="266">
        <f>Data_b!$D$53</f>
        <v>12</v>
      </c>
      <c r="G6" s="60">
        <f>+Data_a!K7</f>
        <v>4065019.2935321573</v>
      </c>
      <c r="I6" s="16" t="str">
        <f>+'Pre-scaling RPM'!H15</f>
        <v>€/(kWh/dia)/ano</v>
      </c>
      <c r="J6" s="43">
        <f>+'Pre-scaling RPM'!P15</f>
        <v>0.17308550490227986</v>
      </c>
      <c r="L6" s="16" t="s">
        <v>41</v>
      </c>
      <c r="M6" s="60">
        <f t="shared" ref="M6:M35" si="0">+G6*J6*F6/12</f>
        <v>703595.91685852257</v>
      </c>
      <c r="O6" s="86">
        <f t="shared" ref="O6:O16" si="1">$O$38</f>
        <v>0.90924006665442825</v>
      </c>
      <c r="Q6" s="16" t="str">
        <f t="shared" ref="Q6:Q35" si="2">+I6</f>
        <v>€/(kWh/dia)/ano</v>
      </c>
      <c r="R6" s="43">
        <f t="shared" ref="R6:R35" si="3">+J6*O6</f>
        <v>0.15737627601426432</v>
      </c>
      <c r="S6" s="277"/>
      <c r="T6" s="16" t="s">
        <v>41</v>
      </c>
      <c r="U6" s="60">
        <f t="shared" ref="U6:U35" si="4">+G6*R6*F6/12</f>
        <v>639737.59834222659</v>
      </c>
    </row>
    <row r="7" spans="2:21" ht="15" x14ac:dyDescent="0.25">
      <c r="B7" s="6"/>
      <c r="C7" s="24"/>
      <c r="D7" s="12" t="str">
        <f>+Input!D6</f>
        <v>Mensal</v>
      </c>
      <c r="E7" s="12" t="str">
        <f>+Input!E6</f>
        <v>kWh/dia</v>
      </c>
      <c r="F7" s="266">
        <f>Data_b!$D$53</f>
        <v>12</v>
      </c>
      <c r="G7" s="60">
        <f>+Data_a!K8</f>
        <v>3435899.1431083134</v>
      </c>
      <c r="I7" s="16" t="str">
        <f>+'Pre-scaling RPM'!H16</f>
        <v>€/(kWh/dia)/ano</v>
      </c>
      <c r="J7" s="43">
        <f>+'Pre-scaling RPM'!P16</f>
        <v>0.19971404411801524</v>
      </c>
      <c r="L7" s="16" t="s">
        <v>41</v>
      </c>
      <c r="M7" s="60">
        <f t="shared" si="0"/>
        <v>686197.31305178453</v>
      </c>
      <c r="O7" s="86">
        <f t="shared" si="1"/>
        <v>0.90924006665442825</v>
      </c>
      <c r="Q7" s="16" t="str">
        <f t="shared" si="2"/>
        <v>€/(kWh/dia)/ano</v>
      </c>
      <c r="R7" s="43">
        <f t="shared" si="3"/>
        <v>0.18158801078568959</v>
      </c>
      <c r="S7" s="277"/>
      <c r="T7" s="16" t="s">
        <v>41</v>
      </c>
      <c r="U7" s="60">
        <f t="shared" si="4"/>
        <v>623918.09065729403</v>
      </c>
    </row>
    <row r="8" spans="2:21" ht="15" x14ac:dyDescent="0.25">
      <c r="B8" s="6"/>
      <c r="C8" s="24"/>
      <c r="D8" s="12" t="str">
        <f>+Input!D7</f>
        <v>Diário</v>
      </c>
      <c r="E8" s="12" t="str">
        <f>+Input!E7</f>
        <v>kWh/dia</v>
      </c>
      <c r="F8" s="266">
        <f>Data_b!$D$53</f>
        <v>12</v>
      </c>
      <c r="G8" s="60">
        <f>+Data_a!K9</f>
        <v>6718461.0457212087</v>
      </c>
      <c r="I8" s="16" t="str">
        <f>+'Pre-scaling RPM'!H17</f>
        <v>€/(kWh/dia)/ano</v>
      </c>
      <c r="J8" s="43">
        <f>+'Pre-scaling RPM'!P17</f>
        <v>0.26628539215735364</v>
      </c>
      <c r="L8" s="16" t="s">
        <v>41</v>
      </c>
      <c r="M8" s="60">
        <f t="shared" si="0"/>
        <v>1789028.0342537763</v>
      </c>
      <c r="O8" s="86">
        <f t="shared" si="1"/>
        <v>0.90924006665442825</v>
      </c>
      <c r="Q8" s="16" t="str">
        <f t="shared" si="2"/>
        <v>€/(kWh/dia)/ano</v>
      </c>
      <c r="R8" s="43">
        <f t="shared" si="3"/>
        <v>0.24211734771425278</v>
      </c>
      <c r="S8" s="277"/>
      <c r="T8" s="16" t="s">
        <v>41</v>
      </c>
      <c r="U8" s="60">
        <f t="shared" si="4"/>
        <v>1626655.9691115443</v>
      </c>
    </row>
    <row r="9" spans="2:21" ht="15.75" thickBot="1" x14ac:dyDescent="0.3">
      <c r="B9" s="6"/>
      <c r="C9" s="25"/>
      <c r="D9" s="19" t="str">
        <f>+Input!D8</f>
        <v>Intradiário</v>
      </c>
      <c r="E9" s="19" t="str">
        <f>+Input!E8</f>
        <v>kWh/h</v>
      </c>
      <c r="F9" s="267">
        <f>Data_b!$D$53</f>
        <v>12</v>
      </c>
      <c r="G9" s="62">
        <f>+Data_a!K10</f>
        <v>0</v>
      </c>
      <c r="I9" s="18" t="str">
        <f>+'Pre-scaling RPM'!H18</f>
        <v>€/(kWh/h)/ano</v>
      </c>
      <c r="J9" s="44">
        <f>+'Pre-scaling RPM'!P18</f>
        <v>7.0299343529541369</v>
      </c>
      <c r="L9" s="18" t="s">
        <v>41</v>
      </c>
      <c r="M9" s="62">
        <f t="shared" si="0"/>
        <v>0</v>
      </c>
      <c r="O9" s="87">
        <f t="shared" si="1"/>
        <v>0.90924006665442825</v>
      </c>
      <c r="Q9" s="18" t="str">
        <f t="shared" si="2"/>
        <v>€/(kWh/h)/ano</v>
      </c>
      <c r="R9" s="44">
        <f t="shared" si="3"/>
        <v>6.3918979796562745</v>
      </c>
      <c r="S9" s="277"/>
      <c r="T9" s="18" t="s">
        <v>41</v>
      </c>
      <c r="U9" s="62">
        <f t="shared" si="4"/>
        <v>0</v>
      </c>
    </row>
    <row r="10" spans="2:21" ht="15" x14ac:dyDescent="0.25">
      <c r="B10" s="6"/>
      <c r="C10" s="23" t="str">
        <f>+Input!C9</f>
        <v>Terminal GNL</v>
      </c>
      <c r="D10" s="14" t="str">
        <f>+Input!D9</f>
        <v>Anual</v>
      </c>
      <c r="E10" s="15" t="str">
        <f>+Input!E9</f>
        <v>kWh/dia</v>
      </c>
      <c r="F10" s="268">
        <f>Data_b!$D$53</f>
        <v>12</v>
      </c>
      <c r="G10" s="58">
        <f>+Data_a!K11</f>
        <v>62256543.535636216</v>
      </c>
      <c r="I10" s="49" t="str">
        <f>+'Pre-scaling RPM'!H19</f>
        <v>€/(kWh/dia)/ano</v>
      </c>
      <c r="J10" s="46">
        <f>+'Pre-scaling RPM'!P19</f>
        <v>0.12252487118630738</v>
      </c>
      <c r="L10" s="49" t="s">
        <v>41</v>
      </c>
      <c r="M10" s="58">
        <f t="shared" si="0"/>
        <v>7627974.977208565</v>
      </c>
      <c r="O10" s="85">
        <f t="shared" si="1"/>
        <v>0.90924006665442825</v>
      </c>
      <c r="Q10" s="49" t="str">
        <f t="shared" si="2"/>
        <v>€/(kWh/dia)/ano</v>
      </c>
      <c r="R10" s="46">
        <f t="shared" si="3"/>
        <v>0.11140452204426336</v>
      </c>
      <c r="S10" s="277"/>
      <c r="T10" s="49" t="s">
        <v>41</v>
      </c>
      <c r="U10" s="58">
        <f t="shared" si="4"/>
        <v>6935660.4767154269</v>
      </c>
    </row>
    <row r="11" spans="2:21" ht="15" x14ac:dyDescent="0.25">
      <c r="B11" s="6"/>
      <c r="C11" s="24"/>
      <c r="D11" s="12" t="str">
        <f>+Input!D10</f>
        <v>Trimestral</v>
      </c>
      <c r="E11" s="12" t="str">
        <f>+Input!E10</f>
        <v>kWh/dia</v>
      </c>
      <c r="F11" s="266">
        <f>Data_b!$D$53</f>
        <v>12</v>
      </c>
      <c r="G11" s="60">
        <f>+Data_a!K12</f>
        <v>32755.828447150161</v>
      </c>
      <c r="I11" s="16" t="str">
        <f>+'Pre-scaling RPM'!H20</f>
        <v>€/(kWh/dia)/ano</v>
      </c>
      <c r="J11" s="43">
        <f>+'Pre-scaling RPM'!P20</f>
        <v>0.15928233254219959</v>
      </c>
      <c r="L11" s="16" t="s">
        <v>41</v>
      </c>
      <c r="M11" s="60">
        <f t="shared" si="0"/>
        <v>5217.4247594142134</v>
      </c>
      <c r="O11" s="86">
        <f t="shared" si="1"/>
        <v>0.90924006665442825</v>
      </c>
      <c r="Q11" s="16" t="str">
        <f t="shared" si="2"/>
        <v>€/(kWh/dia)/ano</v>
      </c>
      <c r="R11" s="43">
        <f t="shared" si="3"/>
        <v>0.14482587865754237</v>
      </c>
      <c r="S11" s="277"/>
      <c r="T11" s="16" t="s">
        <v>41</v>
      </c>
      <c r="U11" s="60">
        <f t="shared" si="4"/>
        <v>4743.8916360142439</v>
      </c>
    </row>
    <row r="12" spans="2:21" ht="15" x14ac:dyDescent="0.25">
      <c r="B12" s="6"/>
      <c r="C12" s="24"/>
      <c r="D12" s="12" t="str">
        <f>+Input!D11</f>
        <v>Mensal</v>
      </c>
      <c r="E12" s="12" t="str">
        <f>+Input!E11</f>
        <v>kWh/dia</v>
      </c>
      <c r="F12" s="266">
        <f>Data_b!$D$53</f>
        <v>12</v>
      </c>
      <c r="G12" s="60">
        <f>+Data_a!K13</f>
        <v>5651360.8703220282</v>
      </c>
      <c r="I12" s="16" t="str">
        <f>+'Pre-scaling RPM'!H21</f>
        <v>€/(kWh/dia)/ano</v>
      </c>
      <c r="J12" s="43">
        <f>+'Pre-scaling RPM'!P21</f>
        <v>0.18378730677946106</v>
      </c>
      <c r="L12" s="16" t="s">
        <v>41</v>
      </c>
      <c r="M12" s="60">
        <f t="shared" si="0"/>
        <v>1038648.3939953167</v>
      </c>
      <c r="O12" s="86">
        <f t="shared" si="1"/>
        <v>0.90924006665442825</v>
      </c>
      <c r="Q12" s="16" t="str">
        <f t="shared" si="2"/>
        <v>€/(kWh/dia)/ano</v>
      </c>
      <c r="R12" s="43">
        <f t="shared" si="3"/>
        <v>0.16710678306639504</v>
      </c>
      <c r="S12" s="277"/>
      <c r="T12" s="16" t="s">
        <v>41</v>
      </c>
      <c r="U12" s="60">
        <f t="shared" si="4"/>
        <v>944380.73498681665</v>
      </c>
    </row>
    <row r="13" spans="2:21" ht="15" x14ac:dyDescent="0.25">
      <c r="B13" s="6"/>
      <c r="C13" s="24"/>
      <c r="D13" s="12" t="str">
        <f>+Input!D12</f>
        <v>Diário</v>
      </c>
      <c r="E13" s="12" t="str">
        <f>+Input!E12</f>
        <v>kWh/dia</v>
      </c>
      <c r="F13" s="266">
        <f>Data_b!$D$53</f>
        <v>12</v>
      </c>
      <c r="G13" s="60">
        <f>+Data_a!K14</f>
        <v>9285700.1460032556</v>
      </c>
      <c r="I13" s="16" t="str">
        <f>+'Pre-scaling RPM'!H22</f>
        <v>€/(kWh/dia)/ano</v>
      </c>
      <c r="J13" s="43">
        <f>+'Pre-scaling RPM'!P22</f>
        <v>0.24504974237261476</v>
      </c>
      <c r="L13" s="16" t="s">
        <v>41</v>
      </c>
      <c r="M13" s="60">
        <f t="shared" si="0"/>
        <v>2275458.4285274493</v>
      </c>
      <c r="O13" s="86">
        <f t="shared" si="1"/>
        <v>0.90924006665442825</v>
      </c>
      <c r="Q13" s="16" t="str">
        <f t="shared" si="2"/>
        <v>€/(kWh/dia)/ano</v>
      </c>
      <c r="R13" s="43">
        <f t="shared" si="3"/>
        <v>0.22280904408852673</v>
      </c>
      <c r="S13" s="277"/>
      <c r="T13" s="16" t="s">
        <v>41</v>
      </c>
      <c r="U13" s="60">
        <f t="shared" si="4"/>
        <v>2068937.9732236785</v>
      </c>
    </row>
    <row r="14" spans="2:21" ht="15.75" thickBot="1" x14ac:dyDescent="0.3">
      <c r="B14" s="6"/>
      <c r="C14" s="25"/>
      <c r="D14" s="19" t="str">
        <f>+Input!D13</f>
        <v>Intradiário</v>
      </c>
      <c r="E14" s="19" t="str">
        <f>+Input!E13</f>
        <v>kWh/h</v>
      </c>
      <c r="F14" s="267">
        <f>Data_b!$D$53</f>
        <v>12</v>
      </c>
      <c r="G14" s="62">
        <f>+Data_a!K15</f>
        <v>0</v>
      </c>
      <c r="I14" s="18" t="str">
        <f>+'Pre-scaling RPM'!H23</f>
        <v>€/(kWh/h)/ano</v>
      </c>
      <c r="J14" s="44">
        <f>+'Pre-scaling RPM'!P23</f>
        <v>6.46931319863703</v>
      </c>
      <c r="L14" s="18" t="s">
        <v>41</v>
      </c>
      <c r="M14" s="62">
        <f t="shared" si="0"/>
        <v>0</v>
      </c>
      <c r="O14" s="87">
        <f t="shared" si="1"/>
        <v>0.90924006665442825</v>
      </c>
      <c r="Q14" s="18" t="str">
        <f t="shared" si="2"/>
        <v>€/(kWh/h)/ano</v>
      </c>
      <c r="R14" s="44">
        <f t="shared" si="3"/>
        <v>5.882158763937106</v>
      </c>
      <c r="S14" s="277"/>
      <c r="T14" s="18" t="s">
        <v>41</v>
      </c>
      <c r="U14" s="62">
        <f t="shared" si="4"/>
        <v>0</v>
      </c>
    </row>
    <row r="15" spans="2:21" ht="15" x14ac:dyDescent="0.25">
      <c r="B15" s="6"/>
      <c r="C15" s="23" t="str">
        <f>+Input!C14</f>
        <v>Armazenamento subterrâneo</v>
      </c>
      <c r="D15" s="14" t="str">
        <f>+Input!D14</f>
        <v>Diário</v>
      </c>
      <c r="E15" s="15" t="str">
        <f>+Input!E14</f>
        <v>kWh/dia</v>
      </c>
      <c r="F15" s="268">
        <f>Data_b!$D$53</f>
        <v>12</v>
      </c>
      <c r="G15" s="58">
        <f>+Data_a!K16</f>
        <v>4894243.642328768</v>
      </c>
      <c r="I15" s="49" t="str">
        <f>+'Pre-scaling RPM'!H24</f>
        <v>€/(kWh/dia)/ano</v>
      </c>
      <c r="J15" s="46">
        <f>+'Pre-scaling RPM'!P24</f>
        <v>0</v>
      </c>
      <c r="L15" s="49" t="s">
        <v>41</v>
      </c>
      <c r="M15" s="58">
        <f t="shared" si="0"/>
        <v>0</v>
      </c>
      <c r="O15" s="85">
        <f t="shared" si="1"/>
        <v>0.90924006665442825</v>
      </c>
      <c r="Q15" s="49" t="str">
        <f t="shared" si="2"/>
        <v>€/(kWh/dia)/ano</v>
      </c>
      <c r="R15" s="46">
        <f t="shared" si="3"/>
        <v>0</v>
      </c>
      <c r="S15" s="277"/>
      <c r="T15" s="49" t="s">
        <v>41</v>
      </c>
      <c r="U15" s="58">
        <f t="shared" si="4"/>
        <v>0</v>
      </c>
    </row>
    <row r="16" spans="2:21" ht="15.75" thickBot="1" x14ac:dyDescent="0.3">
      <c r="B16" s="7"/>
      <c r="C16" s="25"/>
      <c r="D16" s="19" t="str">
        <f>+Input!D15</f>
        <v>Intradiário</v>
      </c>
      <c r="E16" s="19" t="str">
        <f>+Input!E15</f>
        <v>kWh/h</v>
      </c>
      <c r="F16" s="267">
        <f>Data_b!$D$53</f>
        <v>12</v>
      </c>
      <c r="G16" s="62">
        <f>+Data_a!K17</f>
        <v>0</v>
      </c>
      <c r="I16" s="18" t="str">
        <f>+'Pre-scaling RPM'!H25</f>
        <v>€/(kWh/h)/ano</v>
      </c>
      <c r="J16" s="44">
        <f>+'Pre-scaling RPM'!P25</f>
        <v>0</v>
      </c>
      <c r="L16" s="18" t="s">
        <v>41</v>
      </c>
      <c r="M16" s="62">
        <f t="shared" si="0"/>
        <v>0</v>
      </c>
      <c r="O16" s="87">
        <f t="shared" si="1"/>
        <v>0.90924006665442825</v>
      </c>
      <c r="Q16" s="18" t="str">
        <f t="shared" si="2"/>
        <v>€/(kWh/h)/ano</v>
      </c>
      <c r="R16" s="44">
        <f t="shared" si="3"/>
        <v>0</v>
      </c>
      <c r="S16" s="277"/>
      <c r="T16" s="18" t="s">
        <v>41</v>
      </c>
      <c r="U16" s="62">
        <f t="shared" si="4"/>
        <v>0</v>
      </c>
    </row>
    <row r="17" spans="2:21" ht="15" x14ac:dyDescent="0.25">
      <c r="B17" s="5" t="str">
        <f>+Input!B16</f>
        <v>Saída</v>
      </c>
      <c r="C17" s="23" t="str">
        <f>+Input!C16</f>
        <v>VIP</v>
      </c>
      <c r="D17" s="14" t="str">
        <f>+Input!D16</f>
        <v>Anual</v>
      </c>
      <c r="E17" s="15" t="str">
        <f>+Input!E16</f>
        <v>kWh/dia</v>
      </c>
      <c r="F17" s="268">
        <f>Data_b!$D$53</f>
        <v>12</v>
      </c>
      <c r="G17" s="58">
        <f>+Data_a!K18</f>
        <v>0</v>
      </c>
      <c r="I17" s="49" t="str">
        <f>+'Pre-scaling RPM'!H26</f>
        <v>€/(kWh/dia)/ano</v>
      </c>
      <c r="J17" s="46">
        <f>+'Pre-scaling RPM'!P26</f>
        <v>2.8175104583366979E-2</v>
      </c>
      <c r="L17" s="49" t="s">
        <v>41</v>
      </c>
      <c r="M17" s="58">
        <f t="shared" si="0"/>
        <v>0</v>
      </c>
      <c r="O17" s="85">
        <f>$O$39</f>
        <v>0.85035046334361963</v>
      </c>
      <c r="Q17" s="49" t="str">
        <f t="shared" si="2"/>
        <v>€/(kWh/dia)/ano</v>
      </c>
      <c r="R17" s="46">
        <f t="shared" si="3"/>
        <v>2.3958713237221051E-2</v>
      </c>
      <c r="S17" s="277"/>
      <c r="T17" s="49" t="s">
        <v>41</v>
      </c>
      <c r="U17" s="58">
        <f t="shared" si="4"/>
        <v>0</v>
      </c>
    </row>
    <row r="18" spans="2:21" ht="15" x14ac:dyDescent="0.25">
      <c r="B18" s="3"/>
      <c r="C18" s="24"/>
      <c r="D18" s="12" t="str">
        <f>+Input!D17</f>
        <v>Trimestral</v>
      </c>
      <c r="E18" s="12" t="str">
        <f>+Input!E17</f>
        <v>kWh/dia</v>
      </c>
      <c r="F18" s="266">
        <f>Data_b!$D$53</f>
        <v>12</v>
      </c>
      <c r="G18" s="60">
        <f>+Data_a!K19</f>
        <v>0</v>
      </c>
      <c r="I18" s="16" t="str">
        <f>+'Pre-scaling RPM'!H27</f>
        <v>€/(kWh/dia)/ano</v>
      </c>
      <c r="J18" s="43">
        <f>+'Pre-scaling RPM'!P27</f>
        <v>3.6627635958377071E-2</v>
      </c>
      <c r="L18" s="16" t="s">
        <v>41</v>
      </c>
      <c r="M18" s="60">
        <f t="shared" si="0"/>
        <v>0</v>
      </c>
      <c r="O18" s="86">
        <f t="shared" ref="O18:O35" si="5">$O$39</f>
        <v>0.85035046334361963</v>
      </c>
      <c r="Q18" s="16" t="str">
        <f t="shared" si="2"/>
        <v>€/(kWh/dia)/ano</v>
      </c>
      <c r="R18" s="43">
        <f t="shared" si="3"/>
        <v>3.1146327208387364E-2</v>
      </c>
      <c r="S18" s="277"/>
      <c r="T18" s="16" t="s">
        <v>41</v>
      </c>
      <c r="U18" s="60">
        <f t="shared" si="4"/>
        <v>0</v>
      </c>
    </row>
    <row r="19" spans="2:21" ht="15" x14ac:dyDescent="0.25">
      <c r="B19" s="3"/>
      <c r="C19" s="24"/>
      <c r="D19" s="12" t="str">
        <f>+Input!D18</f>
        <v>Mensal</v>
      </c>
      <c r="E19" s="12" t="str">
        <f>+Input!E18</f>
        <v>kWh/dia</v>
      </c>
      <c r="F19" s="266">
        <f>Data_b!$D$53</f>
        <v>12</v>
      </c>
      <c r="G19" s="60">
        <f>+Data_a!K20</f>
        <v>0</v>
      </c>
      <c r="I19" s="16" t="str">
        <f>+'Pre-scaling RPM'!H28</f>
        <v>€/(kWh/dia)/ano</v>
      </c>
      <c r="J19" s="43">
        <f>+'Pre-scaling RPM'!P28</f>
        <v>4.2262656875050472E-2</v>
      </c>
      <c r="L19" s="16" t="s">
        <v>41</v>
      </c>
      <c r="M19" s="60">
        <f t="shared" si="0"/>
        <v>0</v>
      </c>
      <c r="O19" s="86">
        <f t="shared" si="5"/>
        <v>0.85035046334361963</v>
      </c>
      <c r="Q19" s="16" t="str">
        <f t="shared" si="2"/>
        <v>€/(kWh/dia)/ano</v>
      </c>
      <c r="R19" s="43">
        <f t="shared" si="3"/>
        <v>3.5938069855831582E-2</v>
      </c>
      <c r="S19" s="277"/>
      <c r="T19" s="16" t="s">
        <v>41</v>
      </c>
      <c r="U19" s="60">
        <f t="shared" si="4"/>
        <v>0</v>
      </c>
    </row>
    <row r="20" spans="2:21" ht="15" x14ac:dyDescent="0.25">
      <c r="B20" s="3"/>
      <c r="C20" s="24"/>
      <c r="D20" s="12" t="str">
        <f>+Input!D19</f>
        <v>Diário</v>
      </c>
      <c r="E20" s="12" t="str">
        <f>+Input!E19</f>
        <v>kWh/dia</v>
      </c>
      <c r="F20" s="266">
        <f>Data_b!$D$53</f>
        <v>12</v>
      </c>
      <c r="G20" s="60">
        <f>+Data_a!K21</f>
        <v>135109.3512978142</v>
      </c>
      <c r="I20" s="16" t="str">
        <f>+'Pre-scaling RPM'!H29</f>
        <v>€/(kWh/dia)/ano</v>
      </c>
      <c r="J20" s="43">
        <f>+'Pre-scaling RPM'!P29</f>
        <v>5.6350209166733958E-2</v>
      </c>
      <c r="L20" s="16" t="s">
        <v>41</v>
      </c>
      <c r="M20" s="60">
        <f t="shared" si="0"/>
        <v>7613.4402060135681</v>
      </c>
      <c r="O20" s="86">
        <f t="shared" si="5"/>
        <v>0.85035046334361963</v>
      </c>
      <c r="Q20" s="16" t="str">
        <f t="shared" si="2"/>
        <v>€/(kWh/dia)/ano</v>
      </c>
      <c r="R20" s="43">
        <f t="shared" si="3"/>
        <v>4.7917426474442103E-2</v>
      </c>
      <c r="S20" s="277"/>
      <c r="T20" s="16" t="s">
        <v>41</v>
      </c>
      <c r="U20" s="60">
        <f t="shared" si="4"/>
        <v>6474.0924068225804</v>
      </c>
    </row>
    <row r="21" spans="2:21" ht="15.75" thickBot="1" x14ac:dyDescent="0.3">
      <c r="B21" s="3"/>
      <c r="C21" s="25"/>
      <c r="D21" s="19" t="str">
        <f>+Input!D20</f>
        <v>Intradiário</v>
      </c>
      <c r="E21" s="19" t="str">
        <f>+Input!E20</f>
        <v>kWh/h</v>
      </c>
      <c r="F21" s="267">
        <f>Data_b!$D$53</f>
        <v>12</v>
      </c>
      <c r="G21" s="62">
        <f>+Data_a!K22</f>
        <v>0</v>
      </c>
      <c r="I21" s="18" t="str">
        <f>+'Pre-scaling RPM'!H30</f>
        <v>€/(kWh/h)/ano</v>
      </c>
      <c r="J21" s="44">
        <f>+'Pre-scaling RPM'!P30</f>
        <v>1.4876455220017768</v>
      </c>
      <c r="L21" s="18" t="s">
        <v>41</v>
      </c>
      <c r="M21" s="62">
        <f t="shared" si="0"/>
        <v>0</v>
      </c>
      <c r="O21" s="87">
        <f t="shared" si="5"/>
        <v>0.85035046334361963</v>
      </c>
      <c r="Q21" s="18" t="str">
        <f t="shared" si="2"/>
        <v>€/(kWh/h)/ano</v>
      </c>
      <c r="R21" s="44">
        <f t="shared" si="3"/>
        <v>1.2650200589252718</v>
      </c>
      <c r="S21" s="277"/>
      <c r="T21" s="18" t="s">
        <v>41</v>
      </c>
      <c r="U21" s="62">
        <f t="shared" si="4"/>
        <v>0</v>
      </c>
    </row>
    <row r="22" spans="2:21" ht="15" x14ac:dyDescent="0.25">
      <c r="B22" s="3"/>
      <c r="C22" s="23" t="str">
        <f>+Input!C21</f>
        <v>Terminal GNL</v>
      </c>
      <c r="D22" s="14" t="str">
        <f>+Input!D21</f>
        <v>Anual</v>
      </c>
      <c r="E22" s="15" t="str">
        <f>+Input!E21</f>
        <v>kWh/dia</v>
      </c>
      <c r="F22" s="268">
        <f>Data_b!$D$53</f>
        <v>12</v>
      </c>
      <c r="G22" s="58">
        <f>+Data_a!K23</f>
        <v>0</v>
      </c>
      <c r="I22" s="49" t="str">
        <f>+'Pre-scaling RPM'!H31</f>
        <v>€/(kWh/dia)/ano</v>
      </c>
      <c r="J22" s="46">
        <f>+'Pre-scaling RPM'!P31</f>
        <v>0</v>
      </c>
      <c r="L22" s="49" t="s">
        <v>41</v>
      </c>
      <c r="M22" s="58">
        <f t="shared" si="0"/>
        <v>0</v>
      </c>
      <c r="O22" s="85">
        <f t="shared" si="5"/>
        <v>0.85035046334361963</v>
      </c>
      <c r="Q22" s="49" t="str">
        <f t="shared" si="2"/>
        <v>€/(kWh/dia)/ano</v>
      </c>
      <c r="R22" s="46">
        <f t="shared" si="3"/>
        <v>0</v>
      </c>
      <c r="S22" s="277"/>
      <c r="T22" s="49" t="s">
        <v>41</v>
      </c>
      <c r="U22" s="58">
        <f t="shared" si="4"/>
        <v>0</v>
      </c>
    </row>
    <row r="23" spans="2:21" ht="15" x14ac:dyDescent="0.25">
      <c r="B23" s="3"/>
      <c r="C23" s="24"/>
      <c r="D23" s="12" t="str">
        <f>+Input!D22</f>
        <v>Trimestral</v>
      </c>
      <c r="E23" s="12" t="str">
        <f>+Input!E22</f>
        <v>kWh/dia</v>
      </c>
      <c r="F23" s="266">
        <f>Data_b!$D$53</f>
        <v>12</v>
      </c>
      <c r="G23" s="60">
        <f>+Data_a!K24</f>
        <v>0</v>
      </c>
      <c r="I23" s="16" t="str">
        <f>+'Pre-scaling RPM'!H32</f>
        <v>€/(kWh/dia)/ano</v>
      </c>
      <c r="J23" s="43">
        <f>+'Pre-scaling RPM'!P32</f>
        <v>0</v>
      </c>
      <c r="L23" s="16" t="s">
        <v>41</v>
      </c>
      <c r="M23" s="60">
        <f t="shared" si="0"/>
        <v>0</v>
      </c>
      <c r="O23" s="86">
        <f t="shared" si="5"/>
        <v>0.85035046334361963</v>
      </c>
      <c r="Q23" s="16" t="str">
        <f t="shared" si="2"/>
        <v>€/(kWh/dia)/ano</v>
      </c>
      <c r="R23" s="43">
        <f t="shared" si="3"/>
        <v>0</v>
      </c>
      <c r="S23" s="277"/>
      <c r="T23" s="16" t="s">
        <v>41</v>
      </c>
      <c r="U23" s="60">
        <f t="shared" si="4"/>
        <v>0</v>
      </c>
    </row>
    <row r="24" spans="2:21" ht="15" x14ac:dyDescent="0.25">
      <c r="B24" s="3"/>
      <c r="C24" s="24"/>
      <c r="D24" s="12" t="str">
        <f>+Input!D23</f>
        <v>Mensal</v>
      </c>
      <c r="E24" s="12" t="str">
        <f>+Input!E23</f>
        <v>kWh/dia</v>
      </c>
      <c r="F24" s="266">
        <f>Data_b!$D$53</f>
        <v>12</v>
      </c>
      <c r="G24" s="60">
        <f>+Data_a!K25</f>
        <v>0</v>
      </c>
      <c r="I24" s="16" t="str">
        <f>+'Pre-scaling RPM'!H33</f>
        <v>€/(kWh/dia)/ano</v>
      </c>
      <c r="J24" s="43">
        <f>+'Pre-scaling RPM'!P33</f>
        <v>0</v>
      </c>
      <c r="L24" s="16" t="s">
        <v>41</v>
      </c>
      <c r="M24" s="60">
        <f t="shared" si="0"/>
        <v>0</v>
      </c>
      <c r="O24" s="86">
        <f t="shared" si="5"/>
        <v>0.85035046334361963</v>
      </c>
      <c r="Q24" s="16" t="str">
        <f t="shared" si="2"/>
        <v>€/(kWh/dia)/ano</v>
      </c>
      <c r="R24" s="43">
        <f t="shared" si="3"/>
        <v>0</v>
      </c>
      <c r="S24" s="277"/>
      <c r="T24" s="16" t="s">
        <v>41</v>
      </c>
      <c r="U24" s="60">
        <f t="shared" si="4"/>
        <v>0</v>
      </c>
    </row>
    <row r="25" spans="2:21" ht="15" x14ac:dyDescent="0.25">
      <c r="B25" s="3"/>
      <c r="C25" s="24"/>
      <c r="D25" s="12" t="str">
        <f>+Input!D24</f>
        <v>Diário</v>
      </c>
      <c r="E25" s="12" t="str">
        <f>+Input!E24</f>
        <v>kWh/dia</v>
      </c>
      <c r="F25" s="266">
        <f>Data_b!$D$53</f>
        <v>12</v>
      </c>
      <c r="G25" s="60">
        <f>+Data_a!K26</f>
        <v>1445395.787909836</v>
      </c>
      <c r="I25" s="16" t="str">
        <f>+'Pre-scaling RPM'!H34</f>
        <v>€/(kWh/dia)/ano</v>
      </c>
      <c r="J25" s="43">
        <f>+'Pre-scaling RPM'!P34</f>
        <v>0</v>
      </c>
      <c r="L25" s="16" t="s">
        <v>41</v>
      </c>
      <c r="M25" s="60">
        <f t="shared" si="0"/>
        <v>0</v>
      </c>
      <c r="O25" s="86">
        <f t="shared" si="5"/>
        <v>0.85035046334361963</v>
      </c>
      <c r="Q25" s="16" t="str">
        <f t="shared" si="2"/>
        <v>€/(kWh/dia)/ano</v>
      </c>
      <c r="R25" s="43">
        <f t="shared" si="3"/>
        <v>0</v>
      </c>
      <c r="S25" s="277"/>
      <c r="T25" s="16" t="s">
        <v>41</v>
      </c>
      <c r="U25" s="60">
        <f t="shared" si="4"/>
        <v>0</v>
      </c>
    </row>
    <row r="26" spans="2:21" ht="15.75" thickBot="1" x14ac:dyDescent="0.3">
      <c r="B26" s="3"/>
      <c r="C26" s="25"/>
      <c r="D26" s="19" t="str">
        <f>+Input!D25</f>
        <v>Intradiário</v>
      </c>
      <c r="E26" s="19" t="str">
        <f>+Input!E25</f>
        <v>kWh/h</v>
      </c>
      <c r="F26" s="267">
        <f>Data_b!$D$53</f>
        <v>12</v>
      </c>
      <c r="G26" s="62">
        <f>+Data_a!K27</f>
        <v>0</v>
      </c>
      <c r="I26" s="18" t="str">
        <f>+'Pre-scaling RPM'!H35</f>
        <v>€/(kWh/h)/ano</v>
      </c>
      <c r="J26" s="44">
        <f>+'Pre-scaling RPM'!P35</f>
        <v>0</v>
      </c>
      <c r="L26" s="18" t="s">
        <v>41</v>
      </c>
      <c r="M26" s="62">
        <f t="shared" si="0"/>
        <v>0</v>
      </c>
      <c r="O26" s="87">
        <f t="shared" si="5"/>
        <v>0.85035046334361963</v>
      </c>
      <c r="Q26" s="18" t="str">
        <f t="shared" si="2"/>
        <v>€/(kWh/h)/ano</v>
      </c>
      <c r="R26" s="44">
        <f t="shared" si="3"/>
        <v>0</v>
      </c>
      <c r="S26" s="277"/>
      <c r="T26" s="18" t="s">
        <v>41</v>
      </c>
      <c r="U26" s="62">
        <f t="shared" si="4"/>
        <v>0</v>
      </c>
    </row>
    <row r="27" spans="2:21" ht="15" x14ac:dyDescent="0.25">
      <c r="B27" s="3"/>
      <c r="C27" s="23" t="str">
        <f>+Input!C26</f>
        <v>Armazenamento subterrâneo</v>
      </c>
      <c r="D27" s="14" t="str">
        <f>+Input!D26</f>
        <v>Diário</v>
      </c>
      <c r="E27" s="15" t="str">
        <f>+Input!E26</f>
        <v>kWh/dia</v>
      </c>
      <c r="F27" s="268">
        <f>Data_b!$D$53</f>
        <v>12</v>
      </c>
      <c r="G27" s="58">
        <f>+Data_a!K28</f>
        <v>4894243.642328768</v>
      </c>
      <c r="I27" s="49" t="str">
        <f>+'Pre-scaling RPM'!H36</f>
        <v>€/(kWh/dia)/ano</v>
      </c>
      <c r="J27" s="46">
        <f>+'Pre-scaling RPM'!P36</f>
        <v>0</v>
      </c>
      <c r="L27" s="49" t="s">
        <v>41</v>
      </c>
      <c r="M27" s="58">
        <f t="shared" si="0"/>
        <v>0</v>
      </c>
      <c r="O27" s="85">
        <f t="shared" si="5"/>
        <v>0.85035046334361963</v>
      </c>
      <c r="Q27" s="49" t="str">
        <f t="shared" si="2"/>
        <v>€/(kWh/dia)/ano</v>
      </c>
      <c r="R27" s="46">
        <f t="shared" si="3"/>
        <v>0</v>
      </c>
      <c r="S27" s="277"/>
      <c r="T27" s="49" t="s">
        <v>41</v>
      </c>
      <c r="U27" s="58">
        <f t="shared" si="4"/>
        <v>0</v>
      </c>
    </row>
    <row r="28" spans="2:21" ht="15.75" thickBot="1" x14ac:dyDescent="0.3">
      <c r="B28" s="3"/>
      <c r="C28" s="25"/>
      <c r="D28" s="19" t="str">
        <f>+Input!D27</f>
        <v>Intradiário</v>
      </c>
      <c r="E28" s="19" t="str">
        <f>+Input!E27</f>
        <v>kWh/h</v>
      </c>
      <c r="F28" s="267">
        <f>Data_b!$D$53</f>
        <v>12</v>
      </c>
      <c r="G28" s="62">
        <f>+Data_a!K29</f>
        <v>0</v>
      </c>
      <c r="I28" s="18" t="str">
        <f>+'Pre-scaling RPM'!H37</f>
        <v>€/(kWh/h)/ano</v>
      </c>
      <c r="J28" s="44">
        <f>+'Pre-scaling RPM'!P37</f>
        <v>0</v>
      </c>
      <c r="L28" s="18" t="s">
        <v>41</v>
      </c>
      <c r="M28" s="62">
        <f t="shared" si="0"/>
        <v>0</v>
      </c>
      <c r="O28" s="87">
        <f t="shared" si="5"/>
        <v>0.85035046334361963</v>
      </c>
      <c r="Q28" s="18" t="str">
        <f t="shared" si="2"/>
        <v>€/(kWh/h)/ano</v>
      </c>
      <c r="R28" s="44">
        <f t="shared" si="3"/>
        <v>0</v>
      </c>
      <c r="S28" s="277"/>
      <c r="T28" s="18" t="s">
        <v>41</v>
      </c>
      <c r="U28" s="62">
        <f t="shared" si="4"/>
        <v>0</v>
      </c>
    </row>
    <row r="29" spans="2:21" ht="15.75" thickBot="1" x14ac:dyDescent="0.3">
      <c r="B29" s="3"/>
      <c r="C29" s="21" t="str">
        <f>+Input!C28</f>
        <v>Redes de distribuição e Clientes em AP</v>
      </c>
      <c r="D29" s="22" t="str">
        <f>+Input!D28</f>
        <v>Longas utilizações</v>
      </c>
      <c r="E29" s="22" t="str">
        <f>+Input!E28</f>
        <v>kWh/dia</v>
      </c>
      <c r="F29" s="269">
        <f>Data_b!$D$53</f>
        <v>12</v>
      </c>
      <c r="G29" s="64">
        <f>+Data_a!K30</f>
        <v>176613219.52500001</v>
      </c>
      <c r="I29" s="21" t="str">
        <f>+'Pre-scaling RPM'!H38</f>
        <v>€/(kWh/dia)/ano</v>
      </c>
      <c r="J29" s="73">
        <f>+'Pre-scaling RPM'!P38</f>
        <v>0.23102980989150237</v>
      </c>
      <c r="L29" s="21" t="s">
        <v>41</v>
      </c>
      <c r="M29" s="64">
        <f t="shared" si="0"/>
        <v>40802918.531186923</v>
      </c>
      <c r="O29" s="88">
        <f t="shared" si="5"/>
        <v>0.85035046334361963</v>
      </c>
      <c r="Q29" s="21" t="str">
        <f t="shared" si="2"/>
        <v>€/(kWh/dia)/ano</v>
      </c>
      <c r="R29" s="73">
        <f t="shared" si="3"/>
        <v>0.19645630588742741</v>
      </c>
      <c r="S29" s="277"/>
      <c r="T29" s="21" t="s">
        <v>41</v>
      </c>
      <c r="U29" s="64">
        <f t="shared" si="4"/>
        <v>34696780.678766765</v>
      </c>
    </row>
    <row r="30" spans="2:21" ht="15" x14ac:dyDescent="0.25">
      <c r="B30" s="3"/>
      <c r="C30" s="23" t="str">
        <f>+Input!C29</f>
        <v>Clientes em AP</v>
      </c>
      <c r="D30" s="14" t="str">
        <f>+Input!D29</f>
        <v>Tarifa flexível anual - capacidade base anual</v>
      </c>
      <c r="E30" s="14" t="str">
        <f>+Input!E29</f>
        <v>kWh/dia</v>
      </c>
      <c r="F30" s="268">
        <f>Data_b!$D$53</f>
        <v>12</v>
      </c>
      <c r="G30" s="58">
        <f>+Data_a!K31</f>
        <v>69817243.855383337</v>
      </c>
      <c r="I30" s="13" t="str">
        <f>+'Pre-scaling RPM'!H39</f>
        <v>€/(kWh/dia)/ano</v>
      </c>
      <c r="J30" s="46">
        <f>+'Pre-scaling RPM'!P39</f>
        <v>0.23102980989150237</v>
      </c>
      <c r="L30" s="13" t="s">
        <v>41</v>
      </c>
      <c r="M30" s="58">
        <f t="shared" si="0"/>
        <v>16129864.575057874</v>
      </c>
      <c r="O30" s="85">
        <f t="shared" si="5"/>
        <v>0.85035046334361963</v>
      </c>
      <c r="Q30" s="13" t="str">
        <f t="shared" si="2"/>
        <v>€/(kWh/dia)/ano</v>
      </c>
      <c r="R30" s="46">
        <f t="shared" si="3"/>
        <v>0.19645630588742741</v>
      </c>
      <c r="S30" s="277"/>
      <c r="T30" s="13" t="s">
        <v>41</v>
      </c>
      <c r="U30" s="58">
        <f t="shared" si="4"/>
        <v>13716037.815070299</v>
      </c>
    </row>
    <row r="31" spans="2:21" ht="15" x14ac:dyDescent="0.25">
      <c r="B31" s="3"/>
      <c r="C31" s="24"/>
      <c r="D31" s="12" t="str">
        <f>+Input!D30</f>
        <v>Tarifa flexível anual - capacidade mensal adicional (abril a setembro)</v>
      </c>
      <c r="E31" s="12" t="str">
        <f>+Input!E30</f>
        <v>kWh/dia</v>
      </c>
      <c r="F31" s="409">
        <f>+Data_b!$D$52</f>
        <v>6</v>
      </c>
      <c r="G31" s="60">
        <f>+Data_a!K32</f>
        <v>0</v>
      </c>
      <c r="I31" s="16" t="str">
        <f>+'Pre-scaling RPM'!H40</f>
        <v>€/(kWh/dia)/ano</v>
      </c>
      <c r="J31" s="43">
        <f>+'Pre-scaling RPM'!P40</f>
        <v>0.34654471483725358</v>
      </c>
      <c r="L31" s="16" t="s">
        <v>41</v>
      </c>
      <c r="M31" s="60">
        <f t="shared" si="0"/>
        <v>0</v>
      </c>
      <c r="O31" s="86">
        <f t="shared" si="5"/>
        <v>0.85035046334361963</v>
      </c>
      <c r="Q31" s="16" t="str">
        <f t="shared" si="2"/>
        <v>€/(kWh/dia)/ano</v>
      </c>
      <c r="R31" s="43">
        <f t="shared" si="3"/>
        <v>0.29468445883114114</v>
      </c>
      <c r="S31" s="277"/>
      <c r="T31" s="16" t="s">
        <v>41</v>
      </c>
      <c r="U31" s="60">
        <f t="shared" si="4"/>
        <v>0</v>
      </c>
    </row>
    <row r="32" spans="2:21" ht="15" x14ac:dyDescent="0.25">
      <c r="B32" s="3"/>
      <c r="C32" s="24"/>
      <c r="D32" s="12" t="str">
        <f>+Input!D31</f>
        <v>Tarifa flexível mensal - capacidade mensal (outubro a março)</v>
      </c>
      <c r="E32" s="12" t="str">
        <f>+Input!E31</f>
        <v>kWh/dia</v>
      </c>
      <c r="F32" s="409">
        <f>+Data_b!$D$51</f>
        <v>6</v>
      </c>
      <c r="G32" s="60">
        <f>+Data_a!K33</f>
        <v>42056350.902433224</v>
      </c>
      <c r="I32" s="16" t="str">
        <f>+'Pre-scaling RPM'!H41</f>
        <v>€/(kWh/dia)/ano</v>
      </c>
      <c r="J32" s="43">
        <f>+'Pre-scaling RPM'!P41</f>
        <v>0.69308942967450715</v>
      </c>
      <c r="L32" s="16" t="s">
        <v>41</v>
      </c>
      <c r="M32" s="60">
        <f t="shared" si="0"/>
        <v>14574406.130579194</v>
      </c>
      <c r="O32" s="86">
        <f t="shared" si="5"/>
        <v>0.85035046334361963</v>
      </c>
      <c r="Q32" s="16" t="str">
        <f t="shared" si="2"/>
        <v>€/(kWh/dia)/ano</v>
      </c>
      <c r="R32" s="43">
        <f t="shared" si="3"/>
        <v>0.58936891766228228</v>
      </c>
      <c r="S32" s="277"/>
      <c r="T32" s="16" t="s">
        <v>41</v>
      </c>
      <c r="U32" s="60">
        <f t="shared" si="4"/>
        <v>12393353.00609611</v>
      </c>
    </row>
    <row r="33" spans="2:21" ht="15" x14ac:dyDescent="0.25">
      <c r="B33" s="3"/>
      <c r="C33" s="24"/>
      <c r="D33" s="12" t="str">
        <f>+Input!D32</f>
        <v>Tarifa flexível mensal - capacidade mensal (abril a setembro)</v>
      </c>
      <c r="E33" s="12" t="str">
        <f>+Input!E32</f>
        <v>kWh/dia</v>
      </c>
      <c r="F33" s="409">
        <f>+Data_b!$D$52</f>
        <v>6</v>
      </c>
      <c r="G33" s="60">
        <f>+Data_a!K34</f>
        <v>40939752.517566778</v>
      </c>
      <c r="I33" s="16" t="str">
        <f>+'Pre-scaling RPM'!H42</f>
        <v>€/(kWh/dia)/ano</v>
      </c>
      <c r="J33" s="43">
        <f>+'Pre-scaling RPM'!P42</f>
        <v>0.34654471483725358</v>
      </c>
      <c r="L33" s="16" t="s">
        <v>41</v>
      </c>
      <c r="M33" s="60">
        <f t="shared" si="0"/>
        <v>7093727.4308539564</v>
      </c>
      <c r="O33" s="86">
        <f t="shared" si="5"/>
        <v>0.85035046334361963</v>
      </c>
      <c r="Q33" s="16" t="str">
        <f t="shared" si="2"/>
        <v>€/(kWh/dia)/ano</v>
      </c>
      <c r="R33" s="43">
        <f t="shared" si="3"/>
        <v>0.29468445883114114</v>
      </c>
      <c r="S33" s="277"/>
      <c r="T33" s="16" t="s">
        <v>41</v>
      </c>
      <c r="U33" s="60">
        <f t="shared" si="4"/>
        <v>6032154.4076600065</v>
      </c>
    </row>
    <row r="34" spans="2:21" ht="15" x14ac:dyDescent="0.25">
      <c r="B34" s="3"/>
      <c r="C34" s="24"/>
      <c r="D34" s="12" t="str">
        <f>+Input!D33</f>
        <v>Tarifa flexível diária - capacidade diária (outubro a março)</v>
      </c>
      <c r="E34" s="12" t="str">
        <f>+Input!E33</f>
        <v>kWh/dia</v>
      </c>
      <c r="F34" s="266">
        <f>+Data_b!$D$51</f>
        <v>6</v>
      </c>
      <c r="G34" s="60">
        <f>+Data_a!K35</f>
        <v>0</v>
      </c>
      <c r="I34" s="16" t="str">
        <f>+'Pre-scaling RPM'!H43</f>
        <v>€/(kWh/dia)/ano</v>
      </c>
      <c r="J34" s="43">
        <f>+'Pre-scaling RPM'!P43</f>
        <v>2.3102980989150237</v>
      </c>
      <c r="L34" s="16" t="s">
        <v>41</v>
      </c>
      <c r="M34" s="60">
        <f t="shared" si="0"/>
        <v>0</v>
      </c>
      <c r="O34" s="86">
        <f t="shared" si="5"/>
        <v>0.85035046334361963</v>
      </c>
      <c r="Q34" s="16" t="str">
        <f t="shared" si="2"/>
        <v>€/(kWh/dia)/ano</v>
      </c>
      <c r="R34" s="43">
        <f t="shared" si="3"/>
        <v>1.964563058874274</v>
      </c>
      <c r="S34" s="277"/>
      <c r="T34" s="16" t="s">
        <v>41</v>
      </c>
      <c r="U34" s="60">
        <f t="shared" si="4"/>
        <v>0</v>
      </c>
    </row>
    <row r="35" spans="2:21" ht="15.75" thickBot="1" x14ac:dyDescent="0.3">
      <c r="B35" s="4"/>
      <c r="C35" s="25"/>
      <c r="D35" s="19" t="str">
        <f>+Input!D34</f>
        <v>Tarifa flexível diária - capacidade diária (abril a setembro)</v>
      </c>
      <c r="E35" s="19" t="str">
        <f>+Input!E34</f>
        <v>kWh/dia</v>
      </c>
      <c r="F35" s="270">
        <f>+Data_b!$D$52</f>
        <v>6</v>
      </c>
      <c r="G35" s="62">
        <f>+Data_a!K36</f>
        <v>0</v>
      </c>
      <c r="I35" s="18" t="str">
        <f>+'Pre-scaling RPM'!H44</f>
        <v>€/(kWh/dia)/ano</v>
      </c>
      <c r="J35" s="44">
        <f>+'Pre-scaling RPM'!P44</f>
        <v>1.3861788593490143</v>
      </c>
      <c r="L35" s="18" t="s">
        <v>41</v>
      </c>
      <c r="M35" s="62">
        <f t="shared" si="0"/>
        <v>0</v>
      </c>
      <c r="O35" s="87">
        <f t="shared" si="5"/>
        <v>0.85035046334361963</v>
      </c>
      <c r="Q35" s="18" t="str">
        <f t="shared" si="2"/>
        <v>€/(kWh/dia)/ano</v>
      </c>
      <c r="R35" s="44">
        <f t="shared" si="3"/>
        <v>1.1787378353245646</v>
      </c>
      <c r="S35" s="277"/>
      <c r="T35" s="18" t="s">
        <v>41</v>
      </c>
      <c r="U35" s="62">
        <f t="shared" si="4"/>
        <v>0</v>
      </c>
    </row>
    <row r="36" spans="2:21" ht="15.75" thickBot="1" x14ac:dyDescent="0.3"/>
    <row r="37" spans="2:21" ht="15.75" thickBot="1" x14ac:dyDescent="0.3">
      <c r="L37" s="2" t="s">
        <v>280</v>
      </c>
      <c r="M37" s="82"/>
      <c r="O37" s="78" t="str">
        <f>+O3</f>
        <v>Fatores de escalamento</v>
      </c>
    </row>
    <row r="38" spans="2:21" ht="15" x14ac:dyDescent="0.25">
      <c r="L38" s="13" t="str">
        <f>+B5</f>
        <v>Entrada</v>
      </c>
      <c r="M38" s="79">
        <f>SUM(M5:M16)/SUM(M5:M35)</f>
        <v>0.26670161744579562</v>
      </c>
      <c r="O38" s="83">
        <f>M42*'RPM inputs'!E22/SUM('Reference prices RPM'!$M$5:$M$16)</f>
        <v>0.90924006665442825</v>
      </c>
    </row>
    <row r="39" spans="2:21" ht="15" customHeight="1" thickBot="1" x14ac:dyDescent="0.3">
      <c r="L39" s="18" t="s">
        <v>22</v>
      </c>
      <c r="M39" s="80">
        <f>SUM(M17:M35)/SUM(M5:M35)</f>
        <v>0.73329838255420432</v>
      </c>
      <c r="O39" s="84">
        <f>M43*'RPM inputs'!E22/SUM('Reference prices RPM'!$M$17:$M$35)</f>
        <v>0.85035046334361963</v>
      </c>
    </row>
    <row r="40" spans="2:21" ht="15" customHeight="1" thickBot="1" x14ac:dyDescent="0.3"/>
    <row r="41" spans="2:21" ht="15" customHeight="1" thickBot="1" x14ac:dyDescent="0.3">
      <c r="L41" s="2" t="s">
        <v>281</v>
      </c>
      <c r="M41" s="82"/>
    </row>
    <row r="42" spans="2:21" ht="15" customHeight="1" x14ac:dyDescent="0.25">
      <c r="L42" s="13" t="str">
        <f>+L38</f>
        <v>Entrada</v>
      </c>
      <c r="M42" s="278">
        <f>+Data_b!D4</f>
        <v>0.28000000000000003</v>
      </c>
    </row>
    <row r="43" spans="2:21" ht="15" customHeight="1" thickBot="1" x14ac:dyDescent="0.3">
      <c r="L43" s="18" t="s">
        <v>22</v>
      </c>
      <c r="M43" s="279">
        <f>+Data_b!D5</f>
        <v>0.72</v>
      </c>
    </row>
    <row r="44" spans="2:21" ht="15" customHeight="1" x14ac:dyDescent="0.25"/>
  </sheetData>
  <pageMargins left="0.7" right="0.7" top="0.75" bottom="0.75" header="0.3" footer="0.3"/>
  <pageSetup paperSize="9" orientation="portrait" r:id="rId1"/>
  <ignoredErrors>
    <ignoredError sqref="F32:F34"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FC27"/>
  <sheetViews>
    <sheetView showGridLines="0" zoomScaleNormal="100" workbookViewId="0">
      <selection activeCell="F7" sqref="F7"/>
    </sheetView>
  </sheetViews>
  <sheetFormatPr defaultColWidth="0" defaultRowHeight="15" zeroHeight="1" x14ac:dyDescent="0.25"/>
  <cols>
    <col min="1" max="1" width="9.140625" customWidth="1"/>
    <col min="2" max="2" width="20" bestFit="1" customWidth="1"/>
    <col min="3" max="5" width="16.5703125" customWidth="1"/>
    <col min="6" max="7" width="9.140625" customWidth="1"/>
    <col min="8" max="8" width="9.140625" hidden="1"/>
    <col min="9" max="10" width="12" hidden="1"/>
    <col min="11" max="11" width="15.7109375" hidden="1"/>
    <col min="12" max="16383" width="9.140625" hidden="1"/>
    <col min="16384" max="16384" width="0.140625" hidden="1"/>
  </cols>
  <sheetData>
    <row r="1" spans="1:11" ht="15.75" thickBot="1" x14ac:dyDescent="0.3"/>
    <row r="2" spans="1:11" ht="15.75" thickBot="1" x14ac:dyDescent="0.3">
      <c r="A2" s="2" t="str">
        <f>+'Reference prices RPM'!Q3</f>
        <v>Preços de referência</v>
      </c>
      <c r="B2" s="93"/>
      <c r="C2" s="93"/>
      <c r="D2" s="93"/>
      <c r="E2" s="94"/>
    </row>
    <row r="3" spans="1:11" ht="15.75" thickBot="1" x14ac:dyDescent="0.3">
      <c r="A3" s="95"/>
      <c r="B3" s="47" t="str">
        <f>+'Pre-scaling RPM'!B3</f>
        <v>Ponto</v>
      </c>
      <c r="C3" s="90" t="s">
        <v>285</v>
      </c>
      <c r="D3" s="90" t="str">
        <f>"CWD " &amp; Data_b!D3</f>
        <v>CWD 28/72</v>
      </c>
      <c r="E3" s="90" t="s">
        <v>286</v>
      </c>
      <c r="I3" s="276"/>
      <c r="J3" s="276"/>
      <c r="K3" s="276"/>
    </row>
    <row r="4" spans="1:11" x14ac:dyDescent="0.25">
      <c r="A4" s="40" t="str">
        <f>+'Pre-scaling RPM'!A4</f>
        <v>Entrada</v>
      </c>
      <c r="B4" s="13" t="str">
        <f>+'Pre-scaling RPM'!B4</f>
        <v>VIP</v>
      </c>
      <c r="C4" s="274">
        <f>+'Reference prices CWD'!$R$5</f>
        <v>0.21523455433972546</v>
      </c>
      <c r="D4" s="274">
        <f>+'Reference prices CWD 28-72'!$R$5</f>
        <v>0.12053135043024628</v>
      </c>
      <c r="E4" s="246">
        <f>+'Reference prices RPM'!$R$5</f>
        <v>0.12105867385712639</v>
      </c>
      <c r="H4" s="253"/>
      <c r="I4" s="252"/>
      <c r="J4" s="252"/>
      <c r="K4" s="252"/>
    </row>
    <row r="5" spans="1:11" x14ac:dyDescent="0.25">
      <c r="A5" s="41"/>
      <c r="B5" s="16" t="str">
        <f>+'Pre-scaling RPM'!B5</f>
        <v>Terminal GNL</v>
      </c>
      <c r="C5" s="217">
        <f>+'Reference prices CWD'!$R$10</f>
        <v>0.20033319089320362</v>
      </c>
      <c r="D5" s="217">
        <f>+'Reference prices CWD 28-72'!$R$10</f>
        <v>0.11218658690019405</v>
      </c>
      <c r="E5" s="247">
        <f>+'Reference prices RPM'!$R$10</f>
        <v>0.11140452204426336</v>
      </c>
    </row>
    <row r="6" spans="1:11" ht="15.75" thickBot="1" x14ac:dyDescent="0.3">
      <c r="A6" s="42"/>
      <c r="B6" s="18" t="str">
        <f>+'Pre-scaling RPM'!B6</f>
        <v>Armazenamento</v>
      </c>
      <c r="C6" s="275">
        <f>+'Reference prices CWD'!$R$15</f>
        <v>0</v>
      </c>
      <c r="D6" s="275">
        <f>+'Reference prices CWD 28-72'!$R$15</f>
        <v>0</v>
      </c>
      <c r="E6" s="248">
        <f>+'Reference prices RPM'!$R$15</f>
        <v>0</v>
      </c>
    </row>
    <row r="7" spans="1:11" x14ac:dyDescent="0.25">
      <c r="A7" s="40" t="str">
        <f>+'Pre-scaling RPM'!A7</f>
        <v>Saída</v>
      </c>
      <c r="B7" s="13" t="str">
        <f>+'Pre-scaling RPM'!B7</f>
        <v>VIP</v>
      </c>
      <c r="C7" s="274">
        <f>+'Reference prices CWD'!$R$17</f>
        <v>0.18927368454674892</v>
      </c>
      <c r="D7" s="274">
        <f>+'Reference prices CWD 28-72'!$R$17</f>
        <v>0.27255410574731836</v>
      </c>
      <c r="E7" s="246">
        <f>+'Reference prices RPM'!$R$17</f>
        <v>2.3958713237221051E-2</v>
      </c>
    </row>
    <row r="8" spans="1:11" x14ac:dyDescent="0.25">
      <c r="A8" s="41"/>
      <c r="B8" s="16" t="str">
        <f>+'Pre-scaling RPM'!B8</f>
        <v>Terminal GNL</v>
      </c>
      <c r="C8" s="217">
        <f>+'Reference prices CWD'!$R$22</f>
        <v>0.18617513318695048</v>
      </c>
      <c r="D8" s="217">
        <f>+'Reference prices CWD 28-72'!$R$22</f>
        <v>0.26809219178920857</v>
      </c>
      <c r="E8" s="247">
        <f>+'Reference prices RPM'!$R$22</f>
        <v>0</v>
      </c>
    </row>
    <row r="9" spans="1:11" x14ac:dyDescent="0.25">
      <c r="A9" s="41"/>
      <c r="B9" s="16" t="str">
        <f>+'Pre-scaling RPM'!B9</f>
        <v>Armazenamento</v>
      </c>
      <c r="C9" s="217">
        <f>+'Reference prices CWD'!$R$27</f>
        <v>0</v>
      </c>
      <c r="D9" s="217">
        <f>+'Reference prices CWD 28-72'!$R$27</f>
        <v>0</v>
      </c>
      <c r="E9" s="247">
        <f>+'Reference prices RPM'!$R$27</f>
        <v>0</v>
      </c>
    </row>
    <row r="10" spans="1:11" ht="15.75" thickBot="1" x14ac:dyDescent="0.3">
      <c r="A10" s="42"/>
      <c r="B10" s="18" t="str">
        <f>+'Pre-scaling RPM'!B10</f>
        <v>Consumo</v>
      </c>
      <c r="C10" s="275">
        <f>'Reference prices CWD'!$R$29</f>
        <v>0.13470897534060011</v>
      </c>
      <c r="D10" s="275">
        <f>'Reference prices CWD 28-72'!$R$29</f>
        <v>0.19398092449046409</v>
      </c>
      <c r="E10" s="248">
        <f>'Reference prices RPM'!$R$29</f>
        <v>0.19645630588742741</v>
      </c>
    </row>
    <row r="11" spans="1:11" x14ac:dyDescent="0.25"/>
    <row r="12" spans="1:11" x14ac:dyDescent="0.25">
      <c r="C12" s="261"/>
    </row>
    <row r="13" spans="1:11" x14ac:dyDescent="0.25"/>
    <row r="14" spans="1:11" x14ac:dyDescent="0.25"/>
    <row r="15" spans="1:11" x14ac:dyDescent="0.25"/>
    <row r="16" spans="1: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hidden="1"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N37"/>
  <sheetViews>
    <sheetView showGridLines="0" zoomScale="90" zoomScaleNormal="90" workbookViewId="0">
      <selection activeCell="B1" sqref="B1"/>
    </sheetView>
  </sheetViews>
  <sheetFormatPr defaultColWidth="0" defaultRowHeight="15" zeroHeight="1" x14ac:dyDescent="0.25"/>
  <cols>
    <col min="1" max="1" width="4.7109375" customWidth="1"/>
    <col min="2" max="2" width="7.7109375" bestFit="1" customWidth="1"/>
    <col min="3" max="3" width="34.42578125" customWidth="1"/>
    <col min="4" max="4" width="61" customWidth="1"/>
    <col min="5" max="5" width="16.140625" customWidth="1"/>
    <col min="6" max="6" width="10.5703125" bestFit="1" customWidth="1"/>
    <col min="7" max="9" width="10.5703125" customWidth="1"/>
    <col min="10" max="10" width="2.7109375" customWidth="1"/>
    <col min="11" max="13" width="11" customWidth="1"/>
    <col min="14" max="14" width="4.42578125" customWidth="1"/>
    <col min="15" max="16384" width="9.140625" hidden="1"/>
  </cols>
  <sheetData>
    <row r="1" spans="2:13" x14ac:dyDescent="0.25">
      <c r="B1" s="1" t="s">
        <v>314</v>
      </c>
      <c r="C1" s="292"/>
    </row>
    <row r="2" spans="2:13" ht="15.75" thickBot="1" x14ac:dyDescent="0.3">
      <c r="B2" s="1"/>
      <c r="C2" s="292"/>
    </row>
    <row r="3" spans="2:13" ht="32.25" customHeight="1" thickBot="1" x14ac:dyDescent="0.3">
      <c r="G3" s="455" t="s">
        <v>171</v>
      </c>
      <c r="H3" s="456"/>
      <c r="I3" s="457"/>
      <c r="K3" s="455" t="s">
        <v>170</v>
      </c>
      <c r="L3" s="456"/>
      <c r="M3" s="457"/>
    </row>
    <row r="4" spans="2:13" ht="15.75" thickBot="1" x14ac:dyDescent="0.3">
      <c r="F4" s="26" t="s">
        <v>130</v>
      </c>
      <c r="G4" s="26" t="s">
        <v>6</v>
      </c>
      <c r="H4" s="26" t="s">
        <v>7</v>
      </c>
      <c r="I4" s="26" t="s">
        <v>8</v>
      </c>
      <c r="K4" s="26" t="s">
        <v>6</v>
      </c>
      <c r="L4" s="26" t="s">
        <v>7</v>
      </c>
      <c r="M4" s="26" t="s">
        <v>8</v>
      </c>
    </row>
    <row r="5" spans="2:13" ht="15.75" thickBot="1" x14ac:dyDescent="0.3">
      <c r="C5" s="8" t="str">
        <f>+'Pre-scaling RPM'!F13</f>
        <v>Ponto</v>
      </c>
      <c r="D5" s="8" t="str">
        <f>+'Pre-scaling RPM'!G13</f>
        <v>Produto</v>
      </c>
      <c r="E5" s="55" t="str">
        <f>+'Pre-scaling RPM'!H13</f>
        <v>Unidade</v>
      </c>
      <c r="F5" s="352"/>
      <c r="G5" s="352"/>
      <c r="H5" s="352"/>
      <c r="I5" s="11"/>
      <c r="K5" s="354"/>
      <c r="L5" s="352"/>
      <c r="M5" s="11"/>
    </row>
    <row r="6" spans="2:13" x14ac:dyDescent="0.25">
      <c r="B6" s="5" t="str">
        <f>+'Pre-scaling RPM'!E14</f>
        <v>Entrada</v>
      </c>
      <c r="C6" s="23" t="str">
        <f>+'Pre-scaling RPM'!F14</f>
        <v>VIP</v>
      </c>
      <c r="D6" s="14" t="str">
        <f>+'Pre-scaling RPM'!G14</f>
        <v>Anual</v>
      </c>
      <c r="E6" s="49" t="str">
        <f>+'Pre-scaling RPM'!H14</f>
        <v>€/(kWh/dia)/ano</v>
      </c>
      <c r="F6" s="355">
        <f>+Data_c!F5</f>
        <v>0.12179685</v>
      </c>
      <c r="G6" s="355">
        <v>0.12105867385712639</v>
      </c>
      <c r="H6" s="355">
        <v>0.12105867385712639</v>
      </c>
      <c r="I6" s="358">
        <v>0.12105867385712639</v>
      </c>
      <c r="K6" s="362">
        <f>IF(F6=0,"-",G6/F6-1)</f>
        <v>-6.0607162079611143E-3</v>
      </c>
      <c r="L6" s="363">
        <f t="shared" ref="L6:L36" si="0">IF(G6=0,"-",H6/G6-1)</f>
        <v>0</v>
      </c>
      <c r="M6" s="364">
        <f t="shared" ref="M6:M36" si="1">IF(H6=0,"-",I6/H6-1)</f>
        <v>0</v>
      </c>
    </row>
    <row r="7" spans="2:13" x14ac:dyDescent="0.25">
      <c r="B7" s="6"/>
      <c r="C7" s="24"/>
      <c r="D7" s="12" t="str">
        <f>+'Pre-scaling RPM'!G15</f>
        <v>Trimestral</v>
      </c>
      <c r="E7" s="16" t="str">
        <f>+'Pre-scaling RPM'!H15</f>
        <v>€/(kWh/dia)/ano</v>
      </c>
      <c r="F7" s="353">
        <f>+Data_c!F6</f>
        <v>0.15833334999999998</v>
      </c>
      <c r="G7" s="353">
        <v>0.15737627601426432</v>
      </c>
      <c r="H7" s="353">
        <v>0.15737627601426432</v>
      </c>
      <c r="I7" s="359">
        <v>0.15737627601426432</v>
      </c>
      <c r="K7" s="365">
        <f t="shared" ref="K7:K36" si="2">IF(F7=0,"-",G7/F7-1)</f>
        <v>-6.0446771683644318E-3</v>
      </c>
      <c r="L7" s="301">
        <f t="shared" si="0"/>
        <v>0</v>
      </c>
      <c r="M7" s="302">
        <f t="shared" si="1"/>
        <v>0</v>
      </c>
    </row>
    <row r="8" spans="2:13" x14ac:dyDescent="0.25">
      <c r="B8" s="6"/>
      <c r="C8" s="24"/>
      <c r="D8" s="12" t="str">
        <f>+'Pre-scaling RPM'!G16</f>
        <v>Mensal</v>
      </c>
      <c r="E8" s="16" t="str">
        <f>+'Pre-scaling RPM'!H16</f>
        <v>€/(kWh/dia)/ano</v>
      </c>
      <c r="F8" s="353">
        <f>+Data_c!F7</f>
        <v>0.18269345000000001</v>
      </c>
      <c r="G8" s="353">
        <v>0.18158801078568959</v>
      </c>
      <c r="H8" s="353">
        <v>0.18158801078568959</v>
      </c>
      <c r="I8" s="359">
        <v>0.18158801078568959</v>
      </c>
      <c r="K8" s="365">
        <f t="shared" si="2"/>
        <v>-6.050787339723529E-3</v>
      </c>
      <c r="L8" s="301">
        <f t="shared" si="0"/>
        <v>0</v>
      </c>
      <c r="M8" s="302">
        <f t="shared" si="1"/>
        <v>0</v>
      </c>
    </row>
    <row r="9" spans="2:13" x14ac:dyDescent="0.25">
      <c r="B9" s="6"/>
      <c r="C9" s="24"/>
      <c r="D9" s="12" t="str">
        <f>+'Pre-scaling RPM'!G17</f>
        <v>Diário</v>
      </c>
      <c r="E9" s="16" t="str">
        <f>+'Pre-scaling RPM'!H17</f>
        <v>€/(kWh/dia)/ano</v>
      </c>
      <c r="F9" s="353">
        <f>+Data_c!F8</f>
        <v>0.2435937</v>
      </c>
      <c r="G9" s="353">
        <v>0.24211734771425278</v>
      </c>
      <c r="H9" s="353">
        <v>0.24211734771425278</v>
      </c>
      <c r="I9" s="359">
        <v>0.24211734771425278</v>
      </c>
      <c r="K9" s="365">
        <f t="shared" si="2"/>
        <v>-6.0607162079611143E-3</v>
      </c>
      <c r="L9" s="301">
        <f t="shared" si="0"/>
        <v>0</v>
      </c>
      <c r="M9" s="302">
        <f t="shared" si="1"/>
        <v>0</v>
      </c>
    </row>
    <row r="10" spans="2:13" ht="15.75" thickBot="1" x14ac:dyDescent="0.3">
      <c r="B10" s="6"/>
      <c r="C10" s="25"/>
      <c r="D10" s="19" t="str">
        <f>+'Pre-scaling RPM'!G18</f>
        <v>Intradiário</v>
      </c>
      <c r="E10" s="18" t="str">
        <f>+'Pre-scaling RPM'!H18</f>
        <v>€/(kWh/h)/ano</v>
      </c>
      <c r="F10" s="356">
        <f>+Data_c!F9</f>
        <v>6.4308036</v>
      </c>
      <c r="G10" s="356">
        <v>6.3918979796562745</v>
      </c>
      <c r="H10" s="356">
        <v>6.3918979796562745</v>
      </c>
      <c r="I10" s="360">
        <v>6.3918979796562745</v>
      </c>
      <c r="K10" s="366">
        <f t="shared" si="2"/>
        <v>-6.049884705501718E-3</v>
      </c>
      <c r="L10" s="303">
        <f t="shared" si="0"/>
        <v>0</v>
      </c>
      <c r="M10" s="304">
        <f t="shared" si="1"/>
        <v>0</v>
      </c>
    </row>
    <row r="11" spans="2:13" x14ac:dyDescent="0.25">
      <c r="B11" s="6"/>
      <c r="C11" s="23" t="str">
        <f>+'Pre-scaling RPM'!F19</f>
        <v>Terminal GNL</v>
      </c>
      <c r="D11" s="14" t="str">
        <f>+'Pre-scaling RPM'!G19</f>
        <v>Anual</v>
      </c>
      <c r="E11" s="49" t="str">
        <f>+'Pre-scaling RPM'!H19</f>
        <v>€/(kWh/dia)/ano</v>
      </c>
      <c r="F11" s="355">
        <f>+Data_c!F10</f>
        <v>0.12179685</v>
      </c>
      <c r="G11" s="355">
        <v>0.11140452204426336</v>
      </c>
      <c r="H11" s="355">
        <v>0.11140452204426336</v>
      </c>
      <c r="I11" s="358">
        <v>0.11140452204426336</v>
      </c>
      <c r="K11" s="362">
        <f t="shared" si="2"/>
        <v>-8.5325096303694559E-2</v>
      </c>
      <c r="L11" s="363">
        <f t="shared" si="0"/>
        <v>0</v>
      </c>
      <c r="M11" s="364">
        <f t="shared" si="1"/>
        <v>0</v>
      </c>
    </row>
    <row r="12" spans="2:13" x14ac:dyDescent="0.25">
      <c r="B12" s="6"/>
      <c r="C12" s="24"/>
      <c r="D12" s="12" t="str">
        <f>+'Pre-scaling RPM'!G20</f>
        <v>Trimestral</v>
      </c>
      <c r="E12" s="16" t="str">
        <f>+'Pre-scaling RPM'!H20</f>
        <v>€/(kWh/dia)/ano</v>
      </c>
      <c r="F12" s="353">
        <f>+Data_c!F11</f>
        <v>0.15833334999999998</v>
      </c>
      <c r="G12" s="353">
        <v>0.14482587865754237</v>
      </c>
      <c r="H12" s="353">
        <v>0.14482587865754237</v>
      </c>
      <c r="I12" s="359">
        <v>0.14482587865754237</v>
      </c>
      <c r="K12" s="365">
        <f t="shared" si="2"/>
        <v>-8.5310336340749471E-2</v>
      </c>
      <c r="L12" s="301">
        <f t="shared" si="0"/>
        <v>0</v>
      </c>
      <c r="M12" s="302">
        <f t="shared" si="1"/>
        <v>0</v>
      </c>
    </row>
    <row r="13" spans="2:13" x14ac:dyDescent="0.25">
      <c r="B13" s="6"/>
      <c r="C13" s="24"/>
      <c r="D13" s="12" t="str">
        <f>+'Pre-scaling RPM'!G21</f>
        <v>Mensal</v>
      </c>
      <c r="E13" s="16" t="str">
        <f>+'Pre-scaling RPM'!H21</f>
        <v>€/(kWh/dia)/ano</v>
      </c>
      <c r="F13" s="353">
        <f>+Data_c!F12</f>
        <v>0.18269345000000001</v>
      </c>
      <c r="G13" s="353">
        <v>0.16710678306639504</v>
      </c>
      <c r="H13" s="353">
        <v>0.16710678306639504</v>
      </c>
      <c r="I13" s="359">
        <v>0.16710678306639504</v>
      </c>
      <c r="K13" s="365">
        <f t="shared" si="2"/>
        <v>-8.5315959239945172E-2</v>
      </c>
      <c r="L13" s="301">
        <f t="shared" si="0"/>
        <v>0</v>
      </c>
      <c r="M13" s="302">
        <f t="shared" si="1"/>
        <v>0</v>
      </c>
    </row>
    <row r="14" spans="2:13" x14ac:dyDescent="0.25">
      <c r="B14" s="6"/>
      <c r="C14" s="24"/>
      <c r="D14" s="12" t="str">
        <f>+'Pre-scaling RPM'!G22</f>
        <v>Diário</v>
      </c>
      <c r="E14" s="16" t="str">
        <f>+'Pre-scaling RPM'!H22</f>
        <v>€/(kWh/dia)/ano</v>
      </c>
      <c r="F14" s="353">
        <f>+Data_c!F13</f>
        <v>0.2435937</v>
      </c>
      <c r="G14" s="353">
        <v>0.22280904408852673</v>
      </c>
      <c r="H14" s="353">
        <v>0.22280904408852673</v>
      </c>
      <c r="I14" s="359">
        <v>0.22280904408852673</v>
      </c>
      <c r="K14" s="365">
        <f t="shared" si="2"/>
        <v>-8.5325096303694559E-2</v>
      </c>
      <c r="L14" s="301">
        <f t="shared" si="0"/>
        <v>0</v>
      </c>
      <c r="M14" s="302">
        <f t="shared" si="1"/>
        <v>0</v>
      </c>
    </row>
    <row r="15" spans="2:13" ht="15.75" thickBot="1" x14ac:dyDescent="0.3">
      <c r="B15" s="6"/>
      <c r="C15" s="25"/>
      <c r="D15" s="19" t="str">
        <f>+'Pre-scaling RPM'!G23</f>
        <v>Intradiário</v>
      </c>
      <c r="E15" s="18" t="str">
        <f>+'Pre-scaling RPM'!H23</f>
        <v>€/(kWh/h)/ano</v>
      </c>
      <c r="F15" s="356">
        <f>+Data_c!F14</f>
        <v>6.4308036</v>
      </c>
      <c r="G15" s="356">
        <v>5.882158763937106</v>
      </c>
      <c r="H15" s="356">
        <v>5.882158763937106</v>
      </c>
      <c r="I15" s="360">
        <v>5.882158763937106</v>
      </c>
      <c r="K15" s="366">
        <f t="shared" si="2"/>
        <v>-8.5315128588734024E-2</v>
      </c>
      <c r="L15" s="303">
        <f t="shared" si="0"/>
        <v>0</v>
      </c>
      <c r="M15" s="304">
        <f t="shared" si="1"/>
        <v>0</v>
      </c>
    </row>
    <row r="16" spans="2:13" x14ac:dyDescent="0.25">
      <c r="B16" s="6"/>
      <c r="C16" s="23" t="str">
        <f>+'Pre-scaling RPM'!F24</f>
        <v>Armazenamento subterrâneo</v>
      </c>
      <c r="D16" s="14" t="str">
        <f>+'Pre-scaling RPM'!G24</f>
        <v>Diário</v>
      </c>
      <c r="E16" s="49" t="str">
        <f>+'Pre-scaling RPM'!H24</f>
        <v>€/(kWh/dia)/ano</v>
      </c>
      <c r="F16" s="355">
        <f>+Data_c!F15</f>
        <v>3.4164E-3</v>
      </c>
      <c r="G16" s="355">
        <v>0</v>
      </c>
      <c r="H16" s="355">
        <v>0</v>
      </c>
      <c r="I16" s="358">
        <v>0</v>
      </c>
      <c r="K16" s="362">
        <f t="shared" si="2"/>
        <v>-1</v>
      </c>
      <c r="L16" s="363" t="str">
        <f t="shared" si="0"/>
        <v>-</v>
      </c>
      <c r="M16" s="364" t="str">
        <f t="shared" si="1"/>
        <v>-</v>
      </c>
    </row>
    <row r="17" spans="2:13" ht="15.75" thickBot="1" x14ac:dyDescent="0.3">
      <c r="B17" s="7"/>
      <c r="C17" s="25"/>
      <c r="D17" s="19" t="str">
        <f>+'Pre-scaling RPM'!G25</f>
        <v>Intradiário</v>
      </c>
      <c r="E17" s="18" t="str">
        <f>+'Pre-scaling RPM'!H25</f>
        <v>€/(kWh/h)/ano</v>
      </c>
      <c r="F17" s="356">
        <f>+Data_c!F16</f>
        <v>9.0228000000000003E-2</v>
      </c>
      <c r="G17" s="356">
        <v>0</v>
      </c>
      <c r="H17" s="356">
        <v>0</v>
      </c>
      <c r="I17" s="360">
        <v>0</v>
      </c>
      <c r="K17" s="366">
        <f t="shared" si="2"/>
        <v>-1</v>
      </c>
      <c r="L17" s="303" t="str">
        <f t="shared" si="0"/>
        <v>-</v>
      </c>
      <c r="M17" s="304" t="str">
        <f t="shared" si="1"/>
        <v>-</v>
      </c>
    </row>
    <row r="18" spans="2:13" x14ac:dyDescent="0.25">
      <c r="B18" s="5" t="str">
        <f>+'Pre-scaling RPM'!E26</f>
        <v>Saída</v>
      </c>
      <c r="C18" s="23" t="str">
        <f>+'Pre-scaling RPM'!F26</f>
        <v>VIP</v>
      </c>
      <c r="D18" s="14" t="str">
        <f>+'Pre-scaling RPM'!G26</f>
        <v>Anual</v>
      </c>
      <c r="E18" s="49" t="str">
        <f>+'Pre-scaling RPM'!H26</f>
        <v>€/(kWh/dia)/ano</v>
      </c>
      <c r="F18" s="355">
        <f>+Data_c!F17</f>
        <v>0</v>
      </c>
      <c r="G18" s="355">
        <v>2.3958713237221051E-2</v>
      </c>
      <c r="H18" s="355">
        <v>2.3958713237221051E-2</v>
      </c>
      <c r="I18" s="358">
        <v>2.3958713237221051E-2</v>
      </c>
      <c r="K18" s="362" t="str">
        <f t="shared" si="2"/>
        <v>-</v>
      </c>
      <c r="L18" s="363">
        <f t="shared" si="0"/>
        <v>0</v>
      </c>
      <c r="M18" s="364">
        <f t="shared" si="1"/>
        <v>0</v>
      </c>
    </row>
    <row r="19" spans="2:13" x14ac:dyDescent="0.25">
      <c r="B19" s="3"/>
      <c r="C19" s="24"/>
      <c r="D19" s="12" t="str">
        <f>+'Pre-scaling RPM'!G27</f>
        <v>Trimestral</v>
      </c>
      <c r="E19" s="16" t="str">
        <f>+'Pre-scaling RPM'!H27</f>
        <v>€/(kWh/dia)/ano</v>
      </c>
      <c r="F19" s="353">
        <f>+Data_c!F18</f>
        <v>0</v>
      </c>
      <c r="G19" s="353">
        <v>3.1146327208387364E-2</v>
      </c>
      <c r="H19" s="353">
        <v>3.1146327208387364E-2</v>
      </c>
      <c r="I19" s="359">
        <v>3.1146327208387364E-2</v>
      </c>
      <c r="K19" s="365" t="str">
        <f t="shared" si="2"/>
        <v>-</v>
      </c>
      <c r="L19" s="301">
        <f t="shared" si="0"/>
        <v>0</v>
      </c>
      <c r="M19" s="302">
        <f t="shared" si="1"/>
        <v>0</v>
      </c>
    </row>
    <row r="20" spans="2:13" x14ac:dyDescent="0.25">
      <c r="B20" s="3"/>
      <c r="C20" s="24"/>
      <c r="D20" s="12" t="str">
        <f>+'Pre-scaling RPM'!G28</f>
        <v>Mensal</v>
      </c>
      <c r="E20" s="16" t="str">
        <f>+'Pre-scaling RPM'!H28</f>
        <v>€/(kWh/dia)/ano</v>
      </c>
      <c r="F20" s="353">
        <f>+Data_c!F19</f>
        <v>0</v>
      </c>
      <c r="G20" s="353">
        <v>3.5938069855831582E-2</v>
      </c>
      <c r="H20" s="353">
        <v>3.5938069855831582E-2</v>
      </c>
      <c r="I20" s="359">
        <v>3.5938069855831582E-2</v>
      </c>
      <c r="K20" s="365" t="str">
        <f t="shared" si="2"/>
        <v>-</v>
      </c>
      <c r="L20" s="301">
        <f t="shared" si="0"/>
        <v>0</v>
      </c>
      <c r="M20" s="302">
        <f t="shared" si="1"/>
        <v>0</v>
      </c>
    </row>
    <row r="21" spans="2:13" x14ac:dyDescent="0.25">
      <c r="B21" s="3"/>
      <c r="C21" s="24"/>
      <c r="D21" s="12" t="str">
        <f>+'Pre-scaling RPM'!G29</f>
        <v>Diário</v>
      </c>
      <c r="E21" s="16" t="str">
        <f>+'Pre-scaling RPM'!H29</f>
        <v>€/(kWh/dia)/ano</v>
      </c>
      <c r="F21" s="353">
        <f>+Data_c!F20</f>
        <v>0</v>
      </c>
      <c r="G21" s="353">
        <v>4.7917426474442103E-2</v>
      </c>
      <c r="H21" s="353">
        <v>4.7917426474442103E-2</v>
      </c>
      <c r="I21" s="359">
        <v>4.7917426474442103E-2</v>
      </c>
      <c r="K21" s="365" t="str">
        <f t="shared" si="2"/>
        <v>-</v>
      </c>
      <c r="L21" s="301">
        <f t="shared" si="0"/>
        <v>0</v>
      </c>
      <c r="M21" s="302">
        <f t="shared" si="1"/>
        <v>0</v>
      </c>
    </row>
    <row r="22" spans="2:13" ht="15.75" thickBot="1" x14ac:dyDescent="0.3">
      <c r="B22" s="3"/>
      <c r="C22" s="25"/>
      <c r="D22" s="19" t="str">
        <f>+'Pre-scaling RPM'!G30</f>
        <v>Intradiário</v>
      </c>
      <c r="E22" s="18" t="str">
        <f>+'Pre-scaling RPM'!H30</f>
        <v>€/(kWh/h)/ano</v>
      </c>
      <c r="F22" s="356">
        <f>+Data_c!F21</f>
        <v>0</v>
      </c>
      <c r="G22" s="356">
        <v>1.2650200589252718</v>
      </c>
      <c r="H22" s="356">
        <v>1.2650200589252718</v>
      </c>
      <c r="I22" s="360">
        <v>1.2650200589252718</v>
      </c>
      <c r="K22" s="366" t="str">
        <f t="shared" si="2"/>
        <v>-</v>
      </c>
      <c r="L22" s="303">
        <f t="shared" si="0"/>
        <v>0</v>
      </c>
      <c r="M22" s="304">
        <f t="shared" si="1"/>
        <v>0</v>
      </c>
    </row>
    <row r="23" spans="2:13" x14ac:dyDescent="0.25">
      <c r="B23" s="3"/>
      <c r="C23" s="23" t="str">
        <f>+'Pre-scaling RPM'!F31</f>
        <v>Terminal GNL</v>
      </c>
      <c r="D23" s="14" t="str">
        <f>+'Pre-scaling RPM'!G31</f>
        <v>Anual</v>
      </c>
      <c r="E23" s="49" t="str">
        <f>+'Pre-scaling RPM'!H31</f>
        <v>€/(kWh/dia)/ano</v>
      </c>
      <c r="F23" s="355">
        <f>+Data_c!F22</f>
        <v>0</v>
      </c>
      <c r="G23" s="355">
        <v>0</v>
      </c>
      <c r="H23" s="355">
        <v>0</v>
      </c>
      <c r="I23" s="358">
        <v>0</v>
      </c>
      <c r="K23" s="362" t="str">
        <f t="shared" si="2"/>
        <v>-</v>
      </c>
      <c r="L23" s="363" t="str">
        <f t="shared" si="0"/>
        <v>-</v>
      </c>
      <c r="M23" s="364" t="str">
        <f t="shared" si="1"/>
        <v>-</v>
      </c>
    </row>
    <row r="24" spans="2:13" x14ac:dyDescent="0.25">
      <c r="B24" s="3"/>
      <c r="C24" s="24"/>
      <c r="D24" s="12" t="str">
        <f>+'Pre-scaling RPM'!G32</f>
        <v>Trimestral</v>
      </c>
      <c r="E24" s="16" t="str">
        <f>+'Pre-scaling RPM'!H32</f>
        <v>€/(kWh/dia)/ano</v>
      </c>
      <c r="F24" s="353">
        <f>+Data_c!F23</f>
        <v>0</v>
      </c>
      <c r="G24" s="353">
        <v>0</v>
      </c>
      <c r="H24" s="353">
        <v>0</v>
      </c>
      <c r="I24" s="359">
        <v>0</v>
      </c>
      <c r="K24" s="365" t="str">
        <f t="shared" si="2"/>
        <v>-</v>
      </c>
      <c r="L24" s="301" t="str">
        <f t="shared" si="0"/>
        <v>-</v>
      </c>
      <c r="M24" s="302" t="str">
        <f t="shared" si="1"/>
        <v>-</v>
      </c>
    </row>
    <row r="25" spans="2:13" x14ac:dyDescent="0.25">
      <c r="B25" s="3"/>
      <c r="C25" s="24"/>
      <c r="D25" s="12" t="str">
        <f>+'Pre-scaling RPM'!G33</f>
        <v>Mensal</v>
      </c>
      <c r="E25" s="16" t="str">
        <f>+'Pre-scaling RPM'!H33</f>
        <v>€/(kWh/dia)/ano</v>
      </c>
      <c r="F25" s="353">
        <f>+Data_c!F24</f>
        <v>0</v>
      </c>
      <c r="G25" s="353">
        <v>0</v>
      </c>
      <c r="H25" s="353">
        <v>0</v>
      </c>
      <c r="I25" s="359">
        <v>0</v>
      </c>
      <c r="K25" s="365" t="str">
        <f t="shared" si="2"/>
        <v>-</v>
      </c>
      <c r="L25" s="301" t="str">
        <f t="shared" si="0"/>
        <v>-</v>
      </c>
      <c r="M25" s="302" t="str">
        <f t="shared" si="1"/>
        <v>-</v>
      </c>
    </row>
    <row r="26" spans="2:13" x14ac:dyDescent="0.25">
      <c r="B26" s="3"/>
      <c r="C26" s="24"/>
      <c r="D26" s="12" t="str">
        <f>+'Pre-scaling RPM'!G34</f>
        <v>Diário</v>
      </c>
      <c r="E26" s="16" t="str">
        <f>+'Pre-scaling RPM'!H34</f>
        <v>€/(kWh/dia)/ano</v>
      </c>
      <c r="F26" s="353">
        <f>+Data_c!F25</f>
        <v>0</v>
      </c>
      <c r="G26" s="353">
        <v>0</v>
      </c>
      <c r="H26" s="353">
        <v>0</v>
      </c>
      <c r="I26" s="359">
        <v>0</v>
      </c>
      <c r="K26" s="365" t="str">
        <f t="shared" si="2"/>
        <v>-</v>
      </c>
      <c r="L26" s="301" t="str">
        <f t="shared" si="0"/>
        <v>-</v>
      </c>
      <c r="M26" s="302" t="str">
        <f t="shared" si="1"/>
        <v>-</v>
      </c>
    </row>
    <row r="27" spans="2:13" ht="15.75" thickBot="1" x14ac:dyDescent="0.3">
      <c r="B27" s="3"/>
      <c r="C27" s="25"/>
      <c r="D27" s="19" t="str">
        <f>+'Pre-scaling RPM'!G35</f>
        <v>Intradiário</v>
      </c>
      <c r="E27" s="18" t="str">
        <f>+'Pre-scaling RPM'!H35</f>
        <v>€/(kWh/h)/ano</v>
      </c>
      <c r="F27" s="356">
        <f>+Data_c!F26</f>
        <v>0</v>
      </c>
      <c r="G27" s="356">
        <v>0</v>
      </c>
      <c r="H27" s="356">
        <v>0</v>
      </c>
      <c r="I27" s="360">
        <v>0</v>
      </c>
      <c r="K27" s="366" t="str">
        <f t="shared" si="2"/>
        <v>-</v>
      </c>
      <c r="L27" s="303" t="str">
        <f t="shared" si="0"/>
        <v>-</v>
      </c>
      <c r="M27" s="304" t="str">
        <f t="shared" si="1"/>
        <v>-</v>
      </c>
    </row>
    <row r="28" spans="2:13" x14ac:dyDescent="0.25">
      <c r="B28" s="3"/>
      <c r="C28" s="23" t="str">
        <f>+'Pre-scaling RPM'!F36</f>
        <v>Armazenamento subterrâneo</v>
      </c>
      <c r="D28" s="14" t="str">
        <f>+'Pre-scaling RPM'!G36</f>
        <v>Diário</v>
      </c>
      <c r="E28" s="49" t="str">
        <f>+'Pre-scaling RPM'!H36</f>
        <v>€/(kWh/dia)/ano</v>
      </c>
      <c r="F28" s="355">
        <f>+Data_c!F27</f>
        <v>0</v>
      </c>
      <c r="G28" s="355">
        <v>0</v>
      </c>
      <c r="H28" s="355">
        <v>0</v>
      </c>
      <c r="I28" s="358">
        <v>0</v>
      </c>
      <c r="K28" s="362" t="str">
        <f t="shared" si="2"/>
        <v>-</v>
      </c>
      <c r="L28" s="363" t="str">
        <f t="shared" si="0"/>
        <v>-</v>
      </c>
      <c r="M28" s="364" t="str">
        <f t="shared" si="1"/>
        <v>-</v>
      </c>
    </row>
    <row r="29" spans="2:13" ht="15.75" thickBot="1" x14ac:dyDescent="0.3">
      <c r="B29" s="3"/>
      <c r="C29" s="25"/>
      <c r="D29" s="19" t="str">
        <f>+'Pre-scaling RPM'!G37</f>
        <v>Intradiário</v>
      </c>
      <c r="E29" s="18" t="str">
        <f>+'Pre-scaling RPM'!H37</f>
        <v>€/(kWh/h)/ano</v>
      </c>
      <c r="F29" s="356">
        <f>+Data_c!F28</f>
        <v>0</v>
      </c>
      <c r="G29" s="356">
        <v>0</v>
      </c>
      <c r="H29" s="356">
        <v>0</v>
      </c>
      <c r="I29" s="360">
        <v>0</v>
      </c>
      <c r="K29" s="366" t="str">
        <f t="shared" si="2"/>
        <v>-</v>
      </c>
      <c r="L29" s="303" t="str">
        <f t="shared" si="0"/>
        <v>-</v>
      </c>
      <c r="M29" s="304" t="str">
        <f t="shared" si="1"/>
        <v>-</v>
      </c>
    </row>
    <row r="30" spans="2:13" ht="15.75" thickBot="1" x14ac:dyDescent="0.3">
      <c r="B30" s="3"/>
      <c r="C30" s="21" t="str">
        <f>+'Pre-scaling RPM'!F38</f>
        <v>Redes de distribuição e Clientes em AP</v>
      </c>
      <c r="D30" s="22" t="str">
        <f>+'Pre-scaling RPM'!G38</f>
        <v>Longas utilizações</v>
      </c>
      <c r="E30" s="21" t="str">
        <f>+'Pre-scaling RPM'!H38</f>
        <v>€/(kWh/dia)/ano</v>
      </c>
      <c r="F30" s="357">
        <f>+Data_c!F29</f>
        <v>0.21097199999999999</v>
      </c>
      <c r="G30" s="357">
        <v>0.19645630588742741</v>
      </c>
      <c r="H30" s="357">
        <v>0.19645630588742741</v>
      </c>
      <c r="I30" s="361">
        <v>0.19645630588742741</v>
      </c>
      <c r="K30" s="367">
        <f t="shared" si="2"/>
        <v>-6.8803889201280666E-2</v>
      </c>
      <c r="L30" s="368">
        <f t="shared" si="0"/>
        <v>0</v>
      </c>
      <c r="M30" s="369">
        <f t="shared" si="1"/>
        <v>0</v>
      </c>
    </row>
    <row r="31" spans="2:13" x14ac:dyDescent="0.25">
      <c r="B31" s="3"/>
      <c r="C31" s="23" t="str">
        <f>+'Pre-scaling RPM'!F39</f>
        <v>Clientes em AP</v>
      </c>
      <c r="D31" s="14" t="str">
        <f>+'Pre-scaling RPM'!G39</f>
        <v>Tarifa flexível anual - capacidade base anual</v>
      </c>
      <c r="E31" s="13" t="str">
        <f>+'Pre-scaling RPM'!H39</f>
        <v>€/(kWh/dia)/ano</v>
      </c>
      <c r="F31" s="355">
        <f>+Data_c!F30</f>
        <v>0.21097199999999999</v>
      </c>
      <c r="G31" s="355">
        <v>0.19645630588742741</v>
      </c>
      <c r="H31" s="355">
        <v>0.19645630588742741</v>
      </c>
      <c r="I31" s="358">
        <v>0.19645630588742741</v>
      </c>
      <c r="K31" s="362">
        <f t="shared" si="2"/>
        <v>-6.8803889201280666E-2</v>
      </c>
      <c r="L31" s="363">
        <f t="shared" si="0"/>
        <v>0</v>
      </c>
      <c r="M31" s="364">
        <f t="shared" si="1"/>
        <v>0</v>
      </c>
    </row>
    <row r="32" spans="2:13" x14ac:dyDescent="0.25">
      <c r="B32" s="3"/>
      <c r="C32" s="24"/>
      <c r="D32" s="12" t="str">
        <f>+'Pre-scaling RPM'!G40</f>
        <v>Tarifa flexível anual - capacidade mensal adicional (abril a setembro)</v>
      </c>
      <c r="E32" s="16" t="str">
        <f>+'Pre-scaling RPM'!H40</f>
        <v>€/(kWh/dia)/ano</v>
      </c>
      <c r="F32" s="353">
        <f>+Data_c!F31</f>
        <v>0.31645199999999996</v>
      </c>
      <c r="G32" s="353">
        <v>0.29468445883114114</v>
      </c>
      <c r="H32" s="353">
        <v>0.29468445883114114</v>
      </c>
      <c r="I32" s="359">
        <v>0.29468445883114114</v>
      </c>
      <c r="K32" s="365">
        <f t="shared" si="2"/>
        <v>-6.8786233516801354E-2</v>
      </c>
      <c r="L32" s="301">
        <f t="shared" si="0"/>
        <v>0</v>
      </c>
      <c r="M32" s="302">
        <f t="shared" si="1"/>
        <v>0</v>
      </c>
    </row>
    <row r="33" spans="2:13" x14ac:dyDescent="0.25">
      <c r="B33" s="3"/>
      <c r="C33" s="24"/>
      <c r="D33" s="12" t="str">
        <f>+'Pre-scaling RPM'!G41</f>
        <v>Tarifa flexível mensal - capacidade mensal (outubro a março)</v>
      </c>
      <c r="E33" s="16" t="str">
        <f>+'Pre-scaling RPM'!H41</f>
        <v>€/(kWh/dia)/ano</v>
      </c>
      <c r="F33" s="353">
        <f>+Data_c!F32</f>
        <v>0.63290399999999991</v>
      </c>
      <c r="G33" s="353">
        <v>0.58936891766228228</v>
      </c>
      <c r="H33" s="353">
        <v>0.58936891766228228</v>
      </c>
      <c r="I33" s="359">
        <v>0.58936891766228228</v>
      </c>
      <c r="K33" s="365">
        <f t="shared" si="2"/>
        <v>-6.8786233516801354E-2</v>
      </c>
      <c r="L33" s="301">
        <f t="shared" si="0"/>
        <v>0</v>
      </c>
      <c r="M33" s="302">
        <f t="shared" si="1"/>
        <v>0</v>
      </c>
    </row>
    <row r="34" spans="2:13" x14ac:dyDescent="0.25">
      <c r="B34" s="3"/>
      <c r="C34" s="24"/>
      <c r="D34" s="12" t="str">
        <f>+'Pre-scaling RPM'!G42</f>
        <v>Tarifa flexível mensal - capacidade mensal (abril a setembro)</v>
      </c>
      <c r="E34" s="16" t="str">
        <f>+'Pre-scaling RPM'!H42</f>
        <v>€/(kWh/dia)/ano</v>
      </c>
      <c r="F34" s="353">
        <f>+Data_c!F33</f>
        <v>0.31645199999999996</v>
      </c>
      <c r="G34" s="353">
        <v>0.29468445883114114</v>
      </c>
      <c r="H34" s="353">
        <v>0.29468445883114114</v>
      </c>
      <c r="I34" s="359">
        <v>0.29468445883114114</v>
      </c>
      <c r="K34" s="365">
        <f t="shared" si="2"/>
        <v>-6.8786233516801354E-2</v>
      </c>
      <c r="L34" s="301">
        <f t="shared" si="0"/>
        <v>0</v>
      </c>
      <c r="M34" s="302">
        <f t="shared" si="1"/>
        <v>0</v>
      </c>
    </row>
    <row r="35" spans="2:13" x14ac:dyDescent="0.25">
      <c r="B35" s="3"/>
      <c r="C35" s="24"/>
      <c r="D35" s="12" t="str">
        <f>+'Pre-scaling RPM'!G43</f>
        <v>Tarifa flexível diária - capacidade diária (outubro a março)</v>
      </c>
      <c r="E35" s="16" t="str">
        <f>+'Pre-scaling RPM'!H43</f>
        <v>€/(kWh/dia)/ano</v>
      </c>
      <c r="F35" s="353">
        <f>+Data_c!F34</f>
        <v>2.1097000000000001</v>
      </c>
      <c r="G35" s="353">
        <v>1.964563058874274</v>
      </c>
      <c r="H35" s="353">
        <v>1.964563058874274</v>
      </c>
      <c r="I35" s="359">
        <v>1.964563058874274</v>
      </c>
      <c r="K35" s="365">
        <f t="shared" si="2"/>
        <v>-6.8795061442729399E-2</v>
      </c>
      <c r="L35" s="301">
        <f t="shared" si="0"/>
        <v>0</v>
      </c>
      <c r="M35" s="302">
        <f t="shared" si="1"/>
        <v>0</v>
      </c>
    </row>
    <row r="36" spans="2:13" ht="15.75" thickBot="1" x14ac:dyDescent="0.3">
      <c r="B36" s="4"/>
      <c r="C36" s="25"/>
      <c r="D36" s="19" t="str">
        <f>+'Pre-scaling RPM'!G44</f>
        <v>Tarifa flexível diária - capacidade diária (abril a setembro)</v>
      </c>
      <c r="E36" s="18" t="str">
        <f>+'Pre-scaling RPM'!H44</f>
        <v>€/(kWh/dia)/ano</v>
      </c>
      <c r="F36" s="356">
        <f>+Data_c!F35</f>
        <v>1.2658200000000002</v>
      </c>
      <c r="G36" s="356">
        <v>1.1787378353245646</v>
      </c>
      <c r="H36" s="356">
        <v>1.1787378353245646</v>
      </c>
      <c r="I36" s="360">
        <v>1.1787378353245646</v>
      </c>
      <c r="K36" s="366">
        <f t="shared" si="2"/>
        <v>-6.8795061442729288E-2</v>
      </c>
      <c r="L36" s="303">
        <f t="shared" si="0"/>
        <v>0</v>
      </c>
      <c r="M36" s="304">
        <f t="shared" si="1"/>
        <v>0</v>
      </c>
    </row>
    <row r="37" spans="2:13" x14ac:dyDescent="0.25"/>
  </sheetData>
  <mergeCells count="2">
    <mergeCell ref="G3:I3"/>
    <mergeCell ref="K3:M3"/>
  </mergeCells>
  <pageMargins left="0.25" right="0.25" top="0.75" bottom="0.75" header="0.3" footer="0.3"/>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78"/>
  <sheetViews>
    <sheetView showGridLines="0" zoomScaleNormal="100" workbookViewId="0">
      <selection activeCell="D26" sqref="D26"/>
    </sheetView>
  </sheetViews>
  <sheetFormatPr defaultColWidth="0" defaultRowHeight="15" zeroHeight="1" x14ac:dyDescent="0.25"/>
  <cols>
    <col min="1" max="1" width="9.140625" customWidth="1"/>
    <col min="2" max="2" width="34.85546875" customWidth="1"/>
    <col min="3" max="3" width="21.28515625" customWidth="1"/>
    <col min="4" max="5" width="14.5703125" customWidth="1"/>
    <col min="6" max="6" width="15.85546875" bestFit="1" customWidth="1"/>
    <col min="7" max="7" width="10.42578125" customWidth="1"/>
    <col min="8" max="16384" width="9.140625" hidden="1"/>
  </cols>
  <sheetData>
    <row r="1" spans="1:7" x14ac:dyDescent="0.25">
      <c r="A1" s="292" t="s">
        <v>147</v>
      </c>
    </row>
    <row r="2" spans="1:7" x14ac:dyDescent="0.25">
      <c r="A2" s="308" t="s">
        <v>148</v>
      </c>
    </row>
    <row r="3" spans="1:7" x14ac:dyDescent="0.25">
      <c r="D3" s="256"/>
      <c r="F3" s="256"/>
    </row>
    <row r="4" spans="1:7" ht="15.75" thickBot="1" x14ac:dyDescent="0.3">
      <c r="A4" s="292" t="s">
        <v>287</v>
      </c>
    </row>
    <row r="5" spans="1:7" ht="15.75" thickBot="1" x14ac:dyDescent="0.3">
      <c r="B5" s="280"/>
      <c r="C5" s="281"/>
      <c r="D5" s="282" t="str">
        <f>+CWDvsRPM!C3</f>
        <v>CWD</v>
      </c>
      <c r="E5" s="282" t="str">
        <f>+CWDvsRPM!D3</f>
        <v>CWD 28/72</v>
      </c>
      <c r="F5" s="283" t="str">
        <f>+CWDvsRPM!E3</f>
        <v>CWD modificada</v>
      </c>
    </row>
    <row r="6" spans="1:7" x14ac:dyDescent="0.25">
      <c r="B6" s="284" t="s">
        <v>176</v>
      </c>
      <c r="C6" s="285"/>
      <c r="D6" s="285"/>
      <c r="E6" s="285"/>
      <c r="F6" s="286"/>
    </row>
    <row r="7" spans="1:7" x14ac:dyDescent="0.25">
      <c r="B7" s="16" t="s">
        <v>178</v>
      </c>
      <c r="C7" s="12" t="s">
        <v>180</v>
      </c>
      <c r="D7" s="315">
        <f>'RPM inputs'!$E$22/1000000-D8</f>
        <v>92.734720935596286</v>
      </c>
      <c r="E7" s="315">
        <f>'RPM inputs'!$E$22/1000000-E8</f>
        <v>92.736035869197053</v>
      </c>
      <c r="F7" s="316">
        <f>'RPM inputs'!$E$22/1000000-F8</f>
        <v>92.803422322183096</v>
      </c>
      <c r="G7" s="307"/>
    </row>
    <row r="8" spans="1:7" ht="15.75" thickBot="1" x14ac:dyDescent="0.3">
      <c r="B8" s="18" t="s">
        <v>177</v>
      </c>
      <c r="C8" s="19" t="str">
        <f>+C7</f>
        <v>milhões €</v>
      </c>
      <c r="D8" s="317">
        <f>(SUMPRODUCT('Reference prices CWD'!$F$17:$F$21,'Reference prices CWD'!$G$17:$G$21,'Reference prices CWD'!$R$17:$R$21)/12+SUMPRODUCT('Reference prices CWD'!$F$17:$F$21,'Reference prices CWD'!$G$17:$G$21,'Reference prices CWD'!$R$10:$R$14)/12)/1000000</f>
        <v>0.10527906440372058</v>
      </c>
      <c r="E8" s="317">
        <f>(SUMPRODUCT('Reference prices CWD 28-72'!$F$17:$F$21,'Reference prices CWD 28-72'!$G$17:$G$21,'Reference prices CWD 28-72'!$R$17:$R$21)/12+SUMPRODUCT('Reference prices CWD 28-72'!$F$17:$F$21,'Reference prices CWD 28-72'!$G$17:$G$21,'Reference prices CWD 28-72'!$R$10:$R$14)/12)/1000000</f>
        <v>0.10396413080295425</v>
      </c>
      <c r="F8" s="318">
        <f>(SUMPRODUCT('Reference prices RPM'!$F$17:$F$21,'Reference prices RPM'!$G$17:$G$21,'Reference prices RPM'!$R$17:$R$21)/12+SUMPRODUCT('Reference prices RPM'!$F$17:$F$21,'Reference prices RPM'!$G$17:$G$21,'Reference prices RPM'!$R$10:$R$14)/12)/1000000</f>
        <v>3.6577677816909515E-2</v>
      </c>
      <c r="G8" s="307"/>
    </row>
    <row r="9" spans="1:7" x14ac:dyDescent="0.25">
      <c r="B9" s="284" t="s">
        <v>299</v>
      </c>
      <c r="C9" s="285"/>
      <c r="D9" s="285"/>
      <c r="E9" s="285"/>
      <c r="F9" s="286"/>
    </row>
    <row r="10" spans="1:7" x14ac:dyDescent="0.25">
      <c r="B10" s="16" t="s">
        <v>178</v>
      </c>
      <c r="C10" s="12" t="s">
        <v>181</v>
      </c>
      <c r="D10" s="298">
        <f>AVERAGE(SUMPRODUCT('Reference prices RPM'!$F$5:$F$16,'Reference prices RPM'!$G$5:$G$16)/12,SUMPRODUCT('Reference prices RPM'!$F$17:$F$35,'Reference prices RPM'!$G$17:$G$35)/12)/1000000-D11</f>
        <v>249.55383356064877</v>
      </c>
      <c r="E10" s="298">
        <f>+$D10</f>
        <v>249.55383356064877</v>
      </c>
      <c r="F10" s="299">
        <f t="shared" ref="F10:F11" si="0">+$D10</f>
        <v>249.55383356064877</v>
      </c>
      <c r="G10" s="307"/>
    </row>
    <row r="11" spans="1:7" ht="15.75" thickBot="1" x14ac:dyDescent="0.3">
      <c r="B11" s="18" t="s">
        <v>177</v>
      </c>
      <c r="C11" s="19" t="str">
        <f>+C10</f>
        <v>GWh/dia</v>
      </c>
      <c r="D11" s="297">
        <f>'Reference prices RPM'!$G$20/1000000</f>
        <v>0.13510935129781421</v>
      </c>
      <c r="E11" s="297">
        <f t="shared" ref="E11" si="1">+$D11</f>
        <v>0.13510935129781421</v>
      </c>
      <c r="F11" s="300">
        <f t="shared" si="0"/>
        <v>0.13510935129781421</v>
      </c>
      <c r="G11" s="307"/>
    </row>
    <row r="12" spans="1:7" x14ac:dyDescent="0.25">
      <c r="B12" s="284" t="s">
        <v>300</v>
      </c>
      <c r="C12" s="285"/>
      <c r="D12" s="285"/>
      <c r="E12" s="285"/>
      <c r="F12" s="286"/>
    </row>
    <row r="13" spans="1:7" x14ac:dyDescent="0.25">
      <c r="B13" s="16" t="s">
        <v>178</v>
      </c>
      <c r="C13" s="12" t="s">
        <v>298</v>
      </c>
      <c r="D13" s="293">
        <f>D7/D10</f>
        <v>0.37160206923072203</v>
      </c>
      <c r="E13" s="293">
        <f t="shared" ref="E13:F13" si="2">E7/E10</f>
        <v>0.37160733836877535</v>
      </c>
      <c r="F13" s="294">
        <f t="shared" si="2"/>
        <v>0.37187736608994704</v>
      </c>
    </row>
    <row r="14" spans="1:7" ht="15.75" thickBot="1" x14ac:dyDescent="0.3">
      <c r="B14" s="18" t="s">
        <v>177</v>
      </c>
      <c r="C14" s="19" t="str">
        <f>+C13</f>
        <v>milhões € ÷ (GWh/dia)</v>
      </c>
      <c r="D14" s="295">
        <f>IFERROR(D8/D11,"-")</f>
        <v>0.77921375087990508</v>
      </c>
      <c r="E14" s="295">
        <f t="shared" ref="E14:F14" si="3">IFERROR(E8/E11,"-")</f>
        <v>0.76948138529502486</v>
      </c>
      <c r="F14" s="305">
        <f t="shared" si="3"/>
        <v>0.27072647056296884</v>
      </c>
    </row>
    <row r="15" spans="1:7" x14ac:dyDescent="0.25">
      <c r="B15" s="287"/>
      <c r="C15" s="288"/>
      <c r="D15" s="288"/>
      <c r="E15" s="288"/>
      <c r="F15" s="291"/>
    </row>
    <row r="16" spans="1:7" x14ac:dyDescent="0.25">
      <c r="B16" s="289" t="s">
        <v>179</v>
      </c>
      <c r="C16" s="290"/>
      <c r="D16" s="309">
        <f>IF(D14="-",0,2*(D13-D14)/(D13+D14))</f>
        <v>-0.70838734491849376</v>
      </c>
      <c r="E16" s="309">
        <f>IF(E14="-",0,2*(E13-E14)/(E13+E14))</f>
        <v>-0.69735865174227307</v>
      </c>
      <c r="F16" s="310">
        <f>IF(F14="-",0,2*(F13-F14)/(F13+F14))</f>
        <v>0.31481572240164502</v>
      </c>
    </row>
    <row r="17" spans="1:7" ht="15.75" thickBot="1" x14ac:dyDescent="0.3">
      <c r="B17" s="311"/>
      <c r="C17" s="312"/>
      <c r="D17" s="313"/>
      <c r="E17" s="313"/>
      <c r="F17" s="314"/>
    </row>
    <row r="18" spans="1:7" x14ac:dyDescent="0.25"/>
    <row r="19" spans="1:7" ht="15.75" thickBot="1" x14ac:dyDescent="0.3">
      <c r="A19" s="292" t="s">
        <v>288</v>
      </c>
    </row>
    <row r="20" spans="1:7" ht="15.75" thickBot="1" x14ac:dyDescent="0.3">
      <c r="B20" s="280"/>
      <c r="C20" s="281"/>
      <c r="D20" s="282" t="str">
        <f>+D5</f>
        <v>CWD</v>
      </c>
      <c r="E20" s="282" t="str">
        <f>+E5</f>
        <v>CWD 28/72</v>
      </c>
      <c r="F20" s="283" t="str">
        <f>+F5</f>
        <v>CWD modificada</v>
      </c>
    </row>
    <row r="21" spans="1:7" x14ac:dyDescent="0.25">
      <c r="B21" s="284" t="str">
        <f>+B6</f>
        <v>Receitas</v>
      </c>
      <c r="C21" s="285"/>
      <c r="D21" s="285"/>
      <c r="E21" s="285"/>
      <c r="F21" s="286"/>
    </row>
    <row r="22" spans="1:7" x14ac:dyDescent="0.25">
      <c r="B22" s="16" t="str">
        <f t="shared" ref="B22:C22" si="4">+B7</f>
        <v>Intrasistema</v>
      </c>
      <c r="C22" s="12" t="str">
        <f t="shared" si="4"/>
        <v>milhões €</v>
      </c>
      <c r="D22" s="315">
        <f t="shared" ref="D22:F22" si="5">+D7</f>
        <v>92.734720935596286</v>
      </c>
      <c r="E22" s="315">
        <f t="shared" si="5"/>
        <v>92.736035869197053</v>
      </c>
      <c r="F22" s="316">
        <f t="shared" si="5"/>
        <v>92.803422322183096</v>
      </c>
    </row>
    <row r="23" spans="1:7" ht="15.75" thickBot="1" x14ac:dyDescent="0.3">
      <c r="B23" s="18" t="str">
        <f t="shared" ref="B23:F23" si="6">+B8</f>
        <v>Intersistema</v>
      </c>
      <c r="C23" s="19" t="str">
        <f t="shared" si="6"/>
        <v>milhões €</v>
      </c>
      <c r="D23" s="317">
        <f t="shared" si="6"/>
        <v>0.10527906440372058</v>
      </c>
      <c r="E23" s="317">
        <f t="shared" si="6"/>
        <v>0.10396413080295425</v>
      </c>
      <c r="F23" s="318">
        <f t="shared" si="6"/>
        <v>3.6577677816909515E-2</v>
      </c>
    </row>
    <row r="24" spans="1:7" x14ac:dyDescent="0.25">
      <c r="B24" s="284" t="s">
        <v>301</v>
      </c>
      <c r="C24" s="285"/>
      <c r="D24" s="285"/>
      <c r="E24" s="285"/>
      <c r="F24" s="286"/>
    </row>
    <row r="25" spans="1:7" x14ac:dyDescent="0.25">
      <c r="B25" s="16" t="str">
        <f t="shared" ref="B25:C25" si="7">+B10</f>
        <v>Intrasistema</v>
      </c>
      <c r="C25" s="12" t="str">
        <f t="shared" si="7"/>
        <v>GWh/dia</v>
      </c>
      <c r="D25" s="298">
        <f>AVERAGE(SUMPRODUCT('RPM inputs'!$E$4:$E$7,'RPM inputs'!$F$4:$F$7),SUMPRODUCT('RPM inputs'!$E$8:$E$18,'RPM inputs'!$F$8:$F$18))/1000000-D26</f>
        <v>176.64139387884194</v>
      </c>
      <c r="E25" s="298">
        <f>+$D25</f>
        <v>176.64139387884194</v>
      </c>
      <c r="F25" s="299">
        <f t="shared" ref="F25:F26" si="8">+$D25</f>
        <v>176.64139387884194</v>
      </c>
      <c r="G25" s="307"/>
    </row>
    <row r="26" spans="1:7" ht="15.75" thickBot="1" x14ac:dyDescent="0.3">
      <c r="B26" s="18" t="str">
        <f t="shared" ref="B26:C26" si="9">+B11</f>
        <v>Intersistema</v>
      </c>
      <c r="C26" s="19" t="str">
        <f t="shared" si="9"/>
        <v>GWh/dia</v>
      </c>
      <c r="D26" s="296">
        <f>AVERAGE(SUMPRODUCT('RPM inputs'!$E$8:$E$9,'RPM inputs'!$F$8:$F$9),SUM('RPM inputs'!$E$8:$E$9)*'RPM inputs'!F6)/1000000</f>
        <v>6.4925757486761021E-2</v>
      </c>
      <c r="E26" s="296">
        <f t="shared" ref="E26" si="10">+$D26</f>
        <v>6.4925757486761021E-2</v>
      </c>
      <c r="F26" s="306">
        <f t="shared" si="8"/>
        <v>6.4925757486761021E-2</v>
      </c>
      <c r="G26" s="307"/>
    </row>
    <row r="27" spans="1:7" x14ac:dyDescent="0.25">
      <c r="B27" s="284" t="str">
        <f>+B12</f>
        <v>Rácio = Receitas ÷ Fator de custo</v>
      </c>
      <c r="C27" s="285"/>
      <c r="D27" s="285"/>
      <c r="E27" s="285"/>
      <c r="F27" s="286"/>
    </row>
    <row r="28" spans="1:7" x14ac:dyDescent="0.25">
      <c r="B28" s="16" t="str">
        <f t="shared" ref="B28:C28" si="11">+B13</f>
        <v>Intrasistema</v>
      </c>
      <c r="C28" s="12" t="str">
        <f t="shared" si="11"/>
        <v>milhões € ÷ (GWh/dia)</v>
      </c>
      <c r="D28" s="293">
        <f>D22/D25</f>
        <v>0.5249886161971915</v>
      </c>
      <c r="E28" s="293">
        <f t="shared" ref="E28:F28" si="12">E22/E25</f>
        <v>0.52499606028247581</v>
      </c>
      <c r="F28" s="294">
        <f t="shared" si="12"/>
        <v>0.52537754760833022</v>
      </c>
    </row>
    <row r="29" spans="1:7" ht="15.75" thickBot="1" x14ac:dyDescent="0.3">
      <c r="B29" s="18" t="str">
        <f t="shared" ref="B29:C31" si="13">+B14</f>
        <v>Intersistema</v>
      </c>
      <c r="C29" s="19" t="str">
        <f t="shared" si="13"/>
        <v>milhões € ÷ (GWh/dia)</v>
      </c>
      <c r="D29" s="295">
        <f>IFERROR(D23/D26,"-")</f>
        <v>1.6215300133415922</v>
      </c>
      <c r="E29" s="295">
        <f t="shared" ref="E29:F29" si="14">IFERROR(E23/E26,"-")</f>
        <v>1.6012771329491768</v>
      </c>
      <c r="F29" s="305">
        <f t="shared" si="14"/>
        <v>0.56337698985442031</v>
      </c>
    </row>
    <row r="30" spans="1:7" x14ac:dyDescent="0.25">
      <c r="B30" s="287"/>
      <c r="C30" s="288"/>
      <c r="D30" s="288"/>
      <c r="E30" s="288"/>
      <c r="F30" s="291"/>
    </row>
    <row r="31" spans="1:7" x14ac:dyDescent="0.25">
      <c r="B31" s="289" t="str">
        <f t="shared" si="13"/>
        <v>Índice de comparação da imputação de custos de capacidade</v>
      </c>
      <c r="C31" s="290"/>
      <c r="D31" s="309">
        <f>IF(D29="-",0,2*(D28-D29)/(D28+D29))</f>
        <v>-1.0216928770657923</v>
      </c>
      <c r="E31" s="309">
        <f>IF(E29="-",0,2*(E28-E29)/(E28+E29))</f>
        <v>-1.012363863771331</v>
      </c>
      <c r="F31" s="310">
        <f>IF(F29="-",0,2*(F28-F29)/(F28+F29))</f>
        <v>-6.9803506554644623E-2</v>
      </c>
    </row>
    <row r="32" spans="1:7" ht="15.75" thickBot="1" x14ac:dyDescent="0.3">
      <c r="B32" s="311"/>
      <c r="C32" s="312"/>
      <c r="D32" s="313"/>
      <c r="E32" s="313"/>
      <c r="F32" s="314"/>
    </row>
    <row r="33" x14ac:dyDescent="0.25"/>
    <row r="34"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sheetData>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W26"/>
  <sheetViews>
    <sheetView showGridLines="0" zoomScale="90" zoomScaleNormal="90" workbookViewId="0">
      <selection activeCell="P4" sqref="P4"/>
    </sheetView>
  </sheetViews>
  <sheetFormatPr defaultColWidth="0" defaultRowHeight="15" customHeight="1" zeroHeight="1" x14ac:dyDescent="0.25"/>
  <cols>
    <col min="1" max="1" width="3.42578125" customWidth="1"/>
    <col min="2" max="2" width="9.140625" customWidth="1"/>
    <col min="3" max="13" width="11.28515625" customWidth="1"/>
    <col min="14" max="14" width="2.85546875" customWidth="1"/>
    <col min="15" max="15" width="4" customWidth="1"/>
    <col min="16" max="16" width="12.28515625" customWidth="1"/>
    <col min="17" max="19" width="11" customWidth="1"/>
    <col min="20" max="20" width="4.140625" customWidth="1"/>
    <col min="21" max="21" width="9.140625" customWidth="1"/>
    <col min="22" max="22" width="1.7109375" bestFit="1" customWidth="1"/>
    <col min="23" max="23" width="90.85546875" bestFit="1" customWidth="1"/>
    <col min="24" max="16384" width="9.140625" hidden="1"/>
  </cols>
  <sheetData>
    <row r="1" spans="2:23" ht="15" customHeight="1" x14ac:dyDescent="0.25"/>
    <row r="2" spans="2:23" x14ac:dyDescent="0.25">
      <c r="B2" s="113" t="str">
        <f>+RPM!B2</f>
        <v>Matriz de distâncias</v>
      </c>
      <c r="C2" s="114"/>
      <c r="D2" s="114"/>
      <c r="E2" s="114"/>
      <c r="F2" s="114"/>
      <c r="G2" s="114"/>
      <c r="H2" s="114"/>
      <c r="I2" s="114"/>
      <c r="J2" s="114"/>
      <c r="K2" s="114"/>
      <c r="L2" s="114"/>
      <c r="M2" s="115"/>
      <c r="N2" s="56"/>
      <c r="O2" s="56"/>
      <c r="P2" s="195" t="str">
        <f>+RPM!P16</f>
        <v>Preços pré-equalização por ponto de entrada</v>
      </c>
      <c r="Q2" s="114"/>
      <c r="R2" s="114"/>
      <c r="S2" s="115"/>
    </row>
    <row r="3" spans="2:23" ht="18" x14ac:dyDescent="0.35">
      <c r="B3" s="116" t="s">
        <v>29</v>
      </c>
      <c r="C3" s="31" t="s">
        <v>30</v>
      </c>
      <c r="D3" s="31" t="s">
        <v>31</v>
      </c>
      <c r="E3" s="31" t="s">
        <v>32</v>
      </c>
      <c r="F3" s="31" t="s">
        <v>33</v>
      </c>
      <c r="G3" s="31" t="s">
        <v>34</v>
      </c>
      <c r="H3" s="31" t="s">
        <v>35</v>
      </c>
      <c r="I3" s="31" t="s">
        <v>36</v>
      </c>
      <c r="J3" s="31" t="s">
        <v>37</v>
      </c>
      <c r="K3" s="31" t="s">
        <v>38</v>
      </c>
      <c r="L3" s="31" t="s">
        <v>39</v>
      </c>
      <c r="M3" s="31" t="s">
        <v>40</v>
      </c>
      <c r="N3" s="56"/>
      <c r="O3" s="56"/>
      <c r="P3" s="407" t="s">
        <v>235</v>
      </c>
      <c r="Q3" s="407" t="s">
        <v>238</v>
      </c>
      <c r="R3" s="407" t="s">
        <v>239</v>
      </c>
      <c r="S3" s="407" t="s">
        <v>240</v>
      </c>
    </row>
    <row r="4" spans="2:23" x14ac:dyDescent="0.25">
      <c r="B4" s="29" t="s">
        <v>30</v>
      </c>
      <c r="C4" s="33">
        <f>INDEX(Data_d!$F$27:$F$70,MATCH($B4&amp;C$3,Data_d!$E$27:$E$70,0))</f>
        <v>0</v>
      </c>
      <c r="D4" s="33">
        <f>INDEX(Data_d!$F$27:$F$70,MATCH($B4&amp;D$3,Data_d!$E$27:$E$70,0))</f>
        <v>509.03899999999999</v>
      </c>
      <c r="E4" s="33">
        <f>INDEX(Data_d!$F$27:$F$70,MATCH($B4&amp;E$3,Data_d!$E$27:$E$70,0))</f>
        <v>481.84000000000003</v>
      </c>
      <c r="F4" s="33">
        <f>INDEX(Data_d!$F$27:$F$70,MATCH($B4&amp;F$3,Data_d!$E$27:$E$70,0))</f>
        <v>254.26299999999998</v>
      </c>
      <c r="G4" s="33">
        <f>INDEX(Data_d!$F$27:$F$70,MATCH($B4&amp;G$3,Data_d!$E$27:$E$70,0))</f>
        <v>416.85699999999997</v>
      </c>
      <c r="H4" s="33">
        <f>INDEX(Data_d!$F$27:$F$70,MATCH($B4&amp;H$3,Data_d!$E$27:$E$70,0))</f>
        <v>434.01900000000001</v>
      </c>
      <c r="I4" s="33">
        <f>INDEX(Data_d!$F$27:$F$70,MATCH($B4&amp;I$3,Data_d!$E$27:$E$70,0))</f>
        <v>290.23699999999997</v>
      </c>
      <c r="J4" s="33">
        <f>INDEX(Data_d!$F$27:$F$70,MATCH($B4&amp;J$3,Data_d!$E$27:$E$70,0))</f>
        <v>148.19899999999998</v>
      </c>
      <c r="K4" s="33">
        <f>INDEX(Data_d!$F$27:$F$70,MATCH($B4&amp;K$3,Data_d!$E$27:$E$70,0))</f>
        <v>477.80899999999997</v>
      </c>
      <c r="L4" s="33">
        <f>INDEX(Data_d!$F$27:$F$70,MATCH($B4&amp;L$3,Data_d!$E$27:$E$70,0))</f>
        <v>441.00900000000001</v>
      </c>
      <c r="M4" s="33">
        <f>INDEX(Data_d!$F$27:$F$70,MATCH($B4&amp;M$3,Data_d!$E$27:$E$70,0))</f>
        <v>274.86</v>
      </c>
      <c r="N4" s="56"/>
      <c r="O4" s="29" t="s">
        <v>30</v>
      </c>
      <c r="P4" s="148">
        <f>+'RPM inputs'!E4</f>
        <v>114322488.9063724</v>
      </c>
      <c r="Q4" s="35">
        <f>SUMPRODUCT(C$11:M$11,C4:M4)/SUMIFS(C$11:M$11,C4:M4,"&gt;0")</f>
        <v>360.03023871569019</v>
      </c>
      <c r="R4" s="36">
        <f>P4*Q4/SUMPRODUCT(P$4:P$7,Q$4:Q$7)</f>
        <v>0.58055901686897315</v>
      </c>
      <c r="S4" s="39">
        <f>IF(P4=0,0,0.5*R4*'RPM inputs'!$E$22/P4)</f>
        <v>0.23573270509469771</v>
      </c>
    </row>
    <row r="5" spans="2:23" x14ac:dyDescent="0.25">
      <c r="B5" s="29" t="s">
        <v>31</v>
      </c>
      <c r="C5" s="33">
        <f>INDEX(Data_d!$F$27:$F$70,MATCH($B5&amp;C$3,Data_d!$E$27:$E$70,0))</f>
        <v>509.03899999999999</v>
      </c>
      <c r="D5" s="33">
        <f>INDEX(Data_d!$F$27:$F$70,MATCH($B5&amp;D$3,Data_d!$E$27:$E$70,0))</f>
        <v>0</v>
      </c>
      <c r="E5" s="33">
        <f>INDEX(Data_d!$F$27:$F$70,MATCH($B5&amp;E$3,Data_d!$E$27:$E$70,0))</f>
        <v>549.45300000000009</v>
      </c>
      <c r="F5" s="33">
        <f>INDEX(Data_d!$F$27:$F$70,MATCH($B5&amp;F$3,Data_d!$E$27:$E$70,0))</f>
        <v>321.87600000000003</v>
      </c>
      <c r="G5" s="33">
        <f>INDEX(Data_d!$F$27:$F$70,MATCH($B5&amp;G$3,Data_d!$E$27:$E$70,0))</f>
        <v>484.47</v>
      </c>
      <c r="H5" s="33">
        <f>INDEX(Data_d!$F$27:$F$70,MATCH($B5&amp;H$3,Data_d!$E$27:$E$70,0))</f>
        <v>190.702</v>
      </c>
      <c r="I5" s="33">
        <f>INDEX(Data_d!$F$27:$F$70,MATCH($B5&amp;I$3,Data_d!$E$27:$E$70,0))</f>
        <v>357.85</v>
      </c>
      <c r="J5" s="33">
        <f>INDEX(Data_d!$F$27:$F$70,MATCH($B5&amp;J$3,Data_d!$E$27:$E$70,0))</f>
        <v>370.96000000000004</v>
      </c>
      <c r="K5" s="33">
        <f>INDEX(Data_d!$F$27:$F$70,MATCH($B5&amp;K$3,Data_d!$E$27:$E$70,0))</f>
        <v>71.706000000000003</v>
      </c>
      <c r="L5" s="33">
        <f>INDEX(Data_d!$F$27:$F$70,MATCH($B5&amp;L$3,Data_d!$E$27:$E$70,0))</f>
        <v>508.62200000000007</v>
      </c>
      <c r="M5" s="33">
        <f>INDEX(Data_d!$F$27:$F$70,MATCH($B5&amp;M$3,Data_d!$E$27:$E$70,0))</f>
        <v>334.01</v>
      </c>
      <c r="N5" s="56"/>
      <c r="O5" s="29" t="s">
        <v>31</v>
      </c>
      <c r="P5" s="148">
        <f>+'RPM inputs'!E5</f>
        <v>8531529.0228636116</v>
      </c>
      <c r="Q5" s="35">
        <f>SUMPRODUCT(C$11:M$11,C5:M5)/SUMIFS(C$11:M$11,C5:M5,"&gt;0")</f>
        <v>353.51138321253558</v>
      </c>
      <c r="R5" s="36">
        <f>P5*Q5/SUMPRODUCT(P$4:P$7,Q$4:Q$7)</f>
        <v>4.2540834078639227E-2</v>
      </c>
      <c r="S5" s="39">
        <f>IF(P5=0,0,0.5*R5*'RPM inputs'!$E$22/P5)</f>
        <v>0.23146443183142437</v>
      </c>
    </row>
    <row r="6" spans="2:23" x14ac:dyDescent="0.25">
      <c r="B6" s="29" t="s">
        <v>32</v>
      </c>
      <c r="C6" s="33">
        <f>INDEX(Data_d!$F$27:$F$70,MATCH($B6&amp;C$3,Data_d!$E$27:$E$70,0))</f>
        <v>481.84000000000003</v>
      </c>
      <c r="D6" s="33">
        <f>INDEX(Data_d!$F$27:$F$70,MATCH($B6&amp;D$3,Data_d!$E$27:$E$70,0))</f>
        <v>549.45300000000009</v>
      </c>
      <c r="E6" s="33">
        <f>INDEX(Data_d!$F$27:$F$70,MATCH($B6&amp;E$3,Data_d!$E$27:$E$70,0))</f>
        <v>0</v>
      </c>
      <c r="F6" s="33">
        <f>INDEX(Data_d!$F$27:$F$70,MATCH($B6&amp;F$3,Data_d!$E$27:$E$70,0))</f>
        <v>294.67700000000002</v>
      </c>
      <c r="G6" s="33">
        <f>INDEX(Data_d!$F$27:$F$70,MATCH($B6&amp;G$3,Data_d!$E$27:$E$70,0))</f>
        <v>276.803</v>
      </c>
      <c r="H6" s="33">
        <f>INDEX(Data_d!$F$27:$F$70,MATCH($B6&amp;H$3,Data_d!$E$27:$E$70,0))</f>
        <v>474.43299999999999</v>
      </c>
      <c r="I6" s="33">
        <f>INDEX(Data_d!$F$27:$F$70,MATCH($B6&amp;I$3,Data_d!$E$27:$E$70,0))</f>
        <v>330.65100000000001</v>
      </c>
      <c r="J6" s="33">
        <f>INDEX(Data_d!$F$27:$F$70,MATCH($B6&amp;J$3,Data_d!$E$27:$E$70,0))</f>
        <v>343.76099999999997</v>
      </c>
      <c r="K6" s="33">
        <f>INDEX(Data_d!$F$27:$F$70,MATCH($B6&amp;K$3,Data_d!$E$27:$E$70,0))</f>
        <v>518.22300000000007</v>
      </c>
      <c r="L6" s="33">
        <f>INDEX(Data_d!$F$27:$F$70,MATCH($B6&amp;L$3,Data_d!$E$27:$E$70,0))</f>
        <v>51.051000000000002</v>
      </c>
      <c r="M6" s="33">
        <f>INDEX(Data_d!$F$27:$F$70,MATCH($B6&amp;M$3,Data_d!$E$27:$E$70,0))</f>
        <v>462.79100000000005</v>
      </c>
      <c r="N6" s="56"/>
      <c r="O6" s="29" t="s">
        <v>32</v>
      </c>
      <c r="P6" s="148">
        <f>+'RPM inputs'!E6</f>
        <v>77226360.38040866</v>
      </c>
      <c r="Q6" s="35">
        <f>SUMPRODUCT(C$11:M$11,C6:M6)/SUMIFS(C$11:M$11,C6:M6,"&gt;0")</f>
        <v>334.6828592008473</v>
      </c>
      <c r="R6" s="36">
        <f>P6*Q6/SUMPRODUCT(P$4:P$7,Q$4:Q$7)</f>
        <v>0.36456482476020119</v>
      </c>
      <c r="S6" s="39">
        <f>IF(P6=0,0,0.5*R6*'RPM inputs'!$E$22/P6)</f>
        <v>0.21913630374404791</v>
      </c>
    </row>
    <row r="7" spans="2:23" x14ac:dyDescent="0.25">
      <c r="B7" s="29" t="s">
        <v>33</v>
      </c>
      <c r="C7" s="33">
        <f>INDEX(Data_d!$F$27:$F$70,MATCH($B7&amp;C$3,Data_d!$E$27:$E$70,0))</f>
        <v>254.26299999999998</v>
      </c>
      <c r="D7" s="33">
        <f>INDEX(Data_d!$F$27:$F$70,MATCH($B7&amp;D$3,Data_d!$E$27:$E$70,0))</f>
        <v>321.87600000000003</v>
      </c>
      <c r="E7" s="33">
        <f>INDEX(Data_d!$F$27:$F$70,MATCH($B7&amp;E$3,Data_d!$E$27:$E$70,0))</f>
        <v>294.67700000000002</v>
      </c>
      <c r="F7" s="33">
        <f>INDEX(Data_d!$F$27:$F$70,MATCH($B7&amp;F$3,Data_d!$E$27:$E$70,0))</f>
        <v>0</v>
      </c>
      <c r="G7" s="33">
        <f>INDEX(Data_d!$F$27:$F$70,MATCH($B7&amp;G$3,Data_d!$E$27:$E$70,0))</f>
        <v>229.69400000000002</v>
      </c>
      <c r="H7" s="33">
        <f>INDEX(Data_d!$F$27:$F$70,MATCH($B7&amp;H$3,Data_d!$E$27:$E$70,0))</f>
        <v>246.85599999999999</v>
      </c>
      <c r="I7" s="33">
        <f>INDEX(Data_d!$F$27:$F$70,MATCH($B7&amp;I$3,Data_d!$E$27:$E$70,0))</f>
        <v>35.974000000000004</v>
      </c>
      <c r="J7" s="33">
        <f>INDEX(Data_d!$F$27:$F$70,MATCH($B7&amp;J$3,Data_d!$E$27:$E$70,0))</f>
        <v>116.184</v>
      </c>
      <c r="K7" s="33">
        <f>INDEX(Data_d!$F$27:$F$70,MATCH($B7&amp;K$3,Data_d!$E$27:$E$70,0))</f>
        <v>290.64600000000002</v>
      </c>
      <c r="L7" s="33">
        <f>INDEX(Data_d!$F$27:$F$70,MATCH($B7&amp;L$3,Data_d!$E$27:$E$70,0))</f>
        <v>253.846</v>
      </c>
      <c r="M7" s="33">
        <f>INDEX(Data_d!$F$27:$F$70,MATCH($B7&amp;M$3,Data_d!$E$27:$E$70,0))</f>
        <v>235.214</v>
      </c>
      <c r="N7" s="56"/>
      <c r="O7" s="29" t="s">
        <v>33</v>
      </c>
      <c r="P7" s="148">
        <f>+'RPM inputs'!E7</f>
        <v>4894243.642328768</v>
      </c>
      <c r="Q7" s="35">
        <f>SUMPRODUCT(C$11:M$11,C7:M7)/SUMIFS(C$11:M$11,C7:M7,"&gt;0")</f>
        <v>178.68547903529193</v>
      </c>
      <c r="R7" s="36">
        <f>P7*Q7/SUMPRODUCT(P$4:P$7,Q$4:Q$7)</f>
        <v>1.2335324292186393E-2</v>
      </c>
      <c r="S7" s="39">
        <f>IF(P7=0,0,0.5*R7*'RPM inputs'!$E$22/P7)</f>
        <v>0.11699575981281479</v>
      </c>
    </row>
    <row r="8" spans="2:23" x14ac:dyDescent="0.25">
      <c r="N8" s="56"/>
      <c r="O8" s="56"/>
      <c r="P8" s="56"/>
      <c r="Q8" s="56"/>
      <c r="R8" s="56"/>
      <c r="S8" s="56"/>
    </row>
    <row r="9" spans="2:23" x14ac:dyDescent="0.25">
      <c r="B9" s="113" t="str">
        <f>+RPM!B23</f>
        <v>Preços pré-equalização por ponto de saída</v>
      </c>
      <c r="C9" s="114"/>
      <c r="D9" s="114"/>
      <c r="E9" s="114"/>
      <c r="F9" s="114"/>
      <c r="G9" s="114"/>
      <c r="H9" s="114"/>
      <c r="I9" s="114"/>
      <c r="J9" s="114"/>
      <c r="K9" s="114"/>
      <c r="L9" s="114"/>
      <c r="M9" s="115"/>
      <c r="N9" s="56"/>
      <c r="O9" s="56"/>
      <c r="P9" s="56"/>
      <c r="Q9" s="56"/>
      <c r="R9" s="56"/>
      <c r="S9" s="56"/>
    </row>
    <row r="10" spans="2:23" x14ac:dyDescent="0.25">
      <c r="B10" s="116"/>
      <c r="C10" s="31" t="s">
        <v>30</v>
      </c>
      <c r="D10" s="31" t="s">
        <v>31</v>
      </c>
      <c r="E10" s="31" t="s">
        <v>32</v>
      </c>
      <c r="F10" s="31" t="s">
        <v>33</v>
      </c>
      <c r="G10" s="31" t="s">
        <v>34</v>
      </c>
      <c r="H10" s="31" t="s">
        <v>35</v>
      </c>
      <c r="I10" s="31" t="s">
        <v>36</v>
      </c>
      <c r="J10" s="31" t="s">
        <v>37</v>
      </c>
      <c r="K10" s="31" t="s">
        <v>38</v>
      </c>
      <c r="L10" s="31" t="s">
        <v>39</v>
      </c>
      <c r="M10" s="31" t="s">
        <v>40</v>
      </c>
      <c r="N10" s="56"/>
      <c r="O10" s="56"/>
      <c r="P10" s="56"/>
      <c r="Q10" s="56"/>
      <c r="R10" s="56"/>
      <c r="S10" s="56"/>
    </row>
    <row r="11" spans="2:23" ht="18" x14ac:dyDescent="0.35">
      <c r="B11" s="408" t="s">
        <v>241</v>
      </c>
      <c r="C11" s="148">
        <f t="array" ref="C11:M11">TRANSPOSE('RPM inputs'!$E$8:$E$18)</f>
        <v>92887.679017247254</v>
      </c>
      <c r="D11" s="148">
        <v>42221.672280566934</v>
      </c>
      <c r="E11" s="148">
        <v>1445395.787909836</v>
      </c>
      <c r="F11" s="148">
        <v>4894243.642328768</v>
      </c>
      <c r="G11" s="148">
        <v>66686724.795415401</v>
      </c>
      <c r="H11" s="148">
        <v>79763458.275401399</v>
      </c>
      <c r="I11" s="148">
        <v>69210379.031935275</v>
      </c>
      <c r="J11" s="148">
        <v>34031046.791914254</v>
      </c>
      <c r="K11" s="148">
        <v>4795636.2217316274</v>
      </c>
      <c r="L11" s="148">
        <v>29893276.585015573</v>
      </c>
      <c r="M11" s="148">
        <v>3547993.3889698228</v>
      </c>
      <c r="N11" s="56"/>
      <c r="O11" s="56"/>
      <c r="P11" s="56"/>
      <c r="Q11" s="56"/>
      <c r="R11" s="56"/>
      <c r="S11" s="56"/>
    </row>
    <row r="12" spans="2:23" ht="18" x14ac:dyDescent="0.35">
      <c r="B12" s="407" t="s">
        <v>244</v>
      </c>
      <c r="C12" s="35">
        <f t="shared" ref="C12:M12" si="0">SUMPRODUCT($P4:$P7,C4:C7)/SUMIFS($P4:$P7,C4:C7,"&gt;0")</f>
        <v>472.11305593511162</v>
      </c>
      <c r="D12" s="35">
        <f t="shared" si="0"/>
        <v>520.26364919843411</v>
      </c>
      <c r="E12" s="35">
        <f t="shared" si="0"/>
        <v>479.18494194415086</v>
      </c>
      <c r="F12" s="35">
        <f t="shared" si="0"/>
        <v>272.74491427604102</v>
      </c>
      <c r="G12" s="35">
        <f t="shared" si="0"/>
        <v>362.43543492284743</v>
      </c>
      <c r="H12" s="35">
        <f t="shared" si="0"/>
        <v>434.64902315651943</v>
      </c>
      <c r="I12" s="35">
        <f t="shared" si="0"/>
        <v>302.20649800732957</v>
      </c>
      <c r="J12" s="35">
        <f t="shared" si="0"/>
        <v>230.38646328076467</v>
      </c>
      <c r="K12" s="35">
        <f t="shared" si="0"/>
        <v>471.6634844567028</v>
      </c>
      <c r="L12" s="35">
        <f t="shared" si="0"/>
        <v>292.4334553681125</v>
      </c>
      <c r="M12" s="35">
        <f t="shared" si="0"/>
        <v>347.18031824106737</v>
      </c>
      <c r="N12" s="56"/>
      <c r="O12" s="56"/>
      <c r="P12" s="56"/>
      <c r="Q12" s="56"/>
      <c r="R12" s="56"/>
      <c r="S12" s="56"/>
    </row>
    <row r="13" spans="2:23" ht="18" x14ac:dyDescent="0.35">
      <c r="B13" s="407" t="s">
        <v>245</v>
      </c>
      <c r="C13" s="36">
        <f t="shared" ref="C13:M13" si="1">C11*C12/SUMPRODUCT($C11:$M11,$C12:$M12)</f>
        <v>4.302580458251754E-4</v>
      </c>
      <c r="D13" s="36">
        <f t="shared" si="1"/>
        <v>2.1551812085138952E-4</v>
      </c>
      <c r="E13" s="36">
        <f t="shared" si="1"/>
        <v>6.7953968630747206E-3</v>
      </c>
      <c r="F13" s="36">
        <f t="shared" si="1"/>
        <v>1.3096858187797055E-2</v>
      </c>
      <c r="G13" s="36">
        <f t="shared" si="1"/>
        <v>0.23713459581830437</v>
      </c>
      <c r="H13" s="36">
        <f t="shared" si="1"/>
        <v>0.34014771790172132</v>
      </c>
      <c r="I13" s="36">
        <f t="shared" si="1"/>
        <v>0.20521065392913498</v>
      </c>
      <c r="J13" s="36">
        <f t="shared" si="1"/>
        <v>7.6923164899634661E-2</v>
      </c>
      <c r="K13" s="36">
        <f t="shared" si="1"/>
        <v>2.2192353684836304E-2</v>
      </c>
      <c r="L13" s="36">
        <f t="shared" si="1"/>
        <v>8.5768033904082483E-2</v>
      </c>
      <c r="M13" s="36">
        <f t="shared" si="1"/>
        <v>1.2085448644737595E-2</v>
      </c>
      <c r="N13" s="56"/>
      <c r="O13" s="56"/>
      <c r="P13" s="56"/>
      <c r="Q13" s="56"/>
      <c r="R13" s="56"/>
      <c r="S13" s="56"/>
    </row>
    <row r="14" spans="2:23" ht="18" x14ac:dyDescent="0.35">
      <c r="B14" s="407" t="s">
        <v>246</v>
      </c>
      <c r="C14" s="38">
        <f>IF(C11=0,0,0.5*C13*'RPM inputs'!$E$22/C11)</f>
        <v>0.21501859771408607</v>
      </c>
      <c r="D14" s="38">
        <f>IF(D11=0,0,0.5*D13*'RPM inputs'!$E$22/D11)</f>
        <v>0.2369482455228599</v>
      </c>
      <c r="E14" s="38">
        <f>IF(E11=0,0,0.5*E13*'RPM inputs'!$E$22/E11)</f>
        <v>0.21823940890272323</v>
      </c>
      <c r="F14" s="38">
        <f>IF(F11=0,0,0.5*F13*'RPM inputs'!$E$22/F11)</f>
        <v>0.12421861302929801</v>
      </c>
      <c r="G14" s="38">
        <f>IF(G11=0,0,0.5*G13*'RPM inputs'!$E$22/G11)</f>
        <v>0.1650671549945793</v>
      </c>
      <c r="H14" s="38">
        <f>IF(H11=0,0,0.5*H13*'RPM inputs'!$E$22/H11)</f>
        <v>0.19795602405402907</v>
      </c>
      <c r="I14" s="38">
        <f>IF(I11=0,0,0.5*I13*'RPM inputs'!$E$22/I11)</f>
        <v>0.13763656099896496</v>
      </c>
      <c r="J14" s="38">
        <f>IF(J11=0,0,0.5*J13*'RPM inputs'!$E$22/J11)</f>
        <v>0.10492693147157181</v>
      </c>
      <c r="K14" s="38">
        <f>IF(K11=0,0,0.5*K13*'RPM inputs'!$E$22/K11)</f>
        <v>0.21481384542510687</v>
      </c>
      <c r="L14" s="38">
        <f>IF(L11=0,0,0.5*L13*'RPM inputs'!$E$22/L11)</f>
        <v>0.13318553831008334</v>
      </c>
      <c r="M14" s="38">
        <f>IF(M11=0,0,0.5*M13*'RPM inputs'!$E$22/M11)</f>
        <v>0.15811938315127755</v>
      </c>
      <c r="N14" s="56"/>
      <c r="O14" s="56"/>
      <c r="P14" s="56"/>
      <c r="Q14" s="56"/>
      <c r="R14" s="56"/>
      <c r="S14" s="56"/>
    </row>
    <row r="15" spans="2:23" x14ac:dyDescent="0.25">
      <c r="N15" s="56"/>
      <c r="O15" s="56"/>
      <c r="P15" s="56"/>
      <c r="Q15" s="56"/>
      <c r="R15" s="56"/>
      <c r="S15" s="56"/>
      <c r="U15" s="404" t="str">
        <f>+RPM!W31</f>
        <v>Siglas</v>
      </c>
    </row>
    <row r="16" spans="2:23" ht="18" x14ac:dyDescent="0.35">
      <c r="N16" s="56"/>
      <c r="O16" s="56"/>
      <c r="P16" s="56"/>
      <c r="Q16" s="56"/>
      <c r="R16" s="56"/>
      <c r="U16" s="405" t="s">
        <v>247</v>
      </c>
      <c r="V16" s="406" t="s">
        <v>200</v>
      </c>
      <c r="W16" t="str">
        <f>+RPM!Y32</f>
        <v>capacidade prevista, medida em kWh/dia, no ponto de entrada i</v>
      </c>
    </row>
    <row r="17" spans="14:23" ht="18" x14ac:dyDescent="0.35">
      <c r="N17" s="56"/>
      <c r="O17" s="56"/>
      <c r="P17" s="56"/>
      <c r="Q17" s="56"/>
      <c r="R17" s="56"/>
      <c r="U17" s="405" t="s">
        <v>250</v>
      </c>
      <c r="V17" t="s">
        <v>200</v>
      </c>
      <c r="W17" t="str">
        <f>+RPM!Y35</f>
        <v>distância média ponderada, medida em km, no ponto de entrada i</v>
      </c>
    </row>
    <row r="18" spans="14:23" ht="18" x14ac:dyDescent="0.35">
      <c r="N18" s="56"/>
      <c r="O18" s="56"/>
      <c r="P18" s="56"/>
      <c r="Q18" s="56"/>
      <c r="R18" s="56"/>
      <c r="U18" s="405" t="s">
        <v>251</v>
      </c>
      <c r="V18" t="s">
        <v>200</v>
      </c>
      <c r="W18" t="str">
        <f>+RPM!Y36</f>
        <v>ponderação do custo para o ponto de entrada i</v>
      </c>
    </row>
    <row r="19" spans="14:23" ht="18" x14ac:dyDescent="0.35">
      <c r="N19" s="56"/>
      <c r="O19" s="56"/>
      <c r="P19" s="56"/>
      <c r="Q19" s="56"/>
      <c r="R19" s="56"/>
      <c r="U19" s="405" t="s">
        <v>252</v>
      </c>
      <c r="V19" t="s">
        <v>200</v>
      </c>
      <c r="W19" t="str">
        <f>+RPM!Y37</f>
        <v>preço pré-equalização decorrente da metodologia de preço de referência para o ponto de entrada i</v>
      </c>
    </row>
    <row r="20" spans="14:23" ht="18" x14ac:dyDescent="0.35">
      <c r="N20" s="56"/>
      <c r="O20" s="56"/>
      <c r="P20" s="56"/>
      <c r="Q20" s="56"/>
      <c r="R20" s="56"/>
      <c r="U20" s="405" t="s">
        <v>259</v>
      </c>
      <c r="V20" s="406" t="s">
        <v>200</v>
      </c>
      <c r="W20" t="str">
        <f>+RPM!Y38</f>
        <v>capacidade prevista, medida em kWh/dia, no ponto de saída j</v>
      </c>
    </row>
    <row r="21" spans="14:23" ht="18" x14ac:dyDescent="0.35">
      <c r="N21" s="56"/>
      <c r="O21" s="56"/>
      <c r="P21" s="56"/>
      <c r="Q21" s="56"/>
      <c r="R21" s="56"/>
      <c r="U21" s="405" t="s">
        <v>262</v>
      </c>
      <c r="V21" t="s">
        <v>200</v>
      </c>
      <c r="W21" t="str">
        <f>+RPM!Y41</f>
        <v>distância média ponderada, medida em km, no ponto de saída j</v>
      </c>
    </row>
    <row r="22" spans="14:23" ht="18" x14ac:dyDescent="0.35">
      <c r="N22" s="56"/>
      <c r="O22" s="56"/>
      <c r="P22" s="56"/>
      <c r="Q22" s="56"/>
      <c r="R22" s="56"/>
      <c r="U22" s="405" t="s">
        <v>263</v>
      </c>
      <c r="V22" t="s">
        <v>200</v>
      </c>
      <c r="W22" t="str">
        <f>+RPM!Y42</f>
        <v>ponderação do custo para o ponto de saída j</v>
      </c>
    </row>
    <row r="23" spans="14:23" ht="15" customHeight="1" x14ac:dyDescent="0.35">
      <c r="U23" s="405" t="s">
        <v>264</v>
      </c>
      <c r="V23" t="s">
        <v>200</v>
      </c>
      <c r="W23" t="str">
        <f>+RPM!Y43</f>
        <v>preço pré-equalização decorrente da metodologia de preço de referência para o ponto de saída j</v>
      </c>
    </row>
    <row r="24" spans="14:23" ht="15" hidden="1" customHeight="1" x14ac:dyDescent="0.25">
      <c r="U24" s="405"/>
    </row>
    <row r="25" spans="14:23" ht="15" hidden="1" customHeight="1" x14ac:dyDescent="0.25">
      <c r="U25" s="405"/>
    </row>
    <row r="26" spans="14:23" ht="15" hidden="1" customHeight="1" x14ac:dyDescent="0.25">
      <c r="U26" s="40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53"/>
  <sheetViews>
    <sheetView showGridLines="0" zoomScale="90" zoomScaleNormal="90" workbookViewId="0">
      <selection activeCell="C1" sqref="C1:C1048576"/>
    </sheetView>
  </sheetViews>
  <sheetFormatPr defaultColWidth="0" defaultRowHeight="0" customHeight="1" zeroHeight="1" x14ac:dyDescent="0.25"/>
  <cols>
    <col min="1" max="1" width="9.140625" customWidth="1"/>
    <col min="2" max="2" width="20" bestFit="1" customWidth="1"/>
    <col min="3" max="3" width="16.28515625" bestFit="1" customWidth="1"/>
    <col min="4" max="4" width="2.7109375" customWidth="1"/>
    <col min="5" max="5" width="11" customWidth="1"/>
    <col min="6" max="6" width="35.140625" bestFit="1" customWidth="1"/>
    <col min="7" max="7" width="44.85546875" bestFit="1" customWidth="1"/>
    <col min="8" max="8" width="32.140625" customWidth="1"/>
    <col min="9" max="9" width="13.85546875" customWidth="1"/>
    <col min="10" max="10" width="2.7109375" customWidth="1"/>
    <col min="11" max="11" width="13.140625" bestFit="1" customWidth="1"/>
    <col min="12" max="12" width="2.7109375" customWidth="1"/>
    <col min="13" max="13" width="9.28515625" bestFit="1" customWidth="1"/>
    <col min="14" max="14" width="2.7109375" customWidth="1"/>
    <col min="15" max="15" width="22.7109375" bestFit="1" customWidth="1"/>
    <col min="16" max="16" width="13.85546875" customWidth="1"/>
    <col min="17" max="17" width="9.140625" customWidth="1"/>
    <col min="18" max="19" width="9.140625" hidden="1" customWidth="1"/>
    <col min="20" max="20" width="11.7109375" hidden="1" customWidth="1"/>
    <col min="21" max="16384" width="9.140625" hidden="1"/>
  </cols>
  <sheetData>
    <row r="1" spans="1:16" ht="15.75" thickBot="1" x14ac:dyDescent="0.3"/>
    <row r="2" spans="1:16" ht="15.75" thickBot="1" x14ac:dyDescent="0.3">
      <c r="A2" s="2" t="str">
        <f>+'Pre-scaling RPM'!A2</f>
        <v>Preços pós-equalização</v>
      </c>
      <c r="B2" s="93"/>
      <c r="C2" s="94"/>
      <c r="H2" s="192"/>
    </row>
    <row r="3" spans="1:16" ht="15.75" thickBot="1" x14ac:dyDescent="0.3">
      <c r="A3" s="95"/>
      <c r="B3" s="47" t="str">
        <f>+'Pre-scaling RPM'!B3</f>
        <v>Ponto</v>
      </c>
      <c r="C3" s="90" t="str">
        <f>+'Pre-scaling RPM'!C3</f>
        <v>€/(kWh/dia)/ano</v>
      </c>
    </row>
    <row r="4" spans="1:16" ht="15" x14ac:dyDescent="0.25">
      <c r="A4" s="40" t="str">
        <f>+'Pre-scaling RPM'!A4</f>
        <v>Entrada</v>
      </c>
      <c r="B4" s="13" t="str">
        <f>+'Pre-scaling RPM'!B4</f>
        <v>VIP</v>
      </c>
      <c r="C4" s="46">
        <f>0.5*(CWD!$R$4+CWD!$R$5)*'RPM inputs'!$E$22/(CWD!$P$4+CWD!$P$5)</f>
        <v>0.2354362972291926</v>
      </c>
      <c r="E4" s="252"/>
    </row>
    <row r="5" spans="1:16" ht="15" x14ac:dyDescent="0.25">
      <c r="A5" s="41"/>
      <c r="B5" s="16" t="str">
        <f>+'Pre-scaling RPM'!B5</f>
        <v>Terminal GNL</v>
      </c>
      <c r="C5" s="43">
        <f>+CWD!$S$6</f>
        <v>0.21913630374404791</v>
      </c>
    </row>
    <row r="6" spans="1:16" ht="15.75" thickBot="1" x14ac:dyDescent="0.3">
      <c r="A6" s="42"/>
      <c r="B6" s="18" t="str">
        <f>+'Pre-scaling RPM'!B6</f>
        <v>Armazenamento</v>
      </c>
      <c r="C6" s="44">
        <f>+CWD!$S$7</f>
        <v>0.11699575981281479</v>
      </c>
    </row>
    <row r="7" spans="1:16" ht="15" x14ac:dyDescent="0.25">
      <c r="A7" s="40" t="str">
        <f>+'Pre-scaling RPM'!A7</f>
        <v>Saída</v>
      </c>
      <c r="B7" s="13" t="str">
        <f>+'Pre-scaling RPM'!B7</f>
        <v>VIP</v>
      </c>
      <c r="C7" s="46">
        <f>IF((CWD!$C$11+CWD!$D$11)=0,0,(1-0.5)*(CWD!$C$13+CWD!$D$13)*'RPM inputs'!$E$22/(CWD!$C$11+CWD!$D$11))</f>
        <v>0.22187161265432789</v>
      </c>
    </row>
    <row r="8" spans="1:16" ht="15" x14ac:dyDescent="0.25">
      <c r="A8" s="41"/>
      <c r="B8" s="16" t="str">
        <f>+'Pre-scaling RPM'!B8</f>
        <v>Terminal GNL</v>
      </c>
      <c r="C8" s="45">
        <f>+CWD!$E$14</f>
        <v>0.21823940890272323</v>
      </c>
    </row>
    <row r="9" spans="1:16" ht="15" x14ac:dyDescent="0.25">
      <c r="A9" s="41"/>
      <c r="B9" s="16" t="str">
        <f>+'Pre-scaling RPM'!B9</f>
        <v>Armazenamento</v>
      </c>
      <c r="C9" s="45">
        <f>+CWD!$F$14</f>
        <v>0.12421861302929801</v>
      </c>
    </row>
    <row r="10" spans="1:16" ht="15.75" thickBot="1" x14ac:dyDescent="0.3">
      <c r="A10" s="42"/>
      <c r="B10" s="18" t="str">
        <f>+'Pre-scaling RPM'!B10</f>
        <v>Consumo</v>
      </c>
      <c r="C10" s="44">
        <f>(1-0.5)*SUM(CWD!$G$13:$M$13)*'RPM inputs'!$E$22/SUM(CWD!$G$11:$M$11)</f>
        <v>0.15790941920639232</v>
      </c>
    </row>
    <row r="11" spans="1:16" ht="15.75" thickBot="1" x14ac:dyDescent="0.3"/>
    <row r="12" spans="1:16" ht="15.75" thickBot="1" x14ac:dyDescent="0.3">
      <c r="H12" s="28" t="str">
        <f>+'Pre-scaling RPM'!H12</f>
        <v>Preços pós-equalização</v>
      </c>
      <c r="I12" s="26" t="s">
        <v>6</v>
      </c>
      <c r="K12" s="28" t="str">
        <f>+'Pre-scaling RPM'!K12</f>
        <v>Multiplicador</v>
      </c>
      <c r="M12" s="28" t="str">
        <f>+'Pre-scaling RPM'!M12</f>
        <v>Desconto</v>
      </c>
      <c r="O12" s="28" t="str">
        <f>+'Pre-scaling RPM'!O12</f>
        <v>Preços pré-escalamento</v>
      </c>
      <c r="P12" s="26" t="s">
        <v>6</v>
      </c>
    </row>
    <row r="13" spans="1:16" ht="15.75" thickBot="1" x14ac:dyDescent="0.3">
      <c r="F13" s="8" t="str">
        <f>+'Pre-scaling RPM'!F13</f>
        <v>Ponto</v>
      </c>
      <c r="G13" s="8" t="str">
        <f>+'Pre-scaling RPM'!G13</f>
        <v>Produto</v>
      </c>
      <c r="H13" s="8" t="str">
        <f>+'Pre-scaling RPM'!H13</f>
        <v>Unidade</v>
      </c>
      <c r="I13" s="48"/>
      <c r="K13" s="55"/>
      <c r="M13" s="55"/>
      <c r="O13" s="8" t="str">
        <f>+'Pre-scaling RPM'!O13</f>
        <v>Unidade</v>
      </c>
      <c r="P13" s="48"/>
    </row>
    <row r="14" spans="1:16" ht="15" x14ac:dyDescent="0.25">
      <c r="E14" s="5" t="str">
        <f>+'Pre-scaling RPM'!E14</f>
        <v>Entrada</v>
      </c>
      <c r="F14" s="23" t="str">
        <f>+'Pre-scaling RPM'!F14</f>
        <v>VIP</v>
      </c>
      <c r="G14" s="14" t="str">
        <f>+'Pre-scaling RPM'!G14</f>
        <v>Anual</v>
      </c>
      <c r="H14" s="49" t="str">
        <f>+'Pre-scaling RPM'!H14</f>
        <v>€/(kWh/dia)/ano</v>
      </c>
      <c r="I14" s="46">
        <f>$C$4</f>
        <v>0.2354362972291926</v>
      </c>
      <c r="K14" s="74">
        <f>+Data_b!D18</f>
        <v>1</v>
      </c>
      <c r="M14" s="193">
        <f>+Data_b!$D$13</f>
        <v>0</v>
      </c>
      <c r="O14" s="49" t="str">
        <f>+'Pre-scaling RPM'!O14</f>
        <v>€/(kWh/dia)/ano</v>
      </c>
      <c r="P14" s="46">
        <f>+I14*K14*(1-M14)</f>
        <v>0.2354362972291926</v>
      </c>
    </row>
    <row r="15" spans="1:16" ht="15" x14ac:dyDescent="0.25">
      <c r="E15" s="6"/>
      <c r="F15" s="24"/>
      <c r="G15" s="12" t="str">
        <f>+'Pre-scaling RPM'!G15</f>
        <v>Trimestral</v>
      </c>
      <c r="H15" s="16" t="str">
        <f>+'Pre-scaling RPM'!H15</f>
        <v>€/(kWh/dia)/ano</v>
      </c>
      <c r="I15" s="43">
        <f>$C$4</f>
        <v>0.2354362972291926</v>
      </c>
      <c r="K15" s="75">
        <f>+Data_b!D19</f>
        <v>1.3</v>
      </c>
      <c r="M15" s="244">
        <f>+Data_b!$D$13</f>
        <v>0</v>
      </c>
      <c r="O15" s="16" t="str">
        <f>+'Pre-scaling RPM'!O15</f>
        <v>€/(kWh/dia)/ano</v>
      </c>
      <c r="P15" s="43">
        <f t="shared" ref="P15:P44" si="0">+I15*K15*(1-M15)</f>
        <v>0.30606718639795039</v>
      </c>
    </row>
    <row r="16" spans="1:16" ht="15" x14ac:dyDescent="0.25">
      <c r="E16" s="6"/>
      <c r="F16" s="24"/>
      <c r="G16" s="12" t="str">
        <f>+'Pre-scaling RPM'!G16</f>
        <v>Mensal</v>
      </c>
      <c r="H16" s="16" t="str">
        <f>+'Pre-scaling RPM'!H16</f>
        <v>€/(kWh/dia)/ano</v>
      </c>
      <c r="I16" s="43">
        <f>$C$4</f>
        <v>0.2354362972291926</v>
      </c>
      <c r="K16" s="75">
        <f>+Data_b!D20</f>
        <v>1.5</v>
      </c>
      <c r="M16" s="244">
        <f>+Data_b!$D$13</f>
        <v>0</v>
      </c>
      <c r="O16" s="16" t="str">
        <f>+'Pre-scaling RPM'!O16</f>
        <v>€/(kWh/dia)/ano</v>
      </c>
      <c r="P16" s="43">
        <f t="shared" si="0"/>
        <v>0.35315444584378891</v>
      </c>
    </row>
    <row r="17" spans="5:16" ht="15" x14ac:dyDescent="0.25">
      <c r="E17" s="6"/>
      <c r="F17" s="24"/>
      <c r="G17" s="12" t="str">
        <f>+'Pre-scaling RPM'!G17</f>
        <v>Diário</v>
      </c>
      <c r="H17" s="16" t="str">
        <f>+'Pre-scaling RPM'!H17</f>
        <v>€/(kWh/dia)/ano</v>
      </c>
      <c r="I17" s="43">
        <f>$C$4</f>
        <v>0.2354362972291926</v>
      </c>
      <c r="K17" s="75">
        <f>+Data_b!D21</f>
        <v>2</v>
      </c>
      <c r="M17" s="244">
        <f>+Data_b!$D$13</f>
        <v>0</v>
      </c>
      <c r="O17" s="16" t="str">
        <f>+'Pre-scaling RPM'!O17</f>
        <v>€/(kWh/dia)/ano</v>
      </c>
      <c r="P17" s="43">
        <f t="shared" si="0"/>
        <v>0.4708725944583852</v>
      </c>
    </row>
    <row r="18" spans="5:16" ht="15.75" thickBot="1" x14ac:dyDescent="0.3">
      <c r="E18" s="6"/>
      <c r="F18" s="25"/>
      <c r="G18" s="19" t="str">
        <f>+'Pre-scaling RPM'!G18</f>
        <v>Intradiário</v>
      </c>
      <c r="H18" s="18" t="str">
        <f>+'Pre-scaling RPM'!H18</f>
        <v>€/(kWh/h)/ano</v>
      </c>
      <c r="I18" s="44">
        <f>$C$4*24</f>
        <v>5.6504711335006226</v>
      </c>
      <c r="K18" s="76">
        <f>+Data_b!D22</f>
        <v>2.2000000000000002</v>
      </c>
      <c r="M18" s="194">
        <f>+Data_b!$D$13</f>
        <v>0</v>
      </c>
      <c r="O18" s="18" t="str">
        <f>+'Pre-scaling RPM'!O18</f>
        <v>€/(kWh/h)/ano</v>
      </c>
      <c r="P18" s="44">
        <f t="shared" si="0"/>
        <v>12.43103649370137</v>
      </c>
    </row>
    <row r="19" spans="5:16" ht="15" x14ac:dyDescent="0.25">
      <c r="E19" s="6"/>
      <c r="F19" s="23" t="str">
        <f>+'Pre-scaling RPM'!F19</f>
        <v>Terminal GNL</v>
      </c>
      <c r="G19" s="14" t="str">
        <f>+'Pre-scaling RPM'!G19</f>
        <v>Anual</v>
      </c>
      <c r="H19" s="49" t="str">
        <f>+'Pre-scaling RPM'!H19</f>
        <v>€/(kWh/dia)/ano</v>
      </c>
      <c r="I19" s="46">
        <f>$C$5</f>
        <v>0.21913630374404791</v>
      </c>
      <c r="K19" s="74">
        <f>+Data_b!D23</f>
        <v>1</v>
      </c>
      <c r="M19" s="193">
        <f>+Data_b!$D$13</f>
        <v>0</v>
      </c>
      <c r="O19" s="49" t="str">
        <f>+'Pre-scaling RPM'!O19</f>
        <v>€/(kWh/dia)/ano</v>
      </c>
      <c r="P19" s="46">
        <f t="shared" si="0"/>
        <v>0.21913630374404791</v>
      </c>
    </row>
    <row r="20" spans="5:16" ht="15" x14ac:dyDescent="0.25">
      <c r="E20" s="6"/>
      <c r="F20" s="24"/>
      <c r="G20" s="12" t="str">
        <f>+'Pre-scaling RPM'!G20</f>
        <v>Trimestral</v>
      </c>
      <c r="H20" s="16" t="str">
        <f>+'Pre-scaling RPM'!H20</f>
        <v>€/(kWh/dia)/ano</v>
      </c>
      <c r="I20" s="43">
        <f>$C$5</f>
        <v>0.21913630374404791</v>
      </c>
      <c r="K20" s="75">
        <f>+Data_b!D24</f>
        <v>1.3</v>
      </c>
      <c r="M20" s="244">
        <f>+Data_b!$D$13</f>
        <v>0</v>
      </c>
      <c r="O20" s="16" t="str">
        <f>+'Pre-scaling RPM'!O20</f>
        <v>€/(kWh/dia)/ano</v>
      </c>
      <c r="P20" s="43">
        <f t="shared" si="0"/>
        <v>0.28487719486726232</v>
      </c>
    </row>
    <row r="21" spans="5:16" ht="15" x14ac:dyDescent="0.25">
      <c r="E21" s="6"/>
      <c r="F21" s="24"/>
      <c r="G21" s="12" t="str">
        <f>+'Pre-scaling RPM'!G21</f>
        <v>Mensal</v>
      </c>
      <c r="H21" s="16" t="str">
        <f>+'Pre-scaling RPM'!H21</f>
        <v>€/(kWh/dia)/ano</v>
      </c>
      <c r="I21" s="43">
        <f>$C$5</f>
        <v>0.21913630374404791</v>
      </c>
      <c r="K21" s="75">
        <f>+Data_b!D25</f>
        <v>1.5</v>
      </c>
      <c r="M21" s="244">
        <f>+Data_b!$D$13</f>
        <v>0</v>
      </c>
      <c r="O21" s="16" t="str">
        <f>+'Pre-scaling RPM'!O21</f>
        <v>€/(kWh/dia)/ano</v>
      </c>
      <c r="P21" s="43">
        <f t="shared" si="0"/>
        <v>0.32870445561607187</v>
      </c>
    </row>
    <row r="22" spans="5:16" ht="15" x14ac:dyDescent="0.25">
      <c r="E22" s="6"/>
      <c r="F22" s="24"/>
      <c r="G22" s="12" t="str">
        <f>+'Pre-scaling RPM'!G22</f>
        <v>Diário</v>
      </c>
      <c r="H22" s="16" t="str">
        <f>+'Pre-scaling RPM'!H22</f>
        <v>€/(kWh/dia)/ano</v>
      </c>
      <c r="I22" s="43">
        <f>$C$5</f>
        <v>0.21913630374404791</v>
      </c>
      <c r="K22" s="75">
        <f>+Data_b!D26</f>
        <v>2</v>
      </c>
      <c r="M22" s="244">
        <f>+Data_b!$D$13</f>
        <v>0</v>
      </c>
      <c r="O22" s="16" t="str">
        <f>+'Pre-scaling RPM'!O22</f>
        <v>€/(kWh/dia)/ano</v>
      </c>
      <c r="P22" s="43">
        <f t="shared" si="0"/>
        <v>0.43827260748809582</v>
      </c>
    </row>
    <row r="23" spans="5:16" ht="15.75" thickBot="1" x14ac:dyDescent="0.3">
      <c r="E23" s="6"/>
      <c r="F23" s="25"/>
      <c r="G23" s="19" t="str">
        <f>+'Pre-scaling RPM'!G23</f>
        <v>Intradiário</v>
      </c>
      <c r="H23" s="18" t="str">
        <f>+'Pre-scaling RPM'!H23</f>
        <v>€/(kWh/h)/ano</v>
      </c>
      <c r="I23" s="44">
        <f>$C$5*24</f>
        <v>5.2592712898571499</v>
      </c>
      <c r="K23" s="76">
        <f>+Data_b!D27</f>
        <v>2.2000000000000002</v>
      </c>
      <c r="M23" s="194">
        <f>+Data_b!$D$13</f>
        <v>0</v>
      </c>
      <c r="O23" s="18" t="str">
        <f>+'Pre-scaling RPM'!O23</f>
        <v>€/(kWh/h)/ano</v>
      </c>
      <c r="P23" s="44">
        <f t="shared" si="0"/>
        <v>11.570396837685731</v>
      </c>
    </row>
    <row r="24" spans="5:16" ht="15" x14ac:dyDescent="0.25">
      <c r="E24" s="6"/>
      <c r="F24" s="23" t="str">
        <f>+'Pre-scaling RPM'!F24</f>
        <v>Armazenamento subterrâneo</v>
      </c>
      <c r="G24" s="14" t="str">
        <f>+'Pre-scaling RPM'!G24</f>
        <v>Diário</v>
      </c>
      <c r="H24" s="49" t="str">
        <f>+'Pre-scaling RPM'!H24</f>
        <v>€/(kWh/dia)/ano</v>
      </c>
      <c r="I24" s="46">
        <f>$C$6</f>
        <v>0.11699575981281479</v>
      </c>
      <c r="K24" s="74">
        <f>+Data_b!D28</f>
        <v>1</v>
      </c>
      <c r="M24" s="193">
        <f>+Data_b!$D$11</f>
        <v>1</v>
      </c>
      <c r="O24" s="49" t="str">
        <f>+'Pre-scaling RPM'!O24</f>
        <v>€/(kWh/dia)/ano</v>
      </c>
      <c r="P24" s="46">
        <f t="shared" si="0"/>
        <v>0</v>
      </c>
    </row>
    <row r="25" spans="5:16" ht="15.75" thickBot="1" x14ac:dyDescent="0.3">
      <c r="E25" s="7"/>
      <c r="F25" s="25"/>
      <c r="G25" s="19" t="str">
        <f>+'Pre-scaling RPM'!G25</f>
        <v>Intradiário</v>
      </c>
      <c r="H25" s="18" t="str">
        <f>+'Pre-scaling RPM'!H25</f>
        <v>€/(kWh/h)/ano</v>
      </c>
      <c r="I25" s="44">
        <f>$C$6*24</f>
        <v>2.807898235507555</v>
      </c>
      <c r="K25" s="76">
        <f>+Data_b!D29</f>
        <v>1.1000000000000001</v>
      </c>
      <c r="M25" s="194">
        <f>+Data_b!$D$11</f>
        <v>1</v>
      </c>
      <c r="O25" s="18" t="str">
        <f>+'Pre-scaling RPM'!O25</f>
        <v>€/(kWh/h)/ano</v>
      </c>
      <c r="P25" s="44">
        <f t="shared" si="0"/>
        <v>0</v>
      </c>
    </row>
    <row r="26" spans="5:16" ht="15" x14ac:dyDescent="0.25">
      <c r="E26" s="5" t="str">
        <f>+'Pre-scaling RPM'!E26</f>
        <v>Saída</v>
      </c>
      <c r="F26" s="23" t="str">
        <f>+'Pre-scaling RPM'!F26</f>
        <v>VIP</v>
      </c>
      <c r="G26" s="14" t="str">
        <f>+'Pre-scaling RPM'!G26</f>
        <v>Anual</v>
      </c>
      <c r="H26" s="49" t="str">
        <f>+'Pre-scaling RPM'!H26</f>
        <v>€/(kWh/dia)/ano</v>
      </c>
      <c r="I26" s="46">
        <f>$C$7</f>
        <v>0.22187161265432789</v>
      </c>
      <c r="K26" s="74">
        <f>+Data_b!D30</f>
        <v>1</v>
      </c>
      <c r="M26" s="193">
        <f>+Data_b!$D$13</f>
        <v>0</v>
      </c>
      <c r="O26" s="49" t="str">
        <f>+'Pre-scaling RPM'!O26</f>
        <v>€/(kWh/dia)/ano</v>
      </c>
      <c r="P26" s="46">
        <f t="shared" si="0"/>
        <v>0.22187161265432789</v>
      </c>
    </row>
    <row r="27" spans="5:16" ht="15" x14ac:dyDescent="0.25">
      <c r="E27" s="3"/>
      <c r="F27" s="24"/>
      <c r="G27" s="12" t="str">
        <f>+'Pre-scaling RPM'!G27</f>
        <v>Trimestral</v>
      </c>
      <c r="H27" s="16" t="str">
        <f>+'Pre-scaling RPM'!H27</f>
        <v>€/(kWh/dia)/ano</v>
      </c>
      <c r="I27" s="43">
        <f>$C$7</f>
        <v>0.22187161265432789</v>
      </c>
      <c r="K27" s="75">
        <f>+Data_b!D31</f>
        <v>1.3</v>
      </c>
      <c r="M27" s="244">
        <f>+Data_b!$D$13</f>
        <v>0</v>
      </c>
      <c r="O27" s="16" t="str">
        <f>+'Pre-scaling RPM'!O27</f>
        <v>€/(kWh/dia)/ano</v>
      </c>
      <c r="P27" s="43">
        <f t="shared" si="0"/>
        <v>0.28843309645062626</v>
      </c>
    </row>
    <row r="28" spans="5:16" ht="15" x14ac:dyDescent="0.25">
      <c r="E28" s="3"/>
      <c r="F28" s="24"/>
      <c r="G28" s="12" t="str">
        <f>+'Pre-scaling RPM'!G28</f>
        <v>Mensal</v>
      </c>
      <c r="H28" s="16" t="str">
        <f>+'Pre-scaling RPM'!H28</f>
        <v>€/(kWh/dia)/ano</v>
      </c>
      <c r="I28" s="43">
        <f>$C$7</f>
        <v>0.22187161265432789</v>
      </c>
      <c r="K28" s="75">
        <f>+Data_b!D32</f>
        <v>1.5</v>
      </c>
      <c r="M28" s="244">
        <f>+Data_b!$D$13</f>
        <v>0</v>
      </c>
      <c r="O28" s="16" t="str">
        <f>+'Pre-scaling RPM'!O28</f>
        <v>€/(kWh/dia)/ano</v>
      </c>
      <c r="P28" s="43">
        <f t="shared" si="0"/>
        <v>0.33280741898149185</v>
      </c>
    </row>
    <row r="29" spans="5:16" ht="15" x14ac:dyDescent="0.25">
      <c r="E29" s="3"/>
      <c r="F29" s="24"/>
      <c r="G29" s="12" t="str">
        <f>+'Pre-scaling RPM'!G29</f>
        <v>Diário</v>
      </c>
      <c r="H29" s="16" t="str">
        <f>+'Pre-scaling RPM'!H29</f>
        <v>€/(kWh/dia)/ano</v>
      </c>
      <c r="I29" s="43">
        <f>$C$7</f>
        <v>0.22187161265432789</v>
      </c>
      <c r="K29" s="75">
        <f>+Data_b!D33</f>
        <v>2</v>
      </c>
      <c r="M29" s="244">
        <f>+Data_b!$D$13</f>
        <v>0</v>
      </c>
      <c r="O29" s="16" t="str">
        <f>+'Pre-scaling RPM'!O29</f>
        <v>€/(kWh/dia)/ano</v>
      </c>
      <c r="P29" s="43">
        <f t="shared" si="0"/>
        <v>0.44374322530865579</v>
      </c>
    </row>
    <row r="30" spans="5:16" ht="15.75" thickBot="1" x14ac:dyDescent="0.3">
      <c r="E30" s="3"/>
      <c r="F30" s="25"/>
      <c r="G30" s="19" t="str">
        <f>+'Pre-scaling RPM'!G30</f>
        <v>Intradiário</v>
      </c>
      <c r="H30" s="18" t="str">
        <f>+'Pre-scaling RPM'!H30</f>
        <v>€/(kWh/h)/ano</v>
      </c>
      <c r="I30" s="44">
        <f>$C$7*24</f>
        <v>5.3249187037038697</v>
      </c>
      <c r="K30" s="76">
        <f>+Data_b!D34</f>
        <v>2.2000000000000002</v>
      </c>
      <c r="M30" s="194">
        <f>+Data_b!$D$13</f>
        <v>0</v>
      </c>
      <c r="O30" s="18" t="str">
        <f>+'Pre-scaling RPM'!O30</f>
        <v>€/(kWh/h)/ano</v>
      </c>
      <c r="P30" s="44">
        <f t="shared" si="0"/>
        <v>11.714821148148514</v>
      </c>
    </row>
    <row r="31" spans="5:16" ht="15" x14ac:dyDescent="0.25">
      <c r="E31" s="3"/>
      <c r="F31" s="23" t="str">
        <f>+'Pre-scaling RPM'!F31</f>
        <v>Terminal GNL</v>
      </c>
      <c r="G31" s="14" t="str">
        <f>+'Pre-scaling RPM'!G31</f>
        <v>Anual</v>
      </c>
      <c r="H31" s="49" t="str">
        <f>+'Pre-scaling RPM'!H31</f>
        <v>€/(kWh/dia)/ano</v>
      </c>
      <c r="I31" s="46">
        <f>$C$8</f>
        <v>0.21823940890272323</v>
      </c>
      <c r="K31" s="74">
        <f>+Data_b!D35</f>
        <v>1</v>
      </c>
      <c r="M31" s="193">
        <f>+Data_b!$D$13</f>
        <v>0</v>
      </c>
      <c r="O31" s="49" t="str">
        <f>+'Pre-scaling RPM'!O31</f>
        <v>€/(kWh/dia)/ano</v>
      </c>
      <c r="P31" s="46">
        <f t="shared" si="0"/>
        <v>0.21823940890272323</v>
      </c>
    </row>
    <row r="32" spans="5:16" ht="15" x14ac:dyDescent="0.25">
      <c r="E32" s="3"/>
      <c r="F32" s="24"/>
      <c r="G32" s="12" t="str">
        <f>+'Pre-scaling RPM'!G32</f>
        <v>Trimestral</v>
      </c>
      <c r="H32" s="16" t="str">
        <f>+'Pre-scaling RPM'!H32</f>
        <v>€/(kWh/dia)/ano</v>
      </c>
      <c r="I32" s="43">
        <f>$C$8</f>
        <v>0.21823940890272323</v>
      </c>
      <c r="K32" s="75">
        <f>+Data_b!D36</f>
        <v>1.3</v>
      </c>
      <c r="M32" s="244">
        <f>+Data_b!$D$13</f>
        <v>0</v>
      </c>
      <c r="O32" s="16" t="str">
        <f>+'Pre-scaling RPM'!O32</f>
        <v>€/(kWh/dia)/ano</v>
      </c>
      <c r="P32" s="43">
        <f t="shared" si="0"/>
        <v>0.28371123157354022</v>
      </c>
    </row>
    <row r="33" spans="5:16" ht="15" x14ac:dyDescent="0.25">
      <c r="E33" s="3"/>
      <c r="F33" s="24"/>
      <c r="G33" s="12" t="str">
        <f>+'Pre-scaling RPM'!G33</f>
        <v>Mensal</v>
      </c>
      <c r="H33" s="16" t="str">
        <f>+'Pre-scaling RPM'!H33</f>
        <v>€/(kWh/dia)/ano</v>
      </c>
      <c r="I33" s="43">
        <f>$C$8</f>
        <v>0.21823940890272323</v>
      </c>
      <c r="K33" s="75">
        <f>+Data_b!D37</f>
        <v>1.5</v>
      </c>
      <c r="M33" s="244">
        <f>+Data_b!$D$13</f>
        <v>0</v>
      </c>
      <c r="O33" s="16" t="str">
        <f>+'Pre-scaling RPM'!O33</f>
        <v>€/(kWh/dia)/ano</v>
      </c>
      <c r="P33" s="43">
        <f t="shared" si="0"/>
        <v>0.32735911335408485</v>
      </c>
    </row>
    <row r="34" spans="5:16" ht="15" x14ac:dyDescent="0.25">
      <c r="E34" s="3"/>
      <c r="F34" s="24"/>
      <c r="G34" s="12" t="str">
        <f>+'Pre-scaling RPM'!G34</f>
        <v>Diário</v>
      </c>
      <c r="H34" s="16" t="str">
        <f>+'Pre-scaling RPM'!H34</f>
        <v>€/(kWh/dia)/ano</v>
      </c>
      <c r="I34" s="43">
        <f>$C$8</f>
        <v>0.21823940890272323</v>
      </c>
      <c r="K34" s="75">
        <f>+Data_b!D38</f>
        <v>2</v>
      </c>
      <c r="M34" s="244">
        <f>+Data_b!$D$13</f>
        <v>0</v>
      </c>
      <c r="O34" s="16" t="str">
        <f>+'Pre-scaling RPM'!O34</f>
        <v>€/(kWh/dia)/ano</v>
      </c>
      <c r="P34" s="43">
        <f t="shared" si="0"/>
        <v>0.43647881780544645</v>
      </c>
    </row>
    <row r="35" spans="5:16" ht="15.75" thickBot="1" x14ac:dyDescent="0.3">
      <c r="E35" s="3"/>
      <c r="F35" s="25"/>
      <c r="G35" s="19" t="str">
        <f>+'Pre-scaling RPM'!G35</f>
        <v>Intradiário</v>
      </c>
      <c r="H35" s="18" t="str">
        <f>+'Pre-scaling RPM'!H35</f>
        <v>€/(kWh/h)/ano</v>
      </c>
      <c r="I35" s="44">
        <f>$C$8*24</f>
        <v>5.2377458136653576</v>
      </c>
      <c r="K35" s="76">
        <f>+Data_b!D39</f>
        <v>2.2000000000000002</v>
      </c>
      <c r="M35" s="194">
        <f>+Data_b!$D$13</f>
        <v>0</v>
      </c>
      <c r="O35" s="18" t="str">
        <f>+'Pre-scaling RPM'!O35</f>
        <v>€/(kWh/h)/ano</v>
      </c>
      <c r="P35" s="44">
        <f t="shared" si="0"/>
        <v>11.523040790063789</v>
      </c>
    </row>
    <row r="36" spans="5:16" ht="15" x14ac:dyDescent="0.25">
      <c r="E36" s="3"/>
      <c r="F36" s="23" t="str">
        <f>+'Pre-scaling RPM'!F36</f>
        <v>Armazenamento subterrâneo</v>
      </c>
      <c r="G36" s="14" t="str">
        <f>+'Pre-scaling RPM'!G36</f>
        <v>Diário</v>
      </c>
      <c r="H36" s="49" t="str">
        <f>+'Pre-scaling RPM'!H36</f>
        <v>€/(kWh/dia)/ano</v>
      </c>
      <c r="I36" s="46">
        <f>$C$9</f>
        <v>0.12421861302929801</v>
      </c>
      <c r="K36" s="74">
        <f>+Data_b!D40</f>
        <v>1</v>
      </c>
      <c r="M36" s="193">
        <f>+Data_b!$D$12</f>
        <v>1</v>
      </c>
      <c r="O36" s="49" t="str">
        <f>+'Pre-scaling RPM'!O36</f>
        <v>€/(kWh/dia)/ano</v>
      </c>
      <c r="P36" s="46">
        <f t="shared" si="0"/>
        <v>0</v>
      </c>
    </row>
    <row r="37" spans="5:16" ht="15.75" thickBot="1" x14ac:dyDescent="0.3">
      <c r="E37" s="3"/>
      <c r="F37" s="25"/>
      <c r="G37" s="19" t="str">
        <f>+'Pre-scaling RPM'!G37</f>
        <v>Intradiário</v>
      </c>
      <c r="H37" s="18" t="str">
        <f>+'Pre-scaling RPM'!H37</f>
        <v>€/(kWh/h)/ano</v>
      </c>
      <c r="I37" s="44">
        <f>$C$9*24</f>
        <v>2.9812467127031521</v>
      </c>
      <c r="K37" s="76">
        <f>+Data_b!D41</f>
        <v>1.1000000000000001</v>
      </c>
      <c r="M37" s="194">
        <f>+Data_b!$D$12</f>
        <v>1</v>
      </c>
      <c r="O37" s="18" t="str">
        <f>+'Pre-scaling RPM'!O37</f>
        <v>€/(kWh/h)/ano</v>
      </c>
      <c r="P37" s="44">
        <f t="shared" si="0"/>
        <v>0</v>
      </c>
    </row>
    <row r="38" spans="5:16" ht="15.75" thickBot="1" x14ac:dyDescent="0.3">
      <c r="E38" s="3"/>
      <c r="F38" s="21" t="str">
        <f>+'Pre-scaling RPM'!F38</f>
        <v>Redes de distribuição e Clientes em AP</v>
      </c>
      <c r="G38" s="22" t="str">
        <f>+'Pre-scaling RPM'!G38</f>
        <v>Longas utilizações</v>
      </c>
      <c r="H38" s="21" t="str">
        <f>+'Pre-scaling RPM'!H38</f>
        <v>€/(kWh/dia)/ano</v>
      </c>
      <c r="I38" s="73">
        <f t="shared" ref="I38:I44" si="1">$C$10</f>
        <v>0.15790941920639232</v>
      </c>
      <c r="K38" s="77">
        <f>+Data_b!D42</f>
        <v>1</v>
      </c>
      <c r="M38" s="245">
        <f>+Data_b!$D$13</f>
        <v>0</v>
      </c>
      <c r="O38" s="21" t="str">
        <f>+'Pre-scaling RPM'!O38</f>
        <v>€/(kWh/dia)/ano</v>
      </c>
      <c r="P38" s="73">
        <f t="shared" si="0"/>
        <v>0.15790941920639232</v>
      </c>
    </row>
    <row r="39" spans="5:16" ht="15" x14ac:dyDescent="0.25">
      <c r="E39" s="3"/>
      <c r="F39" s="23" t="str">
        <f>+'Pre-scaling RPM'!F39</f>
        <v>Clientes em AP</v>
      </c>
      <c r="G39" s="14" t="str">
        <f>+'Pre-scaling RPM'!G39</f>
        <v>Tarifa flexível anual - capacidade base anual</v>
      </c>
      <c r="H39" s="13" t="str">
        <f>+'Pre-scaling RPM'!H39</f>
        <v>€/(kWh/dia)/ano</v>
      </c>
      <c r="I39" s="46">
        <f t="shared" si="1"/>
        <v>0.15790941920639232</v>
      </c>
      <c r="K39" s="74">
        <f>+Data_b!D43</f>
        <v>1</v>
      </c>
      <c r="M39" s="193">
        <f>+Data_b!$D$13</f>
        <v>0</v>
      </c>
      <c r="O39" s="13" t="str">
        <f>+'Pre-scaling RPM'!O39</f>
        <v>€/(kWh/dia)/ano</v>
      </c>
      <c r="P39" s="46">
        <f t="shared" si="0"/>
        <v>0.15790941920639232</v>
      </c>
    </row>
    <row r="40" spans="5:16" ht="15" x14ac:dyDescent="0.25">
      <c r="E40" s="3"/>
      <c r="F40" s="24"/>
      <c r="G40" s="12" t="str">
        <f>+'Pre-scaling RPM'!G40</f>
        <v>Tarifa flexível anual - capacidade mensal adicional (abril a setembro)</v>
      </c>
      <c r="H40" s="16" t="str">
        <f>+'Pre-scaling RPM'!H40</f>
        <v>€/(kWh/dia)/ano</v>
      </c>
      <c r="I40" s="43">
        <f t="shared" si="1"/>
        <v>0.15790941920639232</v>
      </c>
      <c r="K40" s="75">
        <f>+Data_b!D44</f>
        <v>1.5</v>
      </c>
      <c r="M40" s="244">
        <f>+Data_b!$D$13</f>
        <v>0</v>
      </c>
      <c r="O40" s="16" t="str">
        <f>+'Pre-scaling RPM'!O40</f>
        <v>€/(kWh/dia)/ano</v>
      </c>
      <c r="P40" s="43">
        <f t="shared" si="0"/>
        <v>0.23686412880958846</v>
      </c>
    </row>
    <row r="41" spans="5:16" ht="15" x14ac:dyDescent="0.25">
      <c r="E41" s="3"/>
      <c r="F41" s="24"/>
      <c r="G41" s="12" t="str">
        <f>+'Pre-scaling RPM'!G41</f>
        <v>Tarifa flexível mensal - capacidade mensal (outubro a março)</v>
      </c>
      <c r="H41" s="16" t="str">
        <f>+'Pre-scaling RPM'!H41</f>
        <v>€/(kWh/dia)/ano</v>
      </c>
      <c r="I41" s="43">
        <f t="shared" si="1"/>
        <v>0.15790941920639232</v>
      </c>
      <c r="K41" s="75">
        <f>+Data_b!D45</f>
        <v>3</v>
      </c>
      <c r="M41" s="244">
        <f>+Data_b!$D$13</f>
        <v>0</v>
      </c>
      <c r="O41" s="16" t="str">
        <f>+'Pre-scaling RPM'!O41</f>
        <v>€/(kWh/dia)/ano</v>
      </c>
      <c r="P41" s="43">
        <f t="shared" si="0"/>
        <v>0.47372825761917692</v>
      </c>
    </row>
    <row r="42" spans="5:16" ht="15" x14ac:dyDescent="0.25">
      <c r="E42" s="3"/>
      <c r="F42" s="24"/>
      <c r="G42" s="12" t="str">
        <f>+'Pre-scaling RPM'!G42</f>
        <v>Tarifa flexível mensal - capacidade mensal (abril a setembro)</v>
      </c>
      <c r="H42" s="16" t="str">
        <f>+'Pre-scaling RPM'!H42</f>
        <v>€/(kWh/dia)/ano</v>
      </c>
      <c r="I42" s="43">
        <f t="shared" si="1"/>
        <v>0.15790941920639232</v>
      </c>
      <c r="K42" s="75">
        <f>+Data_b!D46</f>
        <v>1.5</v>
      </c>
      <c r="M42" s="244">
        <f>+Data_b!$D$13</f>
        <v>0</v>
      </c>
      <c r="O42" s="16" t="str">
        <f>+'Pre-scaling RPM'!O42</f>
        <v>€/(kWh/dia)/ano</v>
      </c>
      <c r="P42" s="43">
        <f t="shared" si="0"/>
        <v>0.23686412880958846</v>
      </c>
    </row>
    <row r="43" spans="5:16" ht="15" x14ac:dyDescent="0.25">
      <c r="E43" s="3"/>
      <c r="F43" s="24"/>
      <c r="G43" s="12" t="str">
        <f>+'Pre-scaling RPM'!G43</f>
        <v>Tarifa flexível diária - capacidade diária (outubro a março)</v>
      </c>
      <c r="H43" s="16" t="str">
        <f>+'Pre-scaling RPM'!H43</f>
        <v>€/(kWh/dia)/ano</v>
      </c>
      <c r="I43" s="43">
        <f t="shared" si="1"/>
        <v>0.15790941920639232</v>
      </c>
      <c r="K43" s="75">
        <f>+Data_b!D47</f>
        <v>10</v>
      </c>
      <c r="M43" s="244">
        <f>+Data_b!$D$13</f>
        <v>0</v>
      </c>
      <c r="O43" s="16" t="str">
        <f>+'Pre-scaling RPM'!O43</f>
        <v>€/(kWh/dia)/ano</v>
      </c>
      <c r="P43" s="43">
        <f t="shared" si="0"/>
        <v>1.5790941920639232</v>
      </c>
    </row>
    <row r="44" spans="5:16" ht="15.75" thickBot="1" x14ac:dyDescent="0.3">
      <c r="E44" s="4"/>
      <c r="F44" s="25"/>
      <c r="G44" s="19" t="str">
        <f>+'Pre-scaling RPM'!G44</f>
        <v>Tarifa flexível diária - capacidade diária (abril a setembro)</v>
      </c>
      <c r="H44" s="18" t="str">
        <f>+'Pre-scaling RPM'!H44</f>
        <v>€/(kWh/dia)/ano</v>
      </c>
      <c r="I44" s="44">
        <f t="shared" si="1"/>
        <v>0.15790941920639232</v>
      </c>
      <c r="K44" s="76">
        <f>+Data_b!D48</f>
        <v>6</v>
      </c>
      <c r="M44" s="194">
        <f>+Data_b!$D$13</f>
        <v>0</v>
      </c>
      <c r="O44" s="18" t="str">
        <f>+'Pre-scaling RPM'!O44</f>
        <v>€/(kWh/dia)/ano</v>
      </c>
      <c r="P44" s="44">
        <f t="shared" si="0"/>
        <v>0.94745651523835384</v>
      </c>
    </row>
    <row r="45" spans="5:16" ht="15" x14ac:dyDescent="0.25"/>
    <row r="46" spans="5:16" ht="15" hidden="1" x14ac:dyDescent="0.25"/>
    <row r="47" spans="5:16" ht="15" hidden="1" x14ac:dyDescent="0.25"/>
    <row r="48" spans="5:16"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U44"/>
  <sheetViews>
    <sheetView showGridLines="0" topLeftCell="D1" zoomScale="90" zoomScaleNormal="90" workbookViewId="0">
      <selection activeCell="I42" sqref="I42"/>
    </sheetView>
  </sheetViews>
  <sheetFormatPr defaultColWidth="9.140625" defaultRowHeight="0" customHeight="1" zeroHeight="1" x14ac:dyDescent="0.25"/>
  <cols>
    <col min="1" max="1" width="9.140625" customWidth="1"/>
    <col min="2" max="2" width="11" customWidth="1"/>
    <col min="3" max="3" width="35.7109375" customWidth="1"/>
    <col min="4" max="4" width="64" bestFit="1" customWidth="1"/>
    <col min="5" max="5" width="20.140625" bestFit="1" customWidth="1"/>
    <col min="6" max="6" width="9.7109375" bestFit="1" customWidth="1"/>
    <col min="7" max="7" width="13.85546875" customWidth="1"/>
    <col min="8" max="8" width="2.7109375" customWidth="1"/>
    <col min="9" max="9" width="22.7109375" bestFit="1" customWidth="1"/>
    <col min="10" max="10" width="13.85546875" customWidth="1"/>
    <col min="11" max="11" width="2.7109375" customWidth="1"/>
    <col min="12" max="12" width="27.5703125" bestFit="1" customWidth="1"/>
    <col min="13" max="13" width="13.85546875" customWidth="1"/>
    <col min="14" max="14" width="2.7109375" customWidth="1"/>
    <col min="15" max="15" width="22.42578125" bestFit="1" customWidth="1"/>
    <col min="16" max="16" width="2.7109375" customWidth="1"/>
    <col min="17" max="17" width="17.85546875" customWidth="1"/>
    <col min="18" max="18" width="13.85546875" customWidth="1"/>
    <col min="19" max="19" width="9.140625" customWidth="1"/>
    <col min="20" max="20" width="11.7109375" customWidth="1"/>
    <col min="21" max="21" width="13.85546875" customWidth="1"/>
  </cols>
  <sheetData>
    <row r="1" spans="2:21" ht="15" x14ac:dyDescent="0.25"/>
    <row r="2" spans="2:21" ht="15.75" thickBot="1" x14ac:dyDescent="0.3"/>
    <row r="3" spans="2:21" ht="15.75" thickBot="1" x14ac:dyDescent="0.3">
      <c r="E3" s="2" t="str">
        <f>+'Reference prices RPM'!E3</f>
        <v>Capacidades previstas</v>
      </c>
      <c r="F3" s="160"/>
      <c r="G3" s="82"/>
      <c r="I3" s="2" t="str">
        <f>+'Reference prices RPM'!I3</f>
        <v>Preços pré-escalamento</v>
      </c>
      <c r="J3" s="82"/>
      <c r="L3" s="2" t="str">
        <f>+'Reference prices RPM'!L3</f>
        <v>Receitas, pré-escalamento</v>
      </c>
      <c r="M3" s="82"/>
      <c r="O3" s="28" t="str">
        <f>+'Reference prices RPM'!O3</f>
        <v>Fatores de escalamento</v>
      </c>
      <c r="Q3" s="2" t="str">
        <f>+'Reference prices RPM'!Q3</f>
        <v>Preços de referência</v>
      </c>
      <c r="R3" s="82"/>
      <c r="T3" s="2" t="str">
        <f>+'Reference prices RPM'!T3</f>
        <v>Receitas, pós-escalamento</v>
      </c>
      <c r="U3" s="82"/>
    </row>
    <row r="4" spans="2:21" ht="15.75" thickBot="1" x14ac:dyDescent="0.3">
      <c r="C4" s="8" t="str">
        <f>+'Reference prices RPM'!C4</f>
        <v>Ponto</v>
      </c>
      <c r="D4" s="8" t="str">
        <f>+'Reference prices RPM'!D4</f>
        <v>Produto</v>
      </c>
      <c r="E4" s="8" t="str">
        <f>+'Reference prices RPM'!E4</f>
        <v>Unidade</v>
      </c>
      <c r="F4" s="8" t="str">
        <f>+'Reference prices RPM'!F4</f>
        <v># meses</v>
      </c>
      <c r="G4" s="48"/>
      <c r="I4" s="271" t="str">
        <f>+'Reference prices RPM'!I4</f>
        <v>Unidade</v>
      </c>
      <c r="J4" s="272"/>
      <c r="L4" s="271" t="str">
        <f>+'Reference prices RPM'!L4</f>
        <v>Unidade</v>
      </c>
      <c r="M4" s="272"/>
      <c r="O4" s="55" t="str">
        <f>+'Reference prices RPM'!O4</f>
        <v>Multiplicativo</v>
      </c>
      <c r="Q4" s="271" t="str">
        <f>+'Reference prices RPM'!Q4</f>
        <v>Unidade</v>
      </c>
      <c r="R4" s="272"/>
      <c r="S4" s="276"/>
      <c r="T4" s="271" t="str">
        <f>+'Reference prices RPM'!T4</f>
        <v>Unidade</v>
      </c>
      <c r="U4" s="272"/>
    </row>
    <row r="5" spans="2:21" ht="15" x14ac:dyDescent="0.25">
      <c r="B5" s="5" t="str">
        <f>+'Reference prices RPM'!B5</f>
        <v>Entrada</v>
      </c>
      <c r="C5" s="23" t="str">
        <f>+'Reference prices RPM'!C5</f>
        <v>VIP</v>
      </c>
      <c r="D5" s="14" t="str">
        <f>+'Reference prices RPM'!D5</f>
        <v>Anual</v>
      </c>
      <c r="E5" s="15" t="str">
        <f>+'Reference prices RPM'!E5</f>
        <v>kWh/dia</v>
      </c>
      <c r="F5" s="265">
        <f>Data_b!$D$53</f>
        <v>12</v>
      </c>
      <c r="G5" s="58">
        <f>+Data_a!K6</f>
        <v>108634638.44687434</v>
      </c>
      <c r="I5" s="49" t="str">
        <f>+'Reference prices RPM'!I5</f>
        <v>€/(kWh/dia)/ano</v>
      </c>
      <c r="J5" s="46">
        <f>+'Pre-scaling CWD'!P14</f>
        <v>0.2354362972291926</v>
      </c>
      <c r="L5" s="49" t="s">
        <v>41</v>
      </c>
      <c r="M5" s="58">
        <f>+G5*J5*F5/12</f>
        <v>25576537.026764181</v>
      </c>
      <c r="O5" s="85">
        <f>$O$38</f>
        <v>0.91419444186296761</v>
      </c>
      <c r="Q5" s="49" t="str">
        <f>+'Reference prices RPM'!Q5</f>
        <v>€/(kWh/dia)/ano</v>
      </c>
      <c r="R5" s="46">
        <f>+J5*O5</f>
        <v>0.21523455433972546</v>
      </c>
      <c r="S5" s="277"/>
      <c r="T5" s="49" t="s">
        <v>41</v>
      </c>
      <c r="U5" s="58">
        <f>+G5*R5*F5/12</f>
        <v>23381927.9919702</v>
      </c>
    </row>
    <row r="6" spans="2:21" ht="15" x14ac:dyDescent="0.25">
      <c r="B6" s="6"/>
      <c r="C6" s="24"/>
      <c r="D6" s="12" t="str">
        <f>+'Reference prices RPM'!D6</f>
        <v>Trimestral</v>
      </c>
      <c r="E6" s="12" t="str">
        <f>+'Reference prices RPM'!E6</f>
        <v>kWh/dia</v>
      </c>
      <c r="F6" s="266">
        <f>Data_b!$D$53</f>
        <v>12</v>
      </c>
      <c r="G6" s="60">
        <f>+Data_a!K7</f>
        <v>4065019.2935321573</v>
      </c>
      <c r="I6" s="16" t="str">
        <f>+'Reference prices RPM'!I6</f>
        <v>€/(kWh/dia)/ano</v>
      </c>
      <c r="J6" s="43">
        <f>+'Pre-scaling CWD'!P15</f>
        <v>0.30606718639795039</v>
      </c>
      <c r="L6" s="16" t="s">
        <v>41</v>
      </c>
      <c r="M6" s="60">
        <f t="shared" ref="M6:M35" si="0">+G6*J6*F6/12</f>
        <v>1244169.0178247713</v>
      </c>
      <c r="O6" s="86">
        <f t="shared" ref="O6:O16" si="1">$O$38</f>
        <v>0.91419444186296761</v>
      </c>
      <c r="Q6" s="16" t="str">
        <f>+'Reference prices RPM'!Q6</f>
        <v>€/(kWh/dia)/ano</v>
      </c>
      <c r="R6" s="43">
        <f t="shared" ref="R6:R35" si="2">+J6*O6</f>
        <v>0.27980492064164314</v>
      </c>
      <c r="S6" s="277"/>
      <c r="T6" s="16" t="s">
        <v>41</v>
      </c>
      <c r="U6" s="60">
        <f t="shared" ref="U6:U35" si="3">+G6*R6*F6/12</f>
        <v>1137412.4008335136</v>
      </c>
    </row>
    <row r="7" spans="2:21" ht="15" x14ac:dyDescent="0.25">
      <c r="B7" s="6"/>
      <c r="C7" s="24"/>
      <c r="D7" s="12" t="str">
        <f>+'Reference prices RPM'!D7</f>
        <v>Mensal</v>
      </c>
      <c r="E7" s="12" t="str">
        <f>+'Reference prices RPM'!E7</f>
        <v>kWh/dia</v>
      </c>
      <c r="F7" s="266">
        <f>Data_b!$D$53</f>
        <v>12</v>
      </c>
      <c r="G7" s="60">
        <f>+Data_a!K8</f>
        <v>3435899.1431083134</v>
      </c>
      <c r="I7" s="16" t="str">
        <f>+'Reference prices RPM'!I7</f>
        <v>€/(kWh/dia)/ano</v>
      </c>
      <c r="J7" s="43">
        <f>+'Pre-scaling CWD'!P16</f>
        <v>0.35315444584378891</v>
      </c>
      <c r="L7" s="16" t="s">
        <v>41</v>
      </c>
      <c r="M7" s="60">
        <f t="shared" si="0"/>
        <v>1213403.0578595656</v>
      </c>
      <c r="O7" s="86">
        <f t="shared" si="1"/>
        <v>0.91419444186296761</v>
      </c>
      <c r="Q7" s="16" t="str">
        <f>+'Reference prices RPM'!Q7</f>
        <v>€/(kWh/dia)/ano</v>
      </c>
      <c r="R7" s="43">
        <f t="shared" si="2"/>
        <v>0.32285183150958824</v>
      </c>
      <c r="S7" s="277"/>
      <c r="T7" s="16" t="s">
        <v>41</v>
      </c>
      <c r="U7" s="60">
        <f t="shared" si="3"/>
        <v>1109286.3312347438</v>
      </c>
    </row>
    <row r="8" spans="2:21" ht="15" x14ac:dyDescent="0.25">
      <c r="B8" s="6"/>
      <c r="C8" s="24"/>
      <c r="D8" s="12" t="str">
        <f>+'Reference prices RPM'!D8</f>
        <v>Diário</v>
      </c>
      <c r="E8" s="12" t="str">
        <f>+'Reference prices RPM'!E8</f>
        <v>kWh/dia</v>
      </c>
      <c r="F8" s="266">
        <f>Data_b!$D$53</f>
        <v>12</v>
      </c>
      <c r="G8" s="60">
        <f>+Data_a!K9</f>
        <v>6718461.0457212087</v>
      </c>
      <c r="I8" s="16" t="str">
        <f>+'Reference prices RPM'!I8</f>
        <v>€/(kWh/dia)/ano</v>
      </c>
      <c r="J8" s="43">
        <f>+'Pre-scaling CWD'!P17</f>
        <v>0.4708725944583852</v>
      </c>
      <c r="L8" s="16" t="s">
        <v>41</v>
      </c>
      <c r="M8" s="60">
        <f t="shared" si="0"/>
        <v>3163539.1833663411</v>
      </c>
      <c r="O8" s="86">
        <f t="shared" si="1"/>
        <v>0.91419444186296761</v>
      </c>
      <c r="Q8" s="16" t="str">
        <f>+'Reference prices RPM'!Q8</f>
        <v>€/(kWh/dia)/ano</v>
      </c>
      <c r="R8" s="43">
        <f t="shared" si="2"/>
        <v>0.43046910867945093</v>
      </c>
      <c r="S8" s="277"/>
      <c r="T8" s="16" t="s">
        <v>41</v>
      </c>
      <c r="U8" s="60">
        <f t="shared" si="3"/>
        <v>2892089.9380492209</v>
      </c>
    </row>
    <row r="9" spans="2:21" ht="15.75" thickBot="1" x14ac:dyDescent="0.3">
      <c r="B9" s="6"/>
      <c r="C9" s="25"/>
      <c r="D9" s="19" t="str">
        <f>+'Reference prices RPM'!D9</f>
        <v>Intradiário</v>
      </c>
      <c r="E9" s="19" t="str">
        <f>+'Reference prices RPM'!E9</f>
        <v>kWh/h</v>
      </c>
      <c r="F9" s="267">
        <f>Data_b!$D$53</f>
        <v>12</v>
      </c>
      <c r="G9" s="62">
        <f>+Data_a!K10</f>
        <v>0</v>
      </c>
      <c r="I9" s="18" t="str">
        <f>+'Reference prices RPM'!I9</f>
        <v>€/(kWh/h)/ano</v>
      </c>
      <c r="J9" s="44">
        <f>+'Pre-scaling CWD'!P18</f>
        <v>12.43103649370137</v>
      </c>
      <c r="L9" s="18" t="s">
        <v>41</v>
      </c>
      <c r="M9" s="62">
        <f t="shared" si="0"/>
        <v>0</v>
      </c>
      <c r="O9" s="87">
        <f t="shared" si="1"/>
        <v>0.91419444186296761</v>
      </c>
      <c r="Q9" s="18" t="str">
        <f>+'Reference prices RPM'!Q9</f>
        <v>€/(kWh/h)/ano</v>
      </c>
      <c r="R9" s="44">
        <f t="shared" si="2"/>
        <v>11.364384469137507</v>
      </c>
      <c r="S9" s="277"/>
      <c r="T9" s="18" t="s">
        <v>41</v>
      </c>
      <c r="U9" s="62">
        <f t="shared" si="3"/>
        <v>0</v>
      </c>
    </row>
    <row r="10" spans="2:21" ht="15" x14ac:dyDescent="0.25">
      <c r="B10" s="6"/>
      <c r="C10" s="23" t="str">
        <f>+'Reference prices RPM'!C10</f>
        <v>Terminal GNL</v>
      </c>
      <c r="D10" s="14" t="str">
        <f>+'Reference prices RPM'!D10</f>
        <v>Anual</v>
      </c>
      <c r="E10" s="15" t="str">
        <f>+'Reference prices RPM'!E10</f>
        <v>kWh/dia</v>
      </c>
      <c r="F10" s="268">
        <f>Data_b!$D$53</f>
        <v>12</v>
      </c>
      <c r="G10" s="58">
        <f>+Data_a!K11</f>
        <v>62256543.535636216</v>
      </c>
      <c r="I10" s="49" t="str">
        <f>+'Reference prices RPM'!I10</f>
        <v>€/(kWh/dia)/ano</v>
      </c>
      <c r="J10" s="46">
        <f>+'Pre-scaling CWD'!P19</f>
        <v>0.21913630374404791</v>
      </c>
      <c r="L10" s="49" t="s">
        <v>41</v>
      </c>
      <c r="M10" s="58">
        <f t="shared" si="0"/>
        <v>13642668.834279722</v>
      </c>
      <c r="O10" s="85">
        <f t="shared" si="1"/>
        <v>0.91419444186296761</v>
      </c>
      <c r="Q10" s="49" t="str">
        <f>+'Reference prices RPM'!Q10</f>
        <v>€/(kWh/dia)/ano</v>
      </c>
      <c r="R10" s="46">
        <f t="shared" si="2"/>
        <v>0.20033319089320362</v>
      </c>
      <c r="S10" s="277"/>
      <c r="T10" s="49" t="s">
        <v>41</v>
      </c>
      <c r="U10" s="58">
        <f t="shared" si="3"/>
        <v>12472052.02047565</v>
      </c>
    </row>
    <row r="11" spans="2:21" ht="15" x14ac:dyDescent="0.25">
      <c r="B11" s="6"/>
      <c r="C11" s="24"/>
      <c r="D11" s="12" t="str">
        <f>+'Reference prices RPM'!D11</f>
        <v>Trimestral</v>
      </c>
      <c r="E11" s="12" t="str">
        <f>+'Reference prices RPM'!E11</f>
        <v>kWh/dia</v>
      </c>
      <c r="F11" s="266">
        <f>Data_b!$D$53</f>
        <v>12</v>
      </c>
      <c r="G11" s="60">
        <f>+Data_a!K12</f>
        <v>32755.828447150161</v>
      </c>
      <c r="I11" s="16" t="str">
        <f>+'Reference prices RPM'!I11</f>
        <v>€/(kWh/dia)/ano</v>
      </c>
      <c r="J11" s="43">
        <f>+'Pre-scaling CWD'!P20</f>
        <v>0.28487719486726232</v>
      </c>
      <c r="L11" s="16" t="s">
        <v>41</v>
      </c>
      <c r="M11" s="60">
        <f t="shared" si="0"/>
        <v>9331.3885235774105</v>
      </c>
      <c r="O11" s="86">
        <f t="shared" si="1"/>
        <v>0.91419444186296761</v>
      </c>
      <c r="Q11" s="16" t="str">
        <f>+'Reference prices RPM'!Q11</f>
        <v>€/(kWh/dia)/ano</v>
      </c>
      <c r="R11" s="43">
        <f t="shared" si="2"/>
        <v>0.26043314816116475</v>
      </c>
      <c r="S11" s="277"/>
      <c r="T11" s="16" t="s">
        <v>41</v>
      </c>
      <c r="U11" s="60">
        <f t="shared" si="3"/>
        <v>8530.7035231183527</v>
      </c>
    </row>
    <row r="12" spans="2:21" ht="15" x14ac:dyDescent="0.25">
      <c r="B12" s="6"/>
      <c r="C12" s="24"/>
      <c r="D12" s="12" t="str">
        <f>+'Reference prices RPM'!D12</f>
        <v>Mensal</v>
      </c>
      <c r="E12" s="12" t="str">
        <f>+'Reference prices RPM'!E12</f>
        <v>kWh/dia</v>
      </c>
      <c r="F12" s="266">
        <f>Data_b!$D$53</f>
        <v>12</v>
      </c>
      <c r="G12" s="60">
        <f>+Data_a!K13</f>
        <v>5651360.8703220282</v>
      </c>
      <c r="I12" s="16" t="str">
        <f>+'Reference prices RPM'!I12</f>
        <v>€/(kWh/dia)/ano</v>
      </c>
      <c r="J12" s="43">
        <f>+'Pre-scaling CWD'!P21</f>
        <v>0.32870445561607187</v>
      </c>
      <c r="L12" s="16" t="s">
        <v>41</v>
      </c>
      <c r="M12" s="60">
        <f t="shared" si="0"/>
        <v>1857627.4983691724</v>
      </c>
      <c r="O12" s="86">
        <f t="shared" si="1"/>
        <v>0.91419444186296761</v>
      </c>
      <c r="Q12" s="16" t="str">
        <f>+'Reference prices RPM'!Q12</f>
        <v>€/(kWh/dia)/ano</v>
      </c>
      <c r="R12" s="43">
        <f t="shared" si="2"/>
        <v>0.30049978633980545</v>
      </c>
      <c r="S12" s="277"/>
      <c r="T12" s="16" t="s">
        <v>41</v>
      </c>
      <c r="U12" s="60">
        <f t="shared" si="3"/>
        <v>1698232.7340609066</v>
      </c>
    </row>
    <row r="13" spans="2:21" ht="15" x14ac:dyDescent="0.25">
      <c r="B13" s="6"/>
      <c r="C13" s="24"/>
      <c r="D13" s="12" t="str">
        <f>+'Reference prices RPM'!D13</f>
        <v>Diário</v>
      </c>
      <c r="E13" s="12" t="str">
        <f>+'Reference prices RPM'!E13</f>
        <v>kWh/dia</v>
      </c>
      <c r="F13" s="266">
        <f>Data_b!$D$53</f>
        <v>12</v>
      </c>
      <c r="G13" s="60">
        <f>+Data_a!K14</f>
        <v>9285700.1460032556</v>
      </c>
      <c r="I13" s="16" t="str">
        <f>+'Reference prices RPM'!I13</f>
        <v>€/(kWh/dia)/ano</v>
      </c>
      <c r="J13" s="43">
        <f>+'Pre-scaling CWD'!P22</f>
        <v>0.43827260748809582</v>
      </c>
      <c r="L13" s="16" t="s">
        <v>41</v>
      </c>
      <c r="M13" s="60">
        <f t="shared" si="0"/>
        <v>4069668.0153414388</v>
      </c>
      <c r="O13" s="86">
        <f t="shared" si="1"/>
        <v>0.91419444186296761</v>
      </c>
      <c r="Q13" s="16" t="str">
        <f>+'Reference prices RPM'!Q13</f>
        <v>€/(kWh/dia)/ano</v>
      </c>
      <c r="R13" s="43">
        <f t="shared" si="2"/>
        <v>0.40066638178640723</v>
      </c>
      <c r="S13" s="277"/>
      <c r="T13" s="16" t="s">
        <v>41</v>
      </c>
      <c r="U13" s="60">
        <f t="shared" si="3"/>
        <v>3720467.8798526376</v>
      </c>
    </row>
    <row r="14" spans="2:21" ht="15.75" thickBot="1" x14ac:dyDescent="0.3">
      <c r="B14" s="6"/>
      <c r="C14" s="25"/>
      <c r="D14" s="19" t="str">
        <f>+'Reference prices RPM'!D14</f>
        <v>Intradiário</v>
      </c>
      <c r="E14" s="19" t="str">
        <f>+'Reference prices RPM'!E14</f>
        <v>kWh/h</v>
      </c>
      <c r="F14" s="267">
        <f>Data_b!$D$53</f>
        <v>12</v>
      </c>
      <c r="G14" s="62">
        <f>+Data_a!K15</f>
        <v>0</v>
      </c>
      <c r="I14" s="18" t="str">
        <f>+'Reference prices RPM'!I14</f>
        <v>€/(kWh/h)/ano</v>
      </c>
      <c r="J14" s="44">
        <f>+'Pre-scaling CWD'!P23</f>
        <v>11.570396837685731</v>
      </c>
      <c r="L14" s="18" t="s">
        <v>41</v>
      </c>
      <c r="M14" s="62">
        <f t="shared" si="0"/>
        <v>0</v>
      </c>
      <c r="O14" s="87">
        <f t="shared" si="1"/>
        <v>0.91419444186296761</v>
      </c>
      <c r="Q14" s="18" t="str">
        <f>+'Reference prices RPM'!Q14</f>
        <v>€/(kWh/h)/ano</v>
      </c>
      <c r="R14" s="44">
        <f t="shared" si="2"/>
        <v>10.577592479161153</v>
      </c>
      <c r="S14" s="277"/>
      <c r="T14" s="18" t="s">
        <v>41</v>
      </c>
      <c r="U14" s="62">
        <f t="shared" si="3"/>
        <v>0</v>
      </c>
    </row>
    <row r="15" spans="2:21" ht="15" x14ac:dyDescent="0.25">
      <c r="B15" s="6"/>
      <c r="C15" s="23" t="str">
        <f>+'Reference prices RPM'!C15</f>
        <v>Armazenamento subterrâneo</v>
      </c>
      <c r="D15" s="14" t="str">
        <f>+'Reference prices RPM'!D15</f>
        <v>Diário</v>
      </c>
      <c r="E15" s="15" t="str">
        <f>+'Reference prices RPM'!E15</f>
        <v>kWh/dia</v>
      </c>
      <c r="F15" s="268">
        <f>Data_b!$D$53</f>
        <v>12</v>
      </c>
      <c r="G15" s="58">
        <f>+Data_a!K16</f>
        <v>4894243.642328768</v>
      </c>
      <c r="I15" s="49" t="str">
        <f>+'Reference prices RPM'!I15</f>
        <v>€/(kWh/dia)/ano</v>
      </c>
      <c r="J15" s="46">
        <f>+'Pre-scaling CWD'!P24</f>
        <v>0</v>
      </c>
      <c r="L15" s="49" t="s">
        <v>41</v>
      </c>
      <c r="M15" s="58">
        <f t="shared" si="0"/>
        <v>0</v>
      </c>
      <c r="O15" s="85">
        <f t="shared" si="1"/>
        <v>0.91419444186296761</v>
      </c>
      <c r="Q15" s="49" t="str">
        <f>+'Reference prices RPM'!Q15</f>
        <v>€/(kWh/dia)/ano</v>
      </c>
      <c r="R15" s="46">
        <f t="shared" si="2"/>
        <v>0</v>
      </c>
      <c r="S15" s="277"/>
      <c r="T15" s="49" t="s">
        <v>41</v>
      </c>
      <c r="U15" s="58">
        <f t="shared" si="3"/>
        <v>0</v>
      </c>
    </row>
    <row r="16" spans="2:21" ht="15.75" thickBot="1" x14ac:dyDescent="0.3">
      <c r="B16" s="7"/>
      <c r="C16" s="25"/>
      <c r="D16" s="19" t="str">
        <f>+'Reference prices RPM'!D16</f>
        <v>Intradiário</v>
      </c>
      <c r="E16" s="19" t="str">
        <f>+'Reference prices RPM'!E16</f>
        <v>kWh/h</v>
      </c>
      <c r="F16" s="267">
        <f>Data_b!$D$53</f>
        <v>12</v>
      </c>
      <c r="G16" s="62">
        <f>+Data_a!K17</f>
        <v>0</v>
      </c>
      <c r="I16" s="18" t="str">
        <f>+'Reference prices RPM'!I16</f>
        <v>€/(kWh/h)/ano</v>
      </c>
      <c r="J16" s="44">
        <f>+'Pre-scaling CWD'!P25</f>
        <v>0</v>
      </c>
      <c r="L16" s="18" t="s">
        <v>41</v>
      </c>
      <c r="M16" s="62">
        <f t="shared" si="0"/>
        <v>0</v>
      </c>
      <c r="O16" s="87">
        <f t="shared" si="1"/>
        <v>0.91419444186296761</v>
      </c>
      <c r="Q16" s="18" t="str">
        <f>+'Reference prices RPM'!Q16</f>
        <v>€/(kWh/h)/ano</v>
      </c>
      <c r="R16" s="44">
        <f t="shared" si="2"/>
        <v>0</v>
      </c>
      <c r="S16" s="277"/>
      <c r="T16" s="18" t="s">
        <v>41</v>
      </c>
      <c r="U16" s="62">
        <f t="shared" si="3"/>
        <v>0</v>
      </c>
    </row>
    <row r="17" spans="2:21" ht="15" x14ac:dyDescent="0.25">
      <c r="B17" s="5" t="str">
        <f>+'Reference prices RPM'!B17</f>
        <v>Saída</v>
      </c>
      <c r="C17" s="23" t="str">
        <f>+'Reference prices RPM'!C17</f>
        <v>VIP</v>
      </c>
      <c r="D17" s="14" t="str">
        <f>+'Reference prices RPM'!D17</f>
        <v>Anual</v>
      </c>
      <c r="E17" s="15" t="str">
        <f>+'Reference prices RPM'!E17</f>
        <v>kWh/dia</v>
      </c>
      <c r="F17" s="268">
        <f>Data_b!$D$53</f>
        <v>12</v>
      </c>
      <c r="G17" s="58">
        <f>+Data_a!K18</f>
        <v>0</v>
      </c>
      <c r="I17" s="49" t="str">
        <f>+'Reference prices RPM'!I17</f>
        <v>€/(kWh/dia)/ano</v>
      </c>
      <c r="J17" s="46">
        <f>+'Pre-scaling CWD'!P26</f>
        <v>0.22187161265432789</v>
      </c>
      <c r="L17" s="49" t="s">
        <v>41</v>
      </c>
      <c r="M17" s="58">
        <f t="shared" si="0"/>
        <v>0</v>
      </c>
      <c r="O17" s="85">
        <f>$O$39</f>
        <v>0.85307751758957118</v>
      </c>
      <c r="Q17" s="49" t="str">
        <f>+'Reference prices RPM'!Q17</f>
        <v>€/(kWh/dia)/ano</v>
      </c>
      <c r="R17" s="46">
        <f t="shared" si="2"/>
        <v>0.18927368454674892</v>
      </c>
      <c r="S17" s="277"/>
      <c r="T17" s="49" t="s">
        <v>41</v>
      </c>
      <c r="U17" s="58">
        <f t="shared" si="3"/>
        <v>0</v>
      </c>
    </row>
    <row r="18" spans="2:21" ht="15" x14ac:dyDescent="0.25">
      <c r="B18" s="3"/>
      <c r="C18" s="24"/>
      <c r="D18" s="12" t="str">
        <f>+'Reference prices RPM'!D18</f>
        <v>Trimestral</v>
      </c>
      <c r="E18" s="12" t="str">
        <f>+'Reference prices RPM'!E18</f>
        <v>kWh/dia</v>
      </c>
      <c r="F18" s="266">
        <f>Data_b!$D$53</f>
        <v>12</v>
      </c>
      <c r="G18" s="60">
        <f>+Data_a!K19</f>
        <v>0</v>
      </c>
      <c r="I18" s="16" t="str">
        <f>+'Reference prices RPM'!I18</f>
        <v>€/(kWh/dia)/ano</v>
      </c>
      <c r="J18" s="43">
        <f>+'Pre-scaling CWD'!P27</f>
        <v>0.28843309645062626</v>
      </c>
      <c r="L18" s="16" t="s">
        <v>41</v>
      </c>
      <c r="M18" s="60">
        <f t="shared" si="0"/>
        <v>0</v>
      </c>
      <c r="O18" s="86">
        <f t="shared" ref="O18:O35" si="4">$O$39</f>
        <v>0.85307751758957118</v>
      </c>
      <c r="Q18" s="16" t="str">
        <f>+'Reference prices RPM'!Q18</f>
        <v>€/(kWh/dia)/ano</v>
      </c>
      <c r="R18" s="43">
        <f t="shared" si="2"/>
        <v>0.24605578991077359</v>
      </c>
      <c r="S18" s="277"/>
      <c r="T18" s="16" t="s">
        <v>41</v>
      </c>
      <c r="U18" s="60">
        <f t="shared" si="3"/>
        <v>0</v>
      </c>
    </row>
    <row r="19" spans="2:21" ht="15" x14ac:dyDescent="0.25">
      <c r="B19" s="3"/>
      <c r="C19" s="24"/>
      <c r="D19" s="12" t="str">
        <f>+'Reference prices RPM'!D19</f>
        <v>Mensal</v>
      </c>
      <c r="E19" s="12" t="str">
        <f>+'Reference prices RPM'!E19</f>
        <v>kWh/dia</v>
      </c>
      <c r="F19" s="266">
        <f>Data_b!$D$53</f>
        <v>12</v>
      </c>
      <c r="G19" s="60">
        <f>+Data_a!K20</f>
        <v>0</v>
      </c>
      <c r="I19" s="16" t="str">
        <f>+'Reference prices RPM'!I19</f>
        <v>€/(kWh/dia)/ano</v>
      </c>
      <c r="J19" s="43">
        <f>+'Pre-scaling CWD'!P28</f>
        <v>0.33280741898149185</v>
      </c>
      <c r="L19" s="16" t="s">
        <v>41</v>
      </c>
      <c r="M19" s="60">
        <f t="shared" si="0"/>
        <v>0</v>
      </c>
      <c r="O19" s="86">
        <f t="shared" si="4"/>
        <v>0.85307751758957118</v>
      </c>
      <c r="Q19" s="16" t="str">
        <f>+'Reference prices RPM'!Q19</f>
        <v>€/(kWh/dia)/ano</v>
      </c>
      <c r="R19" s="43">
        <f t="shared" si="2"/>
        <v>0.28391052682012341</v>
      </c>
      <c r="S19" s="277"/>
      <c r="T19" s="16" t="s">
        <v>41</v>
      </c>
      <c r="U19" s="60">
        <f t="shared" si="3"/>
        <v>0</v>
      </c>
    </row>
    <row r="20" spans="2:21" ht="15" x14ac:dyDescent="0.25">
      <c r="B20" s="3"/>
      <c r="C20" s="24"/>
      <c r="D20" s="12" t="str">
        <f>+'Reference prices RPM'!D20</f>
        <v>Diário</v>
      </c>
      <c r="E20" s="12" t="str">
        <f>+'Reference prices RPM'!E20</f>
        <v>kWh/dia</v>
      </c>
      <c r="F20" s="266">
        <f>Data_b!$D$53</f>
        <v>12</v>
      </c>
      <c r="G20" s="60">
        <f>+Data_a!K21</f>
        <v>135109.3512978142</v>
      </c>
      <c r="I20" s="16" t="str">
        <f>+'Reference prices RPM'!I20</f>
        <v>€/(kWh/dia)/ano</v>
      </c>
      <c r="J20" s="43">
        <f>+'Pre-scaling CWD'!P29</f>
        <v>0.44374322530865579</v>
      </c>
      <c r="L20" s="16" t="s">
        <v>41</v>
      </c>
      <c r="M20" s="60">
        <f t="shared" si="0"/>
        <v>59953.859314252295</v>
      </c>
      <c r="O20" s="86">
        <f t="shared" si="4"/>
        <v>0.85307751758957118</v>
      </c>
      <c r="Q20" s="16" t="str">
        <f>+'Reference prices RPM'!Q20</f>
        <v>€/(kWh/dia)/ano</v>
      </c>
      <c r="R20" s="43">
        <f t="shared" si="2"/>
        <v>0.37854736909349784</v>
      </c>
      <c r="S20" s="277"/>
      <c r="T20" s="16" t="s">
        <v>41</v>
      </c>
      <c r="U20" s="60">
        <f t="shared" si="3"/>
        <v>51145.28947371673</v>
      </c>
    </row>
    <row r="21" spans="2:21" ht="15.75" thickBot="1" x14ac:dyDescent="0.3">
      <c r="B21" s="3"/>
      <c r="C21" s="25"/>
      <c r="D21" s="19" t="str">
        <f>+'Reference prices RPM'!D21</f>
        <v>Intradiário</v>
      </c>
      <c r="E21" s="19" t="str">
        <f>+'Reference prices RPM'!E21</f>
        <v>kWh/h</v>
      </c>
      <c r="F21" s="267">
        <f>Data_b!$D$53</f>
        <v>12</v>
      </c>
      <c r="G21" s="62">
        <f>+Data_a!K22</f>
        <v>0</v>
      </c>
      <c r="I21" s="18" t="str">
        <f>+'Reference prices RPM'!I21</f>
        <v>€/(kWh/h)/ano</v>
      </c>
      <c r="J21" s="44">
        <f>+'Pre-scaling CWD'!P30</f>
        <v>11.714821148148514</v>
      </c>
      <c r="L21" s="18" t="s">
        <v>41</v>
      </c>
      <c r="M21" s="62">
        <f t="shared" si="0"/>
        <v>0</v>
      </c>
      <c r="O21" s="87">
        <f t="shared" si="4"/>
        <v>0.85307751758957118</v>
      </c>
      <c r="Q21" s="18" t="str">
        <f>+'Reference prices RPM'!Q21</f>
        <v>€/(kWh/h)/ano</v>
      </c>
      <c r="R21" s="44">
        <f t="shared" si="2"/>
        <v>9.9936505440683447</v>
      </c>
      <c r="S21" s="277"/>
      <c r="T21" s="18" t="s">
        <v>41</v>
      </c>
      <c r="U21" s="62">
        <f t="shared" si="3"/>
        <v>0</v>
      </c>
    </row>
    <row r="22" spans="2:21" ht="15" x14ac:dyDescent="0.25">
      <c r="B22" s="3"/>
      <c r="C22" s="23" t="str">
        <f>+'Reference prices RPM'!C22</f>
        <v>Terminal GNL</v>
      </c>
      <c r="D22" s="14" t="str">
        <f>+'Reference prices RPM'!D22</f>
        <v>Anual</v>
      </c>
      <c r="E22" s="15" t="str">
        <f>+'Reference prices RPM'!E22</f>
        <v>kWh/dia</v>
      </c>
      <c r="F22" s="268">
        <f>Data_b!$D$53</f>
        <v>12</v>
      </c>
      <c r="G22" s="58">
        <f>+Data_a!K23</f>
        <v>0</v>
      </c>
      <c r="I22" s="49" t="str">
        <f>+'Reference prices RPM'!I22</f>
        <v>€/(kWh/dia)/ano</v>
      </c>
      <c r="J22" s="46">
        <f>+'Pre-scaling CWD'!P31</f>
        <v>0.21823940890272323</v>
      </c>
      <c r="L22" s="49" t="s">
        <v>41</v>
      </c>
      <c r="M22" s="58">
        <f t="shared" si="0"/>
        <v>0</v>
      </c>
      <c r="O22" s="85">
        <f t="shared" si="4"/>
        <v>0.85307751758957118</v>
      </c>
      <c r="Q22" s="49" t="str">
        <f>+'Reference prices RPM'!Q22</f>
        <v>€/(kWh/dia)/ano</v>
      </c>
      <c r="R22" s="46">
        <f t="shared" si="2"/>
        <v>0.18617513318695048</v>
      </c>
      <c r="S22" s="277"/>
      <c r="T22" s="49" t="s">
        <v>41</v>
      </c>
      <c r="U22" s="58">
        <f t="shared" si="3"/>
        <v>0</v>
      </c>
    </row>
    <row r="23" spans="2:21" ht="15" x14ac:dyDescent="0.25">
      <c r="B23" s="3"/>
      <c r="C23" s="24"/>
      <c r="D23" s="12" t="str">
        <f>+'Reference prices RPM'!D23</f>
        <v>Trimestral</v>
      </c>
      <c r="E23" s="12" t="str">
        <f>+'Reference prices RPM'!E23</f>
        <v>kWh/dia</v>
      </c>
      <c r="F23" s="266">
        <f>Data_b!$D$53</f>
        <v>12</v>
      </c>
      <c r="G23" s="60">
        <f>+Data_a!K24</f>
        <v>0</v>
      </c>
      <c r="I23" s="16" t="str">
        <f>+'Reference prices RPM'!I23</f>
        <v>€/(kWh/dia)/ano</v>
      </c>
      <c r="J23" s="43">
        <f>+'Pre-scaling CWD'!P32</f>
        <v>0.28371123157354022</v>
      </c>
      <c r="L23" s="16" t="s">
        <v>41</v>
      </c>
      <c r="M23" s="60">
        <f t="shared" si="0"/>
        <v>0</v>
      </c>
      <c r="O23" s="86">
        <f t="shared" si="4"/>
        <v>0.85307751758957118</v>
      </c>
      <c r="Q23" s="16" t="str">
        <f>+'Reference prices RPM'!Q23</f>
        <v>€/(kWh/dia)/ano</v>
      </c>
      <c r="R23" s="43">
        <f t="shared" si="2"/>
        <v>0.24202767314303567</v>
      </c>
      <c r="S23" s="277"/>
      <c r="T23" s="16" t="s">
        <v>41</v>
      </c>
      <c r="U23" s="60">
        <f t="shared" si="3"/>
        <v>0</v>
      </c>
    </row>
    <row r="24" spans="2:21" ht="15" x14ac:dyDescent="0.25">
      <c r="B24" s="3"/>
      <c r="C24" s="24"/>
      <c r="D24" s="12" t="str">
        <f>+'Reference prices RPM'!D24</f>
        <v>Mensal</v>
      </c>
      <c r="E24" s="12" t="str">
        <f>+'Reference prices RPM'!E24</f>
        <v>kWh/dia</v>
      </c>
      <c r="F24" s="266">
        <f>Data_b!$D$53</f>
        <v>12</v>
      </c>
      <c r="G24" s="60">
        <f>+Data_a!K25</f>
        <v>0</v>
      </c>
      <c r="I24" s="16" t="str">
        <f>+'Reference prices RPM'!I24</f>
        <v>€/(kWh/dia)/ano</v>
      </c>
      <c r="J24" s="43">
        <f>+'Pre-scaling CWD'!P33</f>
        <v>0.32735911335408485</v>
      </c>
      <c r="L24" s="16" t="s">
        <v>41</v>
      </c>
      <c r="M24" s="60">
        <f t="shared" si="0"/>
        <v>0</v>
      </c>
      <c r="O24" s="86">
        <f t="shared" si="4"/>
        <v>0.85307751758957118</v>
      </c>
      <c r="Q24" s="16" t="str">
        <f>+'Reference prices RPM'!Q24</f>
        <v>€/(kWh/dia)/ano</v>
      </c>
      <c r="R24" s="43">
        <f t="shared" si="2"/>
        <v>0.27926269978042573</v>
      </c>
      <c r="S24" s="277"/>
      <c r="T24" s="16" t="s">
        <v>41</v>
      </c>
      <c r="U24" s="60">
        <f t="shared" si="3"/>
        <v>0</v>
      </c>
    </row>
    <row r="25" spans="2:21" ht="15" x14ac:dyDescent="0.25">
      <c r="B25" s="3"/>
      <c r="C25" s="24"/>
      <c r="D25" s="12" t="str">
        <f>+'Reference prices RPM'!D25</f>
        <v>Diário</v>
      </c>
      <c r="E25" s="12" t="str">
        <f>+'Reference prices RPM'!E25</f>
        <v>kWh/dia</v>
      </c>
      <c r="F25" s="266">
        <f>Data_b!$D$53</f>
        <v>12</v>
      </c>
      <c r="G25" s="60">
        <f>+Data_a!K26</f>
        <v>1445395.787909836</v>
      </c>
      <c r="I25" s="16" t="str">
        <f>+'Reference prices RPM'!I25</f>
        <v>€/(kWh/dia)/ano</v>
      </c>
      <c r="J25" s="43">
        <f>+'Pre-scaling CWD'!P34</f>
        <v>0.43647881780544645</v>
      </c>
      <c r="L25" s="16" t="s">
        <v>41</v>
      </c>
      <c r="M25" s="60">
        <f t="shared" si="0"/>
        <v>630884.64476785704</v>
      </c>
      <c r="O25" s="86">
        <f t="shared" si="4"/>
        <v>0.85307751758957118</v>
      </c>
      <c r="Q25" s="16" t="str">
        <f>+'Reference prices RPM'!Q25</f>
        <v>€/(kWh/dia)/ano</v>
      </c>
      <c r="R25" s="43">
        <f t="shared" si="2"/>
        <v>0.37235026637390095</v>
      </c>
      <c r="S25" s="277"/>
      <c r="T25" s="16" t="s">
        <v>41</v>
      </c>
      <c r="U25" s="60">
        <f t="shared" si="3"/>
        <v>538193.50664394186</v>
      </c>
    </row>
    <row r="26" spans="2:21" ht="15.75" thickBot="1" x14ac:dyDescent="0.3">
      <c r="B26" s="3"/>
      <c r="C26" s="25"/>
      <c r="D26" s="19" t="str">
        <f>+'Reference prices RPM'!D26</f>
        <v>Intradiário</v>
      </c>
      <c r="E26" s="19" t="str">
        <f>+'Reference prices RPM'!E26</f>
        <v>kWh/h</v>
      </c>
      <c r="F26" s="267">
        <f>Data_b!$D$53</f>
        <v>12</v>
      </c>
      <c r="G26" s="62">
        <f>+Data_a!K27</f>
        <v>0</v>
      </c>
      <c r="I26" s="18" t="str">
        <f>+'Reference prices RPM'!I26</f>
        <v>€/(kWh/h)/ano</v>
      </c>
      <c r="J26" s="44">
        <f>+'Pre-scaling CWD'!P35</f>
        <v>11.523040790063789</v>
      </c>
      <c r="L26" s="18" t="s">
        <v>41</v>
      </c>
      <c r="M26" s="62">
        <f t="shared" si="0"/>
        <v>0</v>
      </c>
      <c r="O26" s="87">
        <f t="shared" si="4"/>
        <v>0.85307751758957118</v>
      </c>
      <c r="Q26" s="18" t="str">
        <f>+'Reference prices RPM'!Q26</f>
        <v>€/(kWh/h)/ano</v>
      </c>
      <c r="R26" s="44">
        <f t="shared" si="2"/>
        <v>9.8300470322709881</v>
      </c>
      <c r="S26" s="277"/>
      <c r="T26" s="18" t="s">
        <v>41</v>
      </c>
      <c r="U26" s="62">
        <f t="shared" si="3"/>
        <v>0</v>
      </c>
    </row>
    <row r="27" spans="2:21" ht="15" x14ac:dyDescent="0.25">
      <c r="B27" s="3"/>
      <c r="C27" s="23" t="str">
        <f>+'Reference prices RPM'!C27</f>
        <v>Armazenamento subterrâneo</v>
      </c>
      <c r="D27" s="14" t="str">
        <f>+'Reference prices RPM'!D27</f>
        <v>Diário</v>
      </c>
      <c r="E27" s="15" t="str">
        <f>+'Reference prices RPM'!E27</f>
        <v>kWh/dia</v>
      </c>
      <c r="F27" s="268">
        <f>Data_b!$D$53</f>
        <v>12</v>
      </c>
      <c r="G27" s="58">
        <f>+Data_a!K28</f>
        <v>4894243.642328768</v>
      </c>
      <c r="I27" s="49" t="str">
        <f>+'Reference prices RPM'!I27</f>
        <v>€/(kWh/dia)/ano</v>
      </c>
      <c r="J27" s="46">
        <f>+'Pre-scaling CWD'!P36</f>
        <v>0</v>
      </c>
      <c r="L27" s="49" t="s">
        <v>41</v>
      </c>
      <c r="M27" s="58">
        <f t="shared" si="0"/>
        <v>0</v>
      </c>
      <c r="O27" s="85">
        <f t="shared" si="4"/>
        <v>0.85307751758957118</v>
      </c>
      <c r="Q27" s="49" t="str">
        <f>+'Reference prices RPM'!Q27</f>
        <v>€/(kWh/dia)/ano</v>
      </c>
      <c r="R27" s="46">
        <f t="shared" si="2"/>
        <v>0</v>
      </c>
      <c r="S27" s="277"/>
      <c r="T27" s="49" t="s">
        <v>41</v>
      </c>
      <c r="U27" s="58">
        <f t="shared" si="3"/>
        <v>0</v>
      </c>
    </row>
    <row r="28" spans="2:21" ht="15.75" thickBot="1" x14ac:dyDescent="0.3">
      <c r="B28" s="3"/>
      <c r="C28" s="25"/>
      <c r="D28" s="19" t="str">
        <f>+'Reference prices RPM'!D28</f>
        <v>Intradiário</v>
      </c>
      <c r="E28" s="19" t="str">
        <f>+'Reference prices RPM'!E28</f>
        <v>kWh/h</v>
      </c>
      <c r="F28" s="267">
        <f>Data_b!$D$53</f>
        <v>12</v>
      </c>
      <c r="G28" s="62">
        <f>+Data_a!K29</f>
        <v>0</v>
      </c>
      <c r="I28" s="18" t="str">
        <f>+'Reference prices RPM'!I28</f>
        <v>€/(kWh/h)/ano</v>
      </c>
      <c r="J28" s="44">
        <f>+'Pre-scaling CWD'!P37</f>
        <v>0</v>
      </c>
      <c r="L28" s="18" t="s">
        <v>41</v>
      </c>
      <c r="M28" s="62">
        <f t="shared" si="0"/>
        <v>0</v>
      </c>
      <c r="O28" s="87">
        <f t="shared" si="4"/>
        <v>0.85307751758957118</v>
      </c>
      <c r="Q28" s="18" t="str">
        <f>+'Reference prices RPM'!Q28</f>
        <v>€/(kWh/h)/ano</v>
      </c>
      <c r="R28" s="44">
        <f t="shared" si="2"/>
        <v>0</v>
      </c>
      <c r="S28" s="277"/>
      <c r="T28" s="18" t="s">
        <v>41</v>
      </c>
      <c r="U28" s="62">
        <f t="shared" si="3"/>
        <v>0</v>
      </c>
    </row>
    <row r="29" spans="2:21" ht="15.75" thickBot="1" x14ac:dyDescent="0.3">
      <c r="B29" s="3"/>
      <c r="C29" s="21" t="str">
        <f>+'Reference prices RPM'!C29</f>
        <v>Redes de distribuição e Clientes em AP</v>
      </c>
      <c r="D29" s="22" t="str">
        <f>+'Reference prices RPM'!D29</f>
        <v>Longas utilizações</v>
      </c>
      <c r="E29" s="22" t="str">
        <f>+'Reference prices RPM'!E29</f>
        <v>kWh/dia</v>
      </c>
      <c r="F29" s="269">
        <f>Data_b!$D$53</f>
        <v>12</v>
      </c>
      <c r="G29" s="64">
        <f>+Data_a!K30</f>
        <v>176613219.52500001</v>
      </c>
      <c r="I29" s="21" t="str">
        <f>+'Reference prices RPM'!I29</f>
        <v>€/(kWh/dia)/ano</v>
      </c>
      <c r="J29" s="73">
        <f>+'Pre-scaling CWD'!P38</f>
        <v>0.15790941920639232</v>
      </c>
      <c r="L29" s="21" t="s">
        <v>41</v>
      </c>
      <c r="M29" s="64">
        <f t="shared" si="0"/>
        <v>27888890.919363815</v>
      </c>
      <c r="O29" s="88">
        <f t="shared" si="4"/>
        <v>0.85307751758957118</v>
      </c>
      <c r="Q29" s="21" t="str">
        <f>+'Reference prices RPM'!Q29</f>
        <v>€/(kWh/dia)/ano</v>
      </c>
      <c r="R29" s="73">
        <f t="shared" si="2"/>
        <v>0.13470897534060011</v>
      </c>
      <c r="S29" s="277"/>
      <c r="T29" s="21" t="s">
        <v>41</v>
      </c>
      <c r="U29" s="64">
        <f t="shared" si="3"/>
        <v>23791385.833817225</v>
      </c>
    </row>
    <row r="30" spans="2:21" ht="15" x14ac:dyDescent="0.25">
      <c r="B30" s="3"/>
      <c r="C30" s="23" t="str">
        <f>+'Reference prices RPM'!C30</f>
        <v>Clientes em AP</v>
      </c>
      <c r="D30" s="14" t="str">
        <f>+'Reference prices RPM'!D30</f>
        <v>Tarifa flexível anual - capacidade base anual</v>
      </c>
      <c r="E30" s="14" t="str">
        <f>+'Reference prices RPM'!E30</f>
        <v>kWh/dia</v>
      </c>
      <c r="F30" s="268">
        <f>Data_b!$D$53</f>
        <v>12</v>
      </c>
      <c r="G30" s="58">
        <f>+Data_a!K31</f>
        <v>69817243.855383337</v>
      </c>
      <c r="I30" s="13" t="str">
        <f>+'Reference prices RPM'!I30</f>
        <v>€/(kWh/dia)/ano</v>
      </c>
      <c r="J30" s="46">
        <f>+'Pre-scaling CWD'!P39</f>
        <v>0.15790941920639232</v>
      </c>
      <c r="L30" s="13" t="s">
        <v>41</v>
      </c>
      <c r="M30" s="58">
        <f t="shared" si="0"/>
        <v>11024800.427794645</v>
      </c>
      <c r="O30" s="85">
        <f t="shared" si="4"/>
        <v>0.85307751758957118</v>
      </c>
      <c r="Q30" s="13" t="str">
        <f>+'Reference prices RPM'!Q30</f>
        <v>€/(kWh/dia)/ano</v>
      </c>
      <c r="R30" s="46">
        <f t="shared" si="2"/>
        <v>0.13470897534060011</v>
      </c>
      <c r="S30" s="277"/>
      <c r="T30" s="13" t="s">
        <v>41</v>
      </c>
      <c r="U30" s="58">
        <f t="shared" si="3"/>
        <v>9405009.3808634989</v>
      </c>
    </row>
    <row r="31" spans="2:21" ht="15.75" thickBot="1" x14ac:dyDescent="0.3">
      <c r="B31" s="3"/>
      <c r="C31" s="25"/>
      <c r="D31" s="19" t="str">
        <f>+'Reference prices RPM'!D31</f>
        <v>Tarifa flexível anual - capacidade mensal adicional (abril a setembro)</v>
      </c>
      <c r="E31" s="19" t="str">
        <f>+'Reference prices RPM'!E31</f>
        <v>kWh/dia</v>
      </c>
      <c r="F31" s="270">
        <f>+Data_b!$D$52</f>
        <v>6</v>
      </c>
      <c r="G31" s="62">
        <f>+Data_a!K32</f>
        <v>0</v>
      </c>
      <c r="I31" s="18" t="str">
        <f>+'Reference prices RPM'!I31</f>
        <v>€/(kWh/dia)/ano</v>
      </c>
      <c r="J31" s="44">
        <f>+'Pre-scaling CWD'!P40</f>
        <v>0.23686412880958846</v>
      </c>
      <c r="L31" s="18" t="s">
        <v>41</v>
      </c>
      <c r="M31" s="62">
        <f t="shared" si="0"/>
        <v>0</v>
      </c>
      <c r="O31" s="87">
        <f t="shared" si="4"/>
        <v>0.85307751758957118</v>
      </c>
      <c r="Q31" s="18" t="str">
        <f>+'Reference prices RPM'!Q31</f>
        <v>€/(kWh/dia)/ano</v>
      </c>
      <c r="R31" s="44">
        <f t="shared" si="2"/>
        <v>0.20206346301090014</v>
      </c>
      <c r="S31" s="277"/>
      <c r="T31" s="18" t="s">
        <v>41</v>
      </c>
      <c r="U31" s="62">
        <f t="shared" si="3"/>
        <v>0</v>
      </c>
    </row>
    <row r="32" spans="2:21" ht="15" x14ac:dyDescent="0.25">
      <c r="B32" s="3"/>
      <c r="C32" s="23"/>
      <c r="D32" s="14" t="str">
        <f>+'Reference prices RPM'!D32</f>
        <v>Tarifa flexível mensal - capacidade mensal (outubro a março)</v>
      </c>
      <c r="E32" s="14" t="str">
        <f>+'Reference prices RPM'!E32</f>
        <v>kWh/dia</v>
      </c>
      <c r="F32" s="265">
        <f>+Data_b!$D$51</f>
        <v>6</v>
      </c>
      <c r="G32" s="58">
        <f>+Data_a!K33</f>
        <v>42056350.902433224</v>
      </c>
      <c r="I32" s="13" t="str">
        <f>+'Reference prices RPM'!I32</f>
        <v>€/(kWh/dia)/ano</v>
      </c>
      <c r="J32" s="46">
        <f>+'Pre-scaling CWD'!P41</f>
        <v>0.47372825761917692</v>
      </c>
      <c r="L32" s="13" t="s">
        <v>41</v>
      </c>
      <c r="M32" s="58">
        <f t="shared" si="0"/>
        <v>9961640.9174151942</v>
      </c>
      <c r="O32" s="85">
        <f t="shared" si="4"/>
        <v>0.85307751758957118</v>
      </c>
      <c r="Q32" s="13" t="str">
        <f>+'Reference prices RPM'!Q32</f>
        <v>€/(kWh/dia)/ano</v>
      </c>
      <c r="R32" s="46">
        <f t="shared" si="2"/>
        <v>0.40412692602180028</v>
      </c>
      <c r="S32" s="277"/>
      <c r="T32" s="13" t="s">
        <v>41</v>
      </c>
      <c r="U32" s="58">
        <f t="shared" si="3"/>
        <v>8498051.9049472529</v>
      </c>
    </row>
    <row r="33" spans="2:21" ht="15.75" thickBot="1" x14ac:dyDescent="0.3">
      <c r="B33" s="3"/>
      <c r="C33" s="25"/>
      <c r="D33" s="19" t="str">
        <f>+'Reference prices RPM'!D33</f>
        <v>Tarifa flexível mensal - capacidade mensal (abril a setembro)</v>
      </c>
      <c r="E33" s="19" t="str">
        <f>+'Reference prices RPM'!E33</f>
        <v>kWh/dia</v>
      </c>
      <c r="F33" s="270">
        <f>+Data_b!$D$52</f>
        <v>6</v>
      </c>
      <c r="G33" s="62">
        <f>+Data_a!K34</f>
        <v>40939752.517566778</v>
      </c>
      <c r="I33" s="18" t="str">
        <f>+'Reference prices RPM'!I33</f>
        <v>€/(kWh/dia)/ano</v>
      </c>
      <c r="J33" s="44">
        <f>+'Pre-scaling CWD'!P42</f>
        <v>0.23686412880958846</v>
      </c>
      <c r="L33" s="18" t="s">
        <v>41</v>
      </c>
      <c r="M33" s="62">
        <f t="shared" si="0"/>
        <v>4848579.4068768052</v>
      </c>
      <c r="O33" s="87">
        <f t="shared" si="4"/>
        <v>0.85307751758957118</v>
      </c>
      <c r="Q33" s="18" t="str">
        <f>+'Reference prices RPM'!Q33</f>
        <v>€/(kWh/dia)/ano</v>
      </c>
      <c r="R33" s="44">
        <f t="shared" si="2"/>
        <v>0.20206346301090014</v>
      </c>
      <c r="S33" s="277"/>
      <c r="T33" s="18" t="s">
        <v>41</v>
      </c>
      <c r="U33" s="62">
        <f t="shared" si="3"/>
        <v>4136214.0842543803</v>
      </c>
    </row>
    <row r="34" spans="2:21" ht="15" x14ac:dyDescent="0.25">
      <c r="B34" s="3"/>
      <c r="C34" s="23"/>
      <c r="D34" s="14" t="str">
        <f>+'Reference prices RPM'!D34</f>
        <v>Tarifa flexível diária - capacidade diária (outubro a março)</v>
      </c>
      <c r="E34" s="14" t="str">
        <f>+'Reference prices RPM'!E34</f>
        <v>kWh/dia</v>
      </c>
      <c r="F34" s="268">
        <f>+Data_b!$D$51</f>
        <v>6</v>
      </c>
      <c r="G34" s="58">
        <f>+Data_a!K35</f>
        <v>0</v>
      </c>
      <c r="I34" s="13" t="str">
        <f>+'Reference prices RPM'!I34</f>
        <v>€/(kWh/dia)/ano</v>
      </c>
      <c r="J34" s="46">
        <f>+'Pre-scaling CWD'!P43</f>
        <v>1.5790941920639232</v>
      </c>
      <c r="L34" s="13" t="s">
        <v>41</v>
      </c>
      <c r="M34" s="58">
        <f t="shared" si="0"/>
        <v>0</v>
      </c>
      <c r="O34" s="85">
        <f t="shared" si="4"/>
        <v>0.85307751758957118</v>
      </c>
      <c r="Q34" s="13" t="str">
        <f>+'Reference prices RPM'!Q34</f>
        <v>€/(kWh/dia)/ano</v>
      </c>
      <c r="R34" s="46">
        <f t="shared" si="2"/>
        <v>1.3470897534060011</v>
      </c>
      <c r="S34" s="277"/>
      <c r="T34" s="13" t="s">
        <v>41</v>
      </c>
      <c r="U34" s="58">
        <f t="shared" si="3"/>
        <v>0</v>
      </c>
    </row>
    <row r="35" spans="2:21" ht="15.75" thickBot="1" x14ac:dyDescent="0.3">
      <c r="B35" s="4"/>
      <c r="C35" s="25"/>
      <c r="D35" s="19" t="str">
        <f>+'Reference prices RPM'!D35</f>
        <v>Tarifa flexível diária - capacidade diária (abril a setembro)</v>
      </c>
      <c r="E35" s="19" t="str">
        <f>+'Reference prices RPM'!E35</f>
        <v>kWh/dia</v>
      </c>
      <c r="F35" s="270">
        <f>+Data_b!$D$52</f>
        <v>6</v>
      </c>
      <c r="G35" s="62">
        <f>+Data_a!K36</f>
        <v>0</v>
      </c>
      <c r="I35" s="18" t="str">
        <f>+'Reference prices RPM'!I35</f>
        <v>€/(kWh/dia)/ano</v>
      </c>
      <c r="J35" s="44">
        <f>+'Pre-scaling CWD'!P44</f>
        <v>0.94745651523835384</v>
      </c>
      <c r="L35" s="18" t="s">
        <v>41</v>
      </c>
      <c r="M35" s="62">
        <f t="shared" si="0"/>
        <v>0</v>
      </c>
      <c r="O35" s="87">
        <f t="shared" si="4"/>
        <v>0.85307751758957118</v>
      </c>
      <c r="Q35" s="18" t="str">
        <f>+'Reference prices RPM'!Q35</f>
        <v>€/(kWh/dia)/ano</v>
      </c>
      <c r="R35" s="44">
        <f t="shared" si="2"/>
        <v>0.80825385204360056</v>
      </c>
      <c r="S35" s="277"/>
      <c r="T35" s="18" t="s">
        <v>41</v>
      </c>
      <c r="U35" s="62">
        <f t="shared" si="3"/>
        <v>0</v>
      </c>
    </row>
    <row r="36" spans="2:21" ht="15.75" thickBot="1" x14ac:dyDescent="0.3"/>
    <row r="37" spans="2:21" ht="15.75" thickBot="1" x14ac:dyDescent="0.3">
      <c r="L37" s="2" t="str">
        <f>+'Reference prices RPM'!L37</f>
        <v>Divisão de entrada-saída, pré-escalamento</v>
      </c>
      <c r="M37" s="82"/>
      <c r="O37" s="78" t="str">
        <f>+'Reference prices RPM'!O37</f>
        <v>Fatores de escalamento</v>
      </c>
    </row>
    <row r="38" spans="2:21" ht="15" x14ac:dyDescent="0.25">
      <c r="L38" s="13" t="str">
        <f>+'Reference prices RPM'!L38</f>
        <v>Entrada</v>
      </c>
      <c r="M38" s="79">
        <f>SUM(M5:M16)/SUM(M5:M35)</f>
        <v>0.48270868160768837</v>
      </c>
      <c r="O38" s="83">
        <f>M42*'RPM inputs'!E22/SUM('Reference prices CWD'!$M$5:$M$16)</f>
        <v>0.91419444186296761</v>
      </c>
    </row>
    <row r="39" spans="2:21" ht="15" customHeight="1" thickBot="1" x14ac:dyDescent="0.3">
      <c r="L39" s="18" t="str">
        <f>+'Reference prices RPM'!L39</f>
        <v>Exit</v>
      </c>
      <c r="M39" s="80">
        <f>SUM(M17:M35)/SUM(M5:M35)</f>
        <v>0.51729131839231157</v>
      </c>
      <c r="O39" s="84">
        <f>M43*'RPM inputs'!E22/SUM('Reference prices CWD'!$M$17:$M$35)</f>
        <v>0.85307751758957118</v>
      </c>
    </row>
    <row r="40" spans="2:21" ht="15" customHeight="1" thickBot="1" x14ac:dyDescent="0.3"/>
    <row r="41" spans="2:21" ht="15" customHeight="1" thickBot="1" x14ac:dyDescent="0.3">
      <c r="L41" s="2" t="str">
        <f>+'Reference prices RPM'!L41</f>
        <v>Divisão de entrada-saída, pós-escalamento</v>
      </c>
      <c r="M41" s="82"/>
    </row>
    <row r="42" spans="2:21" ht="15" customHeight="1" x14ac:dyDescent="0.25">
      <c r="L42" s="13" t="str">
        <f>+'Reference prices RPM'!L42</f>
        <v>Entrada</v>
      </c>
      <c r="M42" s="81">
        <v>0.5</v>
      </c>
    </row>
    <row r="43" spans="2:21" ht="15" customHeight="1" thickBot="1" x14ac:dyDescent="0.3">
      <c r="L43" s="18" t="str">
        <f>+'Reference prices RPM'!L43</f>
        <v>Exit</v>
      </c>
      <c r="M43" s="89">
        <v>0.5</v>
      </c>
    </row>
    <row r="44" spans="2:21" ht="15" customHeight="1" x14ac:dyDescent="0.2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W38"/>
  <sheetViews>
    <sheetView showGridLines="0" zoomScaleNormal="100" workbookViewId="0">
      <selection activeCell="T4" sqref="T4"/>
    </sheetView>
  </sheetViews>
  <sheetFormatPr defaultColWidth="0" defaultRowHeight="15" customHeight="1" zeroHeight="1" x14ac:dyDescent="0.25"/>
  <cols>
    <col min="1" max="1" width="3.42578125" customWidth="1"/>
    <col min="2" max="2" width="9.140625" customWidth="1"/>
    <col min="3" max="13" width="9.7109375" customWidth="1"/>
    <col min="14" max="14" width="2.85546875" customWidth="1"/>
    <col min="15" max="15" width="4" customWidth="1"/>
    <col min="16" max="19" width="11" customWidth="1"/>
    <col min="20" max="21" width="9.140625" customWidth="1"/>
    <col min="22" max="22" width="1.7109375" bestFit="1" customWidth="1"/>
    <col min="23" max="23" width="90.85546875" bestFit="1" customWidth="1"/>
    <col min="24" max="16384" width="9.140625" hidden="1"/>
  </cols>
  <sheetData>
    <row r="1" spans="2:23" x14ac:dyDescent="0.25"/>
    <row r="2" spans="2:23" x14ac:dyDescent="0.25">
      <c r="B2" s="113" t="str">
        <f>+CWD!B2</f>
        <v>Matriz de distâncias</v>
      </c>
      <c r="C2" s="114"/>
      <c r="D2" s="114"/>
      <c r="E2" s="114"/>
      <c r="F2" s="114"/>
      <c r="G2" s="114"/>
      <c r="H2" s="114"/>
      <c r="I2" s="114"/>
      <c r="J2" s="114"/>
      <c r="K2" s="114"/>
      <c r="L2" s="114"/>
      <c r="M2" s="115"/>
      <c r="N2" s="56"/>
      <c r="O2" s="56"/>
      <c r="P2" s="195" t="str">
        <f>+CWD!P2</f>
        <v>Preços pré-equalização por ponto de entrada</v>
      </c>
      <c r="Q2" s="114"/>
      <c r="R2" s="114"/>
      <c r="S2" s="115"/>
    </row>
    <row r="3" spans="2:23" ht="18" x14ac:dyDescent="0.35">
      <c r="B3" s="116" t="s">
        <v>29</v>
      </c>
      <c r="C3" s="31" t="s">
        <v>30</v>
      </c>
      <c r="D3" s="31" t="s">
        <v>31</v>
      </c>
      <c r="E3" s="31" t="s">
        <v>32</v>
      </c>
      <c r="F3" s="31" t="s">
        <v>33</v>
      </c>
      <c r="G3" s="31" t="s">
        <v>34</v>
      </c>
      <c r="H3" s="31" t="s">
        <v>35</v>
      </c>
      <c r="I3" s="31" t="s">
        <v>36</v>
      </c>
      <c r="J3" s="31" t="s">
        <v>37</v>
      </c>
      <c r="K3" s="31" t="s">
        <v>38</v>
      </c>
      <c r="L3" s="31" t="s">
        <v>39</v>
      </c>
      <c r="M3" s="31" t="s">
        <v>40</v>
      </c>
      <c r="N3" s="56"/>
      <c r="O3" s="56"/>
      <c r="P3" s="407" t="s">
        <v>235</v>
      </c>
      <c r="Q3" s="407" t="s">
        <v>238</v>
      </c>
      <c r="R3" s="407" t="s">
        <v>239</v>
      </c>
      <c r="S3" s="407" t="s">
        <v>240</v>
      </c>
    </row>
    <row r="4" spans="2:23" x14ac:dyDescent="0.25">
      <c r="B4" s="29" t="s">
        <v>30</v>
      </c>
      <c r="C4" s="33">
        <f>INDEX(Data_d!$F$27:$F$70,MATCH($B4&amp;C$3,Data_d!$E$27:$E$70,0))</f>
        <v>0</v>
      </c>
      <c r="D4" s="33">
        <f>INDEX(Data_d!$F$27:$F$70,MATCH($B4&amp;D$3,Data_d!$E$27:$E$70,0))</f>
        <v>509.03899999999999</v>
      </c>
      <c r="E4" s="33">
        <f>INDEX(Data_d!$F$27:$F$70,MATCH($B4&amp;E$3,Data_d!$E$27:$E$70,0))</f>
        <v>481.84000000000003</v>
      </c>
      <c r="F4" s="33">
        <f>INDEX(Data_d!$F$27:$F$70,MATCH($B4&amp;F$3,Data_d!$E$27:$E$70,0))</f>
        <v>254.26299999999998</v>
      </c>
      <c r="G4" s="33">
        <f>INDEX(Data_d!$F$27:$F$70,MATCH($B4&amp;G$3,Data_d!$E$27:$E$70,0))</f>
        <v>416.85699999999997</v>
      </c>
      <c r="H4" s="33">
        <f>INDEX(Data_d!$F$27:$F$70,MATCH($B4&amp;H$3,Data_d!$E$27:$E$70,0))</f>
        <v>434.01900000000001</v>
      </c>
      <c r="I4" s="33">
        <f>INDEX(Data_d!$F$27:$F$70,MATCH($B4&amp;I$3,Data_d!$E$27:$E$70,0))</f>
        <v>290.23699999999997</v>
      </c>
      <c r="J4" s="33">
        <f>INDEX(Data_d!$F$27:$F$70,MATCH($B4&amp;J$3,Data_d!$E$27:$E$70,0))</f>
        <v>148.19899999999998</v>
      </c>
      <c r="K4" s="33">
        <f>INDEX(Data_d!$F$27:$F$70,MATCH($B4&amp;K$3,Data_d!$E$27:$E$70,0))</f>
        <v>477.80899999999997</v>
      </c>
      <c r="L4" s="33">
        <f>INDEX(Data_d!$F$27:$F$70,MATCH($B4&amp;L$3,Data_d!$E$27:$E$70,0))</f>
        <v>441.00900000000001</v>
      </c>
      <c r="M4" s="33">
        <f>INDEX(Data_d!$F$27:$F$70,MATCH($B4&amp;M$3,Data_d!$E$27:$E$70,0))</f>
        <v>274.86</v>
      </c>
      <c r="N4" s="56"/>
      <c r="O4" s="29" t="s">
        <v>30</v>
      </c>
      <c r="P4" s="148">
        <f>+'RPM inputs'!E4</f>
        <v>114322488.9063724</v>
      </c>
      <c r="Q4" s="35">
        <f>SUMPRODUCT(C$11:M$11,C4:M4)/SUMIFS(C$11:M$11,C4:M4,"&gt;0")</f>
        <v>360.03023871569019</v>
      </c>
      <c r="R4" s="36">
        <f>P4*Q4/SUMPRODUCT(P$4:P$7,Q$4:Q$7)</f>
        <v>0.58055901686897315</v>
      </c>
      <c r="S4" s="39">
        <f>IF(P4=0,0,'RPM inputs'!$E$23*R4*'RPM inputs'!$E$22/P4)</f>
        <v>0.13201031485303072</v>
      </c>
    </row>
    <row r="5" spans="2:23" x14ac:dyDescent="0.25">
      <c r="B5" s="29" t="s">
        <v>31</v>
      </c>
      <c r="C5" s="33">
        <f>INDEX(Data_d!$F$27:$F$70,MATCH($B5&amp;C$3,Data_d!$E$27:$E$70,0))</f>
        <v>509.03899999999999</v>
      </c>
      <c r="D5" s="33">
        <f>INDEX(Data_d!$F$27:$F$70,MATCH($B5&amp;D$3,Data_d!$E$27:$E$70,0))</f>
        <v>0</v>
      </c>
      <c r="E5" s="33">
        <f>INDEX(Data_d!$F$27:$F$70,MATCH($B5&amp;E$3,Data_d!$E$27:$E$70,0))</f>
        <v>549.45300000000009</v>
      </c>
      <c r="F5" s="33">
        <f>INDEX(Data_d!$F$27:$F$70,MATCH($B5&amp;F$3,Data_d!$E$27:$E$70,0))</f>
        <v>321.87600000000003</v>
      </c>
      <c r="G5" s="33">
        <f>INDEX(Data_d!$F$27:$F$70,MATCH($B5&amp;G$3,Data_d!$E$27:$E$70,0))</f>
        <v>484.47</v>
      </c>
      <c r="H5" s="33">
        <f>INDEX(Data_d!$F$27:$F$70,MATCH($B5&amp;H$3,Data_d!$E$27:$E$70,0))</f>
        <v>190.702</v>
      </c>
      <c r="I5" s="33">
        <f>INDEX(Data_d!$F$27:$F$70,MATCH($B5&amp;I$3,Data_d!$E$27:$E$70,0))</f>
        <v>357.85</v>
      </c>
      <c r="J5" s="33">
        <f>INDEX(Data_d!$F$27:$F$70,MATCH($B5&amp;J$3,Data_d!$E$27:$E$70,0))</f>
        <v>370.96000000000004</v>
      </c>
      <c r="K5" s="33">
        <f>INDEX(Data_d!$F$27:$F$70,MATCH($B5&amp;K$3,Data_d!$E$27:$E$70,0))</f>
        <v>71.706000000000003</v>
      </c>
      <c r="L5" s="33">
        <f>INDEX(Data_d!$F$27:$F$70,MATCH($B5&amp;L$3,Data_d!$E$27:$E$70,0))</f>
        <v>508.62200000000007</v>
      </c>
      <c r="M5" s="33">
        <f>INDEX(Data_d!$F$27:$F$70,MATCH($B5&amp;M$3,Data_d!$E$27:$E$70,0))</f>
        <v>334.01</v>
      </c>
      <c r="N5" s="56"/>
      <c r="O5" s="29" t="s">
        <v>31</v>
      </c>
      <c r="P5" s="148">
        <f>+'RPM inputs'!E5</f>
        <v>8531529.0228636116</v>
      </c>
      <c r="Q5" s="35">
        <f>SUMPRODUCT(C$11:M$11,C5:M5)/SUMIFS(C$11:M$11,C5:M5,"&gt;0")</f>
        <v>353.51138321253558</v>
      </c>
      <c r="R5" s="36">
        <f>P5*Q5/SUMPRODUCT(P$4:P$7,Q$4:Q$7)</f>
        <v>4.2540834078639227E-2</v>
      </c>
      <c r="S5" s="39">
        <f>IF(P5=0,0,'RPM inputs'!$E$23*R5*'RPM inputs'!$E$22/P5)</f>
        <v>0.12962008182559764</v>
      </c>
    </row>
    <row r="6" spans="2:23" x14ac:dyDescent="0.25">
      <c r="B6" s="29" t="s">
        <v>32</v>
      </c>
      <c r="C6" s="33">
        <f>INDEX(Data_d!$F$27:$F$70,MATCH($B6&amp;C$3,Data_d!$E$27:$E$70,0))</f>
        <v>481.84000000000003</v>
      </c>
      <c r="D6" s="33">
        <f>INDEX(Data_d!$F$27:$F$70,MATCH($B6&amp;D$3,Data_d!$E$27:$E$70,0))</f>
        <v>549.45300000000009</v>
      </c>
      <c r="E6" s="33">
        <f>INDEX(Data_d!$F$27:$F$70,MATCH($B6&amp;E$3,Data_d!$E$27:$E$70,0))</f>
        <v>0</v>
      </c>
      <c r="F6" s="33">
        <f>INDEX(Data_d!$F$27:$F$70,MATCH($B6&amp;F$3,Data_d!$E$27:$E$70,0))</f>
        <v>294.67700000000002</v>
      </c>
      <c r="G6" s="33">
        <f>INDEX(Data_d!$F$27:$F$70,MATCH($B6&amp;G$3,Data_d!$E$27:$E$70,0))</f>
        <v>276.803</v>
      </c>
      <c r="H6" s="33">
        <f>INDEX(Data_d!$F$27:$F$70,MATCH($B6&amp;H$3,Data_d!$E$27:$E$70,0))</f>
        <v>474.43299999999999</v>
      </c>
      <c r="I6" s="33">
        <f>INDEX(Data_d!$F$27:$F$70,MATCH($B6&amp;I$3,Data_d!$E$27:$E$70,0))</f>
        <v>330.65100000000001</v>
      </c>
      <c r="J6" s="33">
        <f>INDEX(Data_d!$F$27:$F$70,MATCH($B6&amp;J$3,Data_d!$E$27:$E$70,0))</f>
        <v>343.76099999999997</v>
      </c>
      <c r="K6" s="33">
        <f>INDEX(Data_d!$F$27:$F$70,MATCH($B6&amp;K$3,Data_d!$E$27:$E$70,0))</f>
        <v>518.22300000000007</v>
      </c>
      <c r="L6" s="33">
        <f>INDEX(Data_d!$F$27:$F$70,MATCH($B6&amp;L$3,Data_d!$E$27:$E$70,0))</f>
        <v>51.051000000000002</v>
      </c>
      <c r="M6" s="33">
        <f>INDEX(Data_d!$F$27:$F$70,MATCH($B6&amp;M$3,Data_d!$E$27:$E$70,0))</f>
        <v>462.79100000000005</v>
      </c>
      <c r="N6" s="56"/>
      <c r="O6" s="29" t="s">
        <v>32</v>
      </c>
      <c r="P6" s="148">
        <f>+'RPM inputs'!E6</f>
        <v>77226360.38040866</v>
      </c>
      <c r="Q6" s="35">
        <f>SUMPRODUCT(C$11:M$11,C6:M6)/SUMIFS(C$11:M$11,C6:M6,"&gt;0")</f>
        <v>334.6828592008473</v>
      </c>
      <c r="R6" s="36">
        <f>P6*Q6/SUMPRODUCT(P$4:P$7,Q$4:Q$7)</f>
        <v>0.36456482476020119</v>
      </c>
      <c r="S6" s="39">
        <f>IF(P6=0,0,'RPM inputs'!$E$23*R6*'RPM inputs'!$E$22/P6)</f>
        <v>0.12271633009666683</v>
      </c>
    </row>
    <row r="7" spans="2:23" x14ac:dyDescent="0.25">
      <c r="B7" s="29" t="s">
        <v>33</v>
      </c>
      <c r="C7" s="33">
        <f>INDEX(Data_d!$F$27:$F$70,MATCH($B7&amp;C$3,Data_d!$E$27:$E$70,0))</f>
        <v>254.26299999999998</v>
      </c>
      <c r="D7" s="33">
        <f>INDEX(Data_d!$F$27:$F$70,MATCH($B7&amp;D$3,Data_d!$E$27:$E$70,0))</f>
        <v>321.87600000000003</v>
      </c>
      <c r="E7" s="33">
        <f>INDEX(Data_d!$F$27:$F$70,MATCH($B7&amp;E$3,Data_d!$E$27:$E$70,0))</f>
        <v>294.67700000000002</v>
      </c>
      <c r="F7" s="33">
        <f>INDEX(Data_d!$F$27:$F$70,MATCH($B7&amp;F$3,Data_d!$E$27:$E$70,0))</f>
        <v>0</v>
      </c>
      <c r="G7" s="33">
        <f>INDEX(Data_d!$F$27:$F$70,MATCH($B7&amp;G$3,Data_d!$E$27:$E$70,0))</f>
        <v>229.69400000000002</v>
      </c>
      <c r="H7" s="33">
        <f>INDEX(Data_d!$F$27:$F$70,MATCH($B7&amp;H$3,Data_d!$E$27:$E$70,0))</f>
        <v>246.85599999999999</v>
      </c>
      <c r="I7" s="33">
        <f>INDEX(Data_d!$F$27:$F$70,MATCH($B7&amp;I$3,Data_d!$E$27:$E$70,0))</f>
        <v>35.974000000000004</v>
      </c>
      <c r="J7" s="33">
        <f>INDEX(Data_d!$F$27:$F$70,MATCH($B7&amp;J$3,Data_d!$E$27:$E$70,0))</f>
        <v>116.184</v>
      </c>
      <c r="K7" s="33">
        <f>INDEX(Data_d!$F$27:$F$70,MATCH($B7&amp;K$3,Data_d!$E$27:$E$70,0))</f>
        <v>290.64600000000002</v>
      </c>
      <c r="L7" s="33">
        <f>INDEX(Data_d!$F$27:$F$70,MATCH($B7&amp;L$3,Data_d!$E$27:$E$70,0))</f>
        <v>253.846</v>
      </c>
      <c r="M7" s="33">
        <f>INDEX(Data_d!$F$27:$F$70,MATCH($B7&amp;M$3,Data_d!$E$27:$E$70,0))</f>
        <v>235.214</v>
      </c>
      <c r="N7" s="56"/>
      <c r="O7" s="29" t="s">
        <v>33</v>
      </c>
      <c r="P7" s="148">
        <f>+'RPM inputs'!E7</f>
        <v>4894243.642328768</v>
      </c>
      <c r="Q7" s="35">
        <f>SUMPRODUCT(C$11:M$11,C7:M7)/SUMIFS(C$11:M$11,C7:M7,"&gt;0")</f>
        <v>178.68547903529193</v>
      </c>
      <c r="R7" s="36">
        <f>P7*Q7/SUMPRODUCT(P$4:P$7,Q$4:Q$7)</f>
        <v>1.2335324292186393E-2</v>
      </c>
      <c r="S7" s="39">
        <f>IF(P7=0,0,'RPM inputs'!$E$23*R7*'RPM inputs'!$E$22/P7)</f>
        <v>6.5517625495176285E-2</v>
      </c>
    </row>
    <row r="8" spans="2:23" x14ac:dyDescent="0.25">
      <c r="N8" s="56"/>
      <c r="O8" s="56"/>
      <c r="P8" s="56"/>
      <c r="Q8" s="56"/>
      <c r="R8" s="56"/>
      <c r="S8" s="56"/>
    </row>
    <row r="9" spans="2:23" x14ac:dyDescent="0.25">
      <c r="B9" s="113" t="str">
        <f>+CWD!B9</f>
        <v>Preços pré-equalização por ponto de saída</v>
      </c>
      <c r="C9" s="114"/>
      <c r="D9" s="114"/>
      <c r="E9" s="114"/>
      <c r="F9" s="114"/>
      <c r="G9" s="114"/>
      <c r="H9" s="114"/>
      <c r="I9" s="114"/>
      <c r="J9" s="114"/>
      <c r="K9" s="114"/>
      <c r="L9" s="114"/>
      <c r="M9" s="115"/>
      <c r="N9" s="56"/>
      <c r="O9" s="56"/>
      <c r="P9" s="56"/>
      <c r="Q9" s="56"/>
      <c r="R9" s="56"/>
      <c r="S9" s="56"/>
    </row>
    <row r="10" spans="2:23" x14ac:dyDescent="0.25">
      <c r="B10" s="116"/>
      <c r="C10" s="31" t="s">
        <v>30</v>
      </c>
      <c r="D10" s="31" t="s">
        <v>31</v>
      </c>
      <c r="E10" s="31" t="s">
        <v>32</v>
      </c>
      <c r="F10" s="31" t="s">
        <v>33</v>
      </c>
      <c r="G10" s="31" t="s">
        <v>34</v>
      </c>
      <c r="H10" s="31" t="s">
        <v>35</v>
      </c>
      <c r="I10" s="31" t="s">
        <v>36</v>
      </c>
      <c r="J10" s="31" t="s">
        <v>37</v>
      </c>
      <c r="K10" s="31" t="s">
        <v>38</v>
      </c>
      <c r="L10" s="31" t="s">
        <v>39</v>
      </c>
      <c r="M10" s="31" t="s">
        <v>40</v>
      </c>
      <c r="N10" s="56"/>
      <c r="O10" s="56"/>
      <c r="P10" s="56"/>
      <c r="Q10" s="56"/>
      <c r="R10" s="56"/>
      <c r="S10" s="56"/>
    </row>
    <row r="11" spans="2:23" ht="18" x14ac:dyDescent="0.35">
      <c r="B11" s="408" t="s">
        <v>241</v>
      </c>
      <c r="C11" s="148">
        <f t="array" ref="C11:M11">TRANSPOSE('RPM inputs'!$E$8:$E$18)</f>
        <v>92887.679017247254</v>
      </c>
      <c r="D11" s="148">
        <v>42221.672280566934</v>
      </c>
      <c r="E11" s="148">
        <v>1445395.787909836</v>
      </c>
      <c r="F11" s="148">
        <v>4894243.642328768</v>
      </c>
      <c r="G11" s="148">
        <v>66686724.795415401</v>
      </c>
      <c r="H11" s="148">
        <v>79763458.275401399</v>
      </c>
      <c r="I11" s="148">
        <v>69210379.031935275</v>
      </c>
      <c r="J11" s="148">
        <v>34031046.791914254</v>
      </c>
      <c r="K11" s="148">
        <v>4795636.2217316274</v>
      </c>
      <c r="L11" s="148">
        <v>29893276.585015573</v>
      </c>
      <c r="M11" s="148">
        <v>3547993.3889698228</v>
      </c>
      <c r="N11" s="56"/>
      <c r="O11" s="56"/>
      <c r="P11" s="56"/>
      <c r="Q11" s="56"/>
      <c r="R11" s="56"/>
      <c r="S11" s="56"/>
    </row>
    <row r="12" spans="2:23" ht="18" x14ac:dyDescent="0.35">
      <c r="B12" s="407" t="s">
        <v>244</v>
      </c>
      <c r="C12" s="35">
        <f t="shared" ref="C12:M12" si="0">SUMPRODUCT($P4:$P7,C4:C7)/SUMIFS($P4:$P7,C4:C7,"&gt;0")</f>
        <v>472.11305593511162</v>
      </c>
      <c r="D12" s="35">
        <f t="shared" si="0"/>
        <v>520.26364919843411</v>
      </c>
      <c r="E12" s="35">
        <f t="shared" si="0"/>
        <v>479.18494194415086</v>
      </c>
      <c r="F12" s="35">
        <f t="shared" si="0"/>
        <v>272.74491427604102</v>
      </c>
      <c r="G12" s="35">
        <f t="shared" si="0"/>
        <v>362.43543492284743</v>
      </c>
      <c r="H12" s="35">
        <f t="shared" si="0"/>
        <v>434.64902315651943</v>
      </c>
      <c r="I12" s="35">
        <f t="shared" si="0"/>
        <v>302.20649800732957</v>
      </c>
      <c r="J12" s="35">
        <f t="shared" si="0"/>
        <v>230.38646328076467</v>
      </c>
      <c r="K12" s="35">
        <f t="shared" si="0"/>
        <v>471.6634844567028</v>
      </c>
      <c r="L12" s="35">
        <f t="shared" si="0"/>
        <v>292.4334553681125</v>
      </c>
      <c r="M12" s="35">
        <f t="shared" si="0"/>
        <v>347.18031824106737</v>
      </c>
      <c r="N12" s="56"/>
      <c r="O12" s="56"/>
      <c r="P12" s="56"/>
      <c r="Q12" s="56"/>
      <c r="R12" s="56"/>
      <c r="S12" s="56"/>
    </row>
    <row r="13" spans="2:23" ht="18" x14ac:dyDescent="0.35">
      <c r="B13" s="407" t="s">
        <v>245</v>
      </c>
      <c r="C13" s="36">
        <f t="shared" ref="C13:M13" si="1">C11*C12/SUMPRODUCT($C11:$M11,$C12:$M12)</f>
        <v>4.302580458251754E-4</v>
      </c>
      <c r="D13" s="36">
        <f t="shared" si="1"/>
        <v>2.1551812085138952E-4</v>
      </c>
      <c r="E13" s="36">
        <f t="shared" si="1"/>
        <v>6.7953968630747206E-3</v>
      </c>
      <c r="F13" s="36">
        <f t="shared" si="1"/>
        <v>1.3096858187797055E-2</v>
      </c>
      <c r="G13" s="36">
        <f t="shared" si="1"/>
        <v>0.23713459581830437</v>
      </c>
      <c r="H13" s="36">
        <f t="shared" si="1"/>
        <v>0.34014771790172132</v>
      </c>
      <c r="I13" s="36">
        <f t="shared" si="1"/>
        <v>0.20521065392913498</v>
      </c>
      <c r="J13" s="36">
        <f t="shared" si="1"/>
        <v>7.6923164899634661E-2</v>
      </c>
      <c r="K13" s="36">
        <f t="shared" si="1"/>
        <v>2.2192353684836304E-2</v>
      </c>
      <c r="L13" s="36">
        <f t="shared" si="1"/>
        <v>8.5768033904082483E-2</v>
      </c>
      <c r="M13" s="36">
        <f t="shared" si="1"/>
        <v>1.2085448644737595E-2</v>
      </c>
      <c r="N13" s="56"/>
      <c r="O13" s="56"/>
      <c r="P13" s="56"/>
      <c r="Q13" s="56"/>
      <c r="R13" s="56"/>
      <c r="S13" s="56"/>
    </row>
    <row r="14" spans="2:23" ht="18" x14ac:dyDescent="0.35">
      <c r="B14" s="407" t="s">
        <v>246</v>
      </c>
      <c r="C14" s="38">
        <f>IF(C11=0,0,(1-'RPM inputs'!$E$23)*C13*'RPM inputs'!$E$22/C11)</f>
        <v>0.30962678070828392</v>
      </c>
      <c r="D14" s="38">
        <f>IF(D11=0,0,(1-'RPM inputs'!$E$23)*D13*'RPM inputs'!$E$22/D11)</f>
        <v>0.34120547355291819</v>
      </c>
      <c r="E14" s="38">
        <f>IF(E11=0,0,(1-'RPM inputs'!$E$23)*E13*'RPM inputs'!$E$22/E11)</f>
        <v>0.31426474881992139</v>
      </c>
      <c r="F14" s="38">
        <f>IF(F11=0,0,(1-'RPM inputs'!$E$23)*F13*'RPM inputs'!$E$22/F11)</f>
        <v>0.17887480276218914</v>
      </c>
      <c r="G14" s="38">
        <f>IF(G11=0,0,(1-'RPM inputs'!$E$23)*G13*'RPM inputs'!$E$22/G11)</f>
        <v>0.23769670319219419</v>
      </c>
      <c r="H14" s="38">
        <f>IF(H11=0,0,(1-'RPM inputs'!$E$23)*H13*'RPM inputs'!$E$22/H11)</f>
        <v>0.28505667463780188</v>
      </c>
      <c r="I14" s="38">
        <f>IF(I11=0,0,(1-'RPM inputs'!$E$23)*I13*'RPM inputs'!$E$22/I11)</f>
        <v>0.19819664783850957</v>
      </c>
      <c r="J14" s="38">
        <f>IF(J11=0,0,(1-'RPM inputs'!$E$23)*J13*'RPM inputs'!$E$22/J11)</f>
        <v>0.15109478131906343</v>
      </c>
      <c r="K14" s="38">
        <f>IF(K11=0,0,(1-'RPM inputs'!$E$23)*K13*'RPM inputs'!$E$22/K11)</f>
        <v>0.30933193741215387</v>
      </c>
      <c r="L14" s="38">
        <f>IF(L11=0,0,(1-'RPM inputs'!$E$23)*L13*'RPM inputs'!$E$22/L11)</f>
        <v>0.19178717516652</v>
      </c>
      <c r="M14" s="38">
        <f>IF(M11=0,0,(1-'RPM inputs'!$E$23)*M13*'RPM inputs'!$E$22/M11)</f>
        <v>0.22769191173783968</v>
      </c>
      <c r="N14" s="56"/>
      <c r="O14" s="56"/>
      <c r="P14" s="56"/>
      <c r="Q14" s="56"/>
      <c r="R14" s="56"/>
      <c r="S14" s="56"/>
    </row>
    <row r="15" spans="2:23" x14ac:dyDescent="0.25">
      <c r="N15" s="56"/>
      <c r="O15" s="56"/>
      <c r="P15" s="56"/>
      <c r="Q15" s="56"/>
      <c r="R15" s="56"/>
      <c r="S15" s="56"/>
      <c r="U15" s="404" t="str">
        <f>+CWD!U15</f>
        <v>Siglas</v>
      </c>
    </row>
    <row r="16" spans="2:23" ht="18" x14ac:dyDescent="0.35">
      <c r="N16" s="56"/>
      <c r="O16" s="56"/>
      <c r="P16" s="56"/>
      <c r="Q16" s="56"/>
      <c r="R16" s="56"/>
      <c r="U16" s="405" t="s">
        <v>247</v>
      </c>
      <c r="V16" s="406" t="s">
        <v>200</v>
      </c>
      <c r="W16" t="str">
        <f>+CWD!W16</f>
        <v>capacidade prevista, medida em kWh/dia, no ponto de entrada i</v>
      </c>
    </row>
    <row r="17" spans="14:23" ht="18" x14ac:dyDescent="0.35">
      <c r="N17" s="56"/>
      <c r="O17" s="56"/>
      <c r="P17" s="56"/>
      <c r="Q17" s="56"/>
      <c r="R17" s="56"/>
      <c r="U17" s="405" t="s">
        <v>250</v>
      </c>
      <c r="V17" t="s">
        <v>200</v>
      </c>
      <c r="W17" t="str">
        <f>+CWD!W17</f>
        <v>distância média ponderada, medida em km, no ponto de entrada i</v>
      </c>
    </row>
    <row r="18" spans="14:23" ht="18" x14ac:dyDescent="0.35">
      <c r="N18" s="56"/>
      <c r="O18" s="56"/>
      <c r="P18" s="56"/>
      <c r="Q18" s="56"/>
      <c r="R18" s="56"/>
      <c r="U18" s="405" t="s">
        <v>251</v>
      </c>
      <c r="V18" t="s">
        <v>200</v>
      </c>
      <c r="W18" t="str">
        <f>+CWD!W18</f>
        <v>ponderação do custo para o ponto de entrada i</v>
      </c>
    </row>
    <row r="19" spans="14:23" ht="18" x14ac:dyDescent="0.35">
      <c r="N19" s="56"/>
      <c r="O19" s="56"/>
      <c r="P19" s="56"/>
      <c r="Q19" s="56"/>
      <c r="R19" s="56"/>
      <c r="U19" s="405" t="s">
        <v>252</v>
      </c>
      <c r="V19" t="s">
        <v>200</v>
      </c>
      <c r="W19" t="str">
        <f>+CWD!W19</f>
        <v>preço pré-equalização decorrente da metodologia de preço de referência para o ponto de entrada i</v>
      </c>
    </row>
    <row r="20" spans="14:23" ht="18" x14ac:dyDescent="0.35">
      <c r="N20" s="56"/>
      <c r="O20" s="56"/>
      <c r="P20" s="56"/>
      <c r="Q20" s="56"/>
      <c r="R20" s="56"/>
      <c r="U20" s="405" t="s">
        <v>259</v>
      </c>
      <c r="V20" s="406" t="s">
        <v>200</v>
      </c>
      <c r="W20" t="str">
        <f>+CWD!W20</f>
        <v>capacidade prevista, medida em kWh/dia, no ponto de saída j</v>
      </c>
    </row>
    <row r="21" spans="14:23" ht="18" x14ac:dyDescent="0.35">
      <c r="N21" s="56"/>
      <c r="O21" s="56"/>
      <c r="P21" s="56"/>
      <c r="Q21" s="56"/>
      <c r="R21" s="56"/>
      <c r="U21" s="405" t="s">
        <v>262</v>
      </c>
      <c r="V21" t="s">
        <v>200</v>
      </c>
      <c r="W21" t="str">
        <f>+CWD!W21</f>
        <v>distância média ponderada, medida em km, no ponto de saída j</v>
      </c>
    </row>
    <row r="22" spans="14:23" ht="18" x14ac:dyDescent="0.35">
      <c r="N22" s="56"/>
      <c r="O22" s="56"/>
      <c r="P22" s="56"/>
      <c r="Q22" s="56"/>
      <c r="R22" s="56"/>
      <c r="U22" s="405" t="s">
        <v>263</v>
      </c>
      <c r="V22" t="s">
        <v>200</v>
      </c>
      <c r="W22" t="str">
        <f>+CWD!W22</f>
        <v>ponderação do custo para o ponto de saída j</v>
      </c>
    </row>
    <row r="23" spans="14:23" ht="15" customHeight="1" x14ac:dyDescent="0.35">
      <c r="U23" s="405" t="s">
        <v>264</v>
      </c>
      <c r="V23" t="s">
        <v>200</v>
      </c>
      <c r="W23" t="str">
        <f>+CWD!W23</f>
        <v>preço pré-equalização decorrente da metodologia de preço de referência para o ponto de saída j</v>
      </c>
    </row>
    <row r="24" spans="14:23" ht="15" hidden="1" customHeight="1" x14ac:dyDescent="0.25"/>
    <row r="25" spans="14:23" ht="15" hidden="1" customHeight="1" x14ac:dyDescent="0.25"/>
    <row r="26" spans="14:23" ht="15" hidden="1" customHeight="1" x14ac:dyDescent="0.25"/>
    <row r="27" spans="14:23" ht="15" hidden="1" customHeight="1" x14ac:dyDescent="0.25"/>
    <row r="28" spans="14:23" ht="15" hidden="1" customHeight="1" x14ac:dyDescent="0.25"/>
    <row r="29" spans="14:23" ht="15" hidden="1" customHeight="1" x14ac:dyDescent="0.25"/>
    <row r="30" spans="14:23" ht="15" hidden="1" customHeight="1" x14ac:dyDescent="0.25"/>
    <row r="31" spans="14:23" ht="15" hidden="1" customHeight="1" x14ac:dyDescent="0.25"/>
    <row r="32" spans="14:23"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T53"/>
  <sheetViews>
    <sheetView showGridLines="0" topLeftCell="A7" zoomScale="90" zoomScaleNormal="90" workbookViewId="0">
      <selection activeCell="O6" sqref="O6"/>
    </sheetView>
  </sheetViews>
  <sheetFormatPr defaultColWidth="0" defaultRowHeight="0" customHeight="1" zeroHeight="1" x14ac:dyDescent="0.25"/>
  <cols>
    <col min="1" max="1" width="9.140625" customWidth="1"/>
    <col min="2" max="2" width="20" bestFit="1" customWidth="1"/>
    <col min="3" max="3" width="15.42578125" bestFit="1" customWidth="1"/>
    <col min="4" max="4" width="2.7109375" customWidth="1"/>
    <col min="5" max="5" width="11" customWidth="1"/>
    <col min="6" max="6" width="35.140625" bestFit="1" customWidth="1"/>
    <col min="7" max="7" width="44.85546875" bestFit="1" customWidth="1"/>
    <col min="8" max="8" width="32.140625" customWidth="1"/>
    <col min="9" max="9" width="13.85546875" customWidth="1"/>
    <col min="10" max="10" width="2.7109375" customWidth="1"/>
    <col min="11" max="11" width="13.140625" bestFit="1" customWidth="1"/>
    <col min="12" max="12" width="2.7109375" customWidth="1"/>
    <col min="13" max="13" width="9.28515625" bestFit="1" customWidth="1"/>
    <col min="14" max="14" width="2.7109375" customWidth="1"/>
    <col min="15" max="15" width="22.7109375" bestFit="1" customWidth="1"/>
    <col min="16" max="16" width="13.85546875" customWidth="1"/>
    <col min="17" max="17" width="9.140625" customWidth="1"/>
    <col min="18" max="19" width="9.140625" hidden="1" customWidth="1"/>
    <col min="20" max="20" width="11.7109375" hidden="1" customWidth="1"/>
    <col min="21" max="16384" width="9.140625" hidden="1"/>
  </cols>
  <sheetData>
    <row r="1" spans="1:16" ht="15.75" thickBot="1" x14ac:dyDescent="0.3"/>
    <row r="2" spans="1:16" ht="15.75" thickBot="1" x14ac:dyDescent="0.3">
      <c r="A2" s="2" t="str">
        <f>+'Pre-scaling RPM'!A2</f>
        <v>Preços pós-equalização</v>
      </c>
      <c r="B2" s="93"/>
      <c r="C2" s="94"/>
      <c r="H2" s="192"/>
    </row>
    <row r="3" spans="1:16" ht="15.75" thickBot="1" x14ac:dyDescent="0.3">
      <c r="A3" s="95"/>
      <c r="B3" s="47" t="str">
        <f>+'Pre-scaling RPM'!B3</f>
        <v>Ponto</v>
      </c>
      <c r="C3" s="90" t="str">
        <f>+'Pre-scaling RPM'!C3</f>
        <v>€/(kWh/dia)/ano</v>
      </c>
    </row>
    <row r="4" spans="1:16" ht="15" x14ac:dyDescent="0.25">
      <c r="A4" s="40" t="str">
        <f>+'Pre-scaling RPM'!A4</f>
        <v>Entrada</v>
      </c>
      <c r="B4" s="13" t="str">
        <f>+'Pre-scaling RPM'!B4</f>
        <v>VIP</v>
      </c>
      <c r="C4" s="46">
        <f>'RPM inputs'!$E$23*('CWD 28-72'!$R$4+'CWD 28-72'!$R$5)*'RPM inputs'!$E$22/('CWD 28-72'!$P$4+'CWD 28-72'!$P$5)</f>
        <v>0.13184432644834784</v>
      </c>
      <c r="E4" s="252"/>
    </row>
    <row r="5" spans="1:16" ht="15" x14ac:dyDescent="0.25">
      <c r="A5" s="41"/>
      <c r="B5" s="16" t="str">
        <f>+'Pre-scaling RPM'!B5</f>
        <v>Terminal GNL</v>
      </c>
      <c r="C5" s="43">
        <f>+'CWD 28-72'!$S$6</f>
        <v>0.12271633009666683</v>
      </c>
    </row>
    <row r="6" spans="1:16" ht="15.75" thickBot="1" x14ac:dyDescent="0.3">
      <c r="A6" s="42"/>
      <c r="B6" s="18" t="str">
        <f>+'Pre-scaling RPM'!B6</f>
        <v>Armazenamento</v>
      </c>
      <c r="C6" s="44">
        <f>+'CWD 28-72'!$S$7</f>
        <v>6.5517625495176285E-2</v>
      </c>
    </row>
    <row r="7" spans="1:16" ht="15" x14ac:dyDescent="0.25">
      <c r="A7" s="40" t="str">
        <f>+'Pre-scaling RPM'!A7</f>
        <v>Saída</v>
      </c>
      <c r="B7" s="13" t="str">
        <f>+'Pre-scaling RPM'!B7</f>
        <v>VIP</v>
      </c>
      <c r="C7" s="46">
        <f>IF(('CWD 28-72'!$C$11+'CWD 28-72'!$D$11)=0,0,(1-'RPM inputs'!$E$23)*('CWD 28-72'!$C$13+'CWD 28-72'!$D$13)*'RPM inputs'!$E$22/('CWD 28-72'!$C$11+'CWD 28-72'!$D$11))</f>
        <v>0.31949512222223214</v>
      </c>
    </row>
    <row r="8" spans="1:16" ht="15" x14ac:dyDescent="0.25">
      <c r="A8" s="41"/>
      <c r="B8" s="16" t="str">
        <f>+'Pre-scaling RPM'!B8</f>
        <v>Terminal GNL</v>
      </c>
      <c r="C8" s="45">
        <f>+'CWD 28-72'!$E$14</f>
        <v>0.31426474881992139</v>
      </c>
    </row>
    <row r="9" spans="1:16" ht="15" x14ac:dyDescent="0.25">
      <c r="A9" s="41"/>
      <c r="B9" s="16" t="str">
        <f>+'Pre-scaling RPM'!B9</f>
        <v>Armazenamento</v>
      </c>
      <c r="C9" s="45">
        <f>+'CWD 28-72'!$F$14</f>
        <v>0.17887480276218914</v>
      </c>
    </row>
    <row r="10" spans="1:16" ht="15.75" thickBot="1" x14ac:dyDescent="0.3">
      <c r="A10" s="42"/>
      <c r="B10" s="18" t="str">
        <f>+'Pre-scaling RPM'!B10</f>
        <v>Consumo</v>
      </c>
      <c r="C10" s="44">
        <f>(1-'RPM inputs'!$E$23)*SUM('CWD 28-72'!$G$13:$M$13)*'RPM inputs'!$E$22/SUM('CWD 28-72'!$G$11:$M$11)</f>
        <v>0.22738956365720492</v>
      </c>
    </row>
    <row r="11" spans="1:16" ht="15.75" thickBot="1" x14ac:dyDescent="0.3"/>
    <row r="12" spans="1:16" ht="15.75" thickBot="1" x14ac:dyDescent="0.3">
      <c r="H12" s="28" t="str">
        <f>+'Pre-scaling RPM'!H12</f>
        <v>Preços pós-equalização</v>
      </c>
      <c r="I12" s="26" t="s">
        <v>6</v>
      </c>
      <c r="K12" s="28" t="str">
        <f>+'Pre-scaling RPM'!K12</f>
        <v>Multiplicador</v>
      </c>
      <c r="M12" s="28" t="str">
        <f>+'Pre-scaling RPM'!M12</f>
        <v>Desconto</v>
      </c>
      <c r="O12" s="28" t="str">
        <f>+'Pre-scaling RPM'!O12</f>
        <v>Preços pré-escalamento</v>
      </c>
      <c r="P12" s="26" t="s">
        <v>6</v>
      </c>
    </row>
    <row r="13" spans="1:16" ht="15.75" thickBot="1" x14ac:dyDescent="0.3">
      <c r="F13" s="8" t="str">
        <f>+'Pre-scaling RPM'!F13</f>
        <v>Ponto</v>
      </c>
      <c r="G13" s="8" t="str">
        <f>+'Pre-scaling RPM'!G13</f>
        <v>Produto</v>
      </c>
      <c r="H13" s="8" t="str">
        <f>+'Pre-scaling RPM'!H13</f>
        <v>Unidade</v>
      </c>
      <c r="I13" s="48"/>
      <c r="K13" s="55"/>
      <c r="M13" s="55"/>
      <c r="O13" s="8" t="str">
        <f>+'Pre-scaling RPM'!O13</f>
        <v>Unidade</v>
      </c>
      <c r="P13" s="48"/>
    </row>
    <row r="14" spans="1:16" ht="15" x14ac:dyDescent="0.25">
      <c r="E14" s="5" t="str">
        <f>+'Pre-scaling RPM'!E14</f>
        <v>Entrada</v>
      </c>
      <c r="F14" s="23" t="str">
        <f>+'Pre-scaling RPM'!F14</f>
        <v>VIP</v>
      </c>
      <c r="G14" s="14" t="str">
        <f>+'Pre-scaling RPM'!G14</f>
        <v>Anual</v>
      </c>
      <c r="H14" s="49" t="str">
        <f>+'Pre-scaling RPM'!H14</f>
        <v>€/(kWh/dia)/ano</v>
      </c>
      <c r="I14" s="46">
        <f>$C$4</f>
        <v>0.13184432644834784</v>
      </c>
      <c r="K14" s="74">
        <f>+Data_b!D18</f>
        <v>1</v>
      </c>
      <c r="M14" s="193">
        <f>+Data_b!$D$13</f>
        <v>0</v>
      </c>
      <c r="O14" s="49" t="str">
        <f>+'Pre-scaling RPM'!O14</f>
        <v>€/(kWh/dia)/ano</v>
      </c>
      <c r="P14" s="46">
        <f>+I14*K14*(1-M14)</f>
        <v>0.13184432644834784</v>
      </c>
    </row>
    <row r="15" spans="1:16" ht="15" x14ac:dyDescent="0.25">
      <c r="E15" s="6"/>
      <c r="F15" s="24"/>
      <c r="G15" s="12" t="str">
        <f>+'Pre-scaling RPM'!G15</f>
        <v>Trimestral</v>
      </c>
      <c r="H15" s="16" t="str">
        <f>+'Pre-scaling RPM'!H15</f>
        <v>€/(kWh/dia)/ano</v>
      </c>
      <c r="I15" s="43">
        <f>$C$4</f>
        <v>0.13184432644834784</v>
      </c>
      <c r="K15" s="75">
        <f>+Data_b!D19</f>
        <v>1.3</v>
      </c>
      <c r="M15" s="244">
        <f>+Data_b!$D$13</f>
        <v>0</v>
      </c>
      <c r="O15" s="16" t="str">
        <f>+'Pre-scaling RPM'!O15</f>
        <v>€/(kWh/dia)/ano</v>
      </c>
      <c r="P15" s="43">
        <f t="shared" ref="P15:P44" si="0">+I15*K15*(1-M15)</f>
        <v>0.17139762438285219</v>
      </c>
    </row>
    <row r="16" spans="1:16" ht="15" x14ac:dyDescent="0.25">
      <c r="E16" s="6"/>
      <c r="F16" s="24"/>
      <c r="G16" s="12" t="str">
        <f>+'Pre-scaling RPM'!G16</f>
        <v>Mensal</v>
      </c>
      <c r="H16" s="16" t="str">
        <f>+'Pre-scaling RPM'!H16</f>
        <v>€/(kWh/dia)/ano</v>
      </c>
      <c r="I16" s="43">
        <f>$C$4</f>
        <v>0.13184432644834784</v>
      </c>
      <c r="K16" s="75">
        <f>+Data_b!D20</f>
        <v>1.5</v>
      </c>
      <c r="M16" s="244">
        <f>+Data_b!$D$13</f>
        <v>0</v>
      </c>
      <c r="O16" s="16" t="str">
        <f>+'Pre-scaling RPM'!O16</f>
        <v>€/(kWh/dia)/ano</v>
      </c>
      <c r="P16" s="43">
        <f t="shared" si="0"/>
        <v>0.19776648967252175</v>
      </c>
    </row>
    <row r="17" spans="5:16" ht="15" x14ac:dyDescent="0.25">
      <c r="E17" s="6"/>
      <c r="F17" s="24"/>
      <c r="G17" s="12" t="str">
        <f>+'Pre-scaling RPM'!G17</f>
        <v>Diário</v>
      </c>
      <c r="H17" s="16" t="str">
        <f>+'Pre-scaling RPM'!H17</f>
        <v>€/(kWh/dia)/ano</v>
      </c>
      <c r="I17" s="43">
        <f>$C$4</f>
        <v>0.13184432644834784</v>
      </c>
      <c r="K17" s="75">
        <f>+Data_b!D21</f>
        <v>2</v>
      </c>
      <c r="M17" s="244">
        <f>+Data_b!$D$13</f>
        <v>0</v>
      </c>
      <c r="O17" s="16" t="str">
        <f>+'Pre-scaling RPM'!O17</f>
        <v>€/(kWh/dia)/ano</v>
      </c>
      <c r="P17" s="43">
        <f t="shared" si="0"/>
        <v>0.26368865289669569</v>
      </c>
    </row>
    <row r="18" spans="5:16" ht="15.75" thickBot="1" x14ac:dyDescent="0.3">
      <c r="E18" s="6"/>
      <c r="F18" s="25"/>
      <c r="G18" s="19" t="str">
        <f>+'Pre-scaling RPM'!G18</f>
        <v>Intradiário</v>
      </c>
      <c r="H18" s="18" t="str">
        <f>+'Pre-scaling RPM'!H18</f>
        <v>€/(kWh/h)/ano</v>
      </c>
      <c r="I18" s="44">
        <f>$C$4*24</f>
        <v>3.164263834760348</v>
      </c>
      <c r="K18" s="76">
        <f>+Data_b!D22</f>
        <v>2.2000000000000002</v>
      </c>
      <c r="M18" s="194">
        <f>+Data_b!$D$13</f>
        <v>0</v>
      </c>
      <c r="O18" s="18" t="str">
        <f>+'Pre-scaling RPM'!O18</f>
        <v>€/(kWh/h)/ano</v>
      </c>
      <c r="P18" s="44">
        <f t="shared" si="0"/>
        <v>6.9613804364727665</v>
      </c>
    </row>
    <row r="19" spans="5:16" ht="15" x14ac:dyDescent="0.25">
      <c r="E19" s="6"/>
      <c r="F19" s="23" t="str">
        <f>+'Pre-scaling RPM'!F19</f>
        <v>Terminal GNL</v>
      </c>
      <c r="G19" s="14" t="str">
        <f>+'Pre-scaling RPM'!G19</f>
        <v>Anual</v>
      </c>
      <c r="H19" s="49" t="str">
        <f>+'Pre-scaling RPM'!H19</f>
        <v>€/(kWh/dia)/ano</v>
      </c>
      <c r="I19" s="46">
        <f>$C$5</f>
        <v>0.12271633009666683</v>
      </c>
      <c r="K19" s="74">
        <f>+Data_b!D23</f>
        <v>1</v>
      </c>
      <c r="M19" s="193">
        <f>+Data_b!$D$13</f>
        <v>0</v>
      </c>
      <c r="O19" s="49" t="str">
        <f>+'Pre-scaling RPM'!O19</f>
        <v>€/(kWh/dia)/ano</v>
      </c>
      <c r="P19" s="46">
        <f t="shared" si="0"/>
        <v>0.12271633009666683</v>
      </c>
    </row>
    <row r="20" spans="5:16" ht="15" x14ac:dyDescent="0.25">
      <c r="E20" s="6"/>
      <c r="F20" s="24"/>
      <c r="G20" s="12" t="str">
        <f>+'Pre-scaling RPM'!G20</f>
        <v>Trimestral</v>
      </c>
      <c r="H20" s="16" t="str">
        <f>+'Pre-scaling RPM'!H20</f>
        <v>€/(kWh/dia)/ano</v>
      </c>
      <c r="I20" s="43">
        <f>$C$5</f>
        <v>0.12271633009666683</v>
      </c>
      <c r="K20" s="75">
        <f>+Data_b!D24</f>
        <v>1.3</v>
      </c>
      <c r="M20" s="244">
        <f>+Data_b!$D$13</f>
        <v>0</v>
      </c>
      <c r="O20" s="16" t="str">
        <f>+'Pre-scaling RPM'!O20</f>
        <v>€/(kWh/dia)/ano</v>
      </c>
      <c r="P20" s="43">
        <f t="shared" si="0"/>
        <v>0.15953122912566689</v>
      </c>
    </row>
    <row r="21" spans="5:16" ht="15" x14ac:dyDescent="0.25">
      <c r="E21" s="6"/>
      <c r="F21" s="24"/>
      <c r="G21" s="12" t="str">
        <f>+'Pre-scaling RPM'!G21</f>
        <v>Mensal</v>
      </c>
      <c r="H21" s="16" t="str">
        <f>+'Pre-scaling RPM'!H21</f>
        <v>€/(kWh/dia)/ano</v>
      </c>
      <c r="I21" s="43">
        <f>$C$5</f>
        <v>0.12271633009666683</v>
      </c>
      <c r="K21" s="75">
        <f>+Data_b!D25</f>
        <v>1.5</v>
      </c>
      <c r="M21" s="244">
        <f>+Data_b!$D$13</f>
        <v>0</v>
      </c>
      <c r="O21" s="16" t="str">
        <f>+'Pre-scaling RPM'!O21</f>
        <v>€/(kWh/dia)/ano</v>
      </c>
      <c r="P21" s="43">
        <f t="shared" si="0"/>
        <v>0.18407449514500024</v>
      </c>
    </row>
    <row r="22" spans="5:16" ht="15" x14ac:dyDescent="0.25">
      <c r="E22" s="6"/>
      <c r="F22" s="24"/>
      <c r="G22" s="12" t="str">
        <f>+'Pre-scaling RPM'!G22</f>
        <v>Diário</v>
      </c>
      <c r="H22" s="16" t="str">
        <f>+'Pre-scaling RPM'!H22</f>
        <v>€/(kWh/dia)/ano</v>
      </c>
      <c r="I22" s="43">
        <f>$C$5</f>
        <v>0.12271633009666683</v>
      </c>
      <c r="K22" s="75">
        <f>+Data_b!D26</f>
        <v>2</v>
      </c>
      <c r="M22" s="244">
        <f>+Data_b!$D$13</f>
        <v>0</v>
      </c>
      <c r="O22" s="16" t="str">
        <f>+'Pre-scaling RPM'!O22</f>
        <v>€/(kWh/dia)/ano</v>
      </c>
      <c r="P22" s="43">
        <f t="shared" si="0"/>
        <v>0.24543266019333365</v>
      </c>
    </row>
    <row r="23" spans="5:16" ht="15.75" thickBot="1" x14ac:dyDescent="0.3">
      <c r="E23" s="6"/>
      <c r="F23" s="25"/>
      <c r="G23" s="19" t="str">
        <f>+'Pre-scaling RPM'!G23</f>
        <v>Intradiário</v>
      </c>
      <c r="H23" s="18" t="str">
        <f>+'Pre-scaling RPM'!H23</f>
        <v>€/(kWh/h)/ano</v>
      </c>
      <c r="I23" s="44">
        <f>$C$5*24</f>
        <v>2.9451919223200038</v>
      </c>
      <c r="K23" s="76">
        <f>+Data_b!D27</f>
        <v>2.2000000000000002</v>
      </c>
      <c r="M23" s="194">
        <f>+Data_b!$D$13</f>
        <v>0</v>
      </c>
      <c r="O23" s="18" t="str">
        <f>+'Pre-scaling RPM'!O23</f>
        <v>€/(kWh/h)/ano</v>
      </c>
      <c r="P23" s="44">
        <f t="shared" si="0"/>
        <v>6.4794222291040091</v>
      </c>
    </row>
    <row r="24" spans="5:16" ht="15" x14ac:dyDescent="0.25">
      <c r="E24" s="6"/>
      <c r="F24" s="23" t="str">
        <f>+'Pre-scaling RPM'!F24</f>
        <v>Armazenamento subterrâneo</v>
      </c>
      <c r="G24" s="14" t="str">
        <f>+'Pre-scaling RPM'!G24</f>
        <v>Diário</v>
      </c>
      <c r="H24" s="49" t="str">
        <f>+'Pre-scaling RPM'!H24</f>
        <v>€/(kWh/dia)/ano</v>
      </c>
      <c r="I24" s="46">
        <f>$C$6</f>
        <v>6.5517625495176285E-2</v>
      </c>
      <c r="K24" s="74">
        <f>+Data_b!D28</f>
        <v>1</v>
      </c>
      <c r="M24" s="193">
        <f>+Data_b!$D$11</f>
        <v>1</v>
      </c>
      <c r="O24" s="49" t="str">
        <f>+'Pre-scaling RPM'!O24</f>
        <v>€/(kWh/dia)/ano</v>
      </c>
      <c r="P24" s="46">
        <f t="shared" si="0"/>
        <v>0</v>
      </c>
    </row>
    <row r="25" spans="5:16" ht="15.75" thickBot="1" x14ac:dyDescent="0.3">
      <c r="E25" s="7"/>
      <c r="F25" s="25"/>
      <c r="G25" s="19" t="str">
        <f>+'Pre-scaling RPM'!G25</f>
        <v>Intradiário</v>
      </c>
      <c r="H25" s="18" t="str">
        <f>+'Pre-scaling RPM'!H25</f>
        <v>€/(kWh/h)/ano</v>
      </c>
      <c r="I25" s="44">
        <f>$C$6*24</f>
        <v>1.5724230118842308</v>
      </c>
      <c r="K25" s="76">
        <f>+Data_b!D29</f>
        <v>1.1000000000000001</v>
      </c>
      <c r="M25" s="194">
        <f>+Data_b!$D$11</f>
        <v>1</v>
      </c>
      <c r="O25" s="18" t="str">
        <f>+'Pre-scaling RPM'!O25</f>
        <v>€/(kWh/h)/ano</v>
      </c>
      <c r="P25" s="44">
        <f t="shared" si="0"/>
        <v>0</v>
      </c>
    </row>
    <row r="26" spans="5:16" ht="15" x14ac:dyDescent="0.25">
      <c r="E26" s="5" t="str">
        <f>+'Pre-scaling RPM'!E26</f>
        <v>Saída</v>
      </c>
      <c r="F26" s="23" t="str">
        <f>+'Pre-scaling RPM'!F26</f>
        <v>VIP</v>
      </c>
      <c r="G26" s="14" t="str">
        <f>+'Pre-scaling RPM'!G26</f>
        <v>Anual</v>
      </c>
      <c r="H26" s="49" t="str">
        <f>+'Pre-scaling RPM'!H26</f>
        <v>€/(kWh/dia)/ano</v>
      </c>
      <c r="I26" s="46">
        <f>$C$7</f>
        <v>0.31949512222223214</v>
      </c>
      <c r="K26" s="74">
        <f>+Data_b!D30</f>
        <v>1</v>
      </c>
      <c r="M26" s="193">
        <f>+Data_b!$D$13</f>
        <v>0</v>
      </c>
      <c r="O26" s="49" t="str">
        <f>+'Pre-scaling RPM'!O26</f>
        <v>€/(kWh/dia)/ano</v>
      </c>
      <c r="P26" s="46">
        <f t="shared" si="0"/>
        <v>0.31949512222223214</v>
      </c>
    </row>
    <row r="27" spans="5:16" ht="15" x14ac:dyDescent="0.25">
      <c r="E27" s="3"/>
      <c r="F27" s="24"/>
      <c r="G27" s="12" t="str">
        <f>+'Pre-scaling RPM'!G27</f>
        <v>Trimestral</v>
      </c>
      <c r="H27" s="16" t="str">
        <f>+'Pre-scaling RPM'!H27</f>
        <v>€/(kWh/dia)/ano</v>
      </c>
      <c r="I27" s="43">
        <f>$C$7</f>
        <v>0.31949512222223214</v>
      </c>
      <c r="K27" s="75">
        <f>+Data_b!D31</f>
        <v>1.3</v>
      </c>
      <c r="M27" s="244">
        <f>+Data_b!$D$13</f>
        <v>0</v>
      </c>
      <c r="O27" s="16" t="str">
        <f>+'Pre-scaling RPM'!O27</f>
        <v>€/(kWh/dia)/ano</v>
      </c>
      <c r="P27" s="43">
        <f t="shared" si="0"/>
        <v>0.41534365888890179</v>
      </c>
    </row>
    <row r="28" spans="5:16" ht="15" x14ac:dyDescent="0.25">
      <c r="E28" s="3"/>
      <c r="F28" s="24"/>
      <c r="G28" s="12" t="str">
        <f>+'Pre-scaling RPM'!G28</f>
        <v>Mensal</v>
      </c>
      <c r="H28" s="16" t="str">
        <f>+'Pre-scaling RPM'!H28</f>
        <v>€/(kWh/dia)/ano</v>
      </c>
      <c r="I28" s="43">
        <f>$C$7</f>
        <v>0.31949512222223214</v>
      </c>
      <c r="K28" s="75">
        <f>+Data_b!D32</f>
        <v>1.5</v>
      </c>
      <c r="M28" s="244">
        <f>+Data_b!$D$13</f>
        <v>0</v>
      </c>
      <c r="O28" s="16" t="str">
        <f>+'Pre-scaling RPM'!O28</f>
        <v>€/(kWh/dia)/ano</v>
      </c>
      <c r="P28" s="43">
        <f t="shared" si="0"/>
        <v>0.47924268333334819</v>
      </c>
    </row>
    <row r="29" spans="5:16" ht="15" x14ac:dyDescent="0.25">
      <c r="E29" s="3"/>
      <c r="F29" s="24"/>
      <c r="G29" s="12" t="str">
        <f>+'Pre-scaling RPM'!G29</f>
        <v>Diário</v>
      </c>
      <c r="H29" s="16" t="str">
        <f>+'Pre-scaling RPM'!H29</f>
        <v>€/(kWh/dia)/ano</v>
      </c>
      <c r="I29" s="43">
        <f>$C$7</f>
        <v>0.31949512222223214</v>
      </c>
      <c r="K29" s="75">
        <f>+Data_b!D33</f>
        <v>2</v>
      </c>
      <c r="M29" s="244">
        <f>+Data_b!$D$13</f>
        <v>0</v>
      </c>
      <c r="O29" s="16" t="str">
        <f>+'Pre-scaling RPM'!O29</f>
        <v>€/(kWh/dia)/ano</v>
      </c>
      <c r="P29" s="43">
        <f t="shared" si="0"/>
        <v>0.63899024444446428</v>
      </c>
    </row>
    <row r="30" spans="5:16" ht="15.75" thickBot="1" x14ac:dyDescent="0.3">
      <c r="E30" s="3"/>
      <c r="F30" s="25"/>
      <c r="G30" s="19" t="str">
        <f>+'Pre-scaling RPM'!G30</f>
        <v>Intradiário</v>
      </c>
      <c r="H30" s="18" t="str">
        <f>+'Pre-scaling RPM'!H30</f>
        <v>€/(kWh/h)/ano</v>
      </c>
      <c r="I30" s="44">
        <f>$C$7*24</f>
        <v>7.667882933333571</v>
      </c>
      <c r="K30" s="76">
        <f>+Data_b!D34</f>
        <v>2.2000000000000002</v>
      </c>
      <c r="M30" s="194">
        <f>+Data_b!$D$13</f>
        <v>0</v>
      </c>
      <c r="O30" s="18" t="str">
        <f>+'Pre-scaling RPM'!O30</f>
        <v>€/(kWh/h)/ano</v>
      </c>
      <c r="P30" s="44">
        <f t="shared" si="0"/>
        <v>16.869342453333857</v>
      </c>
    </row>
    <row r="31" spans="5:16" ht="15" x14ac:dyDescent="0.25">
      <c r="E31" s="3"/>
      <c r="F31" s="23" t="str">
        <f>+'Pre-scaling RPM'!F31</f>
        <v>Terminal GNL</v>
      </c>
      <c r="G31" s="14" t="str">
        <f>+'Pre-scaling RPM'!G31</f>
        <v>Anual</v>
      </c>
      <c r="H31" s="49" t="str">
        <f>+'Pre-scaling RPM'!H31</f>
        <v>€/(kWh/dia)/ano</v>
      </c>
      <c r="I31" s="46">
        <f>$C$8</f>
        <v>0.31426474881992139</v>
      </c>
      <c r="K31" s="74">
        <f>+Data_b!D35</f>
        <v>1</v>
      </c>
      <c r="M31" s="193">
        <f>+Data_b!$D$13</f>
        <v>0</v>
      </c>
      <c r="O31" s="49" t="str">
        <f>+'Pre-scaling RPM'!O31</f>
        <v>€/(kWh/dia)/ano</v>
      </c>
      <c r="P31" s="46">
        <f t="shared" si="0"/>
        <v>0.31426474881992139</v>
      </c>
    </row>
    <row r="32" spans="5:16" ht="15" x14ac:dyDescent="0.25">
      <c r="E32" s="3"/>
      <c r="F32" s="24"/>
      <c r="G32" s="12" t="str">
        <f>+'Pre-scaling RPM'!G32</f>
        <v>Trimestral</v>
      </c>
      <c r="H32" s="16" t="str">
        <f>+'Pre-scaling RPM'!H32</f>
        <v>€/(kWh/dia)/ano</v>
      </c>
      <c r="I32" s="43">
        <f>$C$8</f>
        <v>0.31426474881992139</v>
      </c>
      <c r="K32" s="75">
        <f>+Data_b!D36</f>
        <v>1.3</v>
      </c>
      <c r="M32" s="244">
        <f>+Data_b!$D$13</f>
        <v>0</v>
      </c>
      <c r="O32" s="16" t="str">
        <f>+'Pre-scaling RPM'!O32</f>
        <v>€/(kWh/dia)/ano</v>
      </c>
      <c r="P32" s="43">
        <f t="shared" si="0"/>
        <v>0.40854417346589783</v>
      </c>
    </row>
    <row r="33" spans="5:16" ht="15" x14ac:dyDescent="0.25">
      <c r="E33" s="3"/>
      <c r="F33" s="24"/>
      <c r="G33" s="12" t="str">
        <f>+'Pre-scaling RPM'!G33</f>
        <v>Mensal</v>
      </c>
      <c r="H33" s="16" t="str">
        <f>+'Pre-scaling RPM'!H33</f>
        <v>€/(kWh/dia)/ano</v>
      </c>
      <c r="I33" s="43">
        <f>$C$8</f>
        <v>0.31426474881992139</v>
      </c>
      <c r="K33" s="75">
        <f>+Data_b!D37</f>
        <v>1.5</v>
      </c>
      <c r="M33" s="244">
        <f>+Data_b!$D$13</f>
        <v>0</v>
      </c>
      <c r="O33" s="16" t="str">
        <f>+'Pre-scaling RPM'!O33</f>
        <v>€/(kWh/dia)/ano</v>
      </c>
      <c r="P33" s="43">
        <f t="shared" si="0"/>
        <v>0.47139712322988209</v>
      </c>
    </row>
    <row r="34" spans="5:16" ht="15" x14ac:dyDescent="0.25">
      <c r="E34" s="3"/>
      <c r="F34" s="24"/>
      <c r="G34" s="12" t="str">
        <f>+'Pre-scaling RPM'!G34</f>
        <v>Diário</v>
      </c>
      <c r="H34" s="16" t="str">
        <f>+'Pre-scaling RPM'!H34</f>
        <v>€/(kWh/dia)/ano</v>
      </c>
      <c r="I34" s="43">
        <f>$C$8</f>
        <v>0.31426474881992139</v>
      </c>
      <c r="K34" s="75">
        <f>+Data_b!D38</f>
        <v>2</v>
      </c>
      <c r="M34" s="244">
        <f>+Data_b!$D$13</f>
        <v>0</v>
      </c>
      <c r="O34" s="16" t="str">
        <f>+'Pre-scaling RPM'!O34</f>
        <v>€/(kWh/dia)/ano</v>
      </c>
      <c r="P34" s="43">
        <f t="shared" si="0"/>
        <v>0.62852949763984278</v>
      </c>
    </row>
    <row r="35" spans="5:16" ht="15.75" thickBot="1" x14ac:dyDescent="0.3">
      <c r="E35" s="3"/>
      <c r="F35" s="25"/>
      <c r="G35" s="19" t="str">
        <f>+'Pre-scaling RPM'!G35</f>
        <v>Intradiário</v>
      </c>
      <c r="H35" s="18" t="str">
        <f>+'Pre-scaling RPM'!H35</f>
        <v>€/(kWh/h)/ano</v>
      </c>
      <c r="I35" s="44">
        <f>$C$8*24</f>
        <v>7.5423539716781134</v>
      </c>
      <c r="K35" s="76">
        <f>+Data_b!D39</f>
        <v>2.2000000000000002</v>
      </c>
      <c r="M35" s="194">
        <f>+Data_b!$D$13</f>
        <v>0</v>
      </c>
      <c r="O35" s="18" t="str">
        <f>+'Pre-scaling RPM'!O35</f>
        <v>€/(kWh/h)/ano</v>
      </c>
      <c r="P35" s="44">
        <f t="shared" si="0"/>
        <v>16.593178737691851</v>
      </c>
    </row>
    <row r="36" spans="5:16" ht="15" x14ac:dyDescent="0.25">
      <c r="E36" s="3"/>
      <c r="F36" s="23" t="str">
        <f>+'Pre-scaling RPM'!F36</f>
        <v>Armazenamento subterrâneo</v>
      </c>
      <c r="G36" s="14" t="str">
        <f>+'Pre-scaling RPM'!G36</f>
        <v>Diário</v>
      </c>
      <c r="H36" s="49" t="str">
        <f>+'Pre-scaling RPM'!H36</f>
        <v>€/(kWh/dia)/ano</v>
      </c>
      <c r="I36" s="46">
        <f>$C$9</f>
        <v>0.17887480276218914</v>
      </c>
      <c r="K36" s="74">
        <f>+Data_b!D40</f>
        <v>1</v>
      </c>
      <c r="M36" s="193">
        <f>+Data_b!$D$12</f>
        <v>1</v>
      </c>
      <c r="O36" s="49" t="str">
        <f>+'Pre-scaling RPM'!O36</f>
        <v>€/(kWh/dia)/ano</v>
      </c>
      <c r="P36" s="46">
        <f t="shared" si="0"/>
        <v>0</v>
      </c>
    </row>
    <row r="37" spans="5:16" ht="15.75" thickBot="1" x14ac:dyDescent="0.3">
      <c r="E37" s="3"/>
      <c r="F37" s="25"/>
      <c r="G37" s="19" t="str">
        <f>+'Pre-scaling RPM'!G37</f>
        <v>Intradiário</v>
      </c>
      <c r="H37" s="18" t="str">
        <f>+'Pre-scaling RPM'!H37</f>
        <v>€/(kWh/h)/ano</v>
      </c>
      <c r="I37" s="44">
        <f>$C$9*24</f>
        <v>4.2929952662925395</v>
      </c>
      <c r="K37" s="76">
        <f>+Data_b!D41</f>
        <v>1.1000000000000001</v>
      </c>
      <c r="M37" s="194">
        <f>+Data_b!$D$12</f>
        <v>1</v>
      </c>
      <c r="O37" s="18" t="str">
        <f>+'Pre-scaling RPM'!O37</f>
        <v>€/(kWh/h)/ano</v>
      </c>
      <c r="P37" s="44">
        <f t="shared" si="0"/>
        <v>0</v>
      </c>
    </row>
    <row r="38" spans="5:16" ht="15.75" thickBot="1" x14ac:dyDescent="0.3">
      <c r="E38" s="3"/>
      <c r="F38" s="21" t="str">
        <f>+'Pre-scaling RPM'!F38</f>
        <v>Redes de distribuição e Clientes em AP</v>
      </c>
      <c r="G38" s="22" t="str">
        <f>+'Pre-scaling RPM'!G38</f>
        <v>Longas utilizações</v>
      </c>
      <c r="H38" s="21" t="str">
        <f>+'Pre-scaling RPM'!H38</f>
        <v>€/(kWh/dia)/ano</v>
      </c>
      <c r="I38" s="73">
        <f t="shared" ref="I38:I44" si="1">$C$10</f>
        <v>0.22738956365720492</v>
      </c>
      <c r="K38" s="77">
        <f>+Data_b!D42</f>
        <v>1</v>
      </c>
      <c r="M38" s="245">
        <f>+Data_b!$D$13</f>
        <v>0</v>
      </c>
      <c r="O38" s="21" t="str">
        <f>+'Pre-scaling RPM'!O38</f>
        <v>€/(kWh/dia)/ano</v>
      </c>
      <c r="P38" s="73">
        <f t="shared" si="0"/>
        <v>0.22738956365720492</v>
      </c>
    </row>
    <row r="39" spans="5:16" ht="15" x14ac:dyDescent="0.25">
      <c r="E39" s="3"/>
      <c r="F39" s="23" t="str">
        <f>+'Pre-scaling RPM'!F39</f>
        <v>Clientes em AP</v>
      </c>
      <c r="G39" s="14" t="str">
        <f>+'Pre-scaling RPM'!G39</f>
        <v>Tarifa flexível anual - capacidade base anual</v>
      </c>
      <c r="H39" s="13" t="str">
        <f>+'Pre-scaling RPM'!H39</f>
        <v>€/(kWh/dia)/ano</v>
      </c>
      <c r="I39" s="46">
        <f t="shared" si="1"/>
        <v>0.22738956365720492</v>
      </c>
      <c r="K39" s="410">
        <f>+Data_b!D43</f>
        <v>1</v>
      </c>
      <c r="M39" s="413">
        <f>+Data_b!$D$13</f>
        <v>0</v>
      </c>
      <c r="O39" s="14" t="str">
        <f>+'Pre-scaling RPM'!O39</f>
        <v>€/(kWh/dia)/ano</v>
      </c>
      <c r="P39" s="46">
        <f t="shared" si="0"/>
        <v>0.22738956365720492</v>
      </c>
    </row>
    <row r="40" spans="5:16" ht="15" x14ac:dyDescent="0.25">
      <c r="E40" s="3"/>
      <c r="F40" s="24"/>
      <c r="G40" s="12" t="str">
        <f>+'Pre-scaling RPM'!G40</f>
        <v>Tarifa flexível anual - capacidade mensal adicional (abril a setembro)</v>
      </c>
      <c r="H40" s="16" t="str">
        <f>+'Pre-scaling RPM'!H40</f>
        <v>€/(kWh/dia)/ano</v>
      </c>
      <c r="I40" s="43">
        <f t="shared" si="1"/>
        <v>0.22738956365720492</v>
      </c>
      <c r="K40" s="411">
        <f>+Data_b!D44</f>
        <v>1.5</v>
      </c>
      <c r="M40" s="414">
        <f>+Data_b!$D$13</f>
        <v>0</v>
      </c>
      <c r="O40" s="12" t="str">
        <f>+'Pre-scaling RPM'!O40</f>
        <v>€/(kWh/dia)/ano</v>
      </c>
      <c r="P40" s="43">
        <f t="shared" si="0"/>
        <v>0.34108434548580735</v>
      </c>
    </row>
    <row r="41" spans="5:16" ht="15" x14ac:dyDescent="0.25">
      <c r="E41" s="3"/>
      <c r="F41" s="24"/>
      <c r="G41" s="12" t="str">
        <f>+'Pre-scaling RPM'!G41</f>
        <v>Tarifa flexível mensal - capacidade mensal (outubro a março)</v>
      </c>
      <c r="H41" s="16" t="str">
        <f>+'Pre-scaling RPM'!H41</f>
        <v>€/(kWh/dia)/ano</v>
      </c>
      <c r="I41" s="43">
        <f t="shared" si="1"/>
        <v>0.22738956365720492</v>
      </c>
      <c r="K41" s="411">
        <f>+Data_b!D45</f>
        <v>3</v>
      </c>
      <c r="M41" s="414">
        <f>+Data_b!$D$13</f>
        <v>0</v>
      </c>
      <c r="O41" s="12" t="str">
        <f>+'Pre-scaling RPM'!O41</f>
        <v>€/(kWh/dia)/ano</v>
      </c>
      <c r="P41" s="43">
        <f t="shared" si="0"/>
        <v>0.6821686909716147</v>
      </c>
    </row>
    <row r="42" spans="5:16" ht="15" x14ac:dyDescent="0.25">
      <c r="E42" s="3"/>
      <c r="F42" s="24"/>
      <c r="G42" s="12" t="str">
        <f>+'Pre-scaling RPM'!G42</f>
        <v>Tarifa flexível mensal - capacidade mensal (abril a setembro)</v>
      </c>
      <c r="H42" s="16" t="str">
        <f>+'Pre-scaling RPM'!H42</f>
        <v>€/(kWh/dia)/ano</v>
      </c>
      <c r="I42" s="43">
        <f t="shared" si="1"/>
        <v>0.22738956365720492</v>
      </c>
      <c r="K42" s="411">
        <f>+Data_b!D46</f>
        <v>1.5</v>
      </c>
      <c r="M42" s="414">
        <f>+Data_b!$D$13</f>
        <v>0</v>
      </c>
      <c r="O42" s="12" t="str">
        <f>+'Pre-scaling RPM'!O42</f>
        <v>€/(kWh/dia)/ano</v>
      </c>
      <c r="P42" s="43">
        <f t="shared" si="0"/>
        <v>0.34108434548580735</v>
      </c>
    </row>
    <row r="43" spans="5:16" ht="15" x14ac:dyDescent="0.25">
      <c r="E43" s="3"/>
      <c r="F43" s="24"/>
      <c r="G43" s="12" t="str">
        <f>+'Pre-scaling RPM'!G43</f>
        <v>Tarifa flexível diária - capacidade diária (outubro a março)</v>
      </c>
      <c r="H43" s="16" t="str">
        <f>+'Pre-scaling RPM'!H43</f>
        <v>€/(kWh/dia)/ano</v>
      </c>
      <c r="I43" s="43">
        <f t="shared" si="1"/>
        <v>0.22738956365720492</v>
      </c>
      <c r="K43" s="411">
        <f>+Data_b!D47</f>
        <v>10</v>
      </c>
      <c r="M43" s="414">
        <f>+Data_b!$D$13</f>
        <v>0</v>
      </c>
      <c r="O43" s="12" t="str">
        <f>+'Pre-scaling RPM'!O43</f>
        <v>€/(kWh/dia)/ano</v>
      </c>
      <c r="P43" s="43">
        <f t="shared" si="0"/>
        <v>2.2738956365720493</v>
      </c>
    </row>
    <row r="44" spans="5:16" ht="15.75" thickBot="1" x14ac:dyDescent="0.3">
      <c r="E44" s="4"/>
      <c r="F44" s="25"/>
      <c r="G44" s="19" t="str">
        <f>+'Pre-scaling RPM'!G44</f>
        <v>Tarifa flexível diária - capacidade diária (abril a setembro)</v>
      </c>
      <c r="H44" s="18" t="str">
        <f>+'Pre-scaling RPM'!H44</f>
        <v>€/(kWh/dia)/ano</v>
      </c>
      <c r="I44" s="44">
        <f t="shared" si="1"/>
        <v>0.22738956365720492</v>
      </c>
      <c r="K44" s="412">
        <f>+Data_b!D48</f>
        <v>6</v>
      </c>
      <c r="M44" s="415">
        <f>+Data_b!$D$13</f>
        <v>0</v>
      </c>
      <c r="O44" s="19" t="str">
        <f>+'Pre-scaling RPM'!O44</f>
        <v>€/(kWh/dia)/ano</v>
      </c>
      <c r="P44" s="44">
        <f t="shared" si="0"/>
        <v>1.3643373819432294</v>
      </c>
    </row>
    <row r="45" spans="5:16" ht="15" x14ac:dyDescent="0.25"/>
    <row r="46" spans="5:16" ht="15" hidden="1" x14ac:dyDescent="0.25"/>
    <row r="47" spans="5:16" ht="15" hidden="1" x14ac:dyDescent="0.25"/>
    <row r="48" spans="5:16"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U44"/>
  <sheetViews>
    <sheetView showGridLines="0" topLeftCell="D1" zoomScale="80" zoomScaleNormal="80" workbookViewId="0">
      <selection activeCell="G33" sqref="G33"/>
    </sheetView>
  </sheetViews>
  <sheetFormatPr defaultColWidth="9.140625" defaultRowHeight="0" customHeight="1" zeroHeight="1" x14ac:dyDescent="0.25"/>
  <cols>
    <col min="1" max="1" width="9.140625" customWidth="1"/>
    <col min="2" max="2" width="11" customWidth="1"/>
    <col min="3" max="3" width="40.5703125" bestFit="1" customWidth="1"/>
    <col min="4" max="4" width="72" bestFit="1" customWidth="1"/>
    <col min="5" max="5" width="20.140625" bestFit="1" customWidth="1"/>
    <col min="6" max="6" width="9.7109375" bestFit="1" customWidth="1"/>
    <col min="7" max="7" width="13.85546875" customWidth="1"/>
    <col min="8" max="8" width="2.7109375" customWidth="1"/>
    <col min="9" max="9" width="26.140625" bestFit="1" customWidth="1"/>
    <col min="10" max="10" width="13.85546875" customWidth="1"/>
    <col min="11" max="11" width="2.7109375" customWidth="1"/>
    <col min="12" max="12" width="27.5703125" bestFit="1" customWidth="1"/>
    <col min="13" max="13" width="13.85546875" customWidth="1"/>
    <col min="14" max="14" width="2.7109375" customWidth="1"/>
    <col min="15" max="15" width="22.7109375" bestFit="1" customWidth="1"/>
    <col min="16" max="16" width="2.7109375" customWidth="1"/>
    <col min="17" max="17" width="17.85546875" customWidth="1"/>
    <col min="18" max="18" width="13.85546875" customWidth="1"/>
    <col min="19" max="19" width="9.140625" customWidth="1"/>
    <col min="20" max="20" width="11.7109375" customWidth="1"/>
    <col min="21" max="21" width="11.5703125" customWidth="1"/>
  </cols>
  <sheetData>
    <row r="1" spans="2:21" ht="15" x14ac:dyDescent="0.25"/>
    <row r="2" spans="2:21" ht="15.75" thickBot="1" x14ac:dyDescent="0.3"/>
    <row r="3" spans="2:21" ht="15.75" thickBot="1" x14ac:dyDescent="0.3">
      <c r="E3" s="2" t="str">
        <f>+'Reference prices RPM'!E3</f>
        <v>Capacidades previstas</v>
      </c>
      <c r="F3" s="160"/>
      <c r="G3" s="82"/>
      <c r="I3" s="2" t="str">
        <f>+'Reference prices RPM'!I3</f>
        <v>Preços pré-escalamento</v>
      </c>
      <c r="J3" s="82"/>
      <c r="L3" s="2" t="str">
        <f>+'Reference prices RPM'!L3</f>
        <v>Receitas, pré-escalamento</v>
      </c>
      <c r="M3" s="82"/>
      <c r="O3" s="28" t="str">
        <f>+'Reference prices RPM'!O3</f>
        <v>Fatores de escalamento</v>
      </c>
      <c r="Q3" s="2" t="str">
        <f>+'Reference prices RPM'!Q3</f>
        <v>Preços de referência</v>
      </c>
      <c r="R3" s="82"/>
      <c r="T3" s="2" t="str">
        <f>+'Reference prices RPM'!T3</f>
        <v>Receitas, pós-escalamento</v>
      </c>
      <c r="U3" s="82"/>
    </row>
    <row r="4" spans="2:21" ht="15.75" thickBot="1" x14ac:dyDescent="0.3">
      <c r="C4" s="8" t="str">
        <f>+'Reference prices RPM'!C4</f>
        <v>Ponto</v>
      </c>
      <c r="D4" s="8" t="str">
        <f>+'Reference prices RPM'!D4</f>
        <v>Produto</v>
      </c>
      <c r="E4" s="8" t="str">
        <f>+'Reference prices RPM'!E4</f>
        <v>Unidade</v>
      </c>
      <c r="F4" s="8" t="str">
        <f>+'Reference prices RPM'!F4</f>
        <v># meses</v>
      </c>
      <c r="G4" s="48"/>
      <c r="I4" s="271" t="str">
        <f>+'Reference prices RPM'!I4</f>
        <v>Unidade</v>
      </c>
      <c r="J4" s="272"/>
      <c r="L4" s="271" t="str">
        <f>+'Reference prices RPM'!L4</f>
        <v>Unidade</v>
      </c>
      <c r="M4" s="272"/>
      <c r="O4" s="55" t="str">
        <f>+'Reference prices RPM'!O4</f>
        <v>Multiplicativo</v>
      </c>
      <c r="Q4" s="271" t="str">
        <f>+'Reference prices RPM'!Q4</f>
        <v>Unidade</v>
      </c>
      <c r="R4" s="272"/>
      <c r="S4" s="276"/>
      <c r="T4" s="271" t="str">
        <f>+'Reference prices RPM'!T4</f>
        <v>Unidade</v>
      </c>
      <c r="U4" s="272"/>
    </row>
    <row r="5" spans="2:21" ht="15" x14ac:dyDescent="0.25">
      <c r="B5" s="5" t="str">
        <f>+'Reference prices RPM'!B5</f>
        <v>Entrada</v>
      </c>
      <c r="C5" s="23" t="str">
        <f>+'Reference prices RPM'!C5</f>
        <v>VIP</v>
      </c>
      <c r="D5" s="14" t="str">
        <f>+'Reference prices RPM'!D5</f>
        <v>Anual</v>
      </c>
      <c r="E5" s="15" t="str">
        <f>+'Reference prices RPM'!E5</f>
        <v>kWh/dia</v>
      </c>
      <c r="F5" s="265">
        <f>Data_b!$D$53</f>
        <v>12</v>
      </c>
      <c r="G5" s="58">
        <f>+Data_a!K6</f>
        <v>108634638.44687434</v>
      </c>
      <c r="I5" s="49" t="str">
        <f>+'Reference prices RPM'!I5</f>
        <v>€/(kWh/dia)/ano</v>
      </c>
      <c r="J5" s="46">
        <f>+'Pre-scaling CWD 28-72'!P14</f>
        <v>0.13184432644834784</v>
      </c>
      <c r="L5" s="49" t="s">
        <v>41</v>
      </c>
      <c r="M5" s="58">
        <f>+G5*J5*F5/12</f>
        <v>14322860.734987939</v>
      </c>
      <c r="O5" s="85">
        <f>$O$38</f>
        <v>0.91419444186296783</v>
      </c>
      <c r="Q5" s="49" t="str">
        <f>+'Reference prices RPM'!Q5</f>
        <v>€/(kWh/dia)/ano</v>
      </c>
      <c r="R5" s="46">
        <f>+J5*O5</f>
        <v>0.12053135043024628</v>
      </c>
      <c r="S5" s="277"/>
      <c r="T5" s="49" t="s">
        <v>41</v>
      </c>
      <c r="U5" s="58">
        <f>+G5*R5*F5/12</f>
        <v>13093879.675503315</v>
      </c>
    </row>
    <row r="6" spans="2:21" ht="15" x14ac:dyDescent="0.25">
      <c r="B6" s="6"/>
      <c r="C6" s="24"/>
      <c r="D6" s="12" t="str">
        <f>+'Reference prices RPM'!D6</f>
        <v>Trimestral</v>
      </c>
      <c r="E6" s="12" t="str">
        <f>+'Reference prices RPM'!E6</f>
        <v>kWh/dia</v>
      </c>
      <c r="F6" s="266">
        <f>Data_b!$D$53</f>
        <v>12</v>
      </c>
      <c r="G6" s="60">
        <f>+Data_a!K7</f>
        <v>4065019.2935321573</v>
      </c>
      <c r="I6" s="16" t="str">
        <f>+'Reference prices RPM'!I6</f>
        <v>€/(kWh/dia)/ano</v>
      </c>
      <c r="J6" s="43">
        <f>+'Pre-scaling CWD 28-72'!P15</f>
        <v>0.17139762438285219</v>
      </c>
      <c r="L6" s="16" t="s">
        <v>41</v>
      </c>
      <c r="M6" s="60">
        <f t="shared" ref="M6:M35" si="0">+G6*J6*F6/12</f>
        <v>696734.64998187183</v>
      </c>
      <c r="O6" s="86">
        <f t="shared" ref="O6:O16" si="1">$O$38</f>
        <v>0.91419444186296783</v>
      </c>
      <c r="Q6" s="16" t="str">
        <f>+'Reference prices RPM'!Q6</f>
        <v>€/(kWh/dia)/ano</v>
      </c>
      <c r="R6" s="43">
        <f t="shared" ref="R6:R35" si="2">+J6*O6</f>
        <v>0.15669075555932016</v>
      </c>
      <c r="S6" s="277"/>
      <c r="T6" s="16" t="s">
        <v>41</v>
      </c>
      <c r="U6" s="60">
        <f t="shared" ref="U6:U35" si="3">+G6*R6*F6/12</f>
        <v>636950.9444667676</v>
      </c>
    </row>
    <row r="7" spans="2:21" ht="15" x14ac:dyDescent="0.25">
      <c r="B7" s="6"/>
      <c r="C7" s="24"/>
      <c r="D7" s="12" t="str">
        <f>+'Reference prices RPM'!D7</f>
        <v>Mensal</v>
      </c>
      <c r="E7" s="12" t="str">
        <f>+'Reference prices RPM'!E7</f>
        <v>kWh/dia</v>
      </c>
      <c r="F7" s="266">
        <f>Data_b!$D$53</f>
        <v>12</v>
      </c>
      <c r="G7" s="60">
        <f>+Data_a!K8</f>
        <v>3435899.1431083134</v>
      </c>
      <c r="I7" s="16" t="str">
        <f>+'Reference prices RPM'!I7</f>
        <v>€/(kWh/dia)/ano</v>
      </c>
      <c r="J7" s="43">
        <f>+'Pre-scaling CWD 28-72'!P16</f>
        <v>0.19776648967252175</v>
      </c>
      <c r="L7" s="16" t="s">
        <v>41</v>
      </c>
      <c r="M7" s="60">
        <f t="shared" si="0"/>
        <v>679505.71240135655</v>
      </c>
      <c r="O7" s="86">
        <f t="shared" si="1"/>
        <v>0.91419444186296783</v>
      </c>
      <c r="Q7" s="16" t="str">
        <f>+'Reference prices RPM'!Q7</f>
        <v>€/(kWh/dia)/ano</v>
      </c>
      <c r="R7" s="43">
        <f t="shared" si="2"/>
        <v>0.18079702564536942</v>
      </c>
      <c r="S7" s="277"/>
      <c r="T7" s="16" t="s">
        <v>41</v>
      </c>
      <c r="U7" s="60">
        <f t="shared" si="3"/>
        <v>621200.34549145657</v>
      </c>
    </row>
    <row r="8" spans="2:21" ht="15" x14ac:dyDescent="0.25">
      <c r="B8" s="6"/>
      <c r="C8" s="24"/>
      <c r="D8" s="12" t="str">
        <f>+'Reference prices RPM'!D8</f>
        <v>Diário</v>
      </c>
      <c r="E8" s="12" t="str">
        <f>+'Reference prices RPM'!E8</f>
        <v>kWh/dia</v>
      </c>
      <c r="F8" s="266">
        <f>Data_b!$D$53</f>
        <v>12</v>
      </c>
      <c r="G8" s="60">
        <f>+Data_a!K9</f>
        <v>6718461.0457212087</v>
      </c>
      <c r="I8" s="16" t="str">
        <f>+'Reference prices RPM'!I8</f>
        <v>€/(kWh/dia)/ano</v>
      </c>
      <c r="J8" s="43">
        <f>+'Pre-scaling CWD 28-72'!P17</f>
        <v>0.26368865289669569</v>
      </c>
      <c r="L8" s="16" t="s">
        <v>41</v>
      </c>
      <c r="M8" s="60">
        <f t="shared" si="0"/>
        <v>1771581.9426851508</v>
      </c>
      <c r="O8" s="86">
        <f t="shared" si="1"/>
        <v>0.91419444186296783</v>
      </c>
      <c r="Q8" s="16" t="str">
        <f>+'Reference prices RPM'!Q8</f>
        <v>€/(kWh/dia)/ano</v>
      </c>
      <c r="R8" s="43">
        <f t="shared" si="2"/>
        <v>0.24106270086049256</v>
      </c>
      <c r="S8" s="277"/>
      <c r="T8" s="16" t="s">
        <v>41</v>
      </c>
      <c r="U8" s="60">
        <f t="shared" si="3"/>
        <v>1619570.3653075637</v>
      </c>
    </row>
    <row r="9" spans="2:21" ht="15.75" thickBot="1" x14ac:dyDescent="0.3">
      <c r="B9" s="6"/>
      <c r="C9" s="25"/>
      <c r="D9" s="19" t="str">
        <f>+'Reference prices RPM'!D9</f>
        <v>Intradiário</v>
      </c>
      <c r="E9" s="19" t="str">
        <f>+'Reference prices RPM'!E9</f>
        <v>kWh/h</v>
      </c>
      <c r="F9" s="267">
        <f>Data_b!$D$53</f>
        <v>12</v>
      </c>
      <c r="G9" s="62">
        <f>+Data_a!K10</f>
        <v>0</v>
      </c>
      <c r="I9" s="18" t="str">
        <f>+'Reference prices RPM'!I9</f>
        <v>€/(kWh/h)/ano</v>
      </c>
      <c r="J9" s="44">
        <f>+'Pre-scaling CWD 28-72'!P18</f>
        <v>6.9613804364727665</v>
      </c>
      <c r="L9" s="18" t="s">
        <v>41</v>
      </c>
      <c r="M9" s="62">
        <f t="shared" si="0"/>
        <v>0</v>
      </c>
      <c r="O9" s="87">
        <f t="shared" si="1"/>
        <v>0.91419444186296783</v>
      </c>
      <c r="Q9" s="18" t="str">
        <f>+'Reference prices RPM'!Q9</f>
        <v>€/(kWh/h)/ano</v>
      </c>
      <c r="R9" s="44">
        <f t="shared" si="2"/>
        <v>6.3640553027170039</v>
      </c>
      <c r="S9" s="277"/>
      <c r="T9" s="18" t="s">
        <v>41</v>
      </c>
      <c r="U9" s="62">
        <f t="shared" si="3"/>
        <v>0</v>
      </c>
    </row>
    <row r="10" spans="2:21" ht="15" x14ac:dyDescent="0.25">
      <c r="B10" s="6"/>
      <c r="C10" s="23" t="str">
        <f>+'Reference prices RPM'!C10</f>
        <v>Terminal GNL</v>
      </c>
      <c r="D10" s="14" t="str">
        <f>+'Reference prices RPM'!D10</f>
        <v>Anual</v>
      </c>
      <c r="E10" s="15" t="str">
        <f>+'Reference prices RPM'!E10</f>
        <v>kWh/dia</v>
      </c>
      <c r="F10" s="268">
        <f>Data_b!$D$53</f>
        <v>12</v>
      </c>
      <c r="G10" s="58">
        <f>+Data_a!K11</f>
        <v>62256543.535636216</v>
      </c>
      <c r="I10" s="49" t="str">
        <f>+'Reference prices RPM'!I10</f>
        <v>€/(kWh/dia)/ano</v>
      </c>
      <c r="J10" s="46">
        <f>+'Pre-scaling CWD 28-72'!P19</f>
        <v>0.12271633009666683</v>
      </c>
      <c r="L10" s="49" t="s">
        <v>41</v>
      </c>
      <c r="M10" s="58">
        <f t="shared" si="0"/>
        <v>7639894.5471966444</v>
      </c>
      <c r="O10" s="85">
        <f t="shared" si="1"/>
        <v>0.91419444186296783</v>
      </c>
      <c r="Q10" s="49" t="str">
        <f>+'Reference prices RPM'!Q10</f>
        <v>€/(kWh/dia)/ano</v>
      </c>
      <c r="R10" s="46">
        <f t="shared" si="2"/>
        <v>0.11218658690019405</v>
      </c>
      <c r="S10" s="277"/>
      <c r="T10" s="49" t="s">
        <v>41</v>
      </c>
      <c r="U10" s="58">
        <f t="shared" si="3"/>
        <v>6984349.1314663664</v>
      </c>
    </row>
    <row r="11" spans="2:21" ht="15" x14ac:dyDescent="0.25">
      <c r="B11" s="6"/>
      <c r="C11" s="24"/>
      <c r="D11" s="12" t="str">
        <f>+'Reference prices RPM'!D11</f>
        <v>Trimestral</v>
      </c>
      <c r="E11" s="12" t="str">
        <f>+'Reference prices RPM'!E11</f>
        <v>kWh/dia</v>
      </c>
      <c r="F11" s="266">
        <f>Data_b!$D$53</f>
        <v>12</v>
      </c>
      <c r="G11" s="60">
        <f>+Data_a!K12</f>
        <v>32755.828447150161</v>
      </c>
      <c r="I11" s="16" t="str">
        <f>+'Reference prices RPM'!I11</f>
        <v>€/(kWh/dia)/ano</v>
      </c>
      <c r="J11" s="43">
        <f>+'Pre-scaling CWD 28-72'!P20</f>
        <v>0.15953122912566689</v>
      </c>
      <c r="L11" s="16" t="s">
        <v>41</v>
      </c>
      <c r="M11" s="60">
        <f t="shared" si="0"/>
        <v>5225.5775732033499</v>
      </c>
      <c r="O11" s="86">
        <f t="shared" si="1"/>
        <v>0.91419444186296783</v>
      </c>
      <c r="Q11" s="16" t="str">
        <f>+'Reference prices RPM'!Q11</f>
        <v>€/(kWh/dia)/ano</v>
      </c>
      <c r="R11" s="43">
        <f t="shared" si="2"/>
        <v>0.14584256297025228</v>
      </c>
      <c r="S11" s="277"/>
      <c r="T11" s="16" t="s">
        <v>41</v>
      </c>
      <c r="U11" s="60">
        <f t="shared" si="3"/>
        <v>4777.1939729462783</v>
      </c>
    </row>
    <row r="12" spans="2:21" ht="15" x14ac:dyDescent="0.25">
      <c r="B12" s="6"/>
      <c r="C12" s="24"/>
      <c r="D12" s="12" t="str">
        <f>+'Reference prices RPM'!D12</f>
        <v>Mensal</v>
      </c>
      <c r="E12" s="12" t="str">
        <f>+'Reference prices RPM'!E12</f>
        <v>kWh/dia</v>
      </c>
      <c r="F12" s="266">
        <f>Data_b!$D$53</f>
        <v>12</v>
      </c>
      <c r="G12" s="60">
        <f>+Data_a!K13</f>
        <v>5651360.8703220282</v>
      </c>
      <c r="I12" s="16" t="str">
        <f>+'Reference prices RPM'!I12</f>
        <v>€/(kWh/dia)/ano</v>
      </c>
      <c r="J12" s="43">
        <f>+'Pre-scaling CWD 28-72'!P21</f>
        <v>0.18407449514500024</v>
      </c>
      <c r="L12" s="16" t="s">
        <v>41</v>
      </c>
      <c r="M12" s="60">
        <f t="shared" si="0"/>
        <v>1040271.3990867365</v>
      </c>
      <c r="O12" s="86">
        <f t="shared" si="1"/>
        <v>0.91419444186296783</v>
      </c>
      <c r="Q12" s="16" t="str">
        <f>+'Reference prices RPM'!Q12</f>
        <v>€/(kWh/dia)/ano</v>
      </c>
      <c r="R12" s="43">
        <f t="shared" si="2"/>
        <v>0.16827988035029107</v>
      </c>
      <c r="S12" s="277"/>
      <c r="T12" s="16" t="s">
        <v>41</v>
      </c>
      <c r="U12" s="60">
        <f t="shared" si="3"/>
        <v>951010.33107410779</v>
      </c>
    </row>
    <row r="13" spans="2:21" ht="15" x14ac:dyDescent="0.25">
      <c r="B13" s="6"/>
      <c r="C13" s="24"/>
      <c r="D13" s="12" t="str">
        <f>+'Reference prices RPM'!D13</f>
        <v>Diário</v>
      </c>
      <c r="E13" s="12" t="str">
        <f>+'Reference prices RPM'!E13</f>
        <v>kWh/dia</v>
      </c>
      <c r="F13" s="266">
        <f>Data_b!$D$53</f>
        <v>12</v>
      </c>
      <c r="G13" s="60">
        <f>+Data_a!K14</f>
        <v>9285700.1460032556</v>
      </c>
      <c r="I13" s="16" t="str">
        <f>+'Reference prices RPM'!I13</f>
        <v>€/(kWh/dia)/ano</v>
      </c>
      <c r="J13" s="43">
        <f>+'Pre-scaling CWD 28-72'!P22</f>
        <v>0.24543266019333365</v>
      </c>
      <c r="L13" s="16" t="s">
        <v>41</v>
      </c>
      <c r="M13" s="60">
        <f t="shared" si="0"/>
        <v>2279014.0885912059</v>
      </c>
      <c r="O13" s="86">
        <f t="shared" si="1"/>
        <v>0.91419444186296783</v>
      </c>
      <c r="Q13" s="16" t="str">
        <f>+'Reference prices RPM'!Q13</f>
        <v>€/(kWh/dia)/ano</v>
      </c>
      <c r="R13" s="43">
        <f t="shared" si="2"/>
        <v>0.2243731738003881</v>
      </c>
      <c r="S13" s="277"/>
      <c r="T13" s="16" t="s">
        <v>41</v>
      </c>
      <c r="U13" s="60">
        <f t="shared" si="3"/>
        <v>2083462.0127174773</v>
      </c>
    </row>
    <row r="14" spans="2:21" ht="15.75" thickBot="1" x14ac:dyDescent="0.3">
      <c r="B14" s="6"/>
      <c r="C14" s="25"/>
      <c r="D14" s="19" t="str">
        <f>+'Reference prices RPM'!D14</f>
        <v>Intradiário</v>
      </c>
      <c r="E14" s="19" t="str">
        <f>+'Reference prices RPM'!E14</f>
        <v>kWh/h</v>
      </c>
      <c r="F14" s="267">
        <f>Data_b!$D$53</f>
        <v>12</v>
      </c>
      <c r="G14" s="62">
        <f>+Data_a!K15</f>
        <v>0</v>
      </c>
      <c r="I14" s="18" t="str">
        <f>+'Reference prices RPM'!I14</f>
        <v>€/(kWh/h)/ano</v>
      </c>
      <c r="J14" s="44">
        <f>+'Pre-scaling CWD 28-72'!P23</f>
        <v>6.4794222291040091</v>
      </c>
      <c r="L14" s="18" t="s">
        <v>41</v>
      </c>
      <c r="M14" s="62">
        <f t="shared" si="0"/>
        <v>0</v>
      </c>
      <c r="O14" s="87">
        <f t="shared" si="1"/>
        <v>0.91419444186296783</v>
      </c>
      <c r="Q14" s="18" t="str">
        <f>+'Reference prices RPM'!Q14</f>
        <v>€/(kWh/h)/ano</v>
      </c>
      <c r="R14" s="44">
        <f t="shared" si="2"/>
        <v>5.9234517883302464</v>
      </c>
      <c r="S14" s="277"/>
      <c r="T14" s="18" t="s">
        <v>41</v>
      </c>
      <c r="U14" s="62">
        <f t="shared" si="3"/>
        <v>0</v>
      </c>
    </row>
    <row r="15" spans="2:21" ht="15" x14ac:dyDescent="0.25">
      <c r="B15" s="6"/>
      <c r="C15" s="23" t="str">
        <f>+'Reference prices RPM'!C15</f>
        <v>Armazenamento subterrâneo</v>
      </c>
      <c r="D15" s="14" t="str">
        <f>+'Reference prices RPM'!D15</f>
        <v>Diário</v>
      </c>
      <c r="E15" s="15" t="str">
        <f>+'Reference prices RPM'!E15</f>
        <v>kWh/dia</v>
      </c>
      <c r="F15" s="268">
        <f>Data_b!$D$53</f>
        <v>12</v>
      </c>
      <c r="G15" s="58">
        <f>+Data_a!K16</f>
        <v>4894243.642328768</v>
      </c>
      <c r="I15" s="49" t="str">
        <f>+'Reference prices RPM'!I15</f>
        <v>€/(kWh/dia)/ano</v>
      </c>
      <c r="J15" s="46">
        <f>+'Pre-scaling CWD 28-72'!P24</f>
        <v>0</v>
      </c>
      <c r="L15" s="49" t="s">
        <v>41</v>
      </c>
      <c r="M15" s="58">
        <f t="shared" si="0"/>
        <v>0</v>
      </c>
      <c r="O15" s="85">
        <f t="shared" si="1"/>
        <v>0.91419444186296783</v>
      </c>
      <c r="Q15" s="49" t="str">
        <f>+'Reference prices RPM'!Q15</f>
        <v>€/(kWh/dia)/ano</v>
      </c>
      <c r="R15" s="46">
        <f t="shared" si="2"/>
        <v>0</v>
      </c>
      <c r="S15" s="277"/>
      <c r="T15" s="49" t="s">
        <v>41</v>
      </c>
      <c r="U15" s="58">
        <f t="shared" si="3"/>
        <v>0</v>
      </c>
    </row>
    <row r="16" spans="2:21" ht="15.75" thickBot="1" x14ac:dyDescent="0.3">
      <c r="B16" s="7"/>
      <c r="C16" s="25"/>
      <c r="D16" s="19" t="str">
        <f>+'Reference prices RPM'!D16</f>
        <v>Intradiário</v>
      </c>
      <c r="E16" s="19" t="str">
        <f>+'Reference prices RPM'!E16</f>
        <v>kWh/h</v>
      </c>
      <c r="F16" s="267">
        <f>Data_b!$D$53</f>
        <v>12</v>
      </c>
      <c r="G16" s="62">
        <f>+Data_a!K17</f>
        <v>0</v>
      </c>
      <c r="I16" s="18" t="str">
        <f>+'Reference prices RPM'!I16</f>
        <v>€/(kWh/h)/ano</v>
      </c>
      <c r="J16" s="44">
        <f>+'Pre-scaling CWD 28-72'!P25</f>
        <v>0</v>
      </c>
      <c r="L16" s="18" t="s">
        <v>41</v>
      </c>
      <c r="M16" s="62">
        <f t="shared" si="0"/>
        <v>0</v>
      </c>
      <c r="O16" s="87">
        <f t="shared" si="1"/>
        <v>0.91419444186296783</v>
      </c>
      <c r="Q16" s="18" t="str">
        <f>+'Reference prices RPM'!Q16</f>
        <v>€/(kWh/h)/ano</v>
      </c>
      <c r="R16" s="44">
        <f t="shared" si="2"/>
        <v>0</v>
      </c>
      <c r="S16" s="277"/>
      <c r="T16" s="18" t="s">
        <v>41</v>
      </c>
      <c r="U16" s="62">
        <f t="shared" si="3"/>
        <v>0</v>
      </c>
    </row>
    <row r="17" spans="2:21" ht="15" x14ac:dyDescent="0.25">
      <c r="B17" s="5" t="str">
        <f>+'Reference prices RPM'!B17</f>
        <v>Saída</v>
      </c>
      <c r="C17" s="23" t="str">
        <f>+'Reference prices RPM'!C17</f>
        <v>VIP</v>
      </c>
      <c r="D17" s="14" t="str">
        <f>+'Reference prices RPM'!D17</f>
        <v>Anual</v>
      </c>
      <c r="E17" s="15" t="str">
        <f>+'Reference prices RPM'!E17</f>
        <v>kWh/dia</v>
      </c>
      <c r="F17" s="268">
        <f>Data_b!$D$53</f>
        <v>12</v>
      </c>
      <c r="G17" s="58">
        <f>+Data_a!K18</f>
        <v>0</v>
      </c>
      <c r="I17" s="49" t="str">
        <f>+'Reference prices RPM'!I17</f>
        <v>€/(kWh/dia)/ano</v>
      </c>
      <c r="J17" s="46">
        <f>+'Pre-scaling CWD 28-72'!P26</f>
        <v>0.31949512222223214</v>
      </c>
      <c r="L17" s="49" t="s">
        <v>41</v>
      </c>
      <c r="M17" s="58">
        <f t="shared" si="0"/>
        <v>0</v>
      </c>
      <c r="O17" s="85">
        <f>$O$39</f>
        <v>0.85307751758957096</v>
      </c>
      <c r="Q17" s="49" t="str">
        <f>+'Reference prices RPM'!Q17</f>
        <v>€/(kWh/dia)/ano</v>
      </c>
      <c r="R17" s="46">
        <f t="shared" si="2"/>
        <v>0.27255410574731836</v>
      </c>
      <c r="S17" s="277"/>
      <c r="T17" s="49" t="s">
        <v>41</v>
      </c>
      <c r="U17" s="58">
        <f t="shared" si="3"/>
        <v>0</v>
      </c>
    </row>
    <row r="18" spans="2:21" ht="15" x14ac:dyDescent="0.25">
      <c r="B18" s="3"/>
      <c r="C18" s="24"/>
      <c r="D18" s="12" t="str">
        <f>+'Reference prices RPM'!D18</f>
        <v>Trimestral</v>
      </c>
      <c r="E18" s="12" t="str">
        <f>+'Reference prices RPM'!E18</f>
        <v>kWh/dia</v>
      </c>
      <c r="F18" s="266">
        <f>Data_b!$D$53</f>
        <v>12</v>
      </c>
      <c r="G18" s="60">
        <f>+Data_a!K19</f>
        <v>0</v>
      </c>
      <c r="I18" s="16" t="str">
        <f>+'Reference prices RPM'!I18</f>
        <v>€/(kWh/dia)/ano</v>
      </c>
      <c r="J18" s="43">
        <f>+'Pre-scaling CWD 28-72'!P27</f>
        <v>0.41534365888890179</v>
      </c>
      <c r="L18" s="16" t="s">
        <v>41</v>
      </c>
      <c r="M18" s="60">
        <f t="shared" si="0"/>
        <v>0</v>
      </c>
      <c r="O18" s="86">
        <f t="shared" ref="O18:O35" si="4">$O$39</f>
        <v>0.85307751758957096</v>
      </c>
      <c r="Q18" s="16" t="str">
        <f>+'Reference prices RPM'!Q18</f>
        <v>€/(kWh/dia)/ano</v>
      </c>
      <c r="R18" s="43">
        <f t="shared" si="2"/>
        <v>0.35432033747151387</v>
      </c>
      <c r="S18" s="277"/>
      <c r="T18" s="16" t="s">
        <v>41</v>
      </c>
      <c r="U18" s="60">
        <f t="shared" si="3"/>
        <v>0</v>
      </c>
    </row>
    <row r="19" spans="2:21" ht="15" x14ac:dyDescent="0.25">
      <c r="B19" s="3"/>
      <c r="C19" s="24"/>
      <c r="D19" s="12" t="str">
        <f>+'Reference prices RPM'!D19</f>
        <v>Mensal</v>
      </c>
      <c r="E19" s="12" t="str">
        <f>+'Reference prices RPM'!E19</f>
        <v>kWh/dia</v>
      </c>
      <c r="F19" s="266">
        <f>Data_b!$D$53</f>
        <v>12</v>
      </c>
      <c r="G19" s="60">
        <f>+Data_a!K20</f>
        <v>0</v>
      </c>
      <c r="I19" s="16" t="str">
        <f>+'Reference prices RPM'!I19</f>
        <v>€/(kWh/dia)/ano</v>
      </c>
      <c r="J19" s="43">
        <f>+'Pre-scaling CWD 28-72'!P28</f>
        <v>0.47924268333334819</v>
      </c>
      <c r="L19" s="16" t="s">
        <v>41</v>
      </c>
      <c r="M19" s="60">
        <f t="shared" si="0"/>
        <v>0</v>
      </c>
      <c r="O19" s="86">
        <f t="shared" si="4"/>
        <v>0.85307751758957096</v>
      </c>
      <c r="Q19" s="16" t="str">
        <f>+'Reference prices RPM'!Q19</f>
        <v>€/(kWh/dia)/ano</v>
      </c>
      <c r="R19" s="43">
        <f t="shared" si="2"/>
        <v>0.40883115862097752</v>
      </c>
      <c r="S19" s="277"/>
      <c r="T19" s="16" t="s">
        <v>41</v>
      </c>
      <c r="U19" s="60">
        <f t="shared" si="3"/>
        <v>0</v>
      </c>
    </row>
    <row r="20" spans="2:21" ht="15" x14ac:dyDescent="0.25">
      <c r="B20" s="3"/>
      <c r="C20" s="24"/>
      <c r="D20" s="12" t="str">
        <f>+'Reference prices RPM'!D20</f>
        <v>Diário</v>
      </c>
      <c r="E20" s="12" t="str">
        <f>+'Reference prices RPM'!E20</f>
        <v>kWh/dia</v>
      </c>
      <c r="F20" s="266">
        <f>Data_b!$D$53</f>
        <v>12</v>
      </c>
      <c r="G20" s="60">
        <f>+Data_a!K21</f>
        <v>135109.3512978142</v>
      </c>
      <c r="I20" s="16" t="str">
        <f>+'Reference prices RPM'!I20</f>
        <v>€/(kWh/dia)/ano</v>
      </c>
      <c r="J20" s="43">
        <f>+'Pre-scaling CWD 28-72'!P29</f>
        <v>0.63899024444446428</v>
      </c>
      <c r="L20" s="16" t="s">
        <v>41</v>
      </c>
      <c r="M20" s="60">
        <f t="shared" si="0"/>
        <v>86333.557412523296</v>
      </c>
      <c r="O20" s="86">
        <f t="shared" si="4"/>
        <v>0.85307751758957096</v>
      </c>
      <c r="Q20" s="16" t="str">
        <f>+'Reference prices RPM'!Q20</f>
        <v>€/(kWh/dia)/ano</v>
      </c>
      <c r="R20" s="43">
        <f t="shared" si="2"/>
        <v>0.54510821149463673</v>
      </c>
      <c r="S20" s="277"/>
      <c r="T20" s="16" t="s">
        <v>41</v>
      </c>
      <c r="U20" s="60">
        <f t="shared" si="3"/>
        <v>73649.216842152076</v>
      </c>
    </row>
    <row r="21" spans="2:21" ht="15.75" thickBot="1" x14ac:dyDescent="0.3">
      <c r="B21" s="3"/>
      <c r="C21" s="25"/>
      <c r="D21" s="19" t="str">
        <f>+'Reference prices RPM'!D21</f>
        <v>Intradiário</v>
      </c>
      <c r="E21" s="19" t="str">
        <f>+'Reference prices RPM'!E21</f>
        <v>kWh/h</v>
      </c>
      <c r="F21" s="267">
        <f>Data_b!$D$53</f>
        <v>12</v>
      </c>
      <c r="G21" s="62">
        <f>+Data_a!K22</f>
        <v>0</v>
      </c>
      <c r="I21" s="18" t="str">
        <f>+'Reference prices RPM'!I21</f>
        <v>€/(kWh/h)/ano</v>
      </c>
      <c r="J21" s="44">
        <f>+'Pre-scaling CWD 28-72'!P30</f>
        <v>16.869342453333857</v>
      </c>
      <c r="L21" s="18" t="s">
        <v>41</v>
      </c>
      <c r="M21" s="62">
        <f t="shared" si="0"/>
        <v>0</v>
      </c>
      <c r="O21" s="87">
        <f t="shared" si="4"/>
        <v>0.85307751758957096</v>
      </c>
      <c r="Q21" s="18" t="str">
        <f>+'Reference prices RPM'!Q21</f>
        <v>€/(kWh/h)/ano</v>
      </c>
      <c r="R21" s="44">
        <f t="shared" si="2"/>
        <v>14.39085678345841</v>
      </c>
      <c r="S21" s="277"/>
      <c r="T21" s="18" t="s">
        <v>41</v>
      </c>
      <c r="U21" s="62">
        <f t="shared" si="3"/>
        <v>0</v>
      </c>
    </row>
    <row r="22" spans="2:21" ht="15" x14ac:dyDescent="0.25">
      <c r="B22" s="3"/>
      <c r="C22" s="23" t="str">
        <f>+'Reference prices RPM'!C22</f>
        <v>Terminal GNL</v>
      </c>
      <c r="D22" s="14" t="str">
        <f>+'Reference prices RPM'!D22</f>
        <v>Anual</v>
      </c>
      <c r="E22" s="15" t="str">
        <f>+'Reference prices RPM'!E22</f>
        <v>kWh/dia</v>
      </c>
      <c r="F22" s="268">
        <f>Data_b!$D$53</f>
        <v>12</v>
      </c>
      <c r="G22" s="58">
        <f>+Data_a!K23</f>
        <v>0</v>
      </c>
      <c r="I22" s="49" t="str">
        <f>+'Reference prices RPM'!I22</f>
        <v>€/(kWh/dia)/ano</v>
      </c>
      <c r="J22" s="46">
        <f>+'Pre-scaling CWD 28-72'!P31</f>
        <v>0.31426474881992139</v>
      </c>
      <c r="L22" s="49" t="s">
        <v>41</v>
      </c>
      <c r="M22" s="58">
        <f t="shared" si="0"/>
        <v>0</v>
      </c>
      <c r="O22" s="85">
        <f t="shared" si="4"/>
        <v>0.85307751758957096</v>
      </c>
      <c r="Q22" s="49" t="str">
        <f>+'Reference prices RPM'!Q22</f>
        <v>€/(kWh/dia)/ano</v>
      </c>
      <c r="R22" s="46">
        <f t="shared" si="2"/>
        <v>0.26809219178920857</v>
      </c>
      <c r="S22" s="277"/>
      <c r="T22" s="49" t="s">
        <v>41</v>
      </c>
      <c r="U22" s="58">
        <f t="shared" si="3"/>
        <v>0</v>
      </c>
    </row>
    <row r="23" spans="2:21" ht="15" x14ac:dyDescent="0.25">
      <c r="B23" s="3"/>
      <c r="C23" s="24"/>
      <c r="D23" s="12" t="str">
        <f>+'Reference prices RPM'!D23</f>
        <v>Trimestral</v>
      </c>
      <c r="E23" s="12" t="str">
        <f>+'Reference prices RPM'!E23</f>
        <v>kWh/dia</v>
      </c>
      <c r="F23" s="266">
        <f>Data_b!$D$53</f>
        <v>12</v>
      </c>
      <c r="G23" s="60">
        <f>+Data_a!K24</f>
        <v>0</v>
      </c>
      <c r="I23" s="16" t="str">
        <f>+'Reference prices RPM'!I23</f>
        <v>€/(kWh/dia)/ano</v>
      </c>
      <c r="J23" s="43">
        <f>+'Pre-scaling CWD 28-72'!P32</f>
        <v>0.40854417346589783</v>
      </c>
      <c r="L23" s="16" t="s">
        <v>41</v>
      </c>
      <c r="M23" s="60">
        <f t="shared" si="0"/>
        <v>0</v>
      </c>
      <c r="O23" s="86">
        <f t="shared" si="4"/>
        <v>0.85307751758957096</v>
      </c>
      <c r="Q23" s="16" t="str">
        <f>+'Reference prices RPM'!Q23</f>
        <v>€/(kWh/dia)/ano</v>
      </c>
      <c r="R23" s="43">
        <f t="shared" si="2"/>
        <v>0.34851984932597119</v>
      </c>
      <c r="S23" s="277"/>
      <c r="T23" s="16" t="s">
        <v>41</v>
      </c>
      <c r="U23" s="60">
        <f t="shared" si="3"/>
        <v>0</v>
      </c>
    </row>
    <row r="24" spans="2:21" ht="15" x14ac:dyDescent="0.25">
      <c r="B24" s="3"/>
      <c r="C24" s="24"/>
      <c r="D24" s="12" t="str">
        <f>+'Reference prices RPM'!D24</f>
        <v>Mensal</v>
      </c>
      <c r="E24" s="12" t="str">
        <f>+'Reference prices RPM'!E24</f>
        <v>kWh/dia</v>
      </c>
      <c r="F24" s="266">
        <f>Data_b!$D$53</f>
        <v>12</v>
      </c>
      <c r="G24" s="60">
        <f>+Data_a!K25</f>
        <v>0</v>
      </c>
      <c r="I24" s="16" t="str">
        <f>+'Reference prices RPM'!I24</f>
        <v>€/(kWh/dia)/ano</v>
      </c>
      <c r="J24" s="43">
        <f>+'Pre-scaling CWD 28-72'!P33</f>
        <v>0.47139712322988209</v>
      </c>
      <c r="L24" s="16" t="s">
        <v>41</v>
      </c>
      <c r="M24" s="60">
        <f t="shared" si="0"/>
        <v>0</v>
      </c>
      <c r="O24" s="86">
        <f t="shared" si="4"/>
        <v>0.85307751758957096</v>
      </c>
      <c r="Q24" s="16" t="str">
        <f>+'Reference prices RPM'!Q24</f>
        <v>€/(kWh/dia)/ano</v>
      </c>
      <c r="R24" s="43">
        <f t="shared" si="2"/>
        <v>0.40213828768381288</v>
      </c>
      <c r="S24" s="277"/>
      <c r="T24" s="16" t="s">
        <v>41</v>
      </c>
      <c r="U24" s="60">
        <f t="shared" si="3"/>
        <v>0</v>
      </c>
    </row>
    <row r="25" spans="2:21" ht="15" x14ac:dyDescent="0.25">
      <c r="B25" s="3"/>
      <c r="C25" s="24"/>
      <c r="D25" s="12" t="str">
        <f>+'Reference prices RPM'!D25</f>
        <v>Diário</v>
      </c>
      <c r="E25" s="12" t="str">
        <f>+'Reference prices RPM'!E25</f>
        <v>kWh/dia</v>
      </c>
      <c r="F25" s="266">
        <f>Data_b!$D$53</f>
        <v>12</v>
      </c>
      <c r="G25" s="60">
        <f>+Data_a!K26</f>
        <v>1445395.787909836</v>
      </c>
      <c r="I25" s="16" t="str">
        <f>+'Reference prices RPM'!I25</f>
        <v>€/(kWh/dia)/ano</v>
      </c>
      <c r="J25" s="43">
        <f>+'Pre-scaling CWD 28-72'!P34</f>
        <v>0.62852949763984278</v>
      </c>
      <c r="L25" s="16" t="s">
        <v>41</v>
      </c>
      <c r="M25" s="60">
        <f t="shared" si="0"/>
        <v>908473.88846571406</v>
      </c>
      <c r="O25" s="86">
        <f t="shared" si="4"/>
        <v>0.85307751758957096</v>
      </c>
      <c r="Q25" s="16" t="str">
        <f>+'Reference prices RPM'!Q25</f>
        <v>€/(kWh/dia)/ano</v>
      </c>
      <c r="R25" s="43">
        <f t="shared" si="2"/>
        <v>0.53618438357841713</v>
      </c>
      <c r="S25" s="277"/>
      <c r="T25" s="16" t="s">
        <v>41</v>
      </c>
      <c r="U25" s="60">
        <f t="shared" si="3"/>
        <v>774998.64956727589</v>
      </c>
    </row>
    <row r="26" spans="2:21" ht="15.75" thickBot="1" x14ac:dyDescent="0.3">
      <c r="B26" s="3"/>
      <c r="C26" s="25"/>
      <c r="D26" s="19" t="str">
        <f>+'Reference prices RPM'!D26</f>
        <v>Intradiário</v>
      </c>
      <c r="E26" s="19" t="str">
        <f>+'Reference prices RPM'!E26</f>
        <v>kWh/h</v>
      </c>
      <c r="F26" s="267">
        <f>Data_b!$D$53</f>
        <v>12</v>
      </c>
      <c r="G26" s="62">
        <f>+Data_a!K27</f>
        <v>0</v>
      </c>
      <c r="I26" s="18" t="str">
        <f>+'Reference prices RPM'!I26</f>
        <v>€/(kWh/h)/ano</v>
      </c>
      <c r="J26" s="44">
        <f>+'Pre-scaling CWD 28-72'!P35</f>
        <v>16.593178737691851</v>
      </c>
      <c r="L26" s="18" t="s">
        <v>41</v>
      </c>
      <c r="M26" s="62">
        <f t="shared" si="0"/>
        <v>0</v>
      </c>
      <c r="O26" s="87">
        <f t="shared" si="4"/>
        <v>0.85307751758957096</v>
      </c>
      <c r="Q26" s="18" t="str">
        <f>+'Reference prices RPM'!Q26</f>
        <v>€/(kWh/h)/ano</v>
      </c>
      <c r="R26" s="44">
        <f t="shared" si="2"/>
        <v>14.155267726470214</v>
      </c>
      <c r="S26" s="277"/>
      <c r="T26" s="18" t="s">
        <v>41</v>
      </c>
      <c r="U26" s="62">
        <f t="shared" si="3"/>
        <v>0</v>
      </c>
    </row>
    <row r="27" spans="2:21" ht="15" x14ac:dyDescent="0.25">
      <c r="B27" s="3"/>
      <c r="C27" s="23" t="str">
        <f>+'Reference prices RPM'!C27</f>
        <v>Armazenamento subterrâneo</v>
      </c>
      <c r="D27" s="14" t="str">
        <f>+'Reference prices RPM'!D27</f>
        <v>Diário</v>
      </c>
      <c r="E27" s="15" t="str">
        <f>+'Reference prices RPM'!E27</f>
        <v>kWh/dia</v>
      </c>
      <c r="F27" s="268">
        <f>Data_b!$D$53</f>
        <v>12</v>
      </c>
      <c r="G27" s="58">
        <f>+Data_a!K28</f>
        <v>4894243.642328768</v>
      </c>
      <c r="I27" s="49" t="str">
        <f>+'Reference prices RPM'!I27</f>
        <v>€/(kWh/dia)/ano</v>
      </c>
      <c r="J27" s="46">
        <f>+'Pre-scaling CWD 28-72'!P36</f>
        <v>0</v>
      </c>
      <c r="L27" s="49" t="s">
        <v>41</v>
      </c>
      <c r="M27" s="58">
        <f t="shared" si="0"/>
        <v>0</v>
      </c>
      <c r="O27" s="85">
        <f t="shared" si="4"/>
        <v>0.85307751758957096</v>
      </c>
      <c r="Q27" s="49" t="str">
        <f>+'Reference prices RPM'!Q27</f>
        <v>€/(kWh/dia)/ano</v>
      </c>
      <c r="R27" s="46">
        <f t="shared" si="2"/>
        <v>0</v>
      </c>
      <c r="S27" s="277"/>
      <c r="T27" s="49" t="s">
        <v>41</v>
      </c>
      <c r="U27" s="58">
        <f t="shared" si="3"/>
        <v>0</v>
      </c>
    </row>
    <row r="28" spans="2:21" ht="15.75" thickBot="1" x14ac:dyDescent="0.3">
      <c r="B28" s="3"/>
      <c r="C28" s="25"/>
      <c r="D28" s="19" t="str">
        <f>+'Reference prices RPM'!D28</f>
        <v>Intradiário</v>
      </c>
      <c r="E28" s="19" t="str">
        <f>+'Reference prices RPM'!E28</f>
        <v>kWh/h</v>
      </c>
      <c r="F28" s="267">
        <f>Data_b!$D$53</f>
        <v>12</v>
      </c>
      <c r="G28" s="62">
        <f>+Data_a!K29</f>
        <v>0</v>
      </c>
      <c r="I28" s="18" t="str">
        <f>+'Reference prices RPM'!I28</f>
        <v>€/(kWh/h)/ano</v>
      </c>
      <c r="J28" s="44">
        <f>+'Pre-scaling CWD 28-72'!P37</f>
        <v>0</v>
      </c>
      <c r="L28" s="18" t="s">
        <v>41</v>
      </c>
      <c r="M28" s="62">
        <f t="shared" si="0"/>
        <v>0</v>
      </c>
      <c r="O28" s="87">
        <f t="shared" si="4"/>
        <v>0.85307751758957096</v>
      </c>
      <c r="Q28" s="18" t="str">
        <f>+'Reference prices RPM'!Q28</f>
        <v>€/(kWh/h)/ano</v>
      </c>
      <c r="R28" s="44">
        <f t="shared" si="2"/>
        <v>0</v>
      </c>
      <c r="S28" s="277"/>
      <c r="T28" s="18" t="s">
        <v>41</v>
      </c>
      <c r="U28" s="62">
        <f t="shared" si="3"/>
        <v>0</v>
      </c>
    </row>
    <row r="29" spans="2:21" ht="15.75" thickBot="1" x14ac:dyDescent="0.3">
      <c r="B29" s="3"/>
      <c r="C29" s="21" t="str">
        <f>+'Reference prices RPM'!C29</f>
        <v>Redes de distribuição e Clientes em AP</v>
      </c>
      <c r="D29" s="22" t="str">
        <f>+'Reference prices RPM'!D29</f>
        <v>Longas utilizações</v>
      </c>
      <c r="E29" s="22" t="str">
        <f>+'Reference prices RPM'!E29</f>
        <v>kWh/dia</v>
      </c>
      <c r="F29" s="269">
        <f>Data_b!$D$53</f>
        <v>12</v>
      </c>
      <c r="G29" s="64">
        <f>+Data_a!K30</f>
        <v>176613219.52500001</v>
      </c>
      <c r="I29" s="21" t="str">
        <f>+'Reference prices RPM'!I29</f>
        <v>€/(kWh/dia)/ano</v>
      </c>
      <c r="J29" s="73">
        <f>+'Pre-scaling CWD 28-72'!P38</f>
        <v>0.22738956365720492</v>
      </c>
      <c r="L29" s="21" t="s">
        <v>41</v>
      </c>
      <c r="M29" s="64">
        <f t="shared" si="0"/>
        <v>40160002.923883893</v>
      </c>
      <c r="O29" s="88">
        <f t="shared" si="4"/>
        <v>0.85307751758957096</v>
      </c>
      <c r="Q29" s="21" t="str">
        <f>+'Reference prices RPM'!Q29</f>
        <v>€/(kWh/dia)/ano</v>
      </c>
      <c r="R29" s="73">
        <f t="shared" si="2"/>
        <v>0.19398092449046409</v>
      </c>
      <c r="S29" s="277"/>
      <c r="T29" s="21" t="s">
        <v>41</v>
      </c>
      <c r="U29" s="64">
        <f t="shared" si="3"/>
        <v>34259595.60069678</v>
      </c>
    </row>
    <row r="30" spans="2:21" ht="15" x14ac:dyDescent="0.25">
      <c r="B30" s="3"/>
      <c r="C30" s="23" t="str">
        <f>+'Reference prices RPM'!C30</f>
        <v>Clientes em AP</v>
      </c>
      <c r="D30" s="14" t="str">
        <f>+'Reference prices RPM'!D30</f>
        <v>Tarifa flexível anual - capacidade base anual</v>
      </c>
      <c r="E30" s="14" t="str">
        <f>+'Reference prices RPM'!E30</f>
        <v>kWh/dia</v>
      </c>
      <c r="F30" s="268">
        <f>Data_b!$D$53</f>
        <v>12</v>
      </c>
      <c r="G30" s="58">
        <f>+Data_a!K31</f>
        <v>69817243.855383337</v>
      </c>
      <c r="I30" s="13" t="str">
        <f>+'Reference prices RPM'!I30</f>
        <v>€/(kWh/dia)/ano</v>
      </c>
      <c r="J30" s="46">
        <f>+'Pre-scaling CWD 28-72'!P39</f>
        <v>0.22738956365720492</v>
      </c>
      <c r="L30" s="13" t="s">
        <v>41</v>
      </c>
      <c r="M30" s="58">
        <f t="shared" si="0"/>
        <v>15875712.616024287</v>
      </c>
      <c r="O30" s="85">
        <f t="shared" si="4"/>
        <v>0.85307751758957096</v>
      </c>
      <c r="Q30" s="13" t="str">
        <f>+'Reference prices RPM'!Q30</f>
        <v>€/(kWh/dia)/ano</v>
      </c>
      <c r="R30" s="46">
        <f t="shared" si="2"/>
        <v>0.19398092449046409</v>
      </c>
      <c r="S30" s="277"/>
      <c r="T30" s="13" t="s">
        <v>41</v>
      </c>
      <c r="U30" s="58">
        <f t="shared" si="3"/>
        <v>13543213.508443432</v>
      </c>
    </row>
    <row r="31" spans="2:21" ht="15" x14ac:dyDescent="0.25">
      <c r="B31" s="3"/>
      <c r="C31" s="24"/>
      <c r="D31" s="12" t="str">
        <f>+'Reference prices RPM'!D31</f>
        <v>Tarifa flexível anual - capacidade mensal adicional (abril a setembro)</v>
      </c>
      <c r="E31" s="12" t="str">
        <f>+'Reference prices RPM'!E31</f>
        <v>kWh/dia</v>
      </c>
      <c r="F31" s="409">
        <f>+Data_b!$D$52</f>
        <v>6</v>
      </c>
      <c r="G31" s="60">
        <f>+Data_a!K32</f>
        <v>0</v>
      </c>
      <c r="I31" s="16" t="str">
        <f>+'Reference prices RPM'!I31</f>
        <v>€/(kWh/dia)/ano</v>
      </c>
      <c r="J31" s="43">
        <f>+'Pre-scaling CWD 28-72'!P40</f>
        <v>0.34108434548580735</v>
      </c>
      <c r="L31" s="16" t="s">
        <v>41</v>
      </c>
      <c r="M31" s="60">
        <f t="shared" si="0"/>
        <v>0</v>
      </c>
      <c r="O31" s="86">
        <f t="shared" si="4"/>
        <v>0.85307751758957096</v>
      </c>
      <c r="Q31" s="16" t="str">
        <f>+'Reference prices RPM'!Q31</f>
        <v>€/(kWh/dia)/ano</v>
      </c>
      <c r="R31" s="43">
        <f t="shared" si="2"/>
        <v>0.29097138673569611</v>
      </c>
      <c r="S31" s="277"/>
      <c r="T31" s="16" t="s">
        <v>41</v>
      </c>
      <c r="U31" s="60">
        <f t="shared" si="3"/>
        <v>0</v>
      </c>
    </row>
    <row r="32" spans="2:21" ht="15" x14ac:dyDescent="0.25">
      <c r="B32" s="3"/>
      <c r="C32" s="24"/>
      <c r="D32" s="12" t="str">
        <f>+'Reference prices RPM'!D32</f>
        <v>Tarifa flexível mensal - capacidade mensal (outubro a março)</v>
      </c>
      <c r="E32" s="12" t="str">
        <f>+'Reference prices RPM'!E32</f>
        <v>kWh/dia</v>
      </c>
      <c r="F32" s="409">
        <f>+Data_b!$D$51</f>
        <v>6</v>
      </c>
      <c r="G32" s="60">
        <f>+Data_a!K33</f>
        <v>42056350.902433224</v>
      </c>
      <c r="I32" s="16" t="str">
        <f>+'Reference prices RPM'!I32</f>
        <v>€/(kWh/dia)/ano</v>
      </c>
      <c r="J32" s="43">
        <f>+'Pre-scaling CWD 28-72'!P41</f>
        <v>0.6821686909716147</v>
      </c>
      <c r="L32" s="16" t="s">
        <v>41</v>
      </c>
      <c r="M32" s="60">
        <f t="shared" si="0"/>
        <v>14344762.921077879</v>
      </c>
      <c r="O32" s="86">
        <f t="shared" si="4"/>
        <v>0.85307751758957096</v>
      </c>
      <c r="Q32" s="16" t="str">
        <f>+'Reference prices RPM'!Q32</f>
        <v>€/(kWh/dia)/ano</v>
      </c>
      <c r="R32" s="43">
        <f t="shared" si="2"/>
        <v>0.58194277347139223</v>
      </c>
      <c r="S32" s="277"/>
      <c r="T32" s="16" t="s">
        <v>41</v>
      </c>
      <c r="U32" s="60">
        <f t="shared" si="3"/>
        <v>12237194.74312404</v>
      </c>
    </row>
    <row r="33" spans="2:21" ht="15" x14ac:dyDescent="0.25">
      <c r="B33" s="3"/>
      <c r="C33" s="24"/>
      <c r="D33" s="12" t="str">
        <f>+'Reference prices RPM'!D33</f>
        <v>Tarifa flexível mensal - capacidade mensal (abril a setembro)</v>
      </c>
      <c r="E33" s="12" t="str">
        <f>+'Reference prices RPM'!E33</f>
        <v>kWh/dia</v>
      </c>
      <c r="F33" s="409">
        <f>+Data_b!$D$52</f>
        <v>6</v>
      </c>
      <c r="G33" s="60">
        <f>+Data_a!K34</f>
        <v>40939752.517566778</v>
      </c>
      <c r="I33" s="16" t="str">
        <f>+'Reference prices RPM'!I33</f>
        <v>€/(kWh/dia)/ano</v>
      </c>
      <c r="J33" s="43">
        <f>+'Pre-scaling CWD 28-72'!P42</f>
        <v>0.34108434548580735</v>
      </c>
      <c r="L33" s="16" t="s">
        <v>41</v>
      </c>
      <c r="M33" s="60">
        <f t="shared" si="0"/>
        <v>6981954.3459025994</v>
      </c>
      <c r="O33" s="86">
        <f t="shared" si="4"/>
        <v>0.85307751758957096</v>
      </c>
      <c r="Q33" s="16" t="str">
        <f>+'Reference prices RPM'!Q33</f>
        <v>€/(kWh/dia)/ano</v>
      </c>
      <c r="R33" s="43">
        <f t="shared" si="2"/>
        <v>0.29097138673569611</v>
      </c>
      <c r="S33" s="277"/>
      <c r="T33" s="16" t="s">
        <v>41</v>
      </c>
      <c r="U33" s="60">
        <f t="shared" si="3"/>
        <v>5956148.2813263061</v>
      </c>
    </row>
    <row r="34" spans="2:21" ht="15" x14ac:dyDescent="0.25">
      <c r="B34" s="3"/>
      <c r="C34" s="24"/>
      <c r="D34" s="12" t="str">
        <f>+'Reference prices RPM'!D34</f>
        <v>Tarifa flexível diária - capacidade diária (outubro a março)</v>
      </c>
      <c r="E34" s="12" t="str">
        <f>+'Reference prices RPM'!E34</f>
        <v>kWh/dia</v>
      </c>
      <c r="F34" s="266">
        <f>+Data_b!$D$51</f>
        <v>6</v>
      </c>
      <c r="G34" s="60">
        <f>+Data_a!K35</f>
        <v>0</v>
      </c>
      <c r="I34" s="16" t="str">
        <f>+'Reference prices RPM'!I34</f>
        <v>€/(kWh/dia)/ano</v>
      </c>
      <c r="J34" s="43">
        <f>+'Pre-scaling CWD 28-72'!P43</f>
        <v>2.2738956365720493</v>
      </c>
      <c r="L34" s="16" t="s">
        <v>41</v>
      </c>
      <c r="M34" s="60">
        <f t="shared" si="0"/>
        <v>0</v>
      </c>
      <c r="O34" s="86">
        <f t="shared" si="4"/>
        <v>0.85307751758957096</v>
      </c>
      <c r="Q34" s="16" t="str">
        <f>+'Reference prices RPM'!Q34</f>
        <v>€/(kWh/dia)/ano</v>
      </c>
      <c r="R34" s="43">
        <f t="shared" si="2"/>
        <v>1.9398092449046411</v>
      </c>
      <c r="S34" s="277"/>
      <c r="T34" s="16" t="s">
        <v>41</v>
      </c>
      <c r="U34" s="60">
        <f t="shared" si="3"/>
        <v>0</v>
      </c>
    </row>
    <row r="35" spans="2:21" ht="15.75" thickBot="1" x14ac:dyDescent="0.3">
      <c r="B35" s="4"/>
      <c r="C35" s="25"/>
      <c r="D35" s="19" t="str">
        <f>+'Reference prices RPM'!D35</f>
        <v>Tarifa flexível diária - capacidade diária (abril a setembro)</v>
      </c>
      <c r="E35" s="19" t="str">
        <f>+'Reference prices RPM'!E35</f>
        <v>kWh/dia</v>
      </c>
      <c r="F35" s="270">
        <f>+Data_b!$D$52</f>
        <v>6</v>
      </c>
      <c r="G35" s="62">
        <f>+Data_a!K36</f>
        <v>0</v>
      </c>
      <c r="I35" s="18" t="str">
        <f>+'Reference prices RPM'!I35</f>
        <v>€/(kWh/dia)/ano</v>
      </c>
      <c r="J35" s="44">
        <f>+'Pre-scaling CWD 28-72'!P44</f>
        <v>1.3643373819432294</v>
      </c>
      <c r="L35" s="18" t="s">
        <v>41</v>
      </c>
      <c r="M35" s="62">
        <f t="shared" si="0"/>
        <v>0</v>
      </c>
      <c r="O35" s="87">
        <f t="shared" si="4"/>
        <v>0.85307751758957096</v>
      </c>
      <c r="Q35" s="18" t="str">
        <f>+'Reference prices RPM'!Q35</f>
        <v>€/(kWh/dia)/ano</v>
      </c>
      <c r="R35" s="44">
        <f t="shared" si="2"/>
        <v>1.1638855469427845</v>
      </c>
      <c r="S35" s="277"/>
      <c r="T35" s="18" t="s">
        <v>41</v>
      </c>
      <c r="U35" s="62">
        <f t="shared" si="3"/>
        <v>0</v>
      </c>
    </row>
    <row r="36" spans="2:21" ht="15.75" thickBot="1" x14ac:dyDescent="0.3"/>
    <row r="37" spans="2:21" ht="15.75" thickBot="1" x14ac:dyDescent="0.3">
      <c r="L37" s="2" t="str">
        <f>+'Reference prices RPM'!L37</f>
        <v>Divisão de entrada-saída, pré-escalamento</v>
      </c>
      <c r="M37" s="82"/>
      <c r="O37" s="78" t="str">
        <f>+'Reference prices RPM'!O37</f>
        <v>Fatores de escalamento</v>
      </c>
    </row>
    <row r="38" spans="2:21" ht="15" x14ac:dyDescent="0.25">
      <c r="L38" s="13" t="str">
        <f>+'Reference prices RPM'!L38</f>
        <v>Entrada</v>
      </c>
      <c r="M38" s="79">
        <f>SUM(M5:M16)/SUM(M5:M35)</f>
        <v>0.26626527339549971</v>
      </c>
      <c r="O38" s="83">
        <f>M42*'RPM inputs'!E22/SUM('Reference prices CWD 28-72'!$M$5:$M$16)</f>
        <v>0.91419444186296783</v>
      </c>
    </row>
    <row r="39" spans="2:21" ht="15" customHeight="1" thickBot="1" x14ac:dyDescent="0.3">
      <c r="L39" s="18" t="str">
        <f>+'Reference prices RPM'!L39</f>
        <v>Exit</v>
      </c>
      <c r="M39" s="80">
        <f>SUM(M17:M35)/SUM(M5:M35)</f>
        <v>0.73373472660450045</v>
      </c>
      <c r="O39" s="84">
        <f>M43*'RPM inputs'!E22/SUM('Reference prices CWD 28-72'!$M$17:$M$35)</f>
        <v>0.85307751758957096</v>
      </c>
    </row>
    <row r="40" spans="2:21" ht="15" customHeight="1" thickBot="1" x14ac:dyDescent="0.3"/>
    <row r="41" spans="2:21" ht="15" customHeight="1" thickBot="1" x14ac:dyDescent="0.3">
      <c r="L41" s="2" t="str">
        <f>+'Reference prices RPM'!L41</f>
        <v>Divisão de entrada-saída, pós-escalamento</v>
      </c>
      <c r="M41" s="82"/>
    </row>
    <row r="42" spans="2:21" ht="15" customHeight="1" x14ac:dyDescent="0.25">
      <c r="L42" s="13" t="str">
        <f>+'Reference prices RPM'!L42</f>
        <v>Entrada</v>
      </c>
      <c r="M42" s="278">
        <f>+Data_b!D4</f>
        <v>0.28000000000000003</v>
      </c>
    </row>
    <row r="43" spans="2:21" ht="15" customHeight="1" thickBot="1" x14ac:dyDescent="0.3">
      <c r="L43" s="18" t="str">
        <f>+'Reference prices RPM'!L43</f>
        <v>Exit</v>
      </c>
      <c r="M43" s="279">
        <f>+Data_b!D5</f>
        <v>0.72</v>
      </c>
    </row>
    <row r="44" spans="2:21" ht="15" customHeight="1" x14ac:dyDescent="0.25"/>
  </sheetData>
  <pageMargins left="0.7" right="0.7" top="0.75" bottom="0.75" header="0.3" footer="0.3"/>
  <pageSetup paperSize="9" orientation="portrait" r:id="rId1"/>
  <ignoredErrors>
    <ignoredError sqref="F32:F33 F34"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zoomScaleNormal="100" workbookViewId="0">
      <selection activeCell="Y71" sqref="Y71"/>
    </sheetView>
  </sheetViews>
  <sheetFormatPr defaultColWidth="0" defaultRowHeight="15" zeroHeight="1" x14ac:dyDescent="0.25"/>
  <cols>
    <col min="1" max="1" width="3.85546875" customWidth="1"/>
    <col min="2" max="2" width="9.140625" customWidth="1"/>
    <col min="3" max="3" width="37.140625" customWidth="1"/>
    <col min="4" max="4" width="63.140625" bestFit="1" customWidth="1"/>
    <col min="5" max="5" width="20.140625" bestFit="1" customWidth="1"/>
    <col min="6" max="9" width="12" customWidth="1"/>
    <col min="10" max="10" width="4.28515625" customWidth="1"/>
    <col min="11" max="11" width="15.7109375" bestFit="1" customWidth="1"/>
    <col min="12" max="13" width="9.140625" customWidth="1"/>
    <col min="14" max="14" width="35.140625" bestFit="1" customWidth="1"/>
    <col min="15" max="15" width="9.140625" customWidth="1"/>
    <col min="16" max="16" width="18" customWidth="1"/>
    <col min="17" max="18" width="9.140625" customWidth="1"/>
    <col min="19" max="19" width="26.7109375" customWidth="1"/>
    <col min="20" max="20" width="10.7109375" customWidth="1"/>
    <col min="21" max="21" width="12.42578125" customWidth="1"/>
    <col min="22" max="22" width="9.140625" customWidth="1"/>
    <col min="23" max="23" width="4.28515625" customWidth="1"/>
    <col min="24" max="24" width="46.42578125" bestFit="1" customWidth="1"/>
    <col min="25" max="25" width="10.85546875" bestFit="1" customWidth="1"/>
    <col min="26" max="26" width="9.140625" customWidth="1"/>
    <col min="27" max="16384" width="9.140625" hidden="1"/>
  </cols>
  <sheetData>
    <row r="1" spans="2:11" x14ac:dyDescent="0.25"/>
    <row r="2" spans="2:11" ht="15.75" thickBot="1" x14ac:dyDescent="0.3"/>
    <row r="3" spans="2:11" ht="15.75" thickBot="1" x14ac:dyDescent="0.3">
      <c r="K3" s="434" t="s">
        <v>307</v>
      </c>
    </row>
    <row r="4" spans="2:11" ht="15.75" thickBot="1" x14ac:dyDescent="0.3">
      <c r="C4" s="2" t="s">
        <v>204</v>
      </c>
      <c r="D4" s="160"/>
      <c r="E4" s="161"/>
      <c r="F4" s="26" t="s">
        <v>130</v>
      </c>
      <c r="G4" s="26" t="s">
        <v>6</v>
      </c>
      <c r="H4" s="26" t="s">
        <v>7</v>
      </c>
      <c r="I4" s="26" t="s">
        <v>8</v>
      </c>
      <c r="K4" s="26" t="str">
        <f>+Output!$B$3</f>
        <v>2019-2020</v>
      </c>
    </row>
    <row r="5" spans="2:11" ht="15.75" thickBot="1" x14ac:dyDescent="0.3">
      <c r="B5" s="162"/>
      <c r="C5" s="8" t="s">
        <v>205</v>
      </c>
      <c r="D5" s="8" t="s">
        <v>206</v>
      </c>
      <c r="E5" s="8" t="s">
        <v>207</v>
      </c>
      <c r="F5" s="280"/>
      <c r="G5" s="281"/>
      <c r="H5" s="281"/>
      <c r="I5" s="272"/>
      <c r="K5" s="48"/>
    </row>
    <row r="6" spans="2:11" x14ac:dyDescent="0.25">
      <c r="B6" s="5" t="s">
        <v>160</v>
      </c>
      <c r="C6" s="23" t="s">
        <v>1</v>
      </c>
      <c r="D6" s="14" t="s">
        <v>209</v>
      </c>
      <c r="E6" s="15" t="s">
        <v>208</v>
      </c>
      <c r="F6" s="150">
        <v>101055477.62499939</v>
      </c>
      <c r="G6" s="348">
        <f>+F6*(1+Input!K4)</f>
        <v>108634638.44687434</v>
      </c>
      <c r="H6" s="348">
        <f>+G6*(1+Input!L4)</f>
        <v>108634638.44687434</v>
      </c>
      <c r="I6" s="37">
        <f>+H6*(1+Input!M4)</f>
        <v>108634638.44687434</v>
      </c>
      <c r="K6" s="344">
        <f>INDEX($F6:$I6,MATCH($K$4,$F$4:$I$4,0))</f>
        <v>108634638.44687434</v>
      </c>
    </row>
    <row r="7" spans="2:11" x14ac:dyDescent="0.25">
      <c r="B7" s="6"/>
      <c r="C7" s="24"/>
      <c r="D7" s="12" t="s">
        <v>210</v>
      </c>
      <c r="E7" s="12" t="s">
        <v>208</v>
      </c>
      <c r="F7" s="152">
        <v>3781413.2963089836</v>
      </c>
      <c r="G7" s="349">
        <f>+F7*(1+Input!K5)</f>
        <v>4065019.2935321573</v>
      </c>
      <c r="H7" s="349">
        <f>+G7*(1+Input!L5)</f>
        <v>4065019.2935321573</v>
      </c>
      <c r="I7" s="169">
        <f>+H7*(1+Input!M5)</f>
        <v>4065019.2935321573</v>
      </c>
      <c r="K7" s="345">
        <f t="shared" ref="K7:K36" si="0">INDEX($F7:$I7,MATCH($K$4,$F$4:$I$4,0))</f>
        <v>4065019.2935321573</v>
      </c>
    </row>
    <row r="8" spans="2:11" x14ac:dyDescent="0.25">
      <c r="B8" s="6"/>
      <c r="C8" s="24"/>
      <c r="D8" s="12" t="s">
        <v>211</v>
      </c>
      <c r="E8" s="12" t="s">
        <v>208</v>
      </c>
      <c r="F8" s="152">
        <v>3196185.2494030823</v>
      </c>
      <c r="G8" s="349">
        <f>+F8*(1+Input!K6)</f>
        <v>3435899.1431083134</v>
      </c>
      <c r="H8" s="349">
        <f>+G8*(1+Input!L6)</f>
        <v>3435899.1431083134</v>
      </c>
      <c r="I8" s="169">
        <f>+H8*(1+Input!M6)</f>
        <v>3435899.1431083134</v>
      </c>
      <c r="K8" s="345">
        <f t="shared" si="0"/>
        <v>3435899.1431083134</v>
      </c>
    </row>
    <row r="9" spans="2:11" x14ac:dyDescent="0.25">
      <c r="B9" s="6"/>
      <c r="C9" s="24"/>
      <c r="D9" s="12" t="s">
        <v>212</v>
      </c>
      <c r="E9" s="12" t="s">
        <v>208</v>
      </c>
      <c r="F9" s="152">
        <v>6249731.2053220551</v>
      </c>
      <c r="G9" s="349">
        <f>+F9*(1+Input!K7)</f>
        <v>6718461.0457212087</v>
      </c>
      <c r="H9" s="349">
        <f>+G9*(1+Input!L7)</f>
        <v>6718461.0457212087</v>
      </c>
      <c r="I9" s="169">
        <f>+H9*(1+Input!M7)</f>
        <v>6718461.0457212087</v>
      </c>
      <c r="K9" s="345">
        <f t="shared" si="0"/>
        <v>6718461.0457212087</v>
      </c>
    </row>
    <row r="10" spans="2:11" ht="15.75" thickBot="1" x14ac:dyDescent="0.3">
      <c r="B10" s="6"/>
      <c r="C10" s="25"/>
      <c r="D10" s="19" t="s">
        <v>214</v>
      </c>
      <c r="E10" s="19" t="s">
        <v>25</v>
      </c>
      <c r="F10" s="154">
        <v>0</v>
      </c>
      <c r="G10" s="350">
        <f>+F10*(1+Input!K8)</f>
        <v>0</v>
      </c>
      <c r="H10" s="350">
        <f>+G10*(1+Input!L8)</f>
        <v>0</v>
      </c>
      <c r="I10" s="259">
        <f>+H10*(1+Input!M8)</f>
        <v>0</v>
      </c>
      <c r="K10" s="346">
        <f t="shared" si="0"/>
        <v>0</v>
      </c>
    </row>
    <row r="11" spans="2:11" x14ac:dyDescent="0.25">
      <c r="B11" s="6"/>
      <c r="C11" s="23" t="s">
        <v>203</v>
      </c>
      <c r="D11" s="14" t="s">
        <v>209</v>
      </c>
      <c r="E11" s="15" t="s">
        <v>208</v>
      </c>
      <c r="F11" s="150">
        <v>57913063.754080206</v>
      </c>
      <c r="G11" s="348">
        <f>+F11*(1+Input!K9)</f>
        <v>62256543.535636216</v>
      </c>
      <c r="H11" s="348">
        <f>+G11*(1+Input!L9)</f>
        <v>62256543.535636216</v>
      </c>
      <c r="I11" s="37">
        <f>+H11*(1+Input!M9)</f>
        <v>62256543.535636216</v>
      </c>
      <c r="K11" s="344">
        <f t="shared" si="0"/>
        <v>62256543.535636216</v>
      </c>
    </row>
    <row r="12" spans="2:11" x14ac:dyDescent="0.25">
      <c r="B12" s="6"/>
      <c r="C12" s="24"/>
      <c r="D12" s="12" t="s">
        <v>210</v>
      </c>
      <c r="E12" s="12" t="s">
        <v>208</v>
      </c>
      <c r="F12" s="152">
        <v>30470.538090372243</v>
      </c>
      <c r="G12" s="349">
        <f>+F12*(1+Input!K10)</f>
        <v>32755.828447150161</v>
      </c>
      <c r="H12" s="349">
        <f>+G12*(1+Input!L10)</f>
        <v>32755.828447150161</v>
      </c>
      <c r="I12" s="169">
        <f>+H12*(1+Input!M10)</f>
        <v>32755.828447150161</v>
      </c>
      <c r="K12" s="345">
        <f t="shared" si="0"/>
        <v>32755.828447150161</v>
      </c>
    </row>
    <row r="13" spans="2:11" x14ac:dyDescent="0.25">
      <c r="B13" s="6"/>
      <c r="C13" s="24"/>
      <c r="D13" s="12" t="s">
        <v>211</v>
      </c>
      <c r="E13" s="12" t="s">
        <v>208</v>
      </c>
      <c r="F13" s="152">
        <v>5257079.8793693287</v>
      </c>
      <c r="G13" s="349">
        <f>+F13*(1+Input!K11)</f>
        <v>5651360.8703220282</v>
      </c>
      <c r="H13" s="349">
        <f>+G13*(1+Input!L11)</f>
        <v>5651360.8703220282</v>
      </c>
      <c r="I13" s="169">
        <f>+H13*(1+Input!M11)</f>
        <v>5651360.8703220282</v>
      </c>
      <c r="K13" s="345">
        <f t="shared" si="0"/>
        <v>5651360.8703220282</v>
      </c>
    </row>
    <row r="14" spans="2:11" x14ac:dyDescent="0.25">
      <c r="B14" s="6"/>
      <c r="C14" s="24"/>
      <c r="D14" s="12" t="s">
        <v>212</v>
      </c>
      <c r="E14" s="12" t="s">
        <v>208</v>
      </c>
      <c r="F14" s="152">
        <v>8637860.6009332612</v>
      </c>
      <c r="G14" s="349">
        <f>+F14*(1+Input!K12)</f>
        <v>9285700.1460032556</v>
      </c>
      <c r="H14" s="349">
        <f>+G14*(1+Input!L12)</f>
        <v>9285700.1460032556</v>
      </c>
      <c r="I14" s="169">
        <f>+H14*(1+Input!M12)</f>
        <v>9285700.1460032556</v>
      </c>
      <c r="K14" s="345">
        <f t="shared" si="0"/>
        <v>9285700.1460032556</v>
      </c>
    </row>
    <row r="15" spans="2:11" ht="15.75" thickBot="1" x14ac:dyDescent="0.3">
      <c r="B15" s="6"/>
      <c r="C15" s="25"/>
      <c r="D15" s="19" t="s">
        <v>214</v>
      </c>
      <c r="E15" s="19" t="s">
        <v>25</v>
      </c>
      <c r="F15" s="154">
        <v>0</v>
      </c>
      <c r="G15" s="350">
        <f>+F15*(1+Input!K13)</f>
        <v>0</v>
      </c>
      <c r="H15" s="350">
        <f>+G15*(1+Input!L13)</f>
        <v>0</v>
      </c>
      <c r="I15" s="259">
        <f>+H15*(1+Input!M13)</f>
        <v>0</v>
      </c>
      <c r="K15" s="346">
        <f t="shared" si="0"/>
        <v>0</v>
      </c>
    </row>
    <row r="16" spans="2:11" x14ac:dyDescent="0.25">
      <c r="B16" s="6"/>
      <c r="C16" s="23" t="s">
        <v>213</v>
      </c>
      <c r="D16" s="14" t="s">
        <v>212</v>
      </c>
      <c r="E16" s="15" t="s">
        <v>208</v>
      </c>
      <c r="F16" s="150">
        <v>4552784.7835616451</v>
      </c>
      <c r="G16" s="348">
        <f>+F16*(1+Input!K14)</f>
        <v>4894243.642328768</v>
      </c>
      <c r="H16" s="348">
        <f>+G16*(1+Input!L14)</f>
        <v>4894243.642328768</v>
      </c>
      <c r="I16" s="37">
        <f>+H16*(1+Input!M14)</f>
        <v>4894243.642328768</v>
      </c>
      <c r="K16" s="344">
        <f t="shared" si="0"/>
        <v>4894243.642328768</v>
      </c>
    </row>
    <row r="17" spans="2:11" ht="15.75" thickBot="1" x14ac:dyDescent="0.3">
      <c r="B17" s="7"/>
      <c r="C17" s="25"/>
      <c r="D17" s="19" t="s">
        <v>214</v>
      </c>
      <c r="E17" s="19" t="s">
        <v>25</v>
      </c>
      <c r="F17" s="154">
        <v>0</v>
      </c>
      <c r="G17" s="350">
        <f>+F17*(1+Input!K15)</f>
        <v>0</v>
      </c>
      <c r="H17" s="350">
        <f>+G17*(1+Input!L15)</f>
        <v>0</v>
      </c>
      <c r="I17" s="259">
        <f>+H17*(1+Input!M15)</f>
        <v>0</v>
      </c>
      <c r="K17" s="346">
        <f t="shared" si="0"/>
        <v>0</v>
      </c>
    </row>
    <row r="18" spans="2:11" x14ac:dyDescent="0.25">
      <c r="B18" s="5" t="s">
        <v>161</v>
      </c>
      <c r="C18" s="23" t="s">
        <v>1</v>
      </c>
      <c r="D18" s="14" t="s">
        <v>209</v>
      </c>
      <c r="E18" s="15" t="s">
        <v>208</v>
      </c>
      <c r="F18" s="150">
        <v>0</v>
      </c>
      <c r="G18" s="348">
        <f>+F18*(1+Input!K16)</f>
        <v>0</v>
      </c>
      <c r="H18" s="348">
        <f>+G18*(1+Input!L16)</f>
        <v>0</v>
      </c>
      <c r="I18" s="37">
        <f>+H18*(1+Input!M16)</f>
        <v>0</v>
      </c>
      <c r="K18" s="344">
        <f t="shared" si="0"/>
        <v>0</v>
      </c>
    </row>
    <row r="19" spans="2:11" x14ac:dyDescent="0.25">
      <c r="B19" s="3"/>
      <c r="C19" s="24"/>
      <c r="D19" s="12" t="s">
        <v>210</v>
      </c>
      <c r="E19" s="12" t="s">
        <v>208</v>
      </c>
      <c r="F19" s="152">
        <v>0</v>
      </c>
      <c r="G19" s="349">
        <f>+F19*(1+Input!K17)</f>
        <v>0</v>
      </c>
      <c r="H19" s="349">
        <f>+G19*(1+Input!L17)</f>
        <v>0</v>
      </c>
      <c r="I19" s="169">
        <f>+H19*(1+Input!M17)</f>
        <v>0</v>
      </c>
      <c r="K19" s="345">
        <f t="shared" si="0"/>
        <v>0</v>
      </c>
    </row>
    <row r="20" spans="2:11" x14ac:dyDescent="0.25">
      <c r="B20" s="3"/>
      <c r="C20" s="24"/>
      <c r="D20" s="12" t="s">
        <v>211</v>
      </c>
      <c r="E20" s="12" t="s">
        <v>208</v>
      </c>
      <c r="F20" s="152">
        <v>0</v>
      </c>
      <c r="G20" s="349">
        <f>+F20*(1+Input!K18)</f>
        <v>0</v>
      </c>
      <c r="H20" s="349">
        <f>+G20*(1+Input!L18)</f>
        <v>0</v>
      </c>
      <c r="I20" s="169">
        <f>+H20*(1+Input!M18)</f>
        <v>0</v>
      </c>
      <c r="K20" s="345">
        <f t="shared" si="0"/>
        <v>0</v>
      </c>
    </row>
    <row r="21" spans="2:11" x14ac:dyDescent="0.25">
      <c r="B21" s="3"/>
      <c r="C21" s="24"/>
      <c r="D21" s="12" t="s">
        <v>212</v>
      </c>
      <c r="E21" s="12" t="s">
        <v>208</v>
      </c>
      <c r="F21" s="152">
        <v>125683.1174863388</v>
      </c>
      <c r="G21" s="349">
        <f>+F21*(1+Input!K19)</f>
        <v>135109.3512978142</v>
      </c>
      <c r="H21" s="349">
        <f>+G21*(1+Input!L19)</f>
        <v>135109.3512978142</v>
      </c>
      <c r="I21" s="169">
        <f>+H21*(1+Input!M19)</f>
        <v>135109.3512978142</v>
      </c>
      <c r="K21" s="345">
        <f t="shared" si="0"/>
        <v>135109.3512978142</v>
      </c>
    </row>
    <row r="22" spans="2:11" ht="15.75" thickBot="1" x14ac:dyDescent="0.3">
      <c r="B22" s="3"/>
      <c r="C22" s="25"/>
      <c r="D22" s="19" t="s">
        <v>214</v>
      </c>
      <c r="E22" s="19" t="s">
        <v>25</v>
      </c>
      <c r="F22" s="154">
        <v>0</v>
      </c>
      <c r="G22" s="350">
        <f>+F22*(1+Input!K20)</f>
        <v>0</v>
      </c>
      <c r="H22" s="350">
        <f>+G22*(1+Input!L20)</f>
        <v>0</v>
      </c>
      <c r="I22" s="259">
        <f>+H22*(1+Input!M20)</f>
        <v>0</v>
      </c>
      <c r="K22" s="346">
        <f t="shared" si="0"/>
        <v>0</v>
      </c>
    </row>
    <row r="23" spans="2:11" x14ac:dyDescent="0.25">
      <c r="B23" s="3"/>
      <c r="C23" s="23" t="s">
        <v>203</v>
      </c>
      <c r="D23" s="14" t="s">
        <v>209</v>
      </c>
      <c r="E23" s="15" t="s">
        <v>208</v>
      </c>
      <c r="F23" s="150">
        <v>0</v>
      </c>
      <c r="G23" s="348">
        <f>+F23*(1+Input!K21)</f>
        <v>0</v>
      </c>
      <c r="H23" s="348">
        <f>+G23*(1+Input!L21)</f>
        <v>0</v>
      </c>
      <c r="I23" s="37">
        <f>+H23*(1+Input!M21)</f>
        <v>0</v>
      </c>
      <c r="K23" s="344">
        <f t="shared" si="0"/>
        <v>0</v>
      </c>
    </row>
    <row r="24" spans="2:11" x14ac:dyDescent="0.25">
      <c r="B24" s="3"/>
      <c r="C24" s="24"/>
      <c r="D24" s="12" t="s">
        <v>210</v>
      </c>
      <c r="E24" s="12" t="s">
        <v>208</v>
      </c>
      <c r="F24" s="152">
        <v>0</v>
      </c>
      <c r="G24" s="349">
        <f>+F24*(1+Input!K22)</f>
        <v>0</v>
      </c>
      <c r="H24" s="349">
        <f>+G24*(1+Input!L22)</f>
        <v>0</v>
      </c>
      <c r="I24" s="169">
        <f>+H24*(1+Input!M22)</f>
        <v>0</v>
      </c>
      <c r="K24" s="345">
        <f t="shared" si="0"/>
        <v>0</v>
      </c>
    </row>
    <row r="25" spans="2:11" x14ac:dyDescent="0.25">
      <c r="B25" s="3"/>
      <c r="C25" s="24"/>
      <c r="D25" s="12" t="s">
        <v>211</v>
      </c>
      <c r="E25" s="12" t="s">
        <v>208</v>
      </c>
      <c r="F25" s="152">
        <v>0</v>
      </c>
      <c r="G25" s="349">
        <f>+F25*(1+Input!K23)</f>
        <v>0</v>
      </c>
      <c r="H25" s="349">
        <f>+G25*(1+Input!L23)</f>
        <v>0</v>
      </c>
      <c r="I25" s="169">
        <f>+H25*(1+Input!M23)</f>
        <v>0</v>
      </c>
      <c r="K25" s="345">
        <f t="shared" si="0"/>
        <v>0</v>
      </c>
    </row>
    <row r="26" spans="2:11" x14ac:dyDescent="0.25">
      <c r="B26" s="3"/>
      <c r="C26" s="24"/>
      <c r="D26" s="12" t="s">
        <v>212</v>
      </c>
      <c r="E26" s="12" t="s">
        <v>208</v>
      </c>
      <c r="F26" s="152">
        <v>1344554.2213114754</v>
      </c>
      <c r="G26" s="349">
        <f>+F26*(1+Input!K24)</f>
        <v>1445395.787909836</v>
      </c>
      <c r="H26" s="349">
        <f>+G26*(1+Input!L24)</f>
        <v>1445395.787909836</v>
      </c>
      <c r="I26" s="169">
        <f>+H26*(1+Input!M24)</f>
        <v>1445395.787909836</v>
      </c>
      <c r="K26" s="345">
        <f t="shared" si="0"/>
        <v>1445395.787909836</v>
      </c>
    </row>
    <row r="27" spans="2:11" ht="15.75" thickBot="1" x14ac:dyDescent="0.3">
      <c r="B27" s="3"/>
      <c r="C27" s="25"/>
      <c r="D27" s="19" t="s">
        <v>214</v>
      </c>
      <c r="E27" s="19" t="s">
        <v>25</v>
      </c>
      <c r="F27" s="154">
        <v>0</v>
      </c>
      <c r="G27" s="350">
        <f>+F27*(1+Input!K25)</f>
        <v>0</v>
      </c>
      <c r="H27" s="350">
        <f>+G27*(1+Input!L25)</f>
        <v>0</v>
      </c>
      <c r="I27" s="259">
        <f>+H27*(1+Input!M25)</f>
        <v>0</v>
      </c>
      <c r="K27" s="346">
        <f t="shared" si="0"/>
        <v>0</v>
      </c>
    </row>
    <row r="28" spans="2:11" x14ac:dyDescent="0.25">
      <c r="B28" s="3"/>
      <c r="C28" s="23" t="s">
        <v>213</v>
      </c>
      <c r="D28" s="14" t="s">
        <v>212</v>
      </c>
      <c r="E28" s="15" t="s">
        <v>208</v>
      </c>
      <c r="F28" s="150">
        <v>4552784.7835616451</v>
      </c>
      <c r="G28" s="348">
        <f>+F28*(1+Input!K26)</f>
        <v>4894243.642328768</v>
      </c>
      <c r="H28" s="348">
        <f>+G28*(1+Input!L26)</f>
        <v>4894243.642328768</v>
      </c>
      <c r="I28" s="37">
        <f>+H28*(1+Input!M26)</f>
        <v>4894243.642328768</v>
      </c>
      <c r="K28" s="344">
        <f t="shared" si="0"/>
        <v>4894243.642328768</v>
      </c>
    </row>
    <row r="29" spans="2:11" ht="15.75" thickBot="1" x14ac:dyDescent="0.3">
      <c r="B29" s="3"/>
      <c r="C29" s="25"/>
      <c r="D29" s="19" t="s">
        <v>214</v>
      </c>
      <c r="E29" s="19" t="s">
        <v>25</v>
      </c>
      <c r="F29" s="154">
        <v>0</v>
      </c>
      <c r="G29" s="350">
        <f>+F29*(1+Input!K27)</f>
        <v>0</v>
      </c>
      <c r="H29" s="350">
        <f>+G29*(1+Input!L27)</f>
        <v>0</v>
      </c>
      <c r="I29" s="259">
        <f>+H29*(1+Input!M27)</f>
        <v>0</v>
      </c>
      <c r="K29" s="346">
        <f t="shared" si="0"/>
        <v>0</v>
      </c>
    </row>
    <row r="30" spans="2:11" ht="15.75" thickBot="1" x14ac:dyDescent="0.3">
      <c r="B30" s="3"/>
      <c r="C30" s="21" t="s">
        <v>216</v>
      </c>
      <c r="D30" s="22" t="s">
        <v>215</v>
      </c>
      <c r="E30" s="22" t="s">
        <v>208</v>
      </c>
      <c r="F30" s="156">
        <v>164291367</v>
      </c>
      <c r="G30" s="351">
        <f>+F30*(1+Input!K28)</f>
        <v>176613219.52500001</v>
      </c>
      <c r="H30" s="351">
        <f>+G30*(1+Input!L28)</f>
        <v>176613219.52500001</v>
      </c>
      <c r="I30" s="260">
        <f>+H30*(1+Input!M28)</f>
        <v>176613219.52500001</v>
      </c>
      <c r="K30" s="347">
        <f t="shared" si="0"/>
        <v>176613219.52500001</v>
      </c>
    </row>
    <row r="31" spans="2:11" x14ac:dyDescent="0.25">
      <c r="B31" s="3"/>
      <c r="C31" s="23" t="s">
        <v>217</v>
      </c>
      <c r="D31" s="14" t="s">
        <v>218</v>
      </c>
      <c r="E31" s="14" t="s">
        <v>208</v>
      </c>
      <c r="F31" s="150">
        <v>64946273.353844963</v>
      </c>
      <c r="G31" s="348">
        <f>+F31*(1+Input!K29)</f>
        <v>69817243.855383337</v>
      </c>
      <c r="H31" s="348">
        <f>+G31*(1+Input!L29)</f>
        <v>69817243.855383337</v>
      </c>
      <c r="I31" s="37">
        <f>+H31*(1+Input!M29)</f>
        <v>69817243.855383337</v>
      </c>
      <c r="K31" s="344">
        <f t="shared" si="0"/>
        <v>69817243.855383337</v>
      </c>
    </row>
    <row r="32" spans="2:11" x14ac:dyDescent="0.25">
      <c r="B32" s="3"/>
      <c r="C32" s="24"/>
      <c r="D32" s="12" t="s">
        <v>219</v>
      </c>
      <c r="E32" s="12" t="s">
        <v>208</v>
      </c>
      <c r="F32" s="152">
        <v>0</v>
      </c>
      <c r="G32" s="349">
        <f>+F32*(1+Input!K30)</f>
        <v>0</v>
      </c>
      <c r="H32" s="349">
        <f>+G32*(1+Input!L30)</f>
        <v>0</v>
      </c>
      <c r="I32" s="169">
        <f>+H32*(1+Input!M30)</f>
        <v>0</v>
      </c>
      <c r="K32" s="345">
        <f t="shared" si="0"/>
        <v>0</v>
      </c>
    </row>
    <row r="33" spans="2:16" x14ac:dyDescent="0.25">
      <c r="B33" s="3"/>
      <c r="C33" s="24"/>
      <c r="D33" s="12" t="s">
        <v>220</v>
      </c>
      <c r="E33" s="12" t="s">
        <v>208</v>
      </c>
      <c r="F33" s="152">
        <v>39122186.885984398</v>
      </c>
      <c r="G33" s="349">
        <f>+F33*(1+Input!K31)</f>
        <v>42056350.902433224</v>
      </c>
      <c r="H33" s="349">
        <f>+G33*(1+Input!L31)</f>
        <v>42056350.902433224</v>
      </c>
      <c r="I33" s="169">
        <f>+H33*(1+Input!M31)</f>
        <v>42056350.902433224</v>
      </c>
      <c r="K33" s="345">
        <f t="shared" si="0"/>
        <v>42056350.902433224</v>
      </c>
    </row>
    <row r="34" spans="2:16" x14ac:dyDescent="0.25">
      <c r="B34" s="3"/>
      <c r="C34" s="24"/>
      <c r="D34" s="12" t="s">
        <v>221</v>
      </c>
      <c r="E34" s="12" t="s">
        <v>208</v>
      </c>
      <c r="F34" s="152">
        <v>38083490.714015611</v>
      </c>
      <c r="G34" s="349">
        <f>+F34*(1+Input!K32)</f>
        <v>40939752.517566778</v>
      </c>
      <c r="H34" s="349">
        <f>+G34*(1+Input!L32)</f>
        <v>40939752.517566778</v>
      </c>
      <c r="I34" s="169">
        <f>+H34*(1+Input!M32)</f>
        <v>40939752.517566778</v>
      </c>
      <c r="K34" s="345">
        <f t="shared" si="0"/>
        <v>40939752.517566778</v>
      </c>
    </row>
    <row r="35" spans="2:16" x14ac:dyDescent="0.25">
      <c r="B35" s="3"/>
      <c r="C35" s="24"/>
      <c r="D35" s="12" t="s">
        <v>222</v>
      </c>
      <c r="E35" s="12" t="s">
        <v>208</v>
      </c>
      <c r="F35" s="152">
        <v>0</v>
      </c>
      <c r="G35" s="349">
        <f>+F35*(1+Input!K33)</f>
        <v>0</v>
      </c>
      <c r="H35" s="349">
        <f>+G35*(1+Input!L33)</f>
        <v>0</v>
      </c>
      <c r="I35" s="169">
        <f>+H35*(1+Input!M33)</f>
        <v>0</v>
      </c>
      <c r="K35" s="345">
        <f t="shared" si="0"/>
        <v>0</v>
      </c>
    </row>
    <row r="36" spans="2:16" ht="15.75" thickBot="1" x14ac:dyDescent="0.3">
      <c r="B36" s="4"/>
      <c r="C36" s="25"/>
      <c r="D36" s="19" t="s">
        <v>223</v>
      </c>
      <c r="E36" s="19" t="s">
        <v>208</v>
      </c>
      <c r="F36" s="154">
        <v>0</v>
      </c>
      <c r="G36" s="350">
        <f>+F36*(1+Input!K34)</f>
        <v>0</v>
      </c>
      <c r="H36" s="350">
        <f>+G36*(1+Input!L34)</f>
        <v>0</v>
      </c>
      <c r="I36" s="259">
        <f>+H36*(1+Input!M34)</f>
        <v>0</v>
      </c>
      <c r="K36" s="346">
        <f t="shared" si="0"/>
        <v>0</v>
      </c>
    </row>
    <row r="37" spans="2:16" ht="15.75" thickBot="1" x14ac:dyDescent="0.3">
      <c r="C37" s="443" t="s">
        <v>311</v>
      </c>
    </row>
    <row r="38" spans="2:16" ht="15.75" thickBot="1" x14ac:dyDescent="0.3">
      <c r="N38" s="2" t="s">
        <v>225</v>
      </c>
      <c r="O38" s="161"/>
      <c r="P38" s="26" t="s">
        <v>131</v>
      </c>
    </row>
    <row r="39" spans="2:16" ht="15.75" thickBot="1" x14ac:dyDescent="0.3">
      <c r="M39" s="162"/>
      <c r="N39" s="8" t="s">
        <v>4</v>
      </c>
      <c r="O39" s="8" t="s">
        <v>5</v>
      </c>
      <c r="P39" s="11"/>
    </row>
    <row r="40" spans="2:16" x14ac:dyDescent="0.25">
      <c r="M40" s="5" t="s">
        <v>0</v>
      </c>
      <c r="N40" s="13" t="str">
        <f>+'Pre-scaling RPM'!B4</f>
        <v>VIP</v>
      </c>
      <c r="O40" s="15" t="str">
        <f>+$E$6</f>
        <v>kWh/dia</v>
      </c>
      <c r="P40" s="151">
        <v>130204476.72477064</v>
      </c>
    </row>
    <row r="41" spans="2:16" x14ac:dyDescent="0.25">
      <c r="M41" s="6"/>
      <c r="N41" s="16" t="str">
        <f>+'Pre-scaling RPM'!B5</f>
        <v>Terminal GNL</v>
      </c>
      <c r="O41" s="163" t="str">
        <f t="shared" ref="O41:O46" si="1">+$E$6</f>
        <v>kWh/dia</v>
      </c>
      <c r="P41" s="153">
        <v>178819191.88073394</v>
      </c>
    </row>
    <row r="42" spans="2:16" ht="15.75" thickBot="1" x14ac:dyDescent="0.3">
      <c r="M42" s="6"/>
      <c r="N42" s="18" t="str">
        <f>+'Pre-scaling RPM'!B6</f>
        <v>Armazenamento</v>
      </c>
      <c r="O42" s="164" t="str">
        <f t="shared" si="1"/>
        <v>kWh/dia</v>
      </c>
      <c r="P42" s="155">
        <v>42207940.917431191</v>
      </c>
    </row>
    <row r="43" spans="2:16" x14ac:dyDescent="0.25">
      <c r="M43" s="5" t="s">
        <v>22</v>
      </c>
      <c r="N43" s="13" t="str">
        <f>+'Pre-scaling RPM'!B7</f>
        <v>VIP</v>
      </c>
      <c r="O43" s="15" t="str">
        <f t="shared" si="1"/>
        <v>kWh/dia</v>
      </c>
      <c r="P43" s="151">
        <v>5359090.1376146786</v>
      </c>
    </row>
    <row r="44" spans="2:16" x14ac:dyDescent="0.25">
      <c r="M44" s="3"/>
      <c r="N44" s="16" t="str">
        <f>+'Pre-scaling RPM'!B8</f>
        <v>Terminal GNL</v>
      </c>
      <c r="O44" s="163" t="str">
        <f t="shared" si="1"/>
        <v>kWh/dia</v>
      </c>
      <c r="P44" s="153">
        <v>0</v>
      </c>
    </row>
    <row r="45" spans="2:16" x14ac:dyDescent="0.25">
      <c r="M45" s="3"/>
      <c r="N45" s="16" t="str">
        <f>+'Pre-scaling RPM'!B9</f>
        <v>Armazenamento</v>
      </c>
      <c r="O45" s="163" t="str">
        <f t="shared" si="1"/>
        <v>kWh/dia</v>
      </c>
      <c r="P45" s="153">
        <v>24083404.238532111</v>
      </c>
    </row>
    <row r="46" spans="2:16" ht="15.75" thickBot="1" x14ac:dyDescent="0.3">
      <c r="M46" s="4"/>
      <c r="N46" s="18" t="str">
        <f>+'Pre-scaling RPM'!B10</f>
        <v>Consumo</v>
      </c>
      <c r="O46" s="19" t="str">
        <f t="shared" si="1"/>
        <v>kWh/dia</v>
      </c>
      <c r="P46" s="155">
        <v>252924634.66055036</v>
      </c>
    </row>
    <row r="47" spans="2:16" x14ac:dyDescent="0.25">
      <c r="N47" s="165" t="s">
        <v>304</v>
      </c>
    </row>
    <row r="48" spans="2:16" ht="15.75" thickBot="1" x14ac:dyDescent="0.3"/>
    <row r="49" spans="18:25" ht="15.75" thickBot="1" x14ac:dyDescent="0.3">
      <c r="S49" s="2" t="s">
        <v>226</v>
      </c>
      <c r="T49" s="161"/>
      <c r="U49" s="26">
        <v>2019</v>
      </c>
    </row>
    <row r="50" spans="18:25" ht="15.75" thickBot="1" x14ac:dyDescent="0.3">
      <c r="R50" s="162"/>
      <c r="S50" s="8" t="str">
        <f>+N39</f>
        <v>Point</v>
      </c>
      <c r="T50" s="8" t="str">
        <f>+O39</f>
        <v>Unit</v>
      </c>
      <c r="U50" s="48"/>
    </row>
    <row r="51" spans="18:25" x14ac:dyDescent="0.25">
      <c r="R51" s="5" t="s">
        <v>0</v>
      </c>
      <c r="S51" s="13" t="s">
        <v>128</v>
      </c>
      <c r="T51" s="15" t="str">
        <f t="shared" ref="T51:T60" si="2">+$E$6</f>
        <v>kWh/dia</v>
      </c>
      <c r="U51" s="151">
        <v>134000000</v>
      </c>
    </row>
    <row r="52" spans="18:25" x14ac:dyDescent="0.25">
      <c r="R52" s="6"/>
      <c r="S52" s="166" t="s">
        <v>129</v>
      </c>
      <c r="T52" s="167" t="str">
        <f t="shared" si="2"/>
        <v>kWh/dia</v>
      </c>
      <c r="U52" s="168">
        <v>10000000</v>
      </c>
    </row>
    <row r="53" spans="18:25" x14ac:dyDescent="0.25">
      <c r="R53" s="6"/>
      <c r="S53" s="16" t="s">
        <v>2</v>
      </c>
      <c r="T53" s="163" t="str">
        <f t="shared" si="2"/>
        <v>kWh/dia</v>
      </c>
      <c r="U53" s="153">
        <v>200000000</v>
      </c>
    </row>
    <row r="54" spans="18:25" ht="15.75" thickBot="1" x14ac:dyDescent="0.3">
      <c r="R54" s="6"/>
      <c r="S54" s="18" t="s">
        <v>9</v>
      </c>
      <c r="T54" s="164" t="str">
        <f t="shared" si="2"/>
        <v>kWh/dia</v>
      </c>
      <c r="U54" s="155">
        <v>85680000</v>
      </c>
    </row>
    <row r="55" spans="18:25" x14ac:dyDescent="0.25">
      <c r="R55" s="5" t="s">
        <v>22</v>
      </c>
      <c r="S55" s="13" t="s">
        <v>128</v>
      </c>
      <c r="T55" s="15" t="str">
        <f t="shared" si="2"/>
        <v>kWh/dia</v>
      </c>
      <c r="U55" s="151">
        <v>55000000</v>
      </c>
    </row>
    <row r="56" spans="18:25" x14ac:dyDescent="0.25">
      <c r="R56" s="6"/>
      <c r="S56" s="166" t="s">
        <v>129</v>
      </c>
      <c r="T56" s="167" t="str">
        <f t="shared" si="2"/>
        <v>kWh/dia</v>
      </c>
      <c r="U56" s="168">
        <v>25000000</v>
      </c>
    </row>
    <row r="57" spans="18:25" x14ac:dyDescent="0.25">
      <c r="R57" s="3"/>
      <c r="S57" s="16" t="s">
        <v>2</v>
      </c>
      <c r="T57" s="163" t="str">
        <f t="shared" si="2"/>
        <v>kWh/dia</v>
      </c>
      <c r="U57" s="153">
        <v>5000000</v>
      </c>
    </row>
    <row r="58" spans="18:25" x14ac:dyDescent="0.25">
      <c r="R58" s="3"/>
      <c r="S58" s="16" t="s">
        <v>9</v>
      </c>
      <c r="T58" s="163" t="str">
        <f t="shared" si="2"/>
        <v>kWh/dia</v>
      </c>
      <c r="U58" s="169">
        <f>+U54</f>
        <v>85680000</v>
      </c>
    </row>
    <row r="59" spans="18:25" x14ac:dyDescent="0.25">
      <c r="R59" s="3"/>
      <c r="S59" s="16" t="s">
        <v>127</v>
      </c>
      <c r="T59" s="12" t="str">
        <f t="shared" si="2"/>
        <v>kWh/dia</v>
      </c>
      <c r="U59" s="153">
        <f>U51+U52+U53+U54</f>
        <v>429680000</v>
      </c>
    </row>
    <row r="60" spans="18:25" ht="15.75" thickBot="1" x14ac:dyDescent="0.3">
      <c r="R60" s="4"/>
      <c r="S60" s="417" t="s">
        <v>200</v>
      </c>
      <c r="T60" s="19" t="str">
        <f t="shared" si="2"/>
        <v>kWh/dia</v>
      </c>
      <c r="U60" s="155">
        <v>0</v>
      </c>
    </row>
    <row r="61" spans="18:25" ht="15.75" thickBot="1" x14ac:dyDescent="0.3"/>
    <row r="62" spans="18:25" ht="15.75" thickBot="1" x14ac:dyDescent="0.3">
      <c r="W62" s="2" t="s">
        <v>303</v>
      </c>
      <c r="X62" s="93"/>
      <c r="Y62" s="94"/>
    </row>
    <row r="63" spans="18:25" ht="15.75" thickBot="1" x14ac:dyDescent="0.3">
      <c r="W63" s="118"/>
      <c r="X63" s="180"/>
      <c r="Y63" s="181" t="s">
        <v>3</v>
      </c>
    </row>
    <row r="64" spans="18:25" x14ac:dyDescent="0.25">
      <c r="W64" s="95" t="s">
        <v>34</v>
      </c>
      <c r="X64" s="56" t="s">
        <v>120</v>
      </c>
      <c r="Y64" s="174">
        <v>66304565</v>
      </c>
    </row>
    <row r="65" spans="23:25" x14ac:dyDescent="0.25">
      <c r="W65" s="95" t="s">
        <v>35</v>
      </c>
      <c r="X65" s="56" t="s">
        <v>121</v>
      </c>
      <c r="Y65" s="174">
        <v>79306360</v>
      </c>
    </row>
    <row r="66" spans="23:25" x14ac:dyDescent="0.25">
      <c r="W66" s="95" t="s">
        <v>36</v>
      </c>
      <c r="X66" s="56" t="s">
        <v>122</v>
      </c>
      <c r="Y66" s="174">
        <v>68813757</v>
      </c>
    </row>
    <row r="67" spans="23:25" x14ac:dyDescent="0.25">
      <c r="W67" s="95" t="s">
        <v>37</v>
      </c>
      <c r="X67" s="56" t="s">
        <v>123</v>
      </c>
      <c r="Y67" s="174">
        <v>33836026</v>
      </c>
    </row>
    <row r="68" spans="23:25" x14ac:dyDescent="0.25">
      <c r="W68" s="95" t="s">
        <v>38</v>
      </c>
      <c r="X68" s="56" t="s">
        <v>124</v>
      </c>
      <c r="Y68" s="174">
        <v>4768154</v>
      </c>
    </row>
    <row r="69" spans="23:25" x14ac:dyDescent="0.25">
      <c r="W69" s="95" t="s">
        <v>39</v>
      </c>
      <c r="X69" s="56" t="s">
        <v>125</v>
      </c>
      <c r="Y69" s="174">
        <v>29721968</v>
      </c>
    </row>
    <row r="70" spans="23:25" ht="15.75" thickBot="1" x14ac:dyDescent="0.3">
      <c r="W70" s="175" t="s">
        <v>40</v>
      </c>
      <c r="X70" s="176" t="s">
        <v>126</v>
      </c>
      <c r="Y70" s="177">
        <v>3527661</v>
      </c>
    </row>
    <row r="71" spans="23:25" x14ac:dyDescent="0.25">
      <c r="W71" s="56"/>
      <c r="X71" s="178"/>
      <c r="Y71" s="179">
        <f>SUM(Y64:Y70)</f>
        <v>286278491</v>
      </c>
    </row>
    <row r="72" spans="23:25" x14ac:dyDescent="0.25"/>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topLeftCell="A10" zoomScaleNormal="100" workbookViewId="0">
      <selection activeCell="I5" sqref="I5"/>
    </sheetView>
  </sheetViews>
  <sheetFormatPr defaultColWidth="0" defaultRowHeight="15" zeroHeight="1" x14ac:dyDescent="0.25"/>
  <cols>
    <col min="1" max="1" width="27.5703125" bestFit="1" customWidth="1"/>
    <col min="2" max="2" width="35.140625" bestFit="1" customWidth="1"/>
    <col min="3" max="3" width="44.85546875" bestFit="1" customWidth="1"/>
    <col min="4" max="10" width="9.140625" customWidth="1"/>
    <col min="11" max="16384" width="9.140625" hidden="1"/>
  </cols>
  <sheetData>
    <row r="1" spans="1:9" x14ac:dyDescent="0.25"/>
    <row r="2" spans="1:9" ht="15.75" thickBot="1" x14ac:dyDescent="0.3"/>
    <row r="3" spans="1:9" ht="15.75" thickBot="1" x14ac:dyDescent="0.3">
      <c r="A3" s="2" t="s">
        <v>46</v>
      </c>
      <c r="B3" s="93"/>
      <c r="C3" s="93"/>
      <c r="D3" s="82" t="str">
        <f>ROUND(D4*100,0)&amp;"/"&amp;ROUND(D5*100,0)</f>
        <v>28/72</v>
      </c>
      <c r="F3" s="118" t="s">
        <v>137</v>
      </c>
      <c r="G3" s="119"/>
      <c r="H3" s="119"/>
      <c r="I3" s="236"/>
    </row>
    <row r="4" spans="1:9" x14ac:dyDescent="0.25">
      <c r="A4" s="96" t="s">
        <v>0</v>
      </c>
      <c r="B4" s="97"/>
      <c r="C4" s="98"/>
      <c r="D4" s="238">
        <f>I4/2</f>
        <v>0.28000000000000003</v>
      </c>
      <c r="F4" s="96" t="s">
        <v>138</v>
      </c>
      <c r="G4" s="97"/>
      <c r="H4" s="98"/>
      <c r="I4" s="238">
        <f>ROUND(Data_d!AG90,2)</f>
        <v>0.56000000000000005</v>
      </c>
    </row>
    <row r="5" spans="1:9" ht="15.75" thickBot="1" x14ac:dyDescent="0.3">
      <c r="A5" s="99" t="s">
        <v>22</v>
      </c>
      <c r="B5" s="100"/>
      <c r="C5" s="101"/>
      <c r="D5" s="237">
        <f>1-D4</f>
        <v>0.72</v>
      </c>
      <c r="F5" s="95" t="s">
        <v>139</v>
      </c>
      <c r="G5" s="56"/>
      <c r="H5" s="235"/>
      <c r="I5" s="239">
        <f>ROUND(Data_d!AG91,2)</f>
        <v>0.2</v>
      </c>
    </row>
    <row r="6" spans="1:9" ht="15.75" thickBot="1" x14ac:dyDescent="0.3">
      <c r="F6" s="99" t="s">
        <v>136</v>
      </c>
      <c r="G6" s="100"/>
      <c r="H6" s="101"/>
      <c r="I6" s="237">
        <f>1-I4-I5</f>
        <v>0.23999999999999994</v>
      </c>
    </row>
    <row r="7" spans="1:9" x14ac:dyDescent="0.25">
      <c r="I7" s="372"/>
    </row>
    <row r="8" spans="1:9" x14ac:dyDescent="0.25"/>
    <row r="9" spans="1:9" ht="15.75" thickBot="1" x14ac:dyDescent="0.3"/>
    <row r="10" spans="1:9" ht="15.75" thickBot="1" x14ac:dyDescent="0.3">
      <c r="A10" s="2" t="s">
        <v>47</v>
      </c>
      <c r="B10" s="93"/>
      <c r="C10" s="93"/>
      <c r="D10" s="82"/>
    </row>
    <row r="11" spans="1:9" x14ac:dyDescent="0.25">
      <c r="A11" s="96" t="s">
        <v>48</v>
      </c>
      <c r="B11" s="97"/>
      <c r="C11" s="98"/>
      <c r="D11" s="81">
        <v>1</v>
      </c>
    </row>
    <row r="12" spans="1:9" x14ac:dyDescent="0.25">
      <c r="A12" s="95" t="s">
        <v>49</v>
      </c>
      <c r="B12" s="56"/>
      <c r="C12" s="235"/>
      <c r="D12" s="243">
        <v>1</v>
      </c>
    </row>
    <row r="13" spans="1:9" ht="15.75" thickBot="1" x14ac:dyDescent="0.3">
      <c r="A13" s="99" t="s">
        <v>140</v>
      </c>
      <c r="B13" s="100"/>
      <c r="C13" s="101"/>
      <c r="D13" s="89">
        <v>0</v>
      </c>
    </row>
    <row r="14" spans="1:9" x14ac:dyDescent="0.25"/>
    <row r="15" spans="1:9" ht="15.75" thickBot="1" x14ac:dyDescent="0.3"/>
    <row r="16" spans="1:9" ht="15.75" thickBot="1" x14ac:dyDescent="0.3">
      <c r="A16" s="2" t="s">
        <v>45</v>
      </c>
      <c r="B16" s="93"/>
      <c r="C16" s="93"/>
      <c r="D16" s="82"/>
    </row>
    <row r="17" spans="1:4" ht="15.75" thickBot="1" x14ac:dyDescent="0.3">
      <c r="B17" s="8" t="s">
        <v>4</v>
      </c>
      <c r="C17" s="8" t="s">
        <v>10</v>
      </c>
      <c r="D17" s="8"/>
    </row>
    <row r="18" spans="1:4" x14ac:dyDescent="0.25">
      <c r="A18" s="5" t="s">
        <v>0</v>
      </c>
      <c r="B18" s="23" t="s">
        <v>1</v>
      </c>
      <c r="C18" s="102" t="s">
        <v>11</v>
      </c>
      <c r="D18" s="108">
        <v>1</v>
      </c>
    </row>
    <row r="19" spans="1:4" x14ac:dyDescent="0.25">
      <c r="A19" s="6"/>
      <c r="B19" s="24"/>
      <c r="C19" s="103" t="s">
        <v>12</v>
      </c>
      <c r="D19" s="109">
        <v>1.3</v>
      </c>
    </row>
    <row r="20" spans="1:4" x14ac:dyDescent="0.25">
      <c r="A20" s="6"/>
      <c r="B20" s="24"/>
      <c r="C20" s="103" t="s">
        <v>13</v>
      </c>
      <c r="D20" s="109">
        <v>1.5</v>
      </c>
    </row>
    <row r="21" spans="1:4" x14ac:dyDescent="0.25">
      <c r="A21" s="6"/>
      <c r="B21" s="24"/>
      <c r="C21" s="103" t="s">
        <v>14</v>
      </c>
      <c r="D21" s="109">
        <v>2</v>
      </c>
    </row>
    <row r="22" spans="1:4" ht="15.75" thickBot="1" x14ac:dyDescent="0.3">
      <c r="A22" s="6"/>
      <c r="B22" s="25"/>
      <c r="C22" s="104" t="s">
        <v>15</v>
      </c>
      <c r="D22" s="110">
        <v>2.2000000000000002</v>
      </c>
    </row>
    <row r="23" spans="1:4" x14ac:dyDescent="0.25">
      <c r="A23" s="6"/>
      <c r="B23" s="23" t="s">
        <v>2</v>
      </c>
      <c r="C23" s="102" t="s">
        <v>11</v>
      </c>
      <c r="D23" s="108">
        <v>1</v>
      </c>
    </row>
    <row r="24" spans="1:4" x14ac:dyDescent="0.25">
      <c r="A24" s="6"/>
      <c r="B24" s="24"/>
      <c r="C24" s="103" t="s">
        <v>12</v>
      </c>
      <c r="D24" s="109">
        <v>1.3</v>
      </c>
    </row>
    <row r="25" spans="1:4" x14ac:dyDescent="0.25">
      <c r="A25" s="6"/>
      <c r="B25" s="24"/>
      <c r="C25" s="103" t="s">
        <v>13</v>
      </c>
      <c r="D25" s="109">
        <v>1.5</v>
      </c>
    </row>
    <row r="26" spans="1:4" x14ac:dyDescent="0.25">
      <c r="A26" s="6"/>
      <c r="B26" s="24"/>
      <c r="C26" s="103" t="s">
        <v>14</v>
      </c>
      <c r="D26" s="109">
        <v>2</v>
      </c>
    </row>
    <row r="27" spans="1:4" ht="15.75" thickBot="1" x14ac:dyDescent="0.3">
      <c r="A27" s="6"/>
      <c r="B27" s="25"/>
      <c r="C27" s="104" t="s">
        <v>15</v>
      </c>
      <c r="D27" s="110">
        <v>2.2000000000000002</v>
      </c>
    </row>
    <row r="28" spans="1:4" x14ac:dyDescent="0.25">
      <c r="A28" s="6"/>
      <c r="B28" s="23" t="s">
        <v>9</v>
      </c>
      <c r="C28" s="102" t="s">
        <v>14</v>
      </c>
      <c r="D28" s="108">
        <v>1</v>
      </c>
    </row>
    <row r="29" spans="1:4" ht="15.75" thickBot="1" x14ac:dyDescent="0.3">
      <c r="A29" s="7"/>
      <c r="B29" s="25"/>
      <c r="C29" s="104" t="s">
        <v>15</v>
      </c>
      <c r="D29" s="110">
        <v>1.1000000000000001</v>
      </c>
    </row>
    <row r="30" spans="1:4" x14ac:dyDescent="0.25">
      <c r="A30" s="5" t="s">
        <v>22</v>
      </c>
      <c r="B30" s="23" t="s">
        <v>1</v>
      </c>
      <c r="C30" s="102" t="s">
        <v>11</v>
      </c>
      <c r="D30" s="111">
        <f>+D18</f>
        <v>1</v>
      </c>
    </row>
    <row r="31" spans="1:4" x14ac:dyDescent="0.25">
      <c r="A31" s="3"/>
      <c r="B31" s="24"/>
      <c r="C31" s="103" t="s">
        <v>12</v>
      </c>
      <c r="D31" s="51">
        <f t="shared" ref="D31:D41" si="0">+D19</f>
        <v>1.3</v>
      </c>
    </row>
    <row r="32" spans="1:4" x14ac:dyDescent="0.25">
      <c r="A32" s="3"/>
      <c r="B32" s="24"/>
      <c r="C32" s="103" t="s">
        <v>13</v>
      </c>
      <c r="D32" s="51">
        <f t="shared" si="0"/>
        <v>1.5</v>
      </c>
    </row>
    <row r="33" spans="1:4" x14ac:dyDescent="0.25">
      <c r="A33" s="3"/>
      <c r="B33" s="24"/>
      <c r="C33" s="103" t="s">
        <v>14</v>
      </c>
      <c r="D33" s="51">
        <f t="shared" si="0"/>
        <v>2</v>
      </c>
    </row>
    <row r="34" spans="1:4" ht="15.75" thickBot="1" x14ac:dyDescent="0.3">
      <c r="A34" s="3"/>
      <c r="B34" s="25"/>
      <c r="C34" s="104" t="s">
        <v>15</v>
      </c>
      <c r="D34" s="52">
        <f t="shared" si="0"/>
        <v>2.2000000000000002</v>
      </c>
    </row>
    <row r="35" spans="1:4" x14ac:dyDescent="0.25">
      <c r="A35" s="3"/>
      <c r="B35" s="23" t="s">
        <v>2</v>
      </c>
      <c r="C35" s="102" t="s">
        <v>11</v>
      </c>
      <c r="D35" s="54">
        <f t="shared" si="0"/>
        <v>1</v>
      </c>
    </row>
    <row r="36" spans="1:4" x14ac:dyDescent="0.25">
      <c r="A36" s="3"/>
      <c r="B36" s="24"/>
      <c r="C36" s="103" t="s">
        <v>12</v>
      </c>
      <c r="D36" s="51">
        <f t="shared" si="0"/>
        <v>1.3</v>
      </c>
    </row>
    <row r="37" spans="1:4" x14ac:dyDescent="0.25">
      <c r="A37" s="3"/>
      <c r="B37" s="24"/>
      <c r="C37" s="103" t="s">
        <v>13</v>
      </c>
      <c r="D37" s="51">
        <f t="shared" si="0"/>
        <v>1.5</v>
      </c>
    </row>
    <row r="38" spans="1:4" x14ac:dyDescent="0.25">
      <c r="A38" s="3"/>
      <c r="B38" s="24"/>
      <c r="C38" s="103" t="s">
        <v>14</v>
      </c>
      <c r="D38" s="51">
        <f t="shared" si="0"/>
        <v>2</v>
      </c>
    </row>
    <row r="39" spans="1:4" ht="15.75" thickBot="1" x14ac:dyDescent="0.3">
      <c r="A39" s="3"/>
      <c r="B39" s="25"/>
      <c r="C39" s="104" t="s">
        <v>15</v>
      </c>
      <c r="D39" s="52">
        <f t="shared" si="0"/>
        <v>2.2000000000000002</v>
      </c>
    </row>
    <row r="40" spans="1:4" x14ac:dyDescent="0.25">
      <c r="A40" s="3"/>
      <c r="B40" s="23" t="s">
        <v>9</v>
      </c>
      <c r="C40" s="102" t="s">
        <v>14</v>
      </c>
      <c r="D40" s="54">
        <f t="shared" si="0"/>
        <v>1</v>
      </c>
    </row>
    <row r="41" spans="1:4" ht="15.75" thickBot="1" x14ac:dyDescent="0.3">
      <c r="A41" s="3"/>
      <c r="B41" s="25"/>
      <c r="C41" s="104" t="s">
        <v>15</v>
      </c>
      <c r="D41" s="52">
        <f t="shared" si="0"/>
        <v>1.1000000000000001</v>
      </c>
    </row>
    <row r="42" spans="1:4" ht="15.75" thickBot="1" x14ac:dyDescent="0.3">
      <c r="A42" s="3"/>
      <c r="B42" s="21" t="s">
        <v>17</v>
      </c>
      <c r="C42" s="105" t="s">
        <v>11</v>
      </c>
      <c r="D42" s="112">
        <v>1</v>
      </c>
    </row>
    <row r="43" spans="1:4" x14ac:dyDescent="0.25">
      <c r="A43" s="3"/>
      <c r="B43" s="23" t="s">
        <v>16</v>
      </c>
      <c r="C43" s="102" t="s">
        <v>18</v>
      </c>
      <c r="D43" s="54">
        <v>1</v>
      </c>
    </row>
    <row r="44" spans="1:4" ht="15.75" thickBot="1" x14ac:dyDescent="0.3">
      <c r="A44" s="3"/>
      <c r="B44" s="25"/>
      <c r="C44" s="104" t="s">
        <v>19</v>
      </c>
      <c r="D44" s="107">
        <v>1.5</v>
      </c>
    </row>
    <row r="45" spans="1:4" x14ac:dyDescent="0.25">
      <c r="A45" s="3"/>
      <c r="B45" s="23" t="s">
        <v>20</v>
      </c>
      <c r="C45" s="102" t="s">
        <v>24</v>
      </c>
      <c r="D45" s="106">
        <v>3</v>
      </c>
    </row>
    <row r="46" spans="1:4" ht="15.75" thickBot="1" x14ac:dyDescent="0.3">
      <c r="A46" s="3"/>
      <c r="B46" s="25"/>
      <c r="C46" s="104" t="s">
        <v>23</v>
      </c>
      <c r="D46" s="107">
        <v>1.5</v>
      </c>
    </row>
    <row r="47" spans="1:4" x14ac:dyDescent="0.25">
      <c r="A47" s="3"/>
      <c r="B47" s="23" t="s">
        <v>21</v>
      </c>
      <c r="C47" s="102" t="s">
        <v>27</v>
      </c>
      <c r="D47" s="106">
        <v>10</v>
      </c>
    </row>
    <row r="48" spans="1:4" ht="15.75" thickBot="1" x14ac:dyDescent="0.3">
      <c r="A48" s="4"/>
      <c r="B48" s="25"/>
      <c r="C48" s="104" t="s">
        <v>26</v>
      </c>
      <c r="D48" s="107">
        <v>6</v>
      </c>
    </row>
    <row r="49" spans="1:4" ht="15.75" thickBot="1" x14ac:dyDescent="0.3"/>
    <row r="50" spans="1:4" ht="15.75" thickBot="1" x14ac:dyDescent="0.3">
      <c r="A50" s="2" t="s">
        <v>143</v>
      </c>
      <c r="B50" s="93"/>
      <c r="C50" s="93"/>
      <c r="D50" s="82"/>
    </row>
    <row r="51" spans="1:4" x14ac:dyDescent="0.25">
      <c r="A51" s="96" t="s">
        <v>144</v>
      </c>
      <c r="B51" s="97"/>
      <c r="C51" s="98"/>
      <c r="D51" s="262">
        <v>6</v>
      </c>
    </row>
    <row r="52" spans="1:4" x14ac:dyDescent="0.25">
      <c r="A52" s="95" t="s">
        <v>145</v>
      </c>
      <c r="B52" s="56"/>
      <c r="C52" s="235"/>
      <c r="D52" s="263">
        <v>6</v>
      </c>
    </row>
    <row r="53" spans="1:4" ht="15.75" thickBot="1" x14ac:dyDescent="0.3">
      <c r="A53" s="99" t="s">
        <v>146</v>
      </c>
      <c r="B53" s="100"/>
      <c r="C53" s="101"/>
      <c r="D53" s="264">
        <v>12</v>
      </c>
    </row>
    <row r="54" spans="1:4" x14ac:dyDescent="0.25"/>
    <row r="55" spans="1:4" x14ac:dyDescent="0.25"/>
    <row r="56" spans="1:4" x14ac:dyDescent="0.25"/>
    <row r="57" spans="1:4" x14ac:dyDescent="0.2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election activeCell="F3" sqref="F3"/>
    </sheetView>
  </sheetViews>
  <sheetFormatPr defaultColWidth="0" defaultRowHeight="15" zeroHeight="1" x14ac:dyDescent="0.25"/>
  <cols>
    <col min="1" max="2" width="9.140625" customWidth="1"/>
    <col min="3" max="3" width="36.28515625" bestFit="1" customWidth="1"/>
    <col min="4" max="4" width="63.140625" bestFit="1" customWidth="1"/>
    <col min="5" max="5" width="33.5703125" customWidth="1"/>
    <col min="6" max="6" width="29.5703125" customWidth="1"/>
    <col min="7" max="7" width="9.140625" customWidth="1"/>
    <col min="8" max="11" width="0" hidden="1" customWidth="1"/>
    <col min="12" max="16384" width="9.140625" hidden="1"/>
  </cols>
  <sheetData>
    <row r="1" spans="1:6" x14ac:dyDescent="0.25">
      <c r="A1" s="292"/>
    </row>
    <row r="2" spans="1:6" ht="15.75" thickBot="1" x14ac:dyDescent="0.3"/>
    <row r="3" spans="1:6" ht="75.75" thickBot="1" x14ac:dyDescent="0.3">
      <c r="F3" s="433" t="s">
        <v>306</v>
      </c>
    </row>
    <row r="4" spans="1:6" ht="15.75" thickBot="1" x14ac:dyDescent="0.3">
      <c r="C4" s="8" t="str">
        <f>+'Reference prices CWD'!C4</f>
        <v>Ponto</v>
      </c>
      <c r="D4" s="8" t="str">
        <f>+'Reference prices CWD'!D4</f>
        <v>Produto</v>
      </c>
      <c r="E4" s="8" t="str">
        <f>+'Reference prices CWD'!E4</f>
        <v>Unidade</v>
      </c>
      <c r="F4" s="445" t="s">
        <v>130</v>
      </c>
    </row>
    <row r="5" spans="1:6" x14ac:dyDescent="0.25">
      <c r="B5" s="5" t="str">
        <f>+'Reference prices CWD'!B5</f>
        <v>Entrada</v>
      </c>
      <c r="C5" s="23" t="str">
        <f>+'Reference prices CWD'!C5</f>
        <v>VIP</v>
      </c>
      <c r="D5" s="14" t="str">
        <f>+'Reference prices CWD'!D5</f>
        <v>Anual</v>
      </c>
      <c r="E5" s="49" t="str">
        <f>+'Reference prices CWD'!E5</f>
        <v>kWh/dia</v>
      </c>
      <c r="F5" s="170">
        <v>0.12179685</v>
      </c>
    </row>
    <row r="6" spans="1:6" x14ac:dyDescent="0.25">
      <c r="B6" s="6"/>
      <c r="C6" s="24"/>
      <c r="D6" s="12" t="str">
        <f>+'Reference prices CWD'!D6</f>
        <v>Trimestral</v>
      </c>
      <c r="E6" s="16" t="str">
        <f>+'Reference prices CWD'!E6</f>
        <v>kWh/dia</v>
      </c>
      <c r="F6" s="171">
        <v>0.15833334999999998</v>
      </c>
    </row>
    <row r="7" spans="1:6" x14ac:dyDescent="0.25">
      <c r="B7" s="6"/>
      <c r="C7" s="24"/>
      <c r="D7" s="12" t="str">
        <f>+'Reference prices CWD'!D7</f>
        <v>Mensal</v>
      </c>
      <c r="E7" s="16" t="str">
        <f>+'Reference prices CWD'!E7</f>
        <v>kWh/dia</v>
      </c>
      <c r="F7" s="171">
        <v>0.18269345000000001</v>
      </c>
    </row>
    <row r="8" spans="1:6" x14ac:dyDescent="0.25">
      <c r="B8" s="6"/>
      <c r="C8" s="24"/>
      <c r="D8" s="12" t="str">
        <f>+'Reference prices CWD'!D8</f>
        <v>Diário</v>
      </c>
      <c r="E8" s="16" t="str">
        <f>+'Reference prices CWD'!E8</f>
        <v>kWh/dia</v>
      </c>
      <c r="F8" s="171">
        <v>0.2435937</v>
      </c>
    </row>
    <row r="9" spans="1:6" ht="15.75" thickBot="1" x14ac:dyDescent="0.3">
      <c r="B9" s="6"/>
      <c r="C9" s="25"/>
      <c r="D9" s="19" t="str">
        <f>+'Reference prices CWD'!D9</f>
        <v>Intradiário</v>
      </c>
      <c r="E9" s="18" t="str">
        <f>+'Reference prices CWD'!E9</f>
        <v>kWh/h</v>
      </c>
      <c r="F9" s="172">
        <v>6.4308036</v>
      </c>
    </row>
    <row r="10" spans="1:6" x14ac:dyDescent="0.25">
      <c r="B10" s="6"/>
      <c r="C10" s="23" t="str">
        <f>+'Reference prices CWD'!C10</f>
        <v>Terminal GNL</v>
      </c>
      <c r="D10" s="14" t="str">
        <f>+'Reference prices CWD'!D10</f>
        <v>Anual</v>
      </c>
      <c r="E10" s="49" t="str">
        <f>+'Reference prices CWD'!E10</f>
        <v>kWh/dia</v>
      </c>
      <c r="F10" s="170">
        <v>0.12179685</v>
      </c>
    </row>
    <row r="11" spans="1:6" x14ac:dyDescent="0.25">
      <c r="B11" s="6"/>
      <c r="C11" s="24"/>
      <c r="D11" s="12" t="str">
        <f>+'Reference prices CWD'!D11</f>
        <v>Trimestral</v>
      </c>
      <c r="E11" s="16" t="str">
        <f>+'Reference prices CWD'!E11</f>
        <v>kWh/dia</v>
      </c>
      <c r="F11" s="171">
        <v>0.15833334999999998</v>
      </c>
    </row>
    <row r="12" spans="1:6" x14ac:dyDescent="0.25">
      <c r="B12" s="6"/>
      <c r="C12" s="24"/>
      <c r="D12" s="12" t="str">
        <f>+'Reference prices CWD'!D12</f>
        <v>Mensal</v>
      </c>
      <c r="E12" s="16" t="str">
        <f>+'Reference prices CWD'!E12</f>
        <v>kWh/dia</v>
      </c>
      <c r="F12" s="171">
        <v>0.18269345000000001</v>
      </c>
    </row>
    <row r="13" spans="1:6" x14ac:dyDescent="0.25">
      <c r="B13" s="6"/>
      <c r="C13" s="24"/>
      <c r="D13" s="12" t="str">
        <f>+'Reference prices CWD'!D13</f>
        <v>Diário</v>
      </c>
      <c r="E13" s="16" t="str">
        <f>+'Reference prices CWD'!E13</f>
        <v>kWh/dia</v>
      </c>
      <c r="F13" s="171">
        <v>0.2435937</v>
      </c>
    </row>
    <row r="14" spans="1:6" ht="15.75" thickBot="1" x14ac:dyDescent="0.3">
      <c r="B14" s="6"/>
      <c r="C14" s="25"/>
      <c r="D14" s="19" t="str">
        <f>+'Reference prices CWD'!D14</f>
        <v>Intradiário</v>
      </c>
      <c r="E14" s="18" t="str">
        <f>+'Reference prices CWD'!E14</f>
        <v>kWh/h</v>
      </c>
      <c r="F14" s="172">
        <v>6.4308036</v>
      </c>
    </row>
    <row r="15" spans="1:6" x14ac:dyDescent="0.25">
      <c r="B15" s="6"/>
      <c r="C15" s="23" t="str">
        <f>+'Reference prices CWD'!C15</f>
        <v>Armazenamento subterrâneo</v>
      </c>
      <c r="D15" s="14" t="str">
        <f>+'Reference prices CWD'!D15</f>
        <v>Diário</v>
      </c>
      <c r="E15" s="49" t="str">
        <f>+'Reference prices CWD'!E15</f>
        <v>kWh/dia</v>
      </c>
      <c r="F15" s="170">
        <v>3.4164E-3</v>
      </c>
    </row>
    <row r="16" spans="1:6" ht="15.75" thickBot="1" x14ac:dyDescent="0.3">
      <c r="B16" s="7"/>
      <c r="C16" s="25"/>
      <c r="D16" s="19" t="str">
        <f>+'Reference prices CWD'!D16</f>
        <v>Intradiário</v>
      </c>
      <c r="E16" s="18" t="str">
        <f>+'Reference prices CWD'!E16</f>
        <v>kWh/h</v>
      </c>
      <c r="F16" s="172">
        <v>9.0228000000000003E-2</v>
      </c>
    </row>
    <row r="17" spans="2:6" x14ac:dyDescent="0.25">
      <c r="B17" s="5" t="str">
        <f>+'Reference prices CWD'!B17</f>
        <v>Saída</v>
      </c>
      <c r="C17" s="23" t="str">
        <f>+'Reference prices CWD'!C17</f>
        <v>VIP</v>
      </c>
      <c r="D17" s="14" t="str">
        <f>+'Reference prices CWD'!D17</f>
        <v>Anual</v>
      </c>
      <c r="E17" s="49" t="str">
        <f>+'Reference prices CWD'!E17</f>
        <v>kWh/dia</v>
      </c>
      <c r="F17" s="170">
        <v>0</v>
      </c>
    </row>
    <row r="18" spans="2:6" x14ac:dyDescent="0.25">
      <c r="B18" s="3"/>
      <c r="C18" s="24"/>
      <c r="D18" s="12" t="str">
        <f>+'Reference prices CWD'!D18</f>
        <v>Trimestral</v>
      </c>
      <c r="E18" s="16" t="str">
        <f>+'Reference prices CWD'!E18</f>
        <v>kWh/dia</v>
      </c>
      <c r="F18" s="171">
        <v>0</v>
      </c>
    </row>
    <row r="19" spans="2:6" x14ac:dyDescent="0.25">
      <c r="B19" s="3"/>
      <c r="C19" s="24"/>
      <c r="D19" s="12" t="str">
        <f>+'Reference prices CWD'!D19</f>
        <v>Mensal</v>
      </c>
      <c r="E19" s="16" t="str">
        <f>+'Reference prices CWD'!E19</f>
        <v>kWh/dia</v>
      </c>
      <c r="F19" s="171">
        <v>0</v>
      </c>
    </row>
    <row r="20" spans="2:6" x14ac:dyDescent="0.25">
      <c r="B20" s="3"/>
      <c r="C20" s="24"/>
      <c r="D20" s="12" t="str">
        <f>+'Reference prices CWD'!D20</f>
        <v>Diário</v>
      </c>
      <c r="E20" s="16" t="str">
        <f>+'Reference prices CWD'!E20</f>
        <v>kWh/dia</v>
      </c>
      <c r="F20" s="171">
        <v>0</v>
      </c>
    </row>
    <row r="21" spans="2:6" ht="15.75" thickBot="1" x14ac:dyDescent="0.3">
      <c r="B21" s="3"/>
      <c r="C21" s="25"/>
      <c r="D21" s="19" t="str">
        <f>+'Reference prices CWD'!D21</f>
        <v>Intradiário</v>
      </c>
      <c r="E21" s="18" t="str">
        <f>+'Reference prices CWD'!E21</f>
        <v>kWh/h</v>
      </c>
      <c r="F21" s="172">
        <v>0</v>
      </c>
    </row>
    <row r="22" spans="2:6" x14ac:dyDescent="0.25">
      <c r="B22" s="3"/>
      <c r="C22" s="23" t="str">
        <f>+'Reference prices CWD'!C22</f>
        <v>Terminal GNL</v>
      </c>
      <c r="D22" s="14" t="str">
        <f>+'Reference prices CWD'!D22</f>
        <v>Anual</v>
      </c>
      <c r="E22" s="49" t="str">
        <f>+'Reference prices CWD'!E22</f>
        <v>kWh/dia</v>
      </c>
      <c r="F22" s="170">
        <v>0</v>
      </c>
    </row>
    <row r="23" spans="2:6" x14ac:dyDescent="0.25">
      <c r="B23" s="3"/>
      <c r="C23" s="24"/>
      <c r="D23" s="12" t="str">
        <f>+'Reference prices CWD'!D23</f>
        <v>Trimestral</v>
      </c>
      <c r="E23" s="16" t="str">
        <f>+'Reference prices CWD'!E23</f>
        <v>kWh/dia</v>
      </c>
      <c r="F23" s="171">
        <v>0</v>
      </c>
    </row>
    <row r="24" spans="2:6" x14ac:dyDescent="0.25">
      <c r="B24" s="3"/>
      <c r="C24" s="24"/>
      <c r="D24" s="12" t="str">
        <f>+'Reference prices CWD'!D24</f>
        <v>Mensal</v>
      </c>
      <c r="E24" s="16" t="str">
        <f>+'Reference prices CWD'!E24</f>
        <v>kWh/dia</v>
      </c>
      <c r="F24" s="171">
        <v>0</v>
      </c>
    </row>
    <row r="25" spans="2:6" x14ac:dyDescent="0.25">
      <c r="B25" s="3"/>
      <c r="C25" s="24"/>
      <c r="D25" s="12" t="str">
        <f>+'Reference prices CWD'!D25</f>
        <v>Diário</v>
      </c>
      <c r="E25" s="16" t="str">
        <f>+'Reference prices CWD'!E25</f>
        <v>kWh/dia</v>
      </c>
      <c r="F25" s="171">
        <v>0</v>
      </c>
    </row>
    <row r="26" spans="2:6" ht="15.75" thickBot="1" x14ac:dyDescent="0.3">
      <c r="B26" s="3"/>
      <c r="C26" s="25"/>
      <c r="D26" s="19" t="str">
        <f>+'Reference prices CWD'!D26</f>
        <v>Intradiário</v>
      </c>
      <c r="E26" s="18" t="str">
        <f>+'Reference prices CWD'!E26</f>
        <v>kWh/h</v>
      </c>
      <c r="F26" s="172">
        <v>0</v>
      </c>
    </row>
    <row r="27" spans="2:6" x14ac:dyDescent="0.25">
      <c r="B27" s="3"/>
      <c r="C27" s="23" t="str">
        <f>+'Reference prices CWD'!C27</f>
        <v>Armazenamento subterrâneo</v>
      </c>
      <c r="D27" s="14" t="str">
        <f>+'Reference prices CWD'!D27</f>
        <v>Diário</v>
      </c>
      <c r="E27" s="49" t="str">
        <f>+'Reference prices CWD'!E27</f>
        <v>kWh/dia</v>
      </c>
      <c r="F27" s="170">
        <v>0</v>
      </c>
    </row>
    <row r="28" spans="2:6" ht="15.75" thickBot="1" x14ac:dyDescent="0.3">
      <c r="B28" s="3"/>
      <c r="C28" s="25"/>
      <c r="D28" s="19" t="str">
        <f>+'Reference prices CWD'!D28</f>
        <v>Intradiário</v>
      </c>
      <c r="E28" s="18" t="str">
        <f>+'Reference prices CWD'!E28</f>
        <v>kWh/h</v>
      </c>
      <c r="F28" s="172">
        <v>0</v>
      </c>
    </row>
    <row r="29" spans="2:6" ht="15.75" thickBot="1" x14ac:dyDescent="0.3">
      <c r="B29" s="3"/>
      <c r="C29" s="21" t="str">
        <f>+'Reference prices CWD'!C29</f>
        <v>Redes de distribuição e Clientes em AP</v>
      </c>
      <c r="D29" s="22" t="str">
        <f>+'Reference prices CWD'!D29</f>
        <v>Longas utilizações</v>
      </c>
      <c r="E29" s="21" t="str">
        <f>+'Reference prices CWD'!E29</f>
        <v>kWh/dia</v>
      </c>
      <c r="F29" s="173">
        <v>0.21097199999999999</v>
      </c>
    </row>
    <row r="30" spans="2:6" x14ac:dyDescent="0.25">
      <c r="B30" s="3"/>
      <c r="C30" s="23" t="str">
        <f>+'Reference prices CWD'!C30</f>
        <v>Clientes em AP</v>
      </c>
      <c r="D30" s="14" t="str">
        <f>+'Reference prices CWD'!D30</f>
        <v>Tarifa flexível anual - capacidade base anual</v>
      </c>
      <c r="E30" s="13" t="str">
        <f>+'Reference prices CWD'!E30</f>
        <v>kWh/dia</v>
      </c>
      <c r="F30" s="170">
        <v>0.21097199999999999</v>
      </c>
    </row>
    <row r="31" spans="2:6" x14ac:dyDescent="0.25">
      <c r="B31" s="3"/>
      <c r="C31" s="24"/>
      <c r="D31" s="12" t="str">
        <f>+'Reference prices CWD'!D31</f>
        <v>Tarifa flexível anual - capacidade mensal adicional (abril a setembro)</v>
      </c>
      <c r="E31" s="16" t="str">
        <f>+'Reference prices CWD'!E31</f>
        <v>kWh/dia</v>
      </c>
      <c r="F31" s="171">
        <v>0.31645199999999996</v>
      </c>
    </row>
    <row r="32" spans="2:6" x14ac:dyDescent="0.25">
      <c r="B32" s="3"/>
      <c r="C32" s="24"/>
      <c r="D32" s="12" t="str">
        <f>+'Reference prices CWD'!D32</f>
        <v>Tarifa flexível mensal - capacidade mensal (outubro a março)</v>
      </c>
      <c r="E32" s="16" t="str">
        <f>+'Reference prices CWD'!E32</f>
        <v>kWh/dia</v>
      </c>
      <c r="F32" s="171">
        <v>0.63290399999999991</v>
      </c>
    </row>
    <row r="33" spans="2:6" x14ac:dyDescent="0.25">
      <c r="B33" s="3"/>
      <c r="C33" s="24"/>
      <c r="D33" s="12" t="str">
        <f>+'Reference prices CWD'!D33</f>
        <v>Tarifa flexível mensal - capacidade mensal (abril a setembro)</v>
      </c>
      <c r="E33" s="16" t="str">
        <f>+'Reference prices CWD'!E33</f>
        <v>kWh/dia</v>
      </c>
      <c r="F33" s="171">
        <v>0.31645199999999996</v>
      </c>
    </row>
    <row r="34" spans="2:6" x14ac:dyDescent="0.25">
      <c r="B34" s="3"/>
      <c r="C34" s="24"/>
      <c r="D34" s="12" t="str">
        <f>+'Reference prices CWD'!D34</f>
        <v>Tarifa flexível diária - capacidade diária (outubro a março)</v>
      </c>
      <c r="E34" s="16" t="str">
        <f>+'Reference prices CWD'!E34</f>
        <v>kWh/dia</v>
      </c>
      <c r="F34" s="171">
        <v>2.1097000000000001</v>
      </c>
    </row>
    <row r="35" spans="2:6" ht="15.75" thickBot="1" x14ac:dyDescent="0.3">
      <c r="B35" s="4"/>
      <c r="C35" s="25"/>
      <c r="D35" s="19" t="str">
        <f>+'Reference prices CWD'!D35</f>
        <v>Tarifa flexível diária - capacidade diária (abril a setembro)</v>
      </c>
      <c r="E35" s="18" t="str">
        <f>+'Reference prices CWD'!E35</f>
        <v>kWh/dia</v>
      </c>
      <c r="F35" s="172">
        <v>1.2658200000000002</v>
      </c>
    </row>
    <row r="36" spans="2:6" x14ac:dyDescent="0.25"/>
    <row r="37" spans="2:6" hidden="1" x14ac:dyDescent="0.25"/>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3"/>
  <sheetViews>
    <sheetView showGridLines="0" topLeftCell="W75" zoomScaleNormal="100" workbookViewId="0">
      <selection activeCell="AG91" sqref="AG91"/>
    </sheetView>
  </sheetViews>
  <sheetFormatPr defaultColWidth="0" defaultRowHeight="15" zeroHeight="1" x14ac:dyDescent="0.25"/>
  <cols>
    <col min="1" max="1" width="32.42578125" bestFit="1" customWidth="1"/>
    <col min="2" max="2" width="13.140625" bestFit="1" customWidth="1"/>
    <col min="3" max="3" width="17.7109375" bestFit="1" customWidth="1"/>
    <col min="4" max="4" width="9.140625" customWidth="1"/>
    <col min="5" max="5" width="35.85546875" customWidth="1"/>
    <col min="6" max="6" width="24.42578125" bestFit="1" customWidth="1"/>
    <col min="7" max="7" width="42.5703125" bestFit="1" customWidth="1"/>
    <col min="8" max="27" width="9.140625" customWidth="1"/>
    <col min="28" max="28" width="50.42578125" customWidth="1"/>
    <col min="29" max="41" width="7.5703125" customWidth="1"/>
    <col min="42" max="42" width="9.140625" customWidth="1"/>
    <col min="43" max="16384" width="9.140625" hidden="1"/>
  </cols>
  <sheetData>
    <row r="1" spans="1:3" ht="15.75" thickBot="1" x14ac:dyDescent="0.3"/>
    <row r="2" spans="1:3" ht="15.75" thickBot="1" x14ac:dyDescent="0.3">
      <c r="A2" s="2" t="s">
        <v>290</v>
      </c>
      <c r="B2" s="93"/>
      <c r="C2" s="94"/>
    </row>
    <row r="3" spans="1:3" ht="15.75" thickBot="1" x14ac:dyDescent="0.3">
      <c r="A3" s="118" t="s">
        <v>291</v>
      </c>
      <c r="B3" s="119" t="s">
        <v>292</v>
      </c>
      <c r="C3" s="120" t="s">
        <v>293</v>
      </c>
    </row>
    <row r="4" spans="1:3" x14ac:dyDescent="0.25">
      <c r="A4" s="121">
        <v>3</v>
      </c>
      <c r="B4" s="97" t="s">
        <v>50</v>
      </c>
      <c r="C4" s="122">
        <v>57.743000000000002</v>
      </c>
    </row>
    <row r="5" spans="1:3" x14ac:dyDescent="0.25">
      <c r="A5" s="123" t="s">
        <v>51</v>
      </c>
      <c r="B5" s="124" t="s">
        <v>52</v>
      </c>
      <c r="C5" s="125">
        <v>217.11699999999999</v>
      </c>
    </row>
    <row r="6" spans="1:3" x14ac:dyDescent="0.25">
      <c r="A6" s="123">
        <v>3</v>
      </c>
      <c r="B6" s="124" t="s">
        <v>53</v>
      </c>
      <c r="C6" s="126">
        <v>85.395999999999987</v>
      </c>
    </row>
    <row r="7" spans="1:3" x14ac:dyDescent="0.25">
      <c r="A7" s="123">
        <v>3</v>
      </c>
      <c r="B7" s="124" t="s">
        <v>54</v>
      </c>
      <c r="C7" s="126">
        <v>5.0599999999999996</v>
      </c>
    </row>
    <row r="8" spans="1:3" x14ac:dyDescent="0.25">
      <c r="A8" s="123">
        <v>3</v>
      </c>
      <c r="B8" s="124" t="s">
        <v>55</v>
      </c>
      <c r="C8" s="126">
        <v>77.573999999999998</v>
      </c>
    </row>
    <row r="9" spans="1:3" x14ac:dyDescent="0.25">
      <c r="A9" s="123">
        <v>4</v>
      </c>
      <c r="B9" s="124" t="s">
        <v>56</v>
      </c>
      <c r="C9" s="126">
        <v>51.468000000000004</v>
      </c>
    </row>
    <row r="10" spans="1:3" x14ac:dyDescent="0.25">
      <c r="A10" s="123">
        <v>4</v>
      </c>
      <c r="B10" s="124" t="s">
        <v>57</v>
      </c>
      <c r="C10" s="126">
        <v>20.238000000000003</v>
      </c>
    </row>
    <row r="11" spans="1:3" x14ac:dyDescent="0.25">
      <c r="A11" s="123" t="s">
        <v>58</v>
      </c>
      <c r="B11" s="124" t="s">
        <v>59</v>
      </c>
      <c r="C11" s="126">
        <v>81.393000000000001</v>
      </c>
    </row>
    <row r="12" spans="1:3" x14ac:dyDescent="0.25">
      <c r="A12" s="123">
        <v>2</v>
      </c>
      <c r="B12" s="124" t="s">
        <v>60</v>
      </c>
      <c r="C12" s="126">
        <v>57.841000000000001</v>
      </c>
    </row>
    <row r="13" spans="1:3" x14ac:dyDescent="0.25">
      <c r="A13" s="123">
        <v>2</v>
      </c>
      <c r="B13" s="124" t="s">
        <v>61</v>
      </c>
      <c r="C13" s="126">
        <v>77.475000000000009</v>
      </c>
    </row>
    <row r="14" spans="1:3" x14ac:dyDescent="0.25">
      <c r="A14" s="123" t="s">
        <v>62</v>
      </c>
      <c r="B14" s="124" t="s">
        <v>63</v>
      </c>
      <c r="C14" s="126">
        <v>123.67399999999999</v>
      </c>
    </row>
    <row r="15" spans="1:3" x14ac:dyDescent="0.25">
      <c r="A15" s="123">
        <v>2</v>
      </c>
      <c r="B15" s="124" t="s">
        <v>64</v>
      </c>
      <c r="C15" s="127">
        <v>77.989999999999995</v>
      </c>
    </row>
    <row r="16" spans="1:3" x14ac:dyDescent="0.25">
      <c r="A16" s="123">
        <v>2</v>
      </c>
      <c r="B16" s="124" t="s">
        <v>65</v>
      </c>
      <c r="C16" s="126">
        <v>35.974000000000004</v>
      </c>
    </row>
    <row r="17" spans="1:26" x14ac:dyDescent="0.25">
      <c r="A17" s="123">
        <v>2</v>
      </c>
      <c r="B17" s="124" t="s">
        <v>66</v>
      </c>
      <c r="C17" s="126">
        <v>33.549999999999997</v>
      </c>
    </row>
    <row r="18" spans="1:26" x14ac:dyDescent="0.25">
      <c r="A18" s="123">
        <v>7</v>
      </c>
      <c r="B18" s="124" t="s">
        <v>67</v>
      </c>
      <c r="C18" s="126">
        <v>45.941000000000003</v>
      </c>
    </row>
    <row r="19" spans="1:26" x14ac:dyDescent="0.25">
      <c r="A19" s="123">
        <v>7</v>
      </c>
      <c r="B19" s="124" t="s">
        <v>68</v>
      </c>
      <c r="C19" s="126">
        <v>5.1099999999999994</v>
      </c>
    </row>
    <row r="20" spans="1:26" x14ac:dyDescent="0.25">
      <c r="A20" s="123" t="s">
        <v>69</v>
      </c>
      <c r="B20" s="124" t="s">
        <v>70</v>
      </c>
      <c r="C20" s="126">
        <v>124.952</v>
      </c>
    </row>
    <row r="21" spans="1:26" x14ac:dyDescent="0.25">
      <c r="A21" s="123">
        <v>1</v>
      </c>
      <c r="B21" s="124" t="s">
        <v>71</v>
      </c>
      <c r="C21" s="126">
        <v>105.91000000000001</v>
      </c>
    </row>
    <row r="22" spans="1:26" ht="15.75" thickBot="1" x14ac:dyDescent="0.3">
      <c r="A22" s="128">
        <v>1</v>
      </c>
      <c r="B22" s="100" t="s">
        <v>72</v>
      </c>
      <c r="C22" s="129">
        <v>90.234000000000009</v>
      </c>
    </row>
    <row r="23" spans="1:26" ht="15.75" thickBot="1" x14ac:dyDescent="0.3">
      <c r="A23" s="130" t="s">
        <v>294</v>
      </c>
      <c r="B23" s="91"/>
      <c r="C23" s="131">
        <f>SUM(C4:C22)</f>
        <v>1374.6399999999999</v>
      </c>
    </row>
    <row r="24" spans="1:26" ht="15.75" thickBot="1" x14ac:dyDescent="0.3">
      <c r="E24" s="2" t="s">
        <v>296</v>
      </c>
      <c r="F24" s="93"/>
      <c r="G24" s="93"/>
      <c r="H24" s="93"/>
      <c r="I24" s="93"/>
      <c r="J24" s="93"/>
      <c r="K24" s="93"/>
      <c r="L24" s="93"/>
      <c r="M24" s="93"/>
      <c r="N24" s="93"/>
      <c r="O24" s="93"/>
      <c r="P24" s="93"/>
      <c r="Q24" s="93"/>
      <c r="R24" s="93"/>
      <c r="S24" s="93"/>
      <c r="T24" s="93"/>
      <c r="U24" s="93"/>
      <c r="V24" s="93"/>
      <c r="W24" s="93"/>
      <c r="X24" s="93"/>
      <c r="Y24" s="93"/>
      <c r="Z24" s="94"/>
    </row>
    <row r="25" spans="1:26" ht="15.75" thickBot="1" x14ac:dyDescent="0.3">
      <c r="E25" s="140"/>
      <c r="F25" s="91"/>
      <c r="G25" s="92"/>
      <c r="H25" s="134" t="s">
        <v>297</v>
      </c>
      <c r="I25" s="135"/>
      <c r="J25" s="135"/>
      <c r="K25" s="135"/>
      <c r="L25" s="135"/>
      <c r="M25" s="135"/>
      <c r="N25" s="135"/>
      <c r="O25" s="135"/>
      <c r="P25" s="135"/>
      <c r="Q25" s="135"/>
      <c r="R25" s="135"/>
      <c r="S25" s="135"/>
      <c r="T25" s="135"/>
      <c r="U25" s="135"/>
      <c r="V25" s="135"/>
      <c r="W25" s="135"/>
      <c r="X25" s="135"/>
      <c r="Y25" s="135"/>
      <c r="Z25" s="136"/>
    </row>
    <row r="26" spans="1:26" ht="15.75" thickBot="1" x14ac:dyDescent="0.3">
      <c r="E26" s="47" t="s">
        <v>295</v>
      </c>
      <c r="F26" s="90" t="s">
        <v>312</v>
      </c>
      <c r="G26" s="90" t="str">
        <f>+G72</f>
        <v>Apenas gasodutos (troços comuns)</v>
      </c>
      <c r="H26" s="137" t="s">
        <v>50</v>
      </c>
      <c r="I26" s="137" t="s">
        <v>52</v>
      </c>
      <c r="J26" s="137" t="s">
        <v>53</v>
      </c>
      <c r="K26" s="137" t="s">
        <v>54</v>
      </c>
      <c r="L26" s="137" t="s">
        <v>55</v>
      </c>
      <c r="M26" s="137" t="s">
        <v>56</v>
      </c>
      <c r="N26" s="137" t="s">
        <v>57</v>
      </c>
      <c r="O26" s="137" t="s">
        <v>59</v>
      </c>
      <c r="P26" s="137" t="s">
        <v>60</v>
      </c>
      <c r="Q26" s="137" t="s">
        <v>61</v>
      </c>
      <c r="R26" s="137" t="s">
        <v>63</v>
      </c>
      <c r="S26" s="137" t="s">
        <v>64</v>
      </c>
      <c r="T26" s="137" t="s">
        <v>65</v>
      </c>
      <c r="U26" s="137" t="s">
        <v>66</v>
      </c>
      <c r="V26" s="137" t="s">
        <v>67</v>
      </c>
      <c r="W26" s="137" t="s">
        <v>68</v>
      </c>
      <c r="X26" s="137" t="s">
        <v>70</v>
      </c>
      <c r="Y26" s="137" t="s">
        <v>71</v>
      </c>
      <c r="Z26" s="138" t="s">
        <v>72</v>
      </c>
    </row>
    <row r="27" spans="1:26" x14ac:dyDescent="0.25">
      <c r="E27" s="16" t="s">
        <v>73</v>
      </c>
      <c r="F27" s="132">
        <f>SUM(H27:Z27)</f>
        <v>0</v>
      </c>
      <c r="G27" s="132">
        <f>SUMPRODUCT(H27:Z27,$H$72:$Z$72)</f>
        <v>0</v>
      </c>
      <c r="H27" s="12"/>
      <c r="I27" s="12"/>
      <c r="J27" s="12"/>
      <c r="K27" s="12"/>
      <c r="L27" s="12"/>
      <c r="M27" s="12"/>
      <c r="N27" s="12"/>
      <c r="O27" s="12"/>
      <c r="P27" s="12"/>
      <c r="Q27" s="12"/>
      <c r="R27" s="12"/>
      <c r="S27" s="12"/>
      <c r="T27" s="12"/>
      <c r="U27" s="12"/>
      <c r="V27" s="12"/>
      <c r="W27" s="12"/>
      <c r="X27" s="12"/>
      <c r="Y27" s="12"/>
      <c r="Z27" s="17"/>
    </row>
    <row r="28" spans="1:26" x14ac:dyDescent="0.25">
      <c r="E28" s="16" t="s">
        <v>74</v>
      </c>
      <c r="F28" s="132">
        <f t="shared" ref="F28:F70" si="0">SUM(H28:Z28)</f>
        <v>509.03899999999999</v>
      </c>
      <c r="G28" s="132">
        <f t="shared" ref="G28:G70" si="1">SUMPRODUCT(H28:Z28,$H$72:$Z$72)</f>
        <v>509.03899999999999</v>
      </c>
      <c r="H28" s="12">
        <f>SUMIFS($C$4:$C$22,$B$4:$B$22,H$26)</f>
        <v>57.743000000000002</v>
      </c>
      <c r="I28" s="12"/>
      <c r="J28" s="12">
        <f t="shared" ref="J28:J36" si="2">SUMIFS($C$4:$C$22,$B$4:$B$22,J$26)</f>
        <v>85.395999999999987</v>
      </c>
      <c r="K28" s="12"/>
      <c r="L28" s="12">
        <f t="shared" ref="L28:L33" si="3">SUMIFS($C$4:$C$22,$B$4:$B$22,L$26)</f>
        <v>77.573999999999998</v>
      </c>
      <c r="M28" s="12">
        <f>SUMIFS($C$4:$C$22,$B$4:$B$22,M$26)</f>
        <v>51.468000000000004</v>
      </c>
      <c r="N28" s="12"/>
      <c r="O28" s="12">
        <f>SUMIFS($C$4:$C$22,$B$4:$B$22,O$26)</f>
        <v>81.393000000000001</v>
      </c>
      <c r="P28" s="12"/>
      <c r="Q28" s="12">
        <f>SUMIFS($C$4:$C$22,$B$4:$B$22,Q$26)</f>
        <v>77.475000000000009</v>
      </c>
      <c r="R28" s="12"/>
      <c r="S28" s="12">
        <f>SUMIFS($C$4:$C$22,$B$4:$B$22,S$26)</f>
        <v>77.989999999999995</v>
      </c>
      <c r="T28" s="12"/>
      <c r="U28" s="12"/>
      <c r="V28" s="12"/>
      <c r="W28" s="12"/>
      <c r="X28" s="12"/>
      <c r="Y28" s="12"/>
      <c r="Z28" s="17"/>
    </row>
    <row r="29" spans="1:26" x14ac:dyDescent="0.25">
      <c r="E29" s="16" t="s">
        <v>75</v>
      </c>
      <c r="F29" s="132">
        <f t="shared" si="0"/>
        <v>481.84000000000003</v>
      </c>
      <c r="G29" s="132">
        <f t="shared" si="1"/>
        <v>481.84000000000003</v>
      </c>
      <c r="H29" s="12">
        <f t="shared" ref="H29:H38" si="4">SUMIFS($C$4:$C$22,$B$4:$B$22,H$26)</f>
        <v>57.743000000000002</v>
      </c>
      <c r="I29" s="12"/>
      <c r="J29" s="12">
        <f t="shared" si="2"/>
        <v>85.395999999999987</v>
      </c>
      <c r="K29" s="12"/>
      <c r="L29" s="12">
        <f t="shared" si="3"/>
        <v>77.573999999999998</v>
      </c>
      <c r="M29" s="12"/>
      <c r="N29" s="12"/>
      <c r="O29" s="12"/>
      <c r="P29" s="12"/>
      <c r="Q29" s="12"/>
      <c r="R29" s="12"/>
      <c r="S29" s="12"/>
      <c r="T29" s="12"/>
      <c r="U29" s="12"/>
      <c r="V29" s="12">
        <f>SUMIFS($C$4:$C$22,$B$4:$B$22,V$26)</f>
        <v>45.941000000000003</v>
      </c>
      <c r="W29" s="12"/>
      <c r="X29" s="12">
        <f>SUMIFS($C$4:$C$22,$B$4:$B$22,X$26)</f>
        <v>124.952</v>
      </c>
      <c r="Y29" s="12"/>
      <c r="Z29" s="17">
        <f>SUMIFS($C$4:$C$22,$B$4:$B$22,Z$26)</f>
        <v>90.234000000000009</v>
      </c>
    </row>
    <row r="30" spans="1:26" x14ac:dyDescent="0.25">
      <c r="E30" s="16" t="s">
        <v>76</v>
      </c>
      <c r="F30" s="132">
        <f t="shared" si="0"/>
        <v>254.26299999999998</v>
      </c>
      <c r="G30" s="132">
        <f t="shared" si="1"/>
        <v>254.26299999999998</v>
      </c>
      <c r="H30" s="12">
        <f t="shared" si="4"/>
        <v>57.743000000000002</v>
      </c>
      <c r="I30" s="12"/>
      <c r="J30" s="12">
        <f t="shared" si="2"/>
        <v>85.395999999999987</v>
      </c>
      <c r="K30" s="12"/>
      <c r="L30" s="12">
        <f t="shared" si="3"/>
        <v>77.573999999999998</v>
      </c>
      <c r="M30" s="12"/>
      <c r="N30" s="12"/>
      <c r="O30" s="12"/>
      <c r="P30" s="12"/>
      <c r="Q30" s="12"/>
      <c r="R30" s="12"/>
      <c r="S30" s="12"/>
      <c r="T30" s="12"/>
      <c r="U30" s="12">
        <f>SUMIFS($C$4:$C$22,$B$4:$B$22,U$26)</f>
        <v>33.549999999999997</v>
      </c>
      <c r="V30" s="12"/>
      <c r="W30" s="12"/>
      <c r="X30" s="12"/>
      <c r="Y30" s="12"/>
      <c r="Z30" s="17"/>
    </row>
    <row r="31" spans="1:26" x14ac:dyDescent="0.25">
      <c r="E31" s="16" t="s">
        <v>77</v>
      </c>
      <c r="F31" s="132">
        <f t="shared" si="0"/>
        <v>416.85699999999997</v>
      </c>
      <c r="G31" s="132">
        <f t="shared" si="1"/>
        <v>310.947</v>
      </c>
      <c r="H31" s="12">
        <f t="shared" si="4"/>
        <v>57.743000000000002</v>
      </c>
      <c r="I31" s="12"/>
      <c r="J31" s="12">
        <f t="shared" si="2"/>
        <v>85.395999999999987</v>
      </c>
      <c r="K31" s="12"/>
      <c r="L31" s="12">
        <f t="shared" si="3"/>
        <v>77.573999999999998</v>
      </c>
      <c r="M31" s="12"/>
      <c r="N31" s="12"/>
      <c r="O31" s="12"/>
      <c r="P31" s="12"/>
      <c r="Q31" s="12"/>
      <c r="R31" s="12"/>
      <c r="S31" s="12"/>
      <c r="T31" s="12"/>
      <c r="U31" s="12"/>
      <c r="V31" s="12"/>
      <c r="W31" s="12"/>
      <c r="X31" s="12"/>
      <c r="Y31" s="12">
        <f>SUMIFS($C$4:$C$22,$B$4:$B$22,Y$26)</f>
        <v>105.91000000000001</v>
      </c>
      <c r="Z31" s="17">
        <f>SUMIFS($C$4:$C$22,$B$4:$B$22,Z$26)</f>
        <v>90.234000000000009</v>
      </c>
    </row>
    <row r="32" spans="1:26" x14ac:dyDescent="0.25">
      <c r="E32" s="16" t="s">
        <v>78</v>
      </c>
      <c r="F32" s="132">
        <f t="shared" si="0"/>
        <v>434.01900000000001</v>
      </c>
      <c r="G32" s="132">
        <f t="shared" si="1"/>
        <v>376.178</v>
      </c>
      <c r="H32" s="12">
        <f t="shared" si="4"/>
        <v>57.743000000000002</v>
      </c>
      <c r="I32" s="12"/>
      <c r="J32" s="12">
        <f t="shared" si="2"/>
        <v>85.395999999999987</v>
      </c>
      <c r="K32" s="12"/>
      <c r="L32" s="12">
        <f t="shared" si="3"/>
        <v>77.573999999999998</v>
      </c>
      <c r="M32" s="12"/>
      <c r="N32" s="12"/>
      <c r="O32" s="12"/>
      <c r="P32" s="12">
        <f>SUMIFS($C$4:$C$22,$B$4:$B$22,P$26)</f>
        <v>57.841000000000001</v>
      </c>
      <c r="Q32" s="12">
        <f>SUMIFS($C$4:$C$22,$B$4:$B$22,Q$26)</f>
        <v>77.475000000000009</v>
      </c>
      <c r="R32" s="12"/>
      <c r="S32" s="12">
        <f>SUMIFS($C$4:$C$22,$B$4:$B$22,S$26)</f>
        <v>77.989999999999995</v>
      </c>
      <c r="T32" s="12"/>
      <c r="U32" s="12"/>
      <c r="V32" s="12"/>
      <c r="W32" s="12"/>
      <c r="X32" s="12"/>
      <c r="Y32" s="12"/>
      <c r="Z32" s="17"/>
    </row>
    <row r="33" spans="5:26" x14ac:dyDescent="0.25">
      <c r="E33" s="16" t="s">
        <v>79</v>
      </c>
      <c r="F33" s="132">
        <f t="shared" si="0"/>
        <v>290.23699999999997</v>
      </c>
      <c r="G33" s="132">
        <f t="shared" si="1"/>
        <v>254.26299999999998</v>
      </c>
      <c r="H33" s="12">
        <f t="shared" si="4"/>
        <v>57.743000000000002</v>
      </c>
      <c r="I33" s="12"/>
      <c r="J33" s="12">
        <f t="shared" si="2"/>
        <v>85.395999999999987</v>
      </c>
      <c r="K33" s="12"/>
      <c r="L33" s="12">
        <f t="shared" si="3"/>
        <v>77.573999999999998</v>
      </c>
      <c r="M33" s="12"/>
      <c r="N33" s="12"/>
      <c r="O33" s="12"/>
      <c r="P33" s="12"/>
      <c r="Q33" s="12"/>
      <c r="R33" s="12"/>
      <c r="S33" s="12"/>
      <c r="T33" s="12">
        <f>SUMIFS($C$4:$C$22,$B$4:$B$22,T$26)</f>
        <v>35.974000000000004</v>
      </c>
      <c r="U33" s="12">
        <f>SUMIFS($C$4:$C$22,$B$4:$B$22,U$26)</f>
        <v>33.549999999999997</v>
      </c>
      <c r="V33" s="12"/>
      <c r="W33" s="12"/>
      <c r="X33" s="12"/>
      <c r="Y33" s="12"/>
      <c r="Z33" s="17"/>
    </row>
    <row r="34" spans="5:26" x14ac:dyDescent="0.25">
      <c r="E34" s="16" t="s">
        <v>80</v>
      </c>
      <c r="F34" s="132">
        <f t="shared" si="0"/>
        <v>148.19899999999998</v>
      </c>
      <c r="G34" s="132">
        <f t="shared" si="1"/>
        <v>143.13899999999998</v>
      </c>
      <c r="H34" s="12">
        <f t="shared" si="4"/>
        <v>57.743000000000002</v>
      </c>
      <c r="I34" s="12"/>
      <c r="J34" s="12">
        <f t="shared" si="2"/>
        <v>85.395999999999987</v>
      </c>
      <c r="K34" s="12">
        <f>SUMIFS($C$4:$C$22,$B$4:$B$22,K$26)</f>
        <v>5.0599999999999996</v>
      </c>
      <c r="L34" s="12"/>
      <c r="M34" s="12"/>
      <c r="N34" s="12"/>
      <c r="O34" s="12"/>
      <c r="P34" s="12"/>
      <c r="Q34" s="12"/>
      <c r="R34" s="12"/>
      <c r="S34" s="12"/>
      <c r="T34" s="12"/>
      <c r="U34" s="12"/>
      <c r="V34" s="12"/>
      <c r="W34" s="12"/>
      <c r="X34" s="12"/>
      <c r="Y34" s="12"/>
      <c r="Z34" s="17"/>
    </row>
    <row r="35" spans="5:26" x14ac:dyDescent="0.25">
      <c r="E35" s="16" t="s">
        <v>81</v>
      </c>
      <c r="F35" s="132">
        <f t="shared" si="0"/>
        <v>477.80899999999997</v>
      </c>
      <c r="G35" s="132">
        <f t="shared" si="1"/>
        <v>457.57100000000003</v>
      </c>
      <c r="H35" s="12">
        <f t="shared" si="4"/>
        <v>57.743000000000002</v>
      </c>
      <c r="I35" s="12"/>
      <c r="J35" s="12">
        <f t="shared" si="2"/>
        <v>85.395999999999987</v>
      </c>
      <c r="K35" s="12"/>
      <c r="L35" s="12">
        <f t="shared" ref="L35:L36" si="5">SUMIFS($C$4:$C$22,$B$4:$B$22,L$26)</f>
        <v>77.573999999999998</v>
      </c>
      <c r="M35" s="12"/>
      <c r="N35" s="12">
        <f>SUMIFS($C$4:$C$22,$B$4:$B$22,N$26)</f>
        <v>20.238000000000003</v>
      </c>
      <c r="O35" s="12">
        <f>SUMIFS($C$4:$C$22,$B$4:$B$22,O$26)</f>
        <v>81.393000000000001</v>
      </c>
      <c r="P35" s="12"/>
      <c r="Q35" s="12">
        <f>SUMIFS($C$4:$C$22,$B$4:$B$22,Q$26)</f>
        <v>77.475000000000009</v>
      </c>
      <c r="R35" s="12"/>
      <c r="S35" s="12">
        <f>SUMIFS($C$4:$C$22,$B$4:$B$22,S$26)</f>
        <v>77.989999999999995</v>
      </c>
      <c r="T35" s="12"/>
      <c r="U35" s="12"/>
      <c r="V35" s="12"/>
      <c r="W35" s="12"/>
      <c r="X35" s="12"/>
      <c r="Y35" s="12"/>
      <c r="Z35" s="17"/>
    </row>
    <row r="36" spans="5:26" x14ac:dyDescent="0.25">
      <c r="E36" s="16" t="s">
        <v>82</v>
      </c>
      <c r="F36" s="132">
        <f t="shared" si="0"/>
        <v>441.00900000000001</v>
      </c>
      <c r="G36" s="132">
        <f t="shared" si="1"/>
        <v>435.899</v>
      </c>
      <c r="H36" s="12">
        <f t="shared" si="4"/>
        <v>57.743000000000002</v>
      </c>
      <c r="I36" s="12"/>
      <c r="J36" s="12">
        <f t="shared" si="2"/>
        <v>85.395999999999987</v>
      </c>
      <c r="K36" s="12"/>
      <c r="L36" s="12">
        <f t="shared" si="5"/>
        <v>77.573999999999998</v>
      </c>
      <c r="M36" s="12"/>
      <c r="N36" s="12"/>
      <c r="O36" s="12"/>
      <c r="P36" s="12"/>
      <c r="Q36" s="12"/>
      <c r="R36" s="12"/>
      <c r="S36" s="12"/>
      <c r="T36" s="12"/>
      <c r="U36" s="12"/>
      <c r="V36" s="12"/>
      <c r="W36" s="12">
        <f>SUMIFS($C$4:$C$22,$B$4:$B$22,W$26)</f>
        <v>5.1099999999999994</v>
      </c>
      <c r="X36" s="12">
        <f>SUMIFS($C$4:$C$22,$B$4:$B$22,X$26)</f>
        <v>124.952</v>
      </c>
      <c r="Y36" s="12"/>
      <c r="Z36" s="17">
        <f>SUMIFS($C$4:$C$22,$B$4:$B$22,Z$26)</f>
        <v>90.234000000000009</v>
      </c>
    </row>
    <row r="37" spans="5:26" x14ac:dyDescent="0.25">
      <c r="E37" s="16" t="s">
        <v>83</v>
      </c>
      <c r="F37" s="132">
        <f t="shared" si="0"/>
        <v>274.86</v>
      </c>
      <c r="G37" s="132">
        <f t="shared" si="1"/>
        <v>274.86</v>
      </c>
      <c r="H37" s="12">
        <f t="shared" si="4"/>
        <v>57.743000000000002</v>
      </c>
      <c r="I37" s="12">
        <f>SUMIFS($C$4:$C$22,$B$4:$B$22,I$26)</f>
        <v>217.11699999999999</v>
      </c>
      <c r="J37" s="12"/>
      <c r="K37" s="12"/>
      <c r="L37" s="12"/>
      <c r="M37" s="12"/>
      <c r="N37" s="12"/>
      <c r="O37" s="12"/>
      <c r="P37" s="12"/>
      <c r="Q37" s="12"/>
      <c r="R37" s="12"/>
      <c r="S37" s="12"/>
      <c r="T37" s="12"/>
      <c r="U37" s="12"/>
      <c r="V37" s="12"/>
      <c r="W37" s="12"/>
      <c r="X37" s="12"/>
      <c r="Y37" s="12"/>
      <c r="Z37" s="17"/>
    </row>
    <row r="38" spans="5:26" x14ac:dyDescent="0.25">
      <c r="E38" s="16" t="s">
        <v>84</v>
      </c>
      <c r="F38" s="132">
        <f t="shared" si="0"/>
        <v>509.03899999999999</v>
      </c>
      <c r="G38" s="132">
        <f t="shared" si="1"/>
        <v>509.03899999999999</v>
      </c>
      <c r="H38" s="12">
        <f t="shared" si="4"/>
        <v>57.743000000000002</v>
      </c>
      <c r="I38" s="12"/>
      <c r="J38" s="12">
        <f>SUMIFS($C$4:$C$22,$B$4:$B$22,J$26)</f>
        <v>85.395999999999987</v>
      </c>
      <c r="K38" s="12"/>
      <c r="L38" s="12">
        <f>SUMIFS($C$4:$C$22,$B$4:$B$22,L$26)</f>
        <v>77.573999999999998</v>
      </c>
      <c r="M38" s="12">
        <f>SUMIFS($C$4:$C$22,$B$4:$B$22,M$26)</f>
        <v>51.468000000000004</v>
      </c>
      <c r="N38" s="12"/>
      <c r="O38" s="12">
        <f>SUMIFS($C$4:$C$22,$B$4:$B$22,O$26)</f>
        <v>81.393000000000001</v>
      </c>
      <c r="P38" s="12"/>
      <c r="Q38" s="12">
        <f>SUMIFS($C$4:$C$22,$B$4:$B$22,Q$26)</f>
        <v>77.475000000000009</v>
      </c>
      <c r="R38" s="12"/>
      <c r="S38" s="12">
        <f>SUMIFS($C$4:$C$22,$B$4:$B$22,S$26)</f>
        <v>77.989999999999995</v>
      </c>
      <c r="T38" s="12"/>
      <c r="U38" s="12"/>
      <c r="V38" s="12"/>
      <c r="W38" s="12"/>
      <c r="X38" s="12"/>
      <c r="Y38" s="12"/>
      <c r="Z38" s="17"/>
    </row>
    <row r="39" spans="5:26" x14ac:dyDescent="0.25">
      <c r="E39" s="16" t="s">
        <v>85</v>
      </c>
      <c r="F39" s="132">
        <f t="shared" si="0"/>
        <v>0</v>
      </c>
      <c r="G39" s="132">
        <f t="shared" si="1"/>
        <v>0</v>
      </c>
      <c r="H39" s="12"/>
      <c r="I39" s="12"/>
      <c r="J39" s="12"/>
      <c r="K39" s="12"/>
      <c r="L39" s="12"/>
      <c r="M39" s="12"/>
      <c r="N39" s="12"/>
      <c r="O39" s="12"/>
      <c r="P39" s="12"/>
      <c r="Q39" s="12"/>
      <c r="R39" s="12"/>
      <c r="S39" s="12"/>
      <c r="T39" s="12"/>
      <c r="U39" s="12"/>
      <c r="V39" s="12"/>
      <c r="W39" s="12"/>
      <c r="X39" s="12"/>
      <c r="Y39" s="12"/>
      <c r="Z39" s="17"/>
    </row>
    <row r="40" spans="5:26" x14ac:dyDescent="0.25">
      <c r="E40" s="16" t="s">
        <v>86</v>
      </c>
      <c r="F40" s="132">
        <f t="shared" si="0"/>
        <v>549.45300000000009</v>
      </c>
      <c r="G40" s="132">
        <f t="shared" si="1"/>
        <v>549.45300000000009</v>
      </c>
      <c r="H40" s="12"/>
      <c r="I40" s="12"/>
      <c r="J40" s="12"/>
      <c r="K40" s="12"/>
      <c r="L40" s="12"/>
      <c r="M40" s="12">
        <f t="shared" ref="M40:M48" si="6">SUMIFS($C$4:$C$22,$B$4:$B$22,M$26)</f>
        <v>51.468000000000004</v>
      </c>
      <c r="N40" s="12"/>
      <c r="O40" s="12">
        <f t="shared" ref="O40:O45" si="7">SUMIFS($C$4:$C$22,$B$4:$B$22,O$26)</f>
        <v>81.393000000000001</v>
      </c>
      <c r="P40" s="12"/>
      <c r="Q40" s="12">
        <f t="shared" ref="Q40:Q42" si="8">SUMIFS($C$4:$C$22,$B$4:$B$22,Q$26)</f>
        <v>77.475000000000009</v>
      </c>
      <c r="R40" s="12"/>
      <c r="S40" s="12">
        <f>SUMIFS($C$4:$C$22,$B$4:$B$22,S$26)</f>
        <v>77.989999999999995</v>
      </c>
      <c r="T40" s="12"/>
      <c r="U40" s="12"/>
      <c r="V40" s="12">
        <f>SUMIFS($C$4:$C$22,$B$4:$B$22,V$26)</f>
        <v>45.941000000000003</v>
      </c>
      <c r="W40" s="12"/>
      <c r="X40" s="12">
        <f>SUMIFS($C$4:$C$22,$B$4:$B$22,X$26)</f>
        <v>124.952</v>
      </c>
      <c r="Y40" s="12"/>
      <c r="Z40" s="17">
        <f>SUMIFS($C$4:$C$22,$B$4:$B$22,Z$26)</f>
        <v>90.234000000000009</v>
      </c>
    </row>
    <row r="41" spans="5:26" x14ac:dyDescent="0.25">
      <c r="E41" s="16" t="s">
        <v>87</v>
      </c>
      <c r="F41" s="132">
        <f t="shared" si="0"/>
        <v>321.87600000000003</v>
      </c>
      <c r="G41" s="132">
        <f t="shared" si="1"/>
        <v>321.87600000000003</v>
      </c>
      <c r="H41" s="12"/>
      <c r="I41" s="12"/>
      <c r="J41" s="12"/>
      <c r="K41" s="12"/>
      <c r="L41" s="12"/>
      <c r="M41" s="12">
        <f t="shared" si="6"/>
        <v>51.468000000000004</v>
      </c>
      <c r="N41" s="12"/>
      <c r="O41" s="12">
        <f t="shared" si="7"/>
        <v>81.393000000000001</v>
      </c>
      <c r="P41" s="12"/>
      <c r="Q41" s="12">
        <f t="shared" si="8"/>
        <v>77.475000000000009</v>
      </c>
      <c r="R41" s="12"/>
      <c r="S41" s="12">
        <f>SUMIFS($C$4:$C$22,$B$4:$B$22,S$26)</f>
        <v>77.989999999999995</v>
      </c>
      <c r="T41" s="12"/>
      <c r="U41" s="12">
        <f>SUMIFS($C$4:$C$22,$B$4:$B$22,U$26)</f>
        <v>33.549999999999997</v>
      </c>
      <c r="V41" s="12"/>
      <c r="W41" s="12"/>
      <c r="X41" s="12"/>
      <c r="Y41" s="12"/>
      <c r="Z41" s="17"/>
    </row>
    <row r="42" spans="5:26" x14ac:dyDescent="0.25">
      <c r="E42" s="16" t="s">
        <v>88</v>
      </c>
      <c r="F42" s="132">
        <f t="shared" si="0"/>
        <v>484.47</v>
      </c>
      <c r="G42" s="132">
        <f t="shared" si="1"/>
        <v>378.56000000000006</v>
      </c>
      <c r="H42" s="12"/>
      <c r="I42" s="12"/>
      <c r="J42" s="12"/>
      <c r="K42" s="12"/>
      <c r="L42" s="12"/>
      <c r="M42" s="12">
        <f t="shared" si="6"/>
        <v>51.468000000000004</v>
      </c>
      <c r="N42" s="12"/>
      <c r="O42" s="12">
        <f t="shared" si="7"/>
        <v>81.393000000000001</v>
      </c>
      <c r="P42" s="12"/>
      <c r="Q42" s="12">
        <f t="shared" si="8"/>
        <v>77.475000000000009</v>
      </c>
      <c r="R42" s="12"/>
      <c r="S42" s="12">
        <f>SUMIFS($C$4:$C$22,$B$4:$B$22,S$26)</f>
        <v>77.989999999999995</v>
      </c>
      <c r="T42" s="12"/>
      <c r="U42" s="12"/>
      <c r="V42" s="12"/>
      <c r="W42" s="12"/>
      <c r="X42" s="12"/>
      <c r="Y42" s="12">
        <f>SUMIFS($C$4:$C$22,$B$4:$B$22,Y$26)</f>
        <v>105.91000000000001</v>
      </c>
      <c r="Z42" s="17">
        <f>SUMIFS($C$4:$C$22,$B$4:$B$22,Z$26)</f>
        <v>90.234000000000009</v>
      </c>
    </row>
    <row r="43" spans="5:26" x14ac:dyDescent="0.25">
      <c r="E43" s="16" t="s">
        <v>89</v>
      </c>
      <c r="F43" s="132">
        <f t="shared" si="0"/>
        <v>190.702</v>
      </c>
      <c r="G43" s="132">
        <f t="shared" si="1"/>
        <v>132.86099999999999</v>
      </c>
      <c r="H43" s="12"/>
      <c r="I43" s="12"/>
      <c r="J43" s="12"/>
      <c r="K43" s="12"/>
      <c r="L43" s="12"/>
      <c r="M43" s="12">
        <f t="shared" si="6"/>
        <v>51.468000000000004</v>
      </c>
      <c r="N43" s="12"/>
      <c r="O43" s="12">
        <f t="shared" si="7"/>
        <v>81.393000000000001</v>
      </c>
      <c r="P43" s="12">
        <f>SUMIFS($C$4:$C$22,$B$4:$B$22,P$26)</f>
        <v>57.841000000000001</v>
      </c>
      <c r="Q43" s="12"/>
      <c r="R43" s="12"/>
      <c r="S43" s="12"/>
      <c r="T43" s="12"/>
      <c r="U43" s="12"/>
      <c r="V43" s="12"/>
      <c r="W43" s="12"/>
      <c r="X43" s="12"/>
      <c r="Y43" s="12"/>
      <c r="Z43" s="17"/>
    </row>
    <row r="44" spans="5:26" x14ac:dyDescent="0.25">
      <c r="E44" s="16" t="s">
        <v>90</v>
      </c>
      <c r="F44" s="132">
        <f t="shared" si="0"/>
        <v>357.85</v>
      </c>
      <c r="G44" s="132">
        <f t="shared" si="1"/>
        <v>321.87600000000003</v>
      </c>
      <c r="H44" s="12"/>
      <c r="I44" s="12"/>
      <c r="J44" s="12"/>
      <c r="K44" s="12"/>
      <c r="L44" s="12"/>
      <c r="M44" s="12">
        <f t="shared" si="6"/>
        <v>51.468000000000004</v>
      </c>
      <c r="N44" s="12"/>
      <c r="O44" s="12">
        <f t="shared" si="7"/>
        <v>81.393000000000001</v>
      </c>
      <c r="P44" s="12"/>
      <c r="Q44" s="12">
        <f t="shared" ref="Q44:Q45" si="9">SUMIFS($C$4:$C$22,$B$4:$B$22,Q$26)</f>
        <v>77.475000000000009</v>
      </c>
      <c r="R44" s="12"/>
      <c r="S44" s="12">
        <f>SUMIFS($C$4:$C$22,$B$4:$B$22,S$26)</f>
        <v>77.989999999999995</v>
      </c>
      <c r="T44" s="12">
        <f>SUMIFS($C$4:$C$22,$B$4:$B$22,T$26)</f>
        <v>35.974000000000004</v>
      </c>
      <c r="U44" s="12">
        <f>SUMIFS($C$4:$C$22,$B$4:$B$22,U$26)</f>
        <v>33.549999999999997</v>
      </c>
      <c r="V44" s="12"/>
      <c r="W44" s="12"/>
      <c r="X44" s="12"/>
      <c r="Y44" s="12"/>
      <c r="Z44" s="17"/>
    </row>
    <row r="45" spans="5:26" x14ac:dyDescent="0.25">
      <c r="E45" s="16" t="s">
        <v>91</v>
      </c>
      <c r="F45" s="132">
        <f t="shared" si="0"/>
        <v>370.96000000000004</v>
      </c>
      <c r="G45" s="132">
        <f t="shared" si="1"/>
        <v>365.90000000000003</v>
      </c>
      <c r="H45" s="12"/>
      <c r="I45" s="12"/>
      <c r="J45" s="12"/>
      <c r="K45" s="12">
        <f>SUMIFS($C$4:$C$22,$B$4:$B$22,K$26)</f>
        <v>5.0599999999999996</v>
      </c>
      <c r="L45" s="12">
        <f>SUMIFS($C$4:$C$22,$B$4:$B$22,L$26)</f>
        <v>77.573999999999998</v>
      </c>
      <c r="M45" s="12">
        <f t="shared" si="6"/>
        <v>51.468000000000004</v>
      </c>
      <c r="N45" s="12"/>
      <c r="O45" s="12">
        <f t="shared" si="7"/>
        <v>81.393000000000001</v>
      </c>
      <c r="P45" s="12"/>
      <c r="Q45" s="12">
        <f t="shared" si="9"/>
        <v>77.475000000000009</v>
      </c>
      <c r="R45" s="12"/>
      <c r="S45" s="12">
        <f>SUMIFS($C$4:$C$22,$B$4:$B$22,S$26)</f>
        <v>77.989999999999995</v>
      </c>
      <c r="T45" s="12"/>
      <c r="U45" s="12"/>
      <c r="V45" s="12"/>
      <c r="W45" s="12"/>
      <c r="X45" s="12"/>
      <c r="Y45" s="12"/>
      <c r="Z45" s="17"/>
    </row>
    <row r="46" spans="5:26" x14ac:dyDescent="0.25">
      <c r="E46" s="16" t="s">
        <v>92</v>
      </c>
      <c r="F46" s="132">
        <f t="shared" si="0"/>
        <v>71.706000000000003</v>
      </c>
      <c r="G46" s="132">
        <f t="shared" si="1"/>
        <v>51.468000000000004</v>
      </c>
      <c r="H46" s="12"/>
      <c r="I46" s="12"/>
      <c r="J46" s="12"/>
      <c r="K46" s="12"/>
      <c r="L46" s="12"/>
      <c r="M46" s="12">
        <f t="shared" si="6"/>
        <v>51.468000000000004</v>
      </c>
      <c r="N46" s="12">
        <f>SUMIFS($C$4:$C$22,$B$4:$B$22,N$26)</f>
        <v>20.238000000000003</v>
      </c>
      <c r="O46" s="12"/>
      <c r="P46" s="12"/>
      <c r="Q46" s="12"/>
      <c r="R46" s="12"/>
      <c r="S46" s="12"/>
      <c r="T46" s="12"/>
      <c r="U46" s="12"/>
      <c r="V46" s="12"/>
      <c r="W46" s="12"/>
      <c r="X46" s="12"/>
      <c r="Y46" s="12"/>
      <c r="Z46" s="17"/>
    </row>
    <row r="47" spans="5:26" x14ac:dyDescent="0.25">
      <c r="E47" s="16" t="s">
        <v>93</v>
      </c>
      <c r="F47" s="132">
        <f t="shared" si="0"/>
        <v>508.62200000000007</v>
      </c>
      <c r="G47" s="132">
        <f t="shared" si="1"/>
        <v>503.51200000000006</v>
      </c>
      <c r="H47" s="12"/>
      <c r="I47" s="12"/>
      <c r="J47" s="12"/>
      <c r="K47" s="12"/>
      <c r="L47" s="12"/>
      <c r="M47" s="12">
        <f t="shared" si="6"/>
        <v>51.468000000000004</v>
      </c>
      <c r="N47" s="12"/>
      <c r="O47" s="12">
        <f t="shared" ref="O47:O48" si="10">SUMIFS($C$4:$C$22,$B$4:$B$22,O$26)</f>
        <v>81.393000000000001</v>
      </c>
      <c r="P47" s="12"/>
      <c r="Q47" s="12">
        <f t="shared" ref="Q47:Q48" si="11">SUMIFS($C$4:$C$22,$B$4:$B$22,Q$26)</f>
        <v>77.475000000000009</v>
      </c>
      <c r="R47" s="12"/>
      <c r="S47" s="12">
        <f>SUMIFS($C$4:$C$22,$B$4:$B$22,S$26)</f>
        <v>77.989999999999995</v>
      </c>
      <c r="T47" s="12"/>
      <c r="U47" s="12"/>
      <c r="V47" s="12"/>
      <c r="W47" s="12">
        <f>SUMIFS($C$4:$C$22,$B$4:$B$22,W$26)</f>
        <v>5.1099999999999994</v>
      </c>
      <c r="X47" s="12">
        <f>SUMIFS($C$4:$C$22,$B$4:$B$22,X$26)</f>
        <v>124.952</v>
      </c>
      <c r="Y47" s="12"/>
      <c r="Z47" s="17">
        <f>SUMIFS($C$4:$C$22,$B$4:$B$22,Z$26)</f>
        <v>90.234000000000009</v>
      </c>
    </row>
    <row r="48" spans="5:26" x14ac:dyDescent="0.25">
      <c r="E48" s="16" t="s">
        <v>94</v>
      </c>
      <c r="F48" s="132">
        <f t="shared" si="0"/>
        <v>334.01</v>
      </c>
      <c r="G48" s="132">
        <f t="shared" si="1"/>
        <v>334.01</v>
      </c>
      <c r="H48" s="12"/>
      <c r="I48" s="12"/>
      <c r="J48" s="12"/>
      <c r="K48" s="12"/>
      <c r="L48" s="12"/>
      <c r="M48" s="12">
        <f t="shared" si="6"/>
        <v>51.468000000000004</v>
      </c>
      <c r="N48" s="12"/>
      <c r="O48" s="12">
        <f t="shared" si="10"/>
        <v>81.393000000000001</v>
      </c>
      <c r="P48" s="12"/>
      <c r="Q48" s="12">
        <f t="shared" si="11"/>
        <v>77.475000000000009</v>
      </c>
      <c r="R48" s="12">
        <f>SUMIFS($C$4:$C$22,$B$4:$B$22,R$26)</f>
        <v>123.67399999999999</v>
      </c>
      <c r="S48" s="12"/>
      <c r="T48" s="12"/>
      <c r="U48" s="12"/>
      <c r="V48" s="12"/>
      <c r="W48" s="12"/>
      <c r="X48" s="12"/>
      <c r="Y48" s="12"/>
      <c r="Z48" s="17"/>
    </row>
    <row r="49" spans="5:26" x14ac:dyDescent="0.25">
      <c r="E49" s="16" t="s">
        <v>95</v>
      </c>
      <c r="F49" s="132">
        <f t="shared" si="0"/>
        <v>481.84000000000003</v>
      </c>
      <c r="G49" s="132">
        <f t="shared" si="1"/>
        <v>481.84000000000003</v>
      </c>
      <c r="H49" s="12">
        <f>SUMIFS($C$4:$C$22,$B$4:$B$22,H$26)</f>
        <v>57.743000000000002</v>
      </c>
      <c r="I49" s="12"/>
      <c r="J49" s="12">
        <f>SUMIFS($C$4:$C$22,$B$4:$B$22,J$26)</f>
        <v>85.395999999999987</v>
      </c>
      <c r="K49" s="12"/>
      <c r="L49" s="12">
        <f>SUMIFS($C$4:$C$22,$B$4:$B$22,L$26)</f>
        <v>77.573999999999998</v>
      </c>
      <c r="M49" s="12"/>
      <c r="N49" s="12"/>
      <c r="O49" s="12"/>
      <c r="P49" s="12"/>
      <c r="Q49" s="12"/>
      <c r="R49" s="12"/>
      <c r="S49" s="12"/>
      <c r="T49" s="12"/>
      <c r="U49" s="12"/>
      <c r="V49" s="12">
        <f>SUMIFS($C$4:$C$22,$B$4:$B$22,V$26)</f>
        <v>45.941000000000003</v>
      </c>
      <c r="W49" s="12"/>
      <c r="X49" s="12">
        <f>SUMIFS($C$4:$C$22,$B$4:$B$22,X$26)</f>
        <v>124.952</v>
      </c>
      <c r="Y49" s="12"/>
      <c r="Z49" s="17">
        <f>SUMIFS($C$4:$C$22,$B$4:$B$22,Z$26)</f>
        <v>90.234000000000009</v>
      </c>
    </row>
    <row r="50" spans="5:26" x14ac:dyDescent="0.25">
      <c r="E50" s="16" t="s">
        <v>96</v>
      </c>
      <c r="F50" s="132">
        <f t="shared" si="0"/>
        <v>549.45300000000009</v>
      </c>
      <c r="G50" s="132">
        <f t="shared" si="1"/>
        <v>549.45300000000009</v>
      </c>
      <c r="H50" s="12"/>
      <c r="I50" s="12"/>
      <c r="J50" s="12"/>
      <c r="K50" s="12"/>
      <c r="L50" s="12"/>
      <c r="M50" s="12">
        <f>SUMIFS($C$4:$C$22,$B$4:$B$22,M$26)</f>
        <v>51.468000000000004</v>
      </c>
      <c r="N50" s="12"/>
      <c r="O50" s="12">
        <f>SUMIFS($C$4:$C$22,$B$4:$B$22,O$26)</f>
        <v>81.393000000000001</v>
      </c>
      <c r="P50" s="12"/>
      <c r="Q50" s="12">
        <f>SUMIFS($C$4:$C$22,$B$4:$B$22,Q$26)</f>
        <v>77.475000000000009</v>
      </c>
      <c r="R50" s="12"/>
      <c r="S50" s="12">
        <f>SUMIFS($C$4:$C$22,$B$4:$B$22,S$26)</f>
        <v>77.989999999999995</v>
      </c>
      <c r="T50" s="12"/>
      <c r="U50" s="12"/>
      <c r="V50" s="12">
        <f>SUMIFS($C$4:$C$22,$B$4:$B$22,V$26)</f>
        <v>45.941000000000003</v>
      </c>
      <c r="W50" s="12"/>
      <c r="X50" s="12">
        <f>SUMIFS($C$4:$C$22,$B$4:$B$22,X$26)</f>
        <v>124.952</v>
      </c>
      <c r="Y50" s="12"/>
      <c r="Z50" s="17">
        <f>SUMIFS($C$4:$C$22,$B$4:$B$22,Z$26)</f>
        <v>90.234000000000009</v>
      </c>
    </row>
    <row r="51" spans="5:26" x14ac:dyDescent="0.25">
      <c r="E51" s="16" t="s">
        <v>97</v>
      </c>
      <c r="F51" s="132">
        <f t="shared" si="0"/>
        <v>0</v>
      </c>
      <c r="G51" s="132">
        <f t="shared" si="1"/>
        <v>0</v>
      </c>
      <c r="H51" s="12"/>
      <c r="I51" s="12"/>
      <c r="J51" s="12"/>
      <c r="K51" s="12"/>
      <c r="L51" s="12"/>
      <c r="M51" s="12"/>
      <c r="N51" s="12"/>
      <c r="O51" s="12"/>
      <c r="P51" s="12"/>
      <c r="Q51" s="12"/>
      <c r="R51" s="12"/>
      <c r="S51" s="12"/>
      <c r="T51" s="12"/>
      <c r="U51" s="12"/>
      <c r="V51" s="12"/>
      <c r="W51" s="12"/>
      <c r="X51" s="12"/>
      <c r="Y51" s="12"/>
      <c r="Z51" s="17"/>
    </row>
    <row r="52" spans="5:26" x14ac:dyDescent="0.25">
      <c r="E52" s="16" t="s">
        <v>98</v>
      </c>
      <c r="F52" s="132">
        <f t="shared" si="0"/>
        <v>294.67700000000002</v>
      </c>
      <c r="G52" s="132">
        <f t="shared" si="1"/>
        <v>294.67700000000002</v>
      </c>
      <c r="H52" s="12"/>
      <c r="I52" s="12"/>
      <c r="J52" s="12"/>
      <c r="K52" s="12"/>
      <c r="L52" s="12"/>
      <c r="M52" s="12"/>
      <c r="N52" s="12"/>
      <c r="O52" s="12"/>
      <c r="P52" s="12"/>
      <c r="Q52" s="12"/>
      <c r="R52" s="12"/>
      <c r="S52" s="12"/>
      <c r="T52" s="12"/>
      <c r="U52" s="12">
        <f>SUMIFS($C$4:$C$22,$B$4:$B$22,U$26)</f>
        <v>33.549999999999997</v>
      </c>
      <c r="V52" s="12">
        <f>SUMIFS($C$4:$C$22,$B$4:$B$22,V$26)</f>
        <v>45.941000000000003</v>
      </c>
      <c r="W52" s="12"/>
      <c r="X52" s="12">
        <f t="shared" ref="X52:X57" si="12">SUMIFS($C$4:$C$22,$B$4:$B$22,X$26)</f>
        <v>124.952</v>
      </c>
      <c r="Y52" s="12"/>
      <c r="Z52" s="17">
        <f>SUMIFS($C$4:$C$22,$B$4:$B$22,Z$26)</f>
        <v>90.234000000000009</v>
      </c>
    </row>
    <row r="53" spans="5:26" x14ac:dyDescent="0.25">
      <c r="E53" s="16" t="s">
        <v>99</v>
      </c>
      <c r="F53" s="132">
        <f t="shared" si="0"/>
        <v>276.803</v>
      </c>
      <c r="G53" s="132">
        <f t="shared" si="1"/>
        <v>170.893</v>
      </c>
      <c r="H53" s="12"/>
      <c r="I53" s="12"/>
      <c r="J53" s="12"/>
      <c r="K53" s="12"/>
      <c r="L53" s="12"/>
      <c r="M53" s="12"/>
      <c r="N53" s="12"/>
      <c r="O53" s="12"/>
      <c r="P53" s="12"/>
      <c r="Q53" s="12"/>
      <c r="R53" s="12"/>
      <c r="S53" s="12"/>
      <c r="T53" s="12"/>
      <c r="U53" s="12"/>
      <c r="V53" s="12">
        <f t="shared" ref="V53:V59" si="13">SUMIFS($C$4:$C$22,$B$4:$B$22,V$26)</f>
        <v>45.941000000000003</v>
      </c>
      <c r="W53" s="12"/>
      <c r="X53" s="12">
        <f t="shared" si="12"/>
        <v>124.952</v>
      </c>
      <c r="Y53" s="12">
        <f>SUMIFS($C$4:$C$22,$B$4:$B$22,Y$26)</f>
        <v>105.91000000000001</v>
      </c>
      <c r="Z53" s="17"/>
    </row>
    <row r="54" spans="5:26" x14ac:dyDescent="0.25">
      <c r="E54" s="16" t="s">
        <v>100</v>
      </c>
      <c r="F54" s="132">
        <f t="shared" si="0"/>
        <v>474.43299999999999</v>
      </c>
      <c r="G54" s="132">
        <f t="shared" si="1"/>
        <v>416.59199999999998</v>
      </c>
      <c r="H54" s="12"/>
      <c r="I54" s="12"/>
      <c r="J54" s="12"/>
      <c r="K54" s="12"/>
      <c r="L54" s="12"/>
      <c r="M54" s="12"/>
      <c r="N54" s="12"/>
      <c r="O54" s="12"/>
      <c r="P54" s="12">
        <f>SUMIFS($C$4:$C$22,$B$4:$B$22,P$26)</f>
        <v>57.841000000000001</v>
      </c>
      <c r="Q54" s="12">
        <f>SUMIFS($C$4:$C$22,$B$4:$B$22,Q$26)</f>
        <v>77.475000000000009</v>
      </c>
      <c r="R54" s="12"/>
      <c r="S54" s="12">
        <f>SUMIFS($C$4:$C$22,$B$4:$B$22,S$26)</f>
        <v>77.989999999999995</v>
      </c>
      <c r="T54" s="12"/>
      <c r="U54" s="12"/>
      <c r="V54" s="12">
        <f t="shared" si="13"/>
        <v>45.941000000000003</v>
      </c>
      <c r="W54" s="12"/>
      <c r="X54" s="12">
        <f t="shared" si="12"/>
        <v>124.952</v>
      </c>
      <c r="Y54" s="12"/>
      <c r="Z54" s="17">
        <f>SUMIFS($C$4:$C$22,$B$4:$B$22,Z$26)</f>
        <v>90.234000000000009</v>
      </c>
    </row>
    <row r="55" spans="5:26" x14ac:dyDescent="0.25">
      <c r="E55" s="16" t="s">
        <v>101</v>
      </c>
      <c r="F55" s="132">
        <f t="shared" si="0"/>
        <v>330.65100000000001</v>
      </c>
      <c r="G55" s="132">
        <f t="shared" si="1"/>
        <v>294.67700000000002</v>
      </c>
      <c r="H55" s="12"/>
      <c r="I55" s="12"/>
      <c r="J55" s="12"/>
      <c r="K55" s="12"/>
      <c r="L55" s="12"/>
      <c r="M55" s="12"/>
      <c r="N55" s="12"/>
      <c r="O55" s="12"/>
      <c r="P55" s="12"/>
      <c r="Q55" s="12"/>
      <c r="R55" s="12"/>
      <c r="S55" s="12"/>
      <c r="T55" s="12">
        <f>SUMIFS($C$4:$C$22,$B$4:$B$22,T$26)</f>
        <v>35.974000000000004</v>
      </c>
      <c r="U55" s="12">
        <f>SUMIFS($C$4:$C$22,$B$4:$B$22,U$26)</f>
        <v>33.549999999999997</v>
      </c>
      <c r="V55" s="12">
        <f t="shared" si="13"/>
        <v>45.941000000000003</v>
      </c>
      <c r="W55" s="12"/>
      <c r="X55" s="12">
        <f t="shared" si="12"/>
        <v>124.952</v>
      </c>
      <c r="Y55" s="12"/>
      <c r="Z55" s="17">
        <f>SUMIFS($C$4:$C$22,$B$4:$B$22,Z$26)</f>
        <v>90.234000000000009</v>
      </c>
    </row>
    <row r="56" spans="5:26" x14ac:dyDescent="0.25">
      <c r="E56" s="16" t="s">
        <v>102</v>
      </c>
      <c r="F56" s="132">
        <f t="shared" si="0"/>
        <v>343.76099999999997</v>
      </c>
      <c r="G56" s="132">
        <f t="shared" si="1"/>
        <v>338.70100000000002</v>
      </c>
      <c r="H56" s="12"/>
      <c r="I56" s="12"/>
      <c r="J56" s="12"/>
      <c r="K56" s="12">
        <f>SUMIFS($C$4:$C$22,$B$4:$B$22,K$26)</f>
        <v>5.0599999999999996</v>
      </c>
      <c r="L56" s="12">
        <f>SUMIFS($C$4:$C$22,$B$4:$B$22,L$26)</f>
        <v>77.573999999999998</v>
      </c>
      <c r="M56" s="12"/>
      <c r="N56" s="12"/>
      <c r="O56" s="12"/>
      <c r="P56" s="12"/>
      <c r="Q56" s="12"/>
      <c r="R56" s="12"/>
      <c r="S56" s="12"/>
      <c r="T56" s="12"/>
      <c r="U56" s="12"/>
      <c r="V56" s="12">
        <f t="shared" si="13"/>
        <v>45.941000000000003</v>
      </c>
      <c r="W56" s="12"/>
      <c r="X56" s="12">
        <f t="shared" si="12"/>
        <v>124.952</v>
      </c>
      <c r="Y56" s="12"/>
      <c r="Z56" s="17">
        <f>SUMIFS($C$4:$C$22,$B$4:$B$22,Z$26)</f>
        <v>90.234000000000009</v>
      </c>
    </row>
    <row r="57" spans="5:26" x14ac:dyDescent="0.25">
      <c r="E57" s="16" t="s">
        <v>103</v>
      </c>
      <c r="F57" s="132">
        <f t="shared" si="0"/>
        <v>518.22300000000007</v>
      </c>
      <c r="G57" s="132">
        <f t="shared" si="1"/>
        <v>497.98500000000001</v>
      </c>
      <c r="H57" s="12"/>
      <c r="I57" s="12"/>
      <c r="J57" s="12"/>
      <c r="K57" s="12"/>
      <c r="L57" s="12"/>
      <c r="M57" s="12"/>
      <c r="N57" s="12">
        <f>SUMIFS($C$4:$C$22,$B$4:$B$22,N$26)</f>
        <v>20.238000000000003</v>
      </c>
      <c r="O57" s="12">
        <f>SUMIFS($C$4:$C$22,$B$4:$B$22,O$26)</f>
        <v>81.393000000000001</v>
      </c>
      <c r="P57" s="12"/>
      <c r="Q57" s="12">
        <f>SUMIFS($C$4:$C$22,$B$4:$B$22,Q$26)</f>
        <v>77.475000000000009</v>
      </c>
      <c r="R57" s="12"/>
      <c r="S57" s="12">
        <f>SUMIFS($C$4:$C$22,$B$4:$B$22,S$26)</f>
        <v>77.989999999999995</v>
      </c>
      <c r="T57" s="12"/>
      <c r="U57" s="12"/>
      <c r="V57" s="12">
        <f t="shared" si="13"/>
        <v>45.941000000000003</v>
      </c>
      <c r="W57" s="12"/>
      <c r="X57" s="12">
        <f t="shared" si="12"/>
        <v>124.952</v>
      </c>
      <c r="Y57" s="12"/>
      <c r="Z57" s="17">
        <f>SUMIFS($C$4:$C$22,$B$4:$B$22,Z$26)</f>
        <v>90.234000000000009</v>
      </c>
    </row>
    <row r="58" spans="5:26" x14ac:dyDescent="0.25">
      <c r="E58" s="16" t="s">
        <v>104</v>
      </c>
      <c r="F58" s="132">
        <f t="shared" si="0"/>
        <v>51.051000000000002</v>
      </c>
      <c r="G58" s="132">
        <f t="shared" si="1"/>
        <v>45.941000000000003</v>
      </c>
      <c r="H58" s="12"/>
      <c r="I58" s="12"/>
      <c r="J58" s="12"/>
      <c r="K58" s="12"/>
      <c r="L58" s="12"/>
      <c r="M58" s="12"/>
      <c r="N58" s="12"/>
      <c r="O58" s="12"/>
      <c r="P58" s="12"/>
      <c r="Q58" s="12"/>
      <c r="R58" s="12"/>
      <c r="S58" s="12"/>
      <c r="T58" s="12"/>
      <c r="U58" s="12"/>
      <c r="V58" s="12">
        <f t="shared" si="13"/>
        <v>45.941000000000003</v>
      </c>
      <c r="W58" s="12">
        <f>SUMIFS($C$4:$C$22,$B$4:$B$22,W$26)</f>
        <v>5.1099999999999994</v>
      </c>
      <c r="X58" s="12"/>
      <c r="Y58" s="12"/>
      <c r="Z58" s="17"/>
    </row>
    <row r="59" spans="5:26" x14ac:dyDescent="0.25">
      <c r="E59" s="16" t="s">
        <v>105</v>
      </c>
      <c r="F59" s="132">
        <f t="shared" si="0"/>
        <v>462.79100000000005</v>
      </c>
      <c r="G59" s="132">
        <f t="shared" si="1"/>
        <v>462.79100000000005</v>
      </c>
      <c r="H59" s="12"/>
      <c r="I59" s="12"/>
      <c r="J59" s="12"/>
      <c r="K59" s="12"/>
      <c r="L59" s="12"/>
      <c r="M59" s="12"/>
      <c r="N59" s="12"/>
      <c r="O59" s="12"/>
      <c r="P59" s="12"/>
      <c r="Q59" s="12"/>
      <c r="R59" s="12">
        <f>SUMIFS($C$4:$C$22,$B$4:$B$22,R$26)</f>
        <v>123.67399999999999</v>
      </c>
      <c r="S59" s="12">
        <f>SUMIFS($C$4:$C$22,$B$4:$B$22,S$26)</f>
        <v>77.989999999999995</v>
      </c>
      <c r="T59" s="12"/>
      <c r="U59" s="12"/>
      <c r="V59" s="12">
        <f t="shared" si="13"/>
        <v>45.941000000000003</v>
      </c>
      <c r="W59" s="12"/>
      <c r="X59" s="12">
        <f>SUMIFS($C$4:$C$22,$B$4:$B$22,X$26)</f>
        <v>124.952</v>
      </c>
      <c r="Y59" s="12"/>
      <c r="Z59" s="17">
        <f>SUMIFS($C$4:$C$22,$B$4:$B$22,Z$26)</f>
        <v>90.234000000000009</v>
      </c>
    </row>
    <row r="60" spans="5:26" x14ac:dyDescent="0.25">
      <c r="E60" s="16" t="s">
        <v>106</v>
      </c>
      <c r="F60" s="132">
        <f t="shared" si="0"/>
        <v>254.26299999999998</v>
      </c>
      <c r="G60" s="132">
        <f t="shared" si="1"/>
        <v>254.26299999999998</v>
      </c>
      <c r="H60" s="12">
        <f>SUMIFS($C$4:$C$22,$B$4:$B$22,H$26)</f>
        <v>57.743000000000002</v>
      </c>
      <c r="I60" s="12"/>
      <c r="J60" s="12">
        <f>SUMIFS($C$4:$C$22,$B$4:$B$22,J$26)</f>
        <v>85.395999999999987</v>
      </c>
      <c r="K60" s="12"/>
      <c r="L60" s="12">
        <f>SUMIFS($C$4:$C$22,$B$4:$B$22,L$26)</f>
        <v>77.573999999999998</v>
      </c>
      <c r="M60" s="12"/>
      <c r="N60" s="12"/>
      <c r="O60" s="12"/>
      <c r="P60" s="12"/>
      <c r="Q60" s="12"/>
      <c r="R60" s="12"/>
      <c r="S60" s="12"/>
      <c r="T60" s="12"/>
      <c r="U60" s="12">
        <f>SUMIFS($C$4:$C$22,$B$4:$B$22,U$26)</f>
        <v>33.549999999999997</v>
      </c>
      <c r="V60" s="12"/>
      <c r="W60" s="12"/>
      <c r="X60" s="12"/>
      <c r="Y60" s="12"/>
      <c r="Z60" s="17"/>
    </row>
    <row r="61" spans="5:26" x14ac:dyDescent="0.25">
      <c r="E61" s="16" t="s">
        <v>107</v>
      </c>
      <c r="F61" s="132">
        <f t="shared" si="0"/>
        <v>321.87600000000003</v>
      </c>
      <c r="G61" s="132">
        <f t="shared" si="1"/>
        <v>321.87600000000003</v>
      </c>
      <c r="H61" s="12"/>
      <c r="I61" s="12"/>
      <c r="J61" s="12"/>
      <c r="K61" s="12"/>
      <c r="L61" s="12"/>
      <c r="M61" s="12">
        <f>SUMIFS($C$4:$C$22,$B$4:$B$22,M$26)</f>
        <v>51.468000000000004</v>
      </c>
      <c r="N61" s="12"/>
      <c r="O61" s="12">
        <f>SUMIFS($C$4:$C$22,$B$4:$B$22,O$26)</f>
        <v>81.393000000000001</v>
      </c>
      <c r="P61" s="12"/>
      <c r="Q61" s="12">
        <f>SUMIFS($C$4:$C$22,$B$4:$B$22,Q$26)</f>
        <v>77.475000000000009</v>
      </c>
      <c r="R61" s="12"/>
      <c r="S61" s="12">
        <f>SUMIFS($C$4:$C$22,$B$4:$B$22,S$26)</f>
        <v>77.989999999999995</v>
      </c>
      <c r="T61" s="12"/>
      <c r="U61" s="12">
        <f>SUMIFS($C$4:$C$22,$B$4:$B$22,U$26)</f>
        <v>33.549999999999997</v>
      </c>
      <c r="V61" s="12"/>
      <c r="W61" s="12"/>
      <c r="X61" s="12"/>
      <c r="Y61" s="12"/>
      <c r="Z61" s="17"/>
    </row>
    <row r="62" spans="5:26" x14ac:dyDescent="0.25">
      <c r="E62" s="16" t="s">
        <v>108</v>
      </c>
      <c r="F62" s="132">
        <f t="shared" si="0"/>
        <v>294.67700000000002</v>
      </c>
      <c r="G62" s="132">
        <f t="shared" si="1"/>
        <v>294.67700000000002</v>
      </c>
      <c r="H62" s="12"/>
      <c r="I62" s="12"/>
      <c r="J62" s="12"/>
      <c r="K62" s="12"/>
      <c r="L62" s="12"/>
      <c r="M62" s="12"/>
      <c r="N62" s="12"/>
      <c r="O62" s="12"/>
      <c r="P62" s="12"/>
      <c r="Q62" s="12"/>
      <c r="R62" s="12"/>
      <c r="S62" s="12"/>
      <c r="T62" s="12"/>
      <c r="U62" s="12">
        <f>SUMIFS($C$4:$C$22,$B$4:$B$22,U$26)</f>
        <v>33.549999999999997</v>
      </c>
      <c r="V62" s="12">
        <f>SUMIFS($C$4:$C$22,$B$4:$B$22,V$26)</f>
        <v>45.941000000000003</v>
      </c>
      <c r="W62" s="12"/>
      <c r="X62" s="12">
        <f>SUMIFS($C$4:$C$22,$B$4:$B$22,X$26)</f>
        <v>124.952</v>
      </c>
      <c r="Y62" s="12"/>
      <c r="Z62" s="17">
        <f>SUMIFS($C$4:$C$22,$B$4:$B$22,Z$26)</f>
        <v>90.234000000000009</v>
      </c>
    </row>
    <row r="63" spans="5:26" x14ac:dyDescent="0.25">
      <c r="E63" s="16" t="s">
        <v>109</v>
      </c>
      <c r="F63" s="132">
        <f t="shared" si="0"/>
        <v>0</v>
      </c>
      <c r="G63" s="132">
        <f t="shared" si="1"/>
        <v>0</v>
      </c>
      <c r="H63" s="12"/>
      <c r="I63" s="12"/>
      <c r="J63" s="12"/>
      <c r="K63" s="12"/>
      <c r="L63" s="12"/>
      <c r="M63" s="12"/>
      <c r="N63" s="12"/>
      <c r="O63" s="12"/>
      <c r="P63" s="12"/>
      <c r="Q63" s="12"/>
      <c r="R63" s="12"/>
      <c r="S63" s="12"/>
      <c r="T63" s="12"/>
      <c r="U63" s="12"/>
      <c r="V63" s="12"/>
      <c r="W63" s="12"/>
      <c r="X63" s="12"/>
      <c r="Y63" s="12"/>
      <c r="Z63" s="17"/>
    </row>
    <row r="64" spans="5:26" x14ac:dyDescent="0.25">
      <c r="E64" s="16" t="s">
        <v>110</v>
      </c>
      <c r="F64" s="132">
        <f t="shared" si="0"/>
        <v>229.69400000000002</v>
      </c>
      <c r="G64" s="132">
        <f t="shared" si="1"/>
        <v>123.78400000000001</v>
      </c>
      <c r="H64" s="12"/>
      <c r="I64" s="12"/>
      <c r="J64" s="12"/>
      <c r="K64" s="12"/>
      <c r="L64" s="12"/>
      <c r="M64" s="12"/>
      <c r="N64" s="12"/>
      <c r="O64" s="12"/>
      <c r="P64" s="12"/>
      <c r="Q64" s="12"/>
      <c r="R64" s="12"/>
      <c r="S64" s="12"/>
      <c r="T64" s="12"/>
      <c r="U64" s="12">
        <f>SUMIFS($C$4:$C$22,$B$4:$B$22,U$26)</f>
        <v>33.549999999999997</v>
      </c>
      <c r="V64" s="12"/>
      <c r="W64" s="12"/>
      <c r="X64" s="12"/>
      <c r="Y64" s="12">
        <f>SUMIFS($C$4:$C$22,$B$4:$B$22,Y$26)</f>
        <v>105.91000000000001</v>
      </c>
      <c r="Z64" s="17">
        <f>SUMIFS($C$4:$C$22,$B$4:$B$22,Z$26)</f>
        <v>90.234000000000009</v>
      </c>
    </row>
    <row r="65" spans="5:41" x14ac:dyDescent="0.25">
      <c r="E65" s="16" t="s">
        <v>111</v>
      </c>
      <c r="F65" s="132">
        <f t="shared" si="0"/>
        <v>246.85599999999999</v>
      </c>
      <c r="G65" s="132">
        <f t="shared" si="1"/>
        <v>189.01499999999999</v>
      </c>
      <c r="H65" s="12"/>
      <c r="I65" s="12"/>
      <c r="J65" s="12"/>
      <c r="K65" s="12"/>
      <c r="L65" s="12"/>
      <c r="M65" s="12"/>
      <c r="N65" s="12"/>
      <c r="O65" s="12"/>
      <c r="P65" s="12">
        <f>SUMIFS($C$4:$C$22,$B$4:$B$22,P$26)</f>
        <v>57.841000000000001</v>
      </c>
      <c r="Q65" s="12">
        <f>SUMIFS($C$4:$C$22,$B$4:$B$22,Q$26)</f>
        <v>77.475000000000009</v>
      </c>
      <c r="R65" s="12"/>
      <c r="S65" s="12">
        <f>SUMIFS($C$4:$C$22,$B$4:$B$22,S$26)</f>
        <v>77.989999999999995</v>
      </c>
      <c r="T65" s="12"/>
      <c r="U65" s="12">
        <f>SUMIFS($C$4:$C$22,$B$4:$B$22,U$26)</f>
        <v>33.549999999999997</v>
      </c>
      <c r="V65" s="12"/>
      <c r="W65" s="12"/>
      <c r="X65" s="12"/>
      <c r="Y65" s="12"/>
      <c r="Z65" s="17"/>
    </row>
    <row r="66" spans="5:41" x14ac:dyDescent="0.25">
      <c r="E66" s="16" t="s">
        <v>65</v>
      </c>
      <c r="F66" s="132">
        <f t="shared" si="0"/>
        <v>35.974000000000004</v>
      </c>
      <c r="G66" s="132">
        <f t="shared" si="1"/>
        <v>0</v>
      </c>
      <c r="H66" s="12"/>
      <c r="I66" s="12"/>
      <c r="J66" s="12"/>
      <c r="K66" s="12"/>
      <c r="L66" s="12"/>
      <c r="M66" s="12"/>
      <c r="N66" s="12"/>
      <c r="O66" s="12"/>
      <c r="P66" s="12"/>
      <c r="Q66" s="12"/>
      <c r="R66" s="12"/>
      <c r="S66" s="12"/>
      <c r="T66" s="12">
        <f>SUMIFS($C$4:$C$22,$B$4:$B$22,T$26)</f>
        <v>35.974000000000004</v>
      </c>
      <c r="U66" s="12"/>
      <c r="V66" s="12"/>
      <c r="W66" s="12"/>
      <c r="X66" s="12"/>
      <c r="Y66" s="12"/>
      <c r="Z66" s="17"/>
    </row>
    <row r="67" spans="5:41" x14ac:dyDescent="0.25">
      <c r="E67" s="16" t="s">
        <v>112</v>
      </c>
      <c r="F67" s="132">
        <f t="shared" si="0"/>
        <v>116.184</v>
      </c>
      <c r="G67" s="132">
        <f t="shared" si="1"/>
        <v>111.124</v>
      </c>
      <c r="H67" s="12"/>
      <c r="I67" s="12"/>
      <c r="J67" s="12"/>
      <c r="K67" s="12">
        <f>SUMIFS($C$4:$C$22,$B$4:$B$22,K$26)</f>
        <v>5.0599999999999996</v>
      </c>
      <c r="L67" s="12">
        <f>SUMIFS($C$4:$C$22,$B$4:$B$22,L$26)</f>
        <v>77.573999999999998</v>
      </c>
      <c r="M67" s="12"/>
      <c r="N67" s="12"/>
      <c r="O67" s="12"/>
      <c r="P67" s="12"/>
      <c r="Q67" s="12"/>
      <c r="R67" s="12"/>
      <c r="S67" s="12"/>
      <c r="T67" s="12"/>
      <c r="U67" s="12">
        <f>SUMIFS($C$4:$C$22,$B$4:$B$22,U$26)</f>
        <v>33.549999999999997</v>
      </c>
      <c r="V67" s="12"/>
      <c r="W67" s="12"/>
      <c r="X67" s="12"/>
      <c r="Y67" s="12"/>
      <c r="Z67" s="17"/>
    </row>
    <row r="68" spans="5:41" x14ac:dyDescent="0.25">
      <c r="E68" s="16" t="s">
        <v>113</v>
      </c>
      <c r="F68" s="132">
        <f t="shared" si="0"/>
        <v>290.64600000000002</v>
      </c>
      <c r="G68" s="132">
        <f t="shared" si="1"/>
        <v>270.40800000000002</v>
      </c>
      <c r="H68" s="12"/>
      <c r="I68" s="12"/>
      <c r="J68" s="12"/>
      <c r="K68" s="12"/>
      <c r="L68" s="12"/>
      <c r="M68" s="12"/>
      <c r="N68" s="12">
        <f>SUMIFS($C$4:$C$22,$B$4:$B$22,N$26)</f>
        <v>20.238000000000003</v>
      </c>
      <c r="O68" s="12">
        <f>SUMIFS($C$4:$C$22,$B$4:$B$22,O$26)</f>
        <v>81.393000000000001</v>
      </c>
      <c r="P68" s="12"/>
      <c r="Q68" s="12">
        <f>SUMIFS($C$4:$C$22,$B$4:$B$22,Q$26)</f>
        <v>77.475000000000009</v>
      </c>
      <c r="R68" s="12"/>
      <c r="S68" s="12">
        <f>SUMIFS($C$4:$C$22,$B$4:$B$22,S$26)</f>
        <v>77.989999999999995</v>
      </c>
      <c r="T68" s="12"/>
      <c r="U68" s="12">
        <f>SUMIFS($C$4:$C$22,$B$4:$B$22,U$26)</f>
        <v>33.549999999999997</v>
      </c>
      <c r="V68" s="12"/>
      <c r="W68" s="12"/>
      <c r="X68" s="12"/>
      <c r="Y68" s="12"/>
      <c r="Z68" s="17"/>
    </row>
    <row r="69" spans="5:41" x14ac:dyDescent="0.25">
      <c r="E69" s="16" t="s">
        <v>114</v>
      </c>
      <c r="F69" s="132">
        <f t="shared" si="0"/>
        <v>253.846</v>
      </c>
      <c r="G69" s="132">
        <f t="shared" si="1"/>
        <v>248.73600000000002</v>
      </c>
      <c r="H69" s="12"/>
      <c r="I69" s="12"/>
      <c r="J69" s="12"/>
      <c r="K69" s="12"/>
      <c r="L69" s="12"/>
      <c r="M69" s="12"/>
      <c r="N69" s="12"/>
      <c r="O69" s="12"/>
      <c r="P69" s="12"/>
      <c r="Q69" s="12"/>
      <c r="R69" s="12"/>
      <c r="S69" s="12"/>
      <c r="T69" s="12"/>
      <c r="U69" s="12">
        <f>SUMIFS($C$4:$C$22,$B$4:$B$22,U$26)</f>
        <v>33.549999999999997</v>
      </c>
      <c r="V69" s="12"/>
      <c r="W69" s="12">
        <f>SUMIFS($C$4:$C$22,$B$4:$B$22,W$26)</f>
        <v>5.1099999999999994</v>
      </c>
      <c r="X69" s="12">
        <f>SUMIFS($C$4:$C$22,$B$4:$B$22,X$26)</f>
        <v>124.952</v>
      </c>
      <c r="Y69" s="12"/>
      <c r="Z69" s="17">
        <f>SUMIFS($C$4:$C$22,$B$4:$B$22,Z$26)</f>
        <v>90.234000000000009</v>
      </c>
    </row>
    <row r="70" spans="5:41" ht="15.75" thickBot="1" x14ac:dyDescent="0.3">
      <c r="E70" s="18" t="s">
        <v>115</v>
      </c>
      <c r="F70" s="139">
        <f t="shared" si="0"/>
        <v>235.214</v>
      </c>
      <c r="G70" s="139">
        <f t="shared" si="1"/>
        <v>235.214</v>
      </c>
      <c r="H70" s="19"/>
      <c r="I70" s="19"/>
      <c r="J70" s="19"/>
      <c r="K70" s="19"/>
      <c r="L70" s="19"/>
      <c r="M70" s="19"/>
      <c r="N70" s="19"/>
      <c r="O70" s="19"/>
      <c r="P70" s="19"/>
      <c r="Q70" s="19"/>
      <c r="R70" s="19">
        <f>SUMIFS($C$4:$C$22,$B$4:$B$22,R$26)</f>
        <v>123.67399999999999</v>
      </c>
      <c r="S70" s="19">
        <f>SUMIFS($C$4:$C$22,$B$4:$B$22,S$26)</f>
        <v>77.989999999999995</v>
      </c>
      <c r="T70" s="19"/>
      <c r="U70" s="19">
        <f>SUMIFS($C$4:$C$22,$B$4:$B$22,U$26)</f>
        <v>33.549999999999997</v>
      </c>
      <c r="V70" s="19"/>
      <c r="W70" s="19"/>
      <c r="X70" s="19"/>
      <c r="Y70" s="19"/>
      <c r="Z70" s="20"/>
    </row>
    <row r="71" spans="5:41" ht="15.75" thickBot="1" x14ac:dyDescent="0.3"/>
    <row r="72" spans="5:41" ht="15.75" thickBot="1" x14ac:dyDescent="0.3">
      <c r="G72" s="90" t="s">
        <v>313</v>
      </c>
      <c r="H72" s="133">
        <v>1</v>
      </c>
      <c r="I72" s="133">
        <v>1</v>
      </c>
      <c r="J72" s="133">
        <v>1</v>
      </c>
      <c r="K72" s="133">
        <v>0</v>
      </c>
      <c r="L72" s="133">
        <v>1</v>
      </c>
      <c r="M72" s="133">
        <v>1</v>
      </c>
      <c r="N72" s="133">
        <v>0</v>
      </c>
      <c r="O72" s="133">
        <v>1</v>
      </c>
      <c r="P72" s="133">
        <v>0</v>
      </c>
      <c r="Q72" s="133">
        <v>1</v>
      </c>
      <c r="R72" s="133">
        <v>1</v>
      </c>
      <c r="S72" s="133">
        <v>1</v>
      </c>
      <c r="T72" s="133">
        <v>0</v>
      </c>
      <c r="U72" s="133">
        <v>1</v>
      </c>
      <c r="V72" s="133">
        <v>1</v>
      </c>
      <c r="W72" s="133">
        <v>0</v>
      </c>
      <c r="X72" s="133">
        <v>1</v>
      </c>
      <c r="Y72" s="133">
        <v>0</v>
      </c>
      <c r="Z72" s="133">
        <v>1</v>
      </c>
    </row>
    <row r="73" spans="5:41" x14ac:dyDescent="0.25"/>
    <row r="74" spans="5:41" ht="15.75" thickBot="1" x14ac:dyDescent="0.3"/>
    <row r="75" spans="5:41" ht="15.75" thickBot="1" x14ac:dyDescent="0.3">
      <c r="AB75" s="200" t="s">
        <v>132</v>
      </c>
      <c r="AC75" s="201"/>
      <c r="AD75" s="201"/>
      <c r="AE75" s="201"/>
      <c r="AF75" s="201"/>
      <c r="AG75" s="201"/>
      <c r="AH75" s="201"/>
      <c r="AI75" s="201"/>
      <c r="AJ75" s="201"/>
      <c r="AK75" s="201"/>
      <c r="AL75" s="201"/>
      <c r="AM75" s="201"/>
      <c r="AN75" s="201"/>
      <c r="AO75" s="202"/>
    </row>
    <row r="76" spans="5:41" ht="15.75" thickBot="1" x14ac:dyDescent="0.3">
      <c r="AB76" s="203" t="s">
        <v>133</v>
      </c>
      <c r="AC76" s="204"/>
      <c r="AD76" s="204"/>
      <c r="AE76" s="204"/>
      <c r="AF76" s="204"/>
      <c r="AG76" s="204"/>
      <c r="AH76" s="204"/>
      <c r="AI76" s="204"/>
      <c r="AJ76" s="204"/>
      <c r="AK76" s="204"/>
      <c r="AL76" s="204"/>
      <c r="AM76" s="204"/>
      <c r="AN76" s="204"/>
      <c r="AO76" s="205"/>
    </row>
    <row r="77" spans="5:41" x14ac:dyDescent="0.25">
      <c r="AB77" s="206" t="s">
        <v>134</v>
      </c>
      <c r="AC77" s="257">
        <v>2010</v>
      </c>
      <c r="AD77" s="257">
        <v>2011</v>
      </c>
      <c r="AE77" s="257">
        <v>2012</v>
      </c>
      <c r="AF77" s="257">
        <v>2013</v>
      </c>
      <c r="AG77" s="257">
        <v>2014</v>
      </c>
      <c r="AH77" s="257">
        <v>2015</v>
      </c>
      <c r="AI77" s="257">
        <v>2016</v>
      </c>
      <c r="AJ77" s="257">
        <v>2017</v>
      </c>
      <c r="AK77" s="257">
        <v>2018</v>
      </c>
      <c r="AL77" s="257">
        <v>2019</v>
      </c>
      <c r="AM77" s="257">
        <v>2020</v>
      </c>
      <c r="AN77" s="257">
        <v>2021</v>
      </c>
      <c r="AO77" s="258">
        <v>2022</v>
      </c>
    </row>
    <row r="78" spans="5:41" x14ac:dyDescent="0.25">
      <c r="AB78" s="207" t="s">
        <v>141</v>
      </c>
      <c r="AC78" s="59">
        <v>29769.659729999999</v>
      </c>
      <c r="AD78" s="59">
        <v>1058.2126500000002</v>
      </c>
      <c r="AE78" s="59">
        <v>1605.7587699999997</v>
      </c>
      <c r="AF78" s="59">
        <v>48650.53499</v>
      </c>
      <c r="AG78" s="59">
        <v>1147.6506899999997</v>
      </c>
      <c r="AH78" s="59">
        <v>5269.2430400000003</v>
      </c>
      <c r="AI78" s="59">
        <v>1854.1760300000001</v>
      </c>
      <c r="AJ78" s="208">
        <v>602.09496999999999</v>
      </c>
      <c r="AK78" s="208">
        <v>260.20187000000004</v>
      </c>
      <c r="AL78" s="208">
        <v>893.33333333333326</v>
      </c>
      <c r="AM78" s="208">
        <v>4243.333333333333</v>
      </c>
      <c r="AN78" s="208">
        <v>5112.333333333333</v>
      </c>
      <c r="AO78" s="60">
        <v>5036.0000000000009</v>
      </c>
    </row>
    <row r="79" spans="5:41" x14ac:dyDescent="0.25">
      <c r="AB79" s="207" t="s">
        <v>135</v>
      </c>
      <c r="AC79" s="59">
        <v>28623.402419999999</v>
      </c>
      <c r="AD79" s="59">
        <v>1224.6314600000001</v>
      </c>
      <c r="AE79" s="59">
        <v>718.21931999999993</v>
      </c>
      <c r="AF79" s="59">
        <v>90.068209999999979</v>
      </c>
      <c r="AG79" s="59">
        <v>208.36834999999999</v>
      </c>
      <c r="AH79" s="59">
        <v>27.780890000000003</v>
      </c>
      <c r="AI79" s="59">
        <v>696.51856000000009</v>
      </c>
      <c r="AJ79" s="208">
        <v>811.04885000000013</v>
      </c>
      <c r="AK79" s="208">
        <v>260.20187000000004</v>
      </c>
      <c r="AL79" s="208">
        <v>893.33333333333326</v>
      </c>
      <c r="AM79" s="208">
        <v>1243.3333333333333</v>
      </c>
      <c r="AN79" s="208">
        <v>1208.3333333333335</v>
      </c>
      <c r="AO79" s="60">
        <v>749.99999999999989</v>
      </c>
    </row>
    <row r="80" spans="5:41" ht="15.75" thickBot="1" x14ac:dyDescent="0.3">
      <c r="AB80" s="209" t="s">
        <v>136</v>
      </c>
      <c r="AC80" s="210">
        <v>14678.94837</v>
      </c>
      <c r="AD80" s="210">
        <v>7936.5463699999982</v>
      </c>
      <c r="AE80" s="210">
        <v>170.59281999999999</v>
      </c>
      <c r="AF80" s="210">
        <v>317.40901000000008</v>
      </c>
      <c r="AG80" s="210">
        <v>3544.6787299999996</v>
      </c>
      <c r="AH80" s="210">
        <v>2553.8907300000014</v>
      </c>
      <c r="AI80" s="210">
        <v>1262.61832</v>
      </c>
      <c r="AJ80" s="211">
        <v>3422.7245900000007</v>
      </c>
      <c r="AK80" s="211">
        <v>467.42433</v>
      </c>
      <c r="AL80" s="211">
        <v>1873.3333333333333</v>
      </c>
      <c r="AM80" s="211">
        <v>3933.333333333333</v>
      </c>
      <c r="AN80" s="211">
        <v>3539.3333333333335</v>
      </c>
      <c r="AO80" s="212">
        <v>3698.9999999999995</v>
      </c>
    </row>
    <row r="81" spans="28:41" ht="15.75" thickBot="1" x14ac:dyDescent="0.3">
      <c r="AB81" s="213" t="s">
        <v>42</v>
      </c>
      <c r="AC81" s="214">
        <f t="shared" ref="AC81:AO81" si="14">SUM(AC78:AC80)</f>
        <v>73072.010519999996</v>
      </c>
      <c r="AD81" s="214">
        <f t="shared" si="14"/>
        <v>10219.390479999998</v>
      </c>
      <c r="AE81" s="214">
        <f t="shared" si="14"/>
        <v>2494.5709099999995</v>
      </c>
      <c r="AF81" s="214">
        <f t="shared" si="14"/>
        <v>49058.012210000001</v>
      </c>
      <c r="AG81" s="214">
        <f t="shared" si="14"/>
        <v>4900.6977699999989</v>
      </c>
      <c r="AH81" s="214">
        <f t="shared" si="14"/>
        <v>7850.9146600000022</v>
      </c>
      <c r="AI81" s="214">
        <f t="shared" si="14"/>
        <v>3813.3129100000001</v>
      </c>
      <c r="AJ81" s="214">
        <f t="shared" si="14"/>
        <v>4835.8684100000009</v>
      </c>
      <c r="AK81" s="214">
        <f t="shared" si="14"/>
        <v>987.82807000000003</v>
      </c>
      <c r="AL81" s="214">
        <f t="shared" si="14"/>
        <v>3660</v>
      </c>
      <c r="AM81" s="214">
        <f t="shared" si="14"/>
        <v>9420</v>
      </c>
      <c r="AN81" s="214">
        <f t="shared" si="14"/>
        <v>9860</v>
      </c>
      <c r="AO81" s="215">
        <f t="shared" si="14"/>
        <v>9485</v>
      </c>
    </row>
    <row r="82" spans="28:41" x14ac:dyDescent="0.25"/>
    <row r="83" spans="28:41" x14ac:dyDescent="0.25">
      <c r="AC83" s="220">
        <v>2010</v>
      </c>
      <c r="AD83" s="220">
        <v>2011</v>
      </c>
      <c r="AE83" s="220">
        <v>2012</v>
      </c>
      <c r="AF83" s="220">
        <v>2013</v>
      </c>
      <c r="AG83" s="220">
        <v>2014</v>
      </c>
      <c r="AH83" s="220">
        <v>2015</v>
      </c>
      <c r="AI83" s="220">
        <v>2016</v>
      </c>
      <c r="AJ83" s="220">
        <v>2017</v>
      </c>
      <c r="AK83" s="220">
        <v>2018</v>
      </c>
      <c r="AL83" s="220">
        <v>2019</v>
      </c>
      <c r="AM83" s="220">
        <v>2020</v>
      </c>
      <c r="AN83" s="220">
        <v>2021</v>
      </c>
      <c r="AO83" s="220">
        <v>2022</v>
      </c>
    </row>
    <row r="84" spans="28:41" x14ac:dyDescent="0.25">
      <c r="AB84" s="216" t="s">
        <v>175</v>
      </c>
      <c r="AC84" s="218">
        <v>0.64347551754240229</v>
      </c>
      <c r="AD84" s="218">
        <v>-0.26957289323463751</v>
      </c>
      <c r="AE84" s="218">
        <v>-0.39756696002184455</v>
      </c>
      <c r="AF84" s="218">
        <v>2.2670481296140688</v>
      </c>
      <c r="AG84" s="218">
        <v>0.95137587962574877</v>
      </c>
      <c r="AH84" s="218">
        <v>1.93644154037544</v>
      </c>
      <c r="AI84" s="218">
        <v>1.6</v>
      </c>
      <c r="AJ84" s="218">
        <v>1.5</v>
      </c>
      <c r="AK84" s="218">
        <v>1.4</v>
      </c>
      <c r="AL84" s="218">
        <v>1.4</v>
      </c>
      <c r="AM84" s="218">
        <v>1.5</v>
      </c>
      <c r="AN84" s="218">
        <v>1.5</v>
      </c>
      <c r="AO84" s="218">
        <v>1.5</v>
      </c>
    </row>
    <row r="85" spans="28:41" x14ac:dyDescent="0.25">
      <c r="AB85" s="219" t="s">
        <v>174</v>
      </c>
      <c r="AC85" s="217">
        <f t="shared" ref="AC85:AJ85" si="15">+AD85/(1+AD84/100)</f>
        <v>0.90217187049931724</v>
      </c>
      <c r="AD85" s="217">
        <f t="shared" si="15"/>
        <v>0.89973985968606318</v>
      </c>
      <c r="AE85" s="217">
        <f t="shared" si="15"/>
        <v>0.89616279127780452</v>
      </c>
      <c r="AF85" s="217">
        <f t="shared" si="15"/>
        <v>0.91647923307576518</v>
      </c>
      <c r="AG85" s="217">
        <f t="shared" si="15"/>
        <v>0.925198395441027</v>
      </c>
      <c r="AH85" s="217">
        <f t="shared" si="15"/>
        <v>0.94311432150123409</v>
      </c>
      <c r="AI85" s="217">
        <f t="shared" si="15"/>
        <v>0.95820415064525388</v>
      </c>
      <c r="AJ85" s="217">
        <f t="shared" si="15"/>
        <v>0.9725772129049326</v>
      </c>
      <c r="AK85" s="217">
        <f>+AL85/(1+AL84/100)</f>
        <v>0.98619329388560162</v>
      </c>
      <c r="AL85" s="219">
        <v>1</v>
      </c>
      <c r="AM85" s="217">
        <f>+AL85*(1+AM84/100)</f>
        <v>1.0149999999999999</v>
      </c>
      <c r="AN85" s="217">
        <f t="shared" ref="AN85:AO85" si="16">+AM85*(1+AN84/100)</f>
        <v>1.0302249999999997</v>
      </c>
      <c r="AO85" s="217">
        <f t="shared" si="16"/>
        <v>1.0456783749999996</v>
      </c>
    </row>
    <row r="86" spans="28:41" x14ac:dyDescent="0.25">
      <c r="AB86" s="219" t="s">
        <v>173</v>
      </c>
      <c r="AC86" s="370">
        <f t="shared" ref="AC86:AO86" si="17">1/AC85</f>
        <v>1.1084362444669646</v>
      </c>
      <c r="AD86" s="370">
        <f t="shared" si="17"/>
        <v>1.111432364849235</v>
      </c>
      <c r="AE86" s="370">
        <f t="shared" si="17"/>
        <v>1.1158686900782144</v>
      </c>
      <c r="AF86" s="370">
        <f t="shared" si="17"/>
        <v>1.0911321979920194</v>
      </c>
      <c r="AG86" s="370">
        <f t="shared" si="17"/>
        <v>1.0808492588482239</v>
      </c>
      <c r="AH86" s="370">
        <f t="shared" si="17"/>
        <v>1.0603168430399998</v>
      </c>
      <c r="AI86" s="370">
        <f t="shared" si="17"/>
        <v>1.0436189399999998</v>
      </c>
      <c r="AJ86" s="370">
        <f t="shared" si="17"/>
        <v>1.0281959999999999</v>
      </c>
      <c r="AK86" s="370">
        <f t="shared" si="17"/>
        <v>1.014</v>
      </c>
      <c r="AL86" s="371">
        <f t="shared" si="17"/>
        <v>1</v>
      </c>
      <c r="AM86" s="370">
        <f t="shared" si="17"/>
        <v>0.98522167487684742</v>
      </c>
      <c r="AN86" s="370">
        <f t="shared" si="17"/>
        <v>0.9706617486471405</v>
      </c>
      <c r="AO86" s="370">
        <f t="shared" si="17"/>
        <v>0.95631699374102519</v>
      </c>
    </row>
    <row r="87" spans="28:41" ht="15.75" thickBot="1" x14ac:dyDescent="0.3"/>
    <row r="88" spans="28:41" ht="15.75" thickBot="1" x14ac:dyDescent="0.3">
      <c r="AB88" s="221" t="s">
        <v>142</v>
      </c>
      <c r="AC88" s="180"/>
      <c r="AD88" s="180"/>
      <c r="AE88" s="180"/>
      <c r="AF88" s="180"/>
      <c r="AG88" s="222"/>
    </row>
    <row r="89" spans="28:41" ht="15.75" thickBot="1" x14ac:dyDescent="0.3">
      <c r="AB89" s="203"/>
      <c r="AC89" s="204"/>
      <c r="AD89" s="204"/>
      <c r="AE89" s="204"/>
      <c r="AF89" s="444" t="s">
        <v>133</v>
      </c>
      <c r="AG89" s="230" t="s">
        <v>28</v>
      </c>
    </row>
    <row r="90" spans="28:41" x14ac:dyDescent="0.25">
      <c r="AB90" s="121" t="s">
        <v>141</v>
      </c>
      <c r="AC90" s="223"/>
      <c r="AD90" s="223"/>
      <c r="AE90" s="224"/>
      <c r="AF90" s="57">
        <f>SUMPRODUCT(AC78:AO78,$AC$86:$AO$86)</f>
        <v>113547.67293325486</v>
      </c>
      <c r="AG90" s="79">
        <f>+AF90/$AF$93</f>
        <v>0.55708879725643323</v>
      </c>
      <c r="AJ90" s="254"/>
      <c r="AL90" s="254"/>
    </row>
    <row r="91" spans="28:41" x14ac:dyDescent="0.25">
      <c r="AB91" s="123" t="s">
        <v>135</v>
      </c>
      <c r="AC91" s="225"/>
      <c r="AD91" s="225"/>
      <c r="AE91" s="226"/>
      <c r="AF91" s="59">
        <f>SUMPRODUCT(AC79:AO79,$AC$86:$AO$86)</f>
        <v>40075.772634788416</v>
      </c>
      <c r="AG91" s="234">
        <f t="shared" ref="AG91:AG92" si="18">+AF91/$AF$93</f>
        <v>0.19662018075315382</v>
      </c>
      <c r="AJ91" s="254"/>
      <c r="AL91" s="254"/>
    </row>
    <row r="92" spans="28:41" ht="15.75" thickBot="1" x14ac:dyDescent="0.3">
      <c r="AB92" s="128" t="s">
        <v>136</v>
      </c>
      <c r="AC92" s="232"/>
      <c r="AD92" s="232"/>
      <c r="AE92" s="233"/>
      <c r="AF92" s="61">
        <f>SUMPRODUCT(AC80:AO80,$AC$86:$AO$86)</f>
        <v>50199.847042502231</v>
      </c>
      <c r="AG92" s="80">
        <f t="shared" si="18"/>
        <v>0.24629102199041294</v>
      </c>
      <c r="AJ92" s="254"/>
    </row>
    <row r="93" spans="28:41" ht="15.75" thickBot="1" x14ac:dyDescent="0.3">
      <c r="AB93" s="227" t="s">
        <v>42</v>
      </c>
      <c r="AC93" s="228"/>
      <c r="AD93" s="228"/>
      <c r="AE93" s="229"/>
      <c r="AF93" s="214">
        <f>SUM(AF90:AF92)</f>
        <v>203823.2926105455</v>
      </c>
      <c r="AG93" s="231">
        <f>SUM(AG90:AG92)</f>
        <v>1</v>
      </c>
      <c r="AI93" s="1"/>
      <c r="AJ93" s="255"/>
    </row>
    <row r="94" spans="28:41" x14ac:dyDescent="0.25"/>
    <row r="95" spans="28:41" ht="15.75" thickBot="1" x14ac:dyDescent="0.3"/>
    <row r="96" spans="28:41" ht="15.75" thickBot="1" x14ac:dyDescent="0.3">
      <c r="AB96" s="373" t="s">
        <v>172</v>
      </c>
      <c r="AC96" s="281"/>
      <c r="AD96" s="281"/>
      <c r="AE96" s="281"/>
      <c r="AF96" s="281"/>
      <c r="AG96" s="281"/>
      <c r="AH96" s="281"/>
      <c r="AI96" s="281"/>
      <c r="AJ96" s="281"/>
      <c r="AK96" s="281"/>
      <c r="AL96" s="281"/>
      <c r="AM96" s="281"/>
      <c r="AN96" s="281"/>
      <c r="AO96" s="272"/>
    </row>
    <row r="97" spans="28:41" ht="15.75" thickBot="1" x14ac:dyDescent="0.3">
      <c r="AB97" s="374" t="s">
        <v>133</v>
      </c>
      <c r="AC97" s="180"/>
      <c r="AD97" s="180"/>
      <c r="AE97" s="180"/>
      <c r="AF97" s="180"/>
      <c r="AG97" s="180"/>
      <c r="AH97" s="180"/>
      <c r="AI97" s="180"/>
      <c r="AJ97" s="180"/>
      <c r="AK97" s="180"/>
      <c r="AL97" s="180"/>
      <c r="AM97" s="180"/>
      <c r="AN97" s="180"/>
      <c r="AO97" s="222"/>
    </row>
    <row r="98" spans="28:41" x14ac:dyDescent="0.25">
      <c r="AB98" s="206" t="s">
        <v>134</v>
      </c>
      <c r="AC98" s="257">
        <v>2010</v>
      </c>
      <c r="AD98" s="257">
        <v>2011</v>
      </c>
      <c r="AE98" s="257">
        <v>2012</v>
      </c>
      <c r="AF98" s="257">
        <v>2013</v>
      </c>
      <c r="AG98" s="257">
        <v>2014</v>
      </c>
      <c r="AH98" s="257">
        <v>2015</v>
      </c>
      <c r="AI98" s="257">
        <v>2016</v>
      </c>
      <c r="AJ98" s="257">
        <v>2017</v>
      </c>
      <c r="AK98" s="257">
        <v>2018</v>
      </c>
      <c r="AL98" s="257">
        <v>2019</v>
      </c>
      <c r="AM98" s="257">
        <v>2020</v>
      </c>
      <c r="AN98" s="257">
        <v>2021</v>
      </c>
      <c r="AO98" s="258">
        <v>2022</v>
      </c>
    </row>
    <row r="99" spans="28:41" x14ac:dyDescent="0.25">
      <c r="AB99" s="207" t="s">
        <v>141</v>
      </c>
      <c r="AC99" s="59">
        <f t="shared" ref="AC99:AO99" si="19">+AC78/AC$85</f>
        <v>32997.76983018063</v>
      </c>
      <c r="AD99" s="59">
        <f t="shared" si="19"/>
        <v>1176.1317881028758</v>
      </c>
      <c r="AE99" s="59">
        <f t="shared" si="19"/>
        <v>1791.8159352615044</v>
      </c>
      <c r="AF99" s="59">
        <f t="shared" si="19"/>
        <v>53084.16517712635</v>
      </c>
      <c r="AG99" s="59">
        <f t="shared" si="19"/>
        <v>1240.4373977031526</v>
      </c>
      <c r="AH99" s="59">
        <f t="shared" si="19"/>
        <v>5587.067145383292</v>
      </c>
      <c r="AI99" s="59">
        <f t="shared" si="19"/>
        <v>1935.0532230020081</v>
      </c>
      <c r="AJ99" s="208">
        <f t="shared" si="19"/>
        <v>619.07163977411994</v>
      </c>
      <c r="AK99" s="208">
        <f t="shared" si="19"/>
        <v>263.84469618000003</v>
      </c>
      <c r="AL99" s="208">
        <f t="shared" si="19"/>
        <v>893.33333333333326</v>
      </c>
      <c r="AM99" s="208">
        <f t="shared" si="19"/>
        <v>4180.6239737274218</v>
      </c>
      <c r="AN99" s="208">
        <f t="shared" si="19"/>
        <v>4962.3464130003977</v>
      </c>
      <c r="AO99" s="60">
        <f t="shared" si="19"/>
        <v>4816.0123804798041</v>
      </c>
    </row>
    <row r="100" spans="28:41" x14ac:dyDescent="0.25">
      <c r="AB100" s="207" t="s">
        <v>135</v>
      </c>
      <c r="AC100" s="59">
        <f t="shared" ref="AC100:AO100" si="20">+AC79/AC$85</f>
        <v>31727.216682291426</v>
      </c>
      <c r="AD100" s="59">
        <f t="shared" si="20"/>
        <v>1361.0950396565713</v>
      </c>
      <c r="AE100" s="59">
        <f t="shared" si="20"/>
        <v>801.43845179726577</v>
      </c>
      <c r="AF100" s="59">
        <f t="shared" si="20"/>
        <v>98.276323946506764</v>
      </c>
      <c r="AG100" s="59">
        <f t="shared" si="20"/>
        <v>225.21477666492731</v>
      </c>
      <c r="AH100" s="59">
        <f t="shared" si="20"/>
        <v>29.456545581641507</v>
      </c>
      <c r="AI100" s="59">
        <f t="shared" si="20"/>
        <v>726.89996127752636</v>
      </c>
      <c r="AJ100" s="208">
        <f t="shared" si="20"/>
        <v>833.91718337460009</v>
      </c>
      <c r="AK100" s="208">
        <f t="shared" si="20"/>
        <v>263.84469618000003</v>
      </c>
      <c r="AL100" s="208">
        <f t="shared" si="20"/>
        <v>893.33333333333326</v>
      </c>
      <c r="AM100" s="208">
        <f t="shared" si="20"/>
        <v>1224.9589490968801</v>
      </c>
      <c r="AN100" s="208">
        <f t="shared" si="20"/>
        <v>1172.8829462819615</v>
      </c>
      <c r="AO100" s="60">
        <f t="shared" si="20"/>
        <v>717.23774530576873</v>
      </c>
    </row>
    <row r="101" spans="28:41" ht="15.75" thickBot="1" x14ac:dyDescent="0.3">
      <c r="AB101" s="209" t="s">
        <v>136</v>
      </c>
      <c r="AC101" s="210">
        <f t="shared" ref="AC101:AO101" si="21">+AC80/AC$85</f>
        <v>16270.678403967273</v>
      </c>
      <c r="AD101" s="210">
        <f t="shared" si="21"/>
        <v>8820.9345007447082</v>
      </c>
      <c r="AE101" s="210">
        <f t="shared" si="21"/>
        <v>190.3591865901486</v>
      </c>
      <c r="AF101" s="210">
        <f t="shared" si="21"/>
        <v>346.33519074377097</v>
      </c>
      <c r="AG101" s="210">
        <f t="shared" si="21"/>
        <v>3831.263378175563</v>
      </c>
      <c r="AH101" s="210">
        <f t="shared" si="21"/>
        <v>2707.9333563027221</v>
      </c>
      <c r="AI101" s="210">
        <f t="shared" si="21"/>
        <v>1317.6923927429807</v>
      </c>
      <c r="AJ101" s="211">
        <f t="shared" si="21"/>
        <v>3519.2317325396407</v>
      </c>
      <c r="AK101" s="211">
        <f t="shared" si="21"/>
        <v>473.96827062</v>
      </c>
      <c r="AL101" s="211">
        <f t="shared" si="21"/>
        <v>1873.3333333333333</v>
      </c>
      <c r="AM101" s="211">
        <f t="shared" si="21"/>
        <v>3875.2052545155993</v>
      </c>
      <c r="AN101" s="211">
        <f t="shared" si="21"/>
        <v>3435.495482378446</v>
      </c>
      <c r="AO101" s="212">
        <f t="shared" si="21"/>
        <v>3537.4165598480517</v>
      </c>
    </row>
    <row r="102" spans="28:41" ht="15.75" thickBot="1" x14ac:dyDescent="0.3">
      <c r="AB102" s="213" t="s">
        <v>42</v>
      </c>
      <c r="AC102" s="214">
        <f t="shared" ref="AC102:AO102" si="22">SUM(AC99:AC101)</f>
        <v>80995.664916439331</v>
      </c>
      <c r="AD102" s="214">
        <f t="shared" si="22"/>
        <v>11358.161328504155</v>
      </c>
      <c r="AE102" s="214">
        <f t="shared" si="22"/>
        <v>2783.6135736489186</v>
      </c>
      <c r="AF102" s="214">
        <f t="shared" si="22"/>
        <v>53528.776691816623</v>
      </c>
      <c r="AG102" s="214">
        <f t="shared" si="22"/>
        <v>5296.9155525436427</v>
      </c>
      <c r="AH102" s="214">
        <f t="shared" si="22"/>
        <v>8324.4570472676569</v>
      </c>
      <c r="AI102" s="214">
        <f t="shared" si="22"/>
        <v>3979.6455770225152</v>
      </c>
      <c r="AJ102" s="214">
        <f t="shared" si="22"/>
        <v>4972.2205556883609</v>
      </c>
      <c r="AK102" s="214">
        <f t="shared" si="22"/>
        <v>1001.6576629800001</v>
      </c>
      <c r="AL102" s="214">
        <f t="shared" si="22"/>
        <v>3660</v>
      </c>
      <c r="AM102" s="214">
        <f t="shared" si="22"/>
        <v>9280.7881773399022</v>
      </c>
      <c r="AN102" s="214">
        <f t="shared" si="22"/>
        <v>9570.7248416608054</v>
      </c>
      <c r="AO102" s="215">
        <f t="shared" si="22"/>
        <v>9070.6666856336251</v>
      </c>
    </row>
    <row r="103" spans="28:41" x14ac:dyDescent="0.25"/>
  </sheetData>
  <conditionalFormatting sqref="H62:Z70 H27:Z60">
    <cfRule type="containsBlanks" dxfId="4" priority="6">
      <formula>LEN(TRIM(H27))=0</formula>
    </cfRule>
  </conditionalFormatting>
  <conditionalFormatting sqref="H61:L61 N61 P61 R61:Z61">
    <cfRule type="containsBlanks" dxfId="3" priority="5">
      <formula>LEN(TRIM(H61))=0</formula>
    </cfRule>
  </conditionalFormatting>
  <conditionalFormatting sqref="M61">
    <cfRule type="containsBlanks" dxfId="2" priority="3">
      <formula>LEN(TRIM(M61))=0</formula>
    </cfRule>
  </conditionalFormatting>
  <conditionalFormatting sqref="O61">
    <cfRule type="containsBlanks" dxfId="1" priority="2">
      <formula>LEN(TRIM(O61))=0</formula>
    </cfRule>
  </conditionalFormatting>
  <conditionalFormatting sqref="Q61">
    <cfRule type="containsBlanks" dxfId="0" priority="1">
      <formula>LEN(TRIM(Q61))=0</formula>
    </cfRule>
  </conditionalFormatting>
  <pageMargins left="0.7" right="0.7" top="0.75" bottom="0.75" header="0.3" footer="0.3"/>
  <pageSetup paperSize="9" orientation="portrait" r:id="rId1"/>
  <ignoredErrors>
    <ignoredError sqref="AC81:AO81 AF90:AF92"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F11"/>
  <sheetViews>
    <sheetView showGridLines="0" workbookViewId="0">
      <selection activeCell="L11" sqref="L11"/>
    </sheetView>
  </sheetViews>
  <sheetFormatPr defaultRowHeight="15" x14ac:dyDescent="0.25"/>
  <cols>
    <col min="2" max="2" width="23.5703125" customWidth="1"/>
    <col min="3" max="3" width="48.42578125" customWidth="1"/>
    <col min="4" max="4" width="2.28515625" customWidth="1"/>
    <col min="5" max="5" width="12.140625" bestFit="1" customWidth="1"/>
    <col min="6" max="6" width="10" customWidth="1"/>
  </cols>
  <sheetData>
    <row r="2" spans="2:6" ht="15.75" thickBot="1" x14ac:dyDescent="0.3"/>
    <row r="3" spans="2:6" ht="15.75" thickBot="1" x14ac:dyDescent="0.3">
      <c r="B3" s="319" t="s">
        <v>149</v>
      </c>
      <c r="C3" s="342" t="s">
        <v>150</v>
      </c>
      <c r="D3" s="119"/>
      <c r="E3" s="343" t="s">
        <v>151</v>
      </c>
      <c r="F3" s="120"/>
    </row>
    <row r="4" spans="2:6" ht="30.75" thickBot="1" x14ac:dyDescent="0.3">
      <c r="B4" s="325" t="s">
        <v>152</v>
      </c>
      <c r="C4" s="336" t="s">
        <v>166</v>
      </c>
      <c r="D4" s="337"/>
      <c r="E4" s="335"/>
      <c r="F4" s="326">
        <f>+'RPM inputs'!E22/1000</f>
        <v>92840</v>
      </c>
    </row>
    <row r="5" spans="2:6" ht="30.75" thickBot="1" x14ac:dyDescent="0.3">
      <c r="B5" s="325" t="s">
        <v>153</v>
      </c>
      <c r="C5" s="336" t="s">
        <v>167</v>
      </c>
      <c r="D5" s="337"/>
      <c r="E5" s="335"/>
      <c r="F5" s="326">
        <f>+F4</f>
        <v>92840</v>
      </c>
    </row>
    <row r="6" spans="2:6" x14ac:dyDescent="0.25">
      <c r="B6" s="321" t="s">
        <v>154</v>
      </c>
      <c r="C6" s="333" t="s">
        <v>155</v>
      </c>
      <c r="D6" s="338"/>
      <c r="E6" s="322" t="s">
        <v>156</v>
      </c>
      <c r="F6" s="327">
        <v>1</v>
      </c>
    </row>
    <row r="7" spans="2:6" ht="15.75" thickBot="1" x14ac:dyDescent="0.3">
      <c r="B7" s="323"/>
      <c r="C7" s="334"/>
      <c r="D7" s="339"/>
      <c r="E7" s="324" t="s">
        <v>157</v>
      </c>
      <c r="F7" s="328">
        <v>0</v>
      </c>
    </row>
    <row r="8" spans="2:6" x14ac:dyDescent="0.25">
      <c r="B8" s="321" t="s">
        <v>158</v>
      </c>
      <c r="C8" s="458" t="s">
        <v>159</v>
      </c>
      <c r="D8" s="340"/>
      <c r="E8" s="322" t="s">
        <v>160</v>
      </c>
      <c r="F8" s="329">
        <f>+'RPM inputs'!E23</f>
        <v>0.28000000000000003</v>
      </c>
    </row>
    <row r="9" spans="2:6" ht="15.75" thickBot="1" x14ac:dyDescent="0.3">
      <c r="B9" s="323"/>
      <c r="C9" s="459"/>
      <c r="D9" s="341"/>
      <c r="E9" s="324" t="s">
        <v>161</v>
      </c>
      <c r="F9" s="330">
        <f>1-F8</f>
        <v>0.72</v>
      </c>
    </row>
    <row r="10" spans="2:6" ht="30" x14ac:dyDescent="0.25">
      <c r="B10" s="321" t="s">
        <v>162</v>
      </c>
      <c r="C10" s="458" t="s">
        <v>163</v>
      </c>
      <c r="D10" s="340"/>
      <c r="E10" s="322" t="s">
        <v>165</v>
      </c>
      <c r="F10" s="331">
        <f>CAA!F7/SUM(CAA!F7:F8)</f>
        <v>0.99960601381067526</v>
      </c>
    </row>
    <row r="11" spans="2:6" ht="30.75" thickBot="1" x14ac:dyDescent="0.3">
      <c r="B11" s="25"/>
      <c r="C11" s="459"/>
      <c r="D11" s="341"/>
      <c r="E11" s="320" t="s">
        <v>164</v>
      </c>
      <c r="F11" s="332">
        <f>1-F10</f>
        <v>3.9398618932473539E-4</v>
      </c>
    </row>
  </sheetData>
  <mergeCells count="2">
    <mergeCell ref="C8:C9"/>
    <mergeCell ref="C10:C11"/>
  </mergeCells>
  <pageMargins left="0.7" right="0.7" top="0.75" bottom="0.75" header="0.3" footer="0.3"/>
  <pageSetup paperSize="9" orientation="portrait" r:id="rId1"/>
  <ignoredErrors>
    <ignoredError sqref="F10"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P46"/>
  <sheetViews>
    <sheetView showGridLines="0" topLeftCell="D10" zoomScale="80" zoomScaleNormal="80" workbookViewId="0">
      <selection activeCell="L11" sqref="L11"/>
    </sheetView>
  </sheetViews>
  <sheetFormatPr defaultRowHeight="15" x14ac:dyDescent="0.25"/>
  <cols>
    <col min="2" max="2" width="49.28515625" bestFit="1" customWidth="1"/>
    <col min="3" max="3" width="17.5703125" customWidth="1"/>
    <col min="5" max="5" width="5.28515625" customWidth="1"/>
    <col min="6" max="6" width="46.42578125" bestFit="1" customWidth="1"/>
    <col min="7" max="8" width="11.42578125" customWidth="1"/>
    <col min="9" max="12" width="10" customWidth="1"/>
    <col min="16" max="16" width="15.28515625" bestFit="1" customWidth="1"/>
  </cols>
  <sheetData>
    <row r="1" spans="2:12" ht="15.75" thickBot="1" x14ac:dyDescent="0.3"/>
    <row r="2" spans="2:12" ht="15.75" thickBot="1" x14ac:dyDescent="0.3">
      <c r="B2" s="284" t="s">
        <v>182</v>
      </c>
      <c r="C2" s="375" t="s">
        <v>183</v>
      </c>
    </row>
    <row r="3" spans="2:12" x14ac:dyDescent="0.25">
      <c r="B3" s="13" t="s">
        <v>184</v>
      </c>
      <c r="C3" s="376" t="s">
        <v>185</v>
      </c>
    </row>
    <row r="4" spans="2:12" x14ac:dyDescent="0.25">
      <c r="B4" s="16" t="s">
        <v>186</v>
      </c>
      <c r="C4" s="17" t="s">
        <v>185</v>
      </c>
    </row>
    <row r="5" spans="2:12" x14ac:dyDescent="0.25">
      <c r="B5" s="16" t="s">
        <v>187</v>
      </c>
      <c r="C5" s="17" t="s">
        <v>203</v>
      </c>
    </row>
    <row r="6" spans="2:12" x14ac:dyDescent="0.25">
      <c r="B6" s="16" t="s">
        <v>188</v>
      </c>
      <c r="C6" s="17" t="s">
        <v>168</v>
      </c>
    </row>
    <row r="7" spans="2:12" x14ac:dyDescent="0.25">
      <c r="B7" s="16" t="s">
        <v>189</v>
      </c>
      <c r="C7" s="17" t="s">
        <v>169</v>
      </c>
    </row>
    <row r="8" spans="2:12" x14ac:dyDescent="0.25">
      <c r="B8" s="16" t="s">
        <v>190</v>
      </c>
      <c r="C8" s="17" t="s">
        <v>169</v>
      </c>
    </row>
    <row r="9" spans="2:12" x14ac:dyDescent="0.25">
      <c r="B9" s="16" t="s">
        <v>191</v>
      </c>
      <c r="C9" s="17" t="s">
        <v>169</v>
      </c>
    </row>
    <row r="10" spans="2:12" x14ac:dyDescent="0.25">
      <c r="B10" s="16" t="s">
        <v>192</v>
      </c>
      <c r="C10" s="17" t="s">
        <v>169</v>
      </c>
    </row>
    <row r="11" spans="2:12" x14ac:dyDescent="0.25">
      <c r="B11" s="16" t="s">
        <v>193</v>
      </c>
      <c r="C11" s="17" t="s">
        <v>169</v>
      </c>
    </row>
    <row r="12" spans="2:12" ht="15.75" thickBot="1" x14ac:dyDescent="0.3">
      <c r="B12" s="16" t="s">
        <v>194</v>
      </c>
      <c r="C12" s="17" t="s">
        <v>169</v>
      </c>
    </row>
    <row r="13" spans="2:12" ht="15.75" thickBot="1" x14ac:dyDescent="0.3">
      <c r="B13" s="18" t="s">
        <v>195</v>
      </c>
      <c r="C13" s="20" t="s">
        <v>169</v>
      </c>
      <c r="G13" s="398" t="s">
        <v>302</v>
      </c>
      <c r="H13" s="11"/>
      <c r="I13" s="398" t="s">
        <v>202</v>
      </c>
      <c r="J13" s="11"/>
      <c r="K13" s="398" t="s">
        <v>201</v>
      </c>
      <c r="L13" s="11"/>
    </row>
    <row r="14" spans="2:12" ht="15.75" thickBot="1" x14ac:dyDescent="0.3">
      <c r="G14" s="399"/>
      <c r="H14" s="400"/>
      <c r="I14" s="401" t="s">
        <v>181</v>
      </c>
      <c r="J14" s="402"/>
      <c r="K14" s="401" t="s">
        <v>181</v>
      </c>
      <c r="L14" s="400"/>
    </row>
    <row r="15" spans="2:12" ht="15.75" thickBot="1" x14ac:dyDescent="0.3">
      <c r="G15" s="397" t="s">
        <v>160</v>
      </c>
      <c r="H15" s="397" t="s">
        <v>161</v>
      </c>
      <c r="I15" s="397" t="s">
        <v>160</v>
      </c>
      <c r="J15" s="397" t="s">
        <v>161</v>
      </c>
      <c r="K15" s="397" t="s">
        <v>160</v>
      </c>
      <c r="L15" s="397" t="s">
        <v>161</v>
      </c>
    </row>
    <row r="16" spans="2:12" x14ac:dyDescent="0.25">
      <c r="E16" s="386" t="s">
        <v>30</v>
      </c>
      <c r="F16" s="102" t="s">
        <v>116</v>
      </c>
      <c r="G16" s="378">
        <f>+'RPM inputs'!F4</f>
        <v>0.90419775503312938</v>
      </c>
      <c r="H16" s="379">
        <f>+'RPM inputs'!F8</f>
        <v>6.6988626720183478E-2</v>
      </c>
      <c r="I16" s="389">
        <f>+'RPM inputs'!E4/1000000</f>
        <v>114.3224889063724</v>
      </c>
      <c r="J16" s="390">
        <f>'RPM inputs'!E8/1000000</f>
        <v>9.288767901724726E-2</v>
      </c>
      <c r="K16" s="389">
        <f>+G16*I16</f>
        <v>103.37013781894176</v>
      </c>
      <c r="L16" s="390">
        <f t="shared" ref="L16:L26" si="0">+H16*J16</f>
        <v>6.2224180565905963E-3</v>
      </c>
    </row>
    <row r="17" spans="5:16" x14ac:dyDescent="0.25">
      <c r="E17" s="387" t="s">
        <v>31</v>
      </c>
      <c r="F17" s="103" t="s">
        <v>117</v>
      </c>
      <c r="G17" s="380">
        <f>+'RPM inputs'!F5</f>
        <v>0.90419775503312938</v>
      </c>
      <c r="H17" s="381">
        <f>+'RPM inputs'!F9</f>
        <v>6.6988626720183478E-2</v>
      </c>
      <c r="I17" s="391">
        <f>+'RPM inputs'!E5/1000000</f>
        <v>8.5315290228636123</v>
      </c>
      <c r="J17" s="392">
        <f>'RPM inputs'!E9/1000000</f>
        <v>4.2221672280566933E-2</v>
      </c>
      <c r="K17" s="391">
        <f t="shared" ref="K17:K19" si="1">+G17*I17</f>
        <v>7.7141893894732663</v>
      </c>
      <c r="L17" s="392">
        <f t="shared" si="0"/>
        <v>2.8283718439048159E-3</v>
      </c>
    </row>
    <row r="18" spans="5:16" x14ac:dyDescent="0.25">
      <c r="E18" s="387" t="s">
        <v>32</v>
      </c>
      <c r="F18" s="103" t="s">
        <v>118</v>
      </c>
      <c r="G18" s="380">
        <f>+'RPM inputs'!F6</f>
        <v>0.8940959594036697</v>
      </c>
      <c r="H18" s="381">
        <f>+'RPM inputs'!F10</f>
        <v>0</v>
      </c>
      <c r="I18" s="391">
        <f>+'RPM inputs'!E6/1000000</f>
        <v>77.226360380408664</v>
      </c>
      <c r="J18" s="392">
        <f>'RPM inputs'!E10/1000000</f>
        <v>1.445395787909836</v>
      </c>
      <c r="K18" s="391">
        <f t="shared" si="1"/>
        <v>69.047776775575031</v>
      </c>
      <c r="L18" s="392">
        <f t="shared" si="0"/>
        <v>0</v>
      </c>
    </row>
    <row r="19" spans="5:16" x14ac:dyDescent="0.25">
      <c r="E19" s="387" t="s">
        <v>33</v>
      </c>
      <c r="F19" s="103" t="s">
        <v>119</v>
      </c>
      <c r="G19" s="380">
        <f>+'RPM inputs'!F7</f>
        <v>0.49262302658066282</v>
      </c>
      <c r="H19" s="381">
        <f>+'RPM inputs'!F11</f>
        <v>0.28108548364299851</v>
      </c>
      <c r="I19" s="391">
        <f>+'RPM inputs'!E7/1000000</f>
        <v>4.8942436423287683</v>
      </c>
      <c r="J19" s="392">
        <f>'RPM inputs'!E11/1000000</f>
        <v>4.8942436423287683</v>
      </c>
      <c r="K19" s="391">
        <f t="shared" si="1"/>
        <v>2.4110171159071649</v>
      </c>
      <c r="L19" s="392">
        <f t="shared" si="0"/>
        <v>1.3757008412706524</v>
      </c>
    </row>
    <row r="20" spans="5:16" x14ac:dyDescent="0.25">
      <c r="E20" s="387" t="s">
        <v>34</v>
      </c>
      <c r="F20" s="103" t="s">
        <v>120</v>
      </c>
      <c r="G20" s="385" t="s">
        <v>200</v>
      </c>
      <c r="H20" s="381">
        <f>+'RPM inputs'!F12</f>
        <v>0.58863487865516284</v>
      </c>
      <c r="I20" s="393" t="s">
        <v>200</v>
      </c>
      <c r="J20" s="392">
        <f>'RPM inputs'!E12/1000000</f>
        <v>66.686724795415401</v>
      </c>
      <c r="K20" s="393" t="s">
        <v>200</v>
      </c>
      <c r="L20" s="392">
        <f t="shared" si="0"/>
        <v>39.254132157859587</v>
      </c>
    </row>
    <row r="21" spans="5:16" x14ac:dyDescent="0.25">
      <c r="E21" s="387" t="s">
        <v>35</v>
      </c>
      <c r="F21" s="103" t="s">
        <v>121</v>
      </c>
      <c r="G21" s="382" t="s">
        <v>200</v>
      </c>
      <c r="H21" s="381">
        <f>+'RPM inputs'!F13</f>
        <v>0.58863487865516284</v>
      </c>
      <c r="I21" s="394" t="s">
        <v>200</v>
      </c>
      <c r="J21" s="392">
        <f>'RPM inputs'!E13/1000000</f>
        <v>79.763458275401405</v>
      </c>
      <c r="K21" s="394" t="s">
        <v>200</v>
      </c>
      <c r="L21" s="392">
        <f t="shared" si="0"/>
        <v>46.951553583057049</v>
      </c>
    </row>
    <row r="22" spans="5:16" x14ac:dyDescent="0.25">
      <c r="E22" s="387" t="s">
        <v>36</v>
      </c>
      <c r="F22" s="103" t="s">
        <v>122</v>
      </c>
      <c r="G22" s="382" t="s">
        <v>200</v>
      </c>
      <c r="H22" s="381">
        <f>+'RPM inputs'!F14</f>
        <v>0.58863487865516284</v>
      </c>
      <c r="I22" s="394" t="s">
        <v>200</v>
      </c>
      <c r="J22" s="392">
        <f>'RPM inputs'!E14/1000000</f>
        <v>69.210379031935275</v>
      </c>
      <c r="K22" s="394" t="s">
        <v>200</v>
      </c>
      <c r="L22" s="392">
        <f t="shared" si="0"/>
        <v>40.739643063141045</v>
      </c>
    </row>
    <row r="23" spans="5:16" x14ac:dyDescent="0.25">
      <c r="E23" s="387" t="s">
        <v>37</v>
      </c>
      <c r="F23" s="103" t="s">
        <v>123</v>
      </c>
      <c r="G23" s="382" t="s">
        <v>200</v>
      </c>
      <c r="H23" s="381">
        <f>+'RPM inputs'!F15</f>
        <v>0.58863487865516284</v>
      </c>
      <c r="I23" s="394" t="s">
        <v>200</v>
      </c>
      <c r="J23" s="392">
        <f>'RPM inputs'!E15/1000000</f>
        <v>34.031046791914257</v>
      </c>
      <c r="K23" s="394" t="s">
        <v>200</v>
      </c>
      <c r="L23" s="392">
        <f t="shared" si="0"/>
        <v>20.031861098866617</v>
      </c>
    </row>
    <row r="24" spans="5:16" x14ac:dyDescent="0.25">
      <c r="E24" s="387" t="s">
        <v>38</v>
      </c>
      <c r="F24" s="103" t="s">
        <v>124</v>
      </c>
      <c r="G24" s="382" t="s">
        <v>200</v>
      </c>
      <c r="H24" s="381">
        <f>+'RPM inputs'!F16</f>
        <v>0.58863487865516284</v>
      </c>
      <c r="I24" s="394" t="s">
        <v>200</v>
      </c>
      <c r="J24" s="392">
        <f>'RPM inputs'!E16/1000000</f>
        <v>4.7956362217316277</v>
      </c>
      <c r="K24" s="394" t="s">
        <v>200</v>
      </c>
      <c r="L24" s="392">
        <f t="shared" si="0"/>
        <v>2.8228787454533002</v>
      </c>
    </row>
    <row r="25" spans="5:16" x14ac:dyDescent="0.25">
      <c r="E25" s="387" t="s">
        <v>39</v>
      </c>
      <c r="F25" s="103" t="s">
        <v>125</v>
      </c>
      <c r="G25" s="382" t="s">
        <v>200</v>
      </c>
      <c r="H25" s="381">
        <f>+'RPM inputs'!F17</f>
        <v>0.58863487865516284</v>
      </c>
      <c r="I25" s="394" t="s">
        <v>200</v>
      </c>
      <c r="J25" s="392">
        <f>'RPM inputs'!E17/1000000</f>
        <v>29.893276585015574</v>
      </c>
      <c r="K25" s="394" t="s">
        <v>200</v>
      </c>
      <c r="L25" s="392">
        <f t="shared" si="0"/>
        <v>17.596225235225862</v>
      </c>
    </row>
    <row r="26" spans="5:16" ht="15.75" thickBot="1" x14ac:dyDescent="0.3">
      <c r="E26" s="388" t="s">
        <v>40</v>
      </c>
      <c r="F26" s="104" t="s">
        <v>126</v>
      </c>
      <c r="G26" s="383" t="s">
        <v>200</v>
      </c>
      <c r="H26" s="384">
        <f>+'RPM inputs'!F18</f>
        <v>0.58863487865516284</v>
      </c>
      <c r="I26" s="395" t="s">
        <v>200</v>
      </c>
      <c r="J26" s="396">
        <f>'RPM inputs'!E18/1000000</f>
        <v>3.547993388969823</v>
      </c>
      <c r="K26" s="395" t="s">
        <v>200</v>
      </c>
      <c r="L26" s="396">
        <f t="shared" si="0"/>
        <v>2.0884726579855717</v>
      </c>
    </row>
    <row r="28" spans="5:16" ht="15.75" thickBot="1" x14ac:dyDescent="0.3"/>
    <row r="29" spans="5:16" ht="15.75" thickBot="1" x14ac:dyDescent="0.3">
      <c r="N29" s="2" t="s">
        <v>289</v>
      </c>
      <c r="O29" s="93"/>
      <c r="P29" s="94"/>
    </row>
    <row r="30" spans="5:16" ht="15.75" thickBot="1" x14ac:dyDescent="0.3">
      <c r="N30" s="95"/>
      <c r="O30" s="47" t="s">
        <v>4</v>
      </c>
      <c r="P30" s="90" t="s">
        <v>43</v>
      </c>
    </row>
    <row r="31" spans="5:16" x14ac:dyDescent="0.25">
      <c r="N31" s="40" t="s">
        <v>160</v>
      </c>
      <c r="O31" s="13" t="str">
        <f>+E16</f>
        <v>A</v>
      </c>
      <c r="P31" s="246">
        <f>+RPM!U18</f>
        <v>0.13334081341421711</v>
      </c>
    </row>
    <row r="32" spans="5:16" x14ac:dyDescent="0.25">
      <c r="N32" s="41"/>
      <c r="O32" s="166" t="str">
        <f t="shared" ref="O32:O34" si="2">+E17</f>
        <v>B</v>
      </c>
      <c r="P32" s="403">
        <f>+RPM!U19</f>
        <v>0.13048792378243648</v>
      </c>
    </row>
    <row r="33" spans="14:16" x14ac:dyDescent="0.25">
      <c r="N33" s="41"/>
      <c r="O33" s="16" t="str">
        <f t="shared" si="2"/>
        <v>C</v>
      </c>
      <c r="P33" s="247">
        <f>+RPM!U20</f>
        <v>0.12252487118630738</v>
      </c>
    </row>
    <row r="34" spans="14:16" ht="15.75" thickBot="1" x14ac:dyDescent="0.3">
      <c r="N34" s="42"/>
      <c r="O34" s="18" t="str">
        <f t="shared" si="2"/>
        <v>D</v>
      </c>
      <c r="P34" s="248">
        <f>+RPM!U21</f>
        <v>3.5947325851311218E-2</v>
      </c>
    </row>
    <row r="35" spans="14:16" x14ac:dyDescent="0.25">
      <c r="N35" s="40" t="s">
        <v>161</v>
      </c>
      <c r="O35" s="13" t="str">
        <f>+E16</f>
        <v>A</v>
      </c>
      <c r="P35" s="246">
        <f t="array" ref="P35:P45">TRANSPOSE(RPM!C30:M30)</f>
        <v>2.7371623199804053E-2</v>
      </c>
    </row>
    <row r="36" spans="14:16" x14ac:dyDescent="0.25">
      <c r="N36" s="41"/>
      <c r="O36" s="166" t="str">
        <f t="shared" ref="O36:O45" si="3">+E17</f>
        <v>B</v>
      </c>
      <c r="P36" s="403">
        <v>2.9942763627205413E-2</v>
      </c>
    </row>
    <row r="37" spans="14:16" x14ac:dyDescent="0.25">
      <c r="N37" s="41"/>
      <c r="O37" s="166" t="str">
        <f t="shared" si="3"/>
        <v>C</v>
      </c>
      <c r="P37" s="403">
        <v>0</v>
      </c>
    </row>
    <row r="38" spans="14:16" x14ac:dyDescent="0.25">
      <c r="N38" s="41"/>
      <c r="O38" s="166" t="str">
        <f t="shared" si="3"/>
        <v>D</v>
      </c>
      <c r="P38" s="403">
        <v>6.5571557052775342E-2</v>
      </c>
    </row>
    <row r="39" spans="14:16" x14ac:dyDescent="0.25">
      <c r="N39" s="41"/>
      <c r="O39" s="166" t="str">
        <f t="shared" si="3"/>
        <v>E</v>
      </c>
      <c r="P39" s="403">
        <v>0.24139204225637692</v>
      </c>
    </row>
    <row r="40" spans="14:16" x14ac:dyDescent="0.25">
      <c r="N40" s="41"/>
      <c r="O40" s="166" t="str">
        <f t="shared" si="3"/>
        <v>F</v>
      </c>
      <c r="P40" s="403">
        <v>0.28929395189070967</v>
      </c>
    </row>
    <row r="41" spans="14:16" x14ac:dyDescent="0.25">
      <c r="N41" s="41"/>
      <c r="O41" s="166" t="str">
        <f t="shared" si="3"/>
        <v>G</v>
      </c>
      <c r="P41" s="403">
        <v>0.2021326058861912</v>
      </c>
    </row>
    <row r="42" spans="14:16" x14ac:dyDescent="0.25">
      <c r="N42" s="41"/>
      <c r="O42" s="166" t="str">
        <f t="shared" si="3"/>
        <v>H</v>
      </c>
      <c r="P42" s="403">
        <v>0.15318661588125346</v>
      </c>
    </row>
    <row r="43" spans="14:16" x14ac:dyDescent="0.25">
      <c r="N43" s="41"/>
      <c r="O43" s="16" t="str">
        <f t="shared" si="3"/>
        <v>I</v>
      </c>
      <c r="P43" s="247">
        <v>0.3137539721391811</v>
      </c>
    </row>
    <row r="44" spans="14:16" x14ac:dyDescent="0.25">
      <c r="N44" s="41"/>
      <c r="O44" s="16" t="str">
        <f t="shared" si="3"/>
        <v>J</v>
      </c>
      <c r="P44" s="247">
        <v>0.19475568802151857</v>
      </c>
    </row>
    <row r="45" spans="14:16" ht="15.75" thickBot="1" x14ac:dyDescent="0.3">
      <c r="N45" s="42"/>
      <c r="O45" s="18" t="str">
        <f t="shared" si="3"/>
        <v>K</v>
      </c>
      <c r="P45" s="248">
        <v>0.2305609228080816</v>
      </c>
    </row>
    <row r="46" spans="14:16" x14ac:dyDescent="0.25">
      <c r="N46" t="s">
        <v>200</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03877295ADE8D47A7ADD180407FF9F0" ma:contentTypeVersion="1" ma:contentTypeDescription="Criar um novo documento." ma:contentTypeScope="" ma:versionID="bf18b78db7b12d6b2d7ac7995eb7d4a3">
  <xsd:schema xmlns:xsd="http://www.w3.org/2001/XMLSchema" xmlns:p="http://schemas.microsoft.com/office/2006/metadata/properties" xmlns:ns1="http://schemas.microsoft.com/sharepoint/v3" targetNamespace="http://schemas.microsoft.com/office/2006/metadata/properties" ma:root="true" ma:fieldsID="59de9efe013eff66163b65e642feaba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Data de Início do Agendamento" ma:description="" ma:hidden="true" ma:internalName="PublishingStartDate">
      <xsd:simpleType>
        <xsd:restriction base="dms:Unknown"/>
      </xsd:simpleType>
    </xsd:element>
    <xsd:element name="PublishingExpirationDate" ma:index="9" nillable="true" ma:displayName="Data de Fim do Agendamento"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DEB63AE-B31C-4D7C-B2F8-A3B1FC5E480D}"/>
</file>

<file path=customXml/itemProps2.xml><?xml version="1.0" encoding="utf-8"?>
<ds:datastoreItem xmlns:ds="http://schemas.openxmlformats.org/officeDocument/2006/customXml" ds:itemID="{3D482FFA-BCFD-417D-ADEE-B95689AA8C86}"/>
</file>

<file path=customXml/itemProps3.xml><?xml version="1.0" encoding="utf-8"?>
<ds:datastoreItem xmlns:ds="http://schemas.openxmlformats.org/officeDocument/2006/customXml" ds:itemID="{917632F3-C619-4669-9BD7-246A63D65E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1</vt:i4>
      </vt:variant>
    </vt:vector>
  </HeadingPairs>
  <TitlesOfParts>
    <vt:vector size="23" baseType="lpstr">
      <vt:lpstr>Introdução</vt:lpstr>
      <vt:lpstr>Input</vt:lpstr>
      <vt:lpstr>Output</vt:lpstr>
      <vt:lpstr>RPM inputs</vt:lpstr>
      <vt:lpstr>RPM</vt:lpstr>
      <vt:lpstr>Pre-scaling RPM</vt:lpstr>
      <vt:lpstr>Reference prices RPM</vt:lpstr>
      <vt:lpstr>CWDvsRPM</vt:lpstr>
      <vt:lpstr>Tariff Evolution</vt:lpstr>
      <vt:lpstr>CAA</vt:lpstr>
      <vt:lpstr>CWD</vt:lpstr>
      <vt:lpstr>Pre-scaling CWD</vt:lpstr>
      <vt:lpstr>Reference prices CWD</vt:lpstr>
      <vt:lpstr>CWD 28-72</vt:lpstr>
      <vt:lpstr>Pre-scaling CWD 28-72</vt:lpstr>
      <vt:lpstr>Reference prices CWD 28-72</vt:lpstr>
      <vt:lpstr>Data_a</vt:lpstr>
      <vt:lpstr>Data_b</vt:lpstr>
      <vt:lpstr>Data_c</vt:lpstr>
      <vt:lpstr>Data_d</vt:lpstr>
      <vt:lpstr>Article 30</vt:lpstr>
      <vt:lpstr>Quadros</vt:lpstr>
      <vt:lpstr>anos_gás</vt:lpstr>
    </vt:vector>
  </TitlesOfParts>
  <Company>ERSE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Horta</dc:creator>
  <cp:lastModifiedBy>Daniel Horta</cp:lastModifiedBy>
  <cp:lastPrinted>2019-03-15T18:23:53Z</cp:lastPrinted>
  <dcterms:created xsi:type="dcterms:W3CDTF">2019-02-27T11:43:29Z</dcterms:created>
  <dcterms:modified xsi:type="dcterms:W3CDTF">2019-03-18T12:53:42Z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0x010100703877295ADE8D47A7ADD180407FF9F0</vt:lpwstr>
  </property>
</Properties>
</file>