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erse03\dtp\COMUM\TARIFAS GÁS\Ano 2026-2027\Word\NC Tarifas\Art30\Modelo_tarifario_simplificado\4.Versoes PT e EN\"/>
    </mc:Choice>
  </mc:AlternateContent>
  <xr:revisionPtr revIDLastSave="0" documentId="13_ncr:1_{3BA8FBB6-2B00-4062-8C91-FAAA22E7E2CE}" xr6:coauthVersionLast="47" xr6:coauthVersionMax="47" xr10:uidLastSave="{00000000-0000-0000-0000-000000000000}"/>
  <workbookProtection workbookAlgorithmName="SHA-512" workbookHashValue="KATdBrHm2BxrvG7GnTl4iySyxtfnmNFhjKPwX7XdGkh9+aC8sFRzVloCio1IXC2o3Fu6kYDDlSJkyPNMWIMRBA==" workbookSaltValue="PMeScLy84il9MBXA2deGfQ==" workbookSpinCount="100000" lockStructure="1"/>
  <bookViews>
    <workbookView xWindow="-120" yWindow="-120" windowWidth="29040" windowHeight="17790" tabRatio="929" xr2:uid="{00000000-000D-0000-FFFF-FFFF00000000}"/>
  </bookViews>
  <sheets>
    <sheet name="Info" sheetId="49" r:id="rId1"/>
    <sheet name="Input" sheetId="50" r:id="rId2"/>
    <sheet name="Output" sheetId="51" r:id="rId3"/>
    <sheet name="Article 30" sheetId="52" state="hidden" r:id="rId4"/>
    <sheet name="Art30(1)(a)" sheetId="53" state="hidden" r:id="rId5"/>
    <sheet name="Art30(1)(b)(v)" sheetId="54" state="hidden" r:id="rId6"/>
    <sheet name="Art30(2)(a)" sheetId="55" state="hidden" r:id="rId7"/>
    <sheet name="Labels" sheetId="56" state="hidden" r:id="rId8"/>
    <sheet name="RPM &amp; Discounts" sheetId="32" state="hidden" r:id="rId9"/>
    <sheet name="Input data" sheetId="8" state="hidden" r:id="rId10"/>
    <sheet name="Input capacity" sheetId="14" state="hidden" r:id="rId11"/>
    <sheet name="Distance Matrix_Entry" sheetId="6" state="hidden" r:id="rId12"/>
    <sheet name="Distance Matrix_Exit" sheetId="13" state="hidden" r:id="rId13"/>
    <sheet name="Entry Tariff_1" sheetId="18" state="hidden" r:id="rId14"/>
    <sheet name="Entry Tariff_2" sheetId="20" state="hidden" r:id="rId15"/>
    <sheet name="Exit Tariff_1" sheetId="19" state="hidden" r:id="rId16"/>
    <sheet name="Exit Tariff_2" sheetId="21" state="hidden" r:id="rId17"/>
    <sheet name="Reference prices" sheetId="38" state="hidden" r:id="rId18"/>
    <sheet name="A0.Support" sheetId="33" state="hidden" r:id="rId19"/>
    <sheet name="A1.Network points" sheetId="39" state="hidden" r:id="rId20"/>
    <sheet name="A2.Network segments" sheetId="40" state="hidden" r:id="rId21"/>
    <sheet name="A3.Distance matrix" sheetId="43" state="hidden" r:id="rId22"/>
    <sheet name="A4a.CWD Entry Av. Distance" sheetId="29" state="hidden" r:id="rId23"/>
    <sheet name="A4b.CWD Exit Av. Distance" sheetId="30" state="hidden" r:id="rId24"/>
    <sheet name="A5.Counter-factual" sheetId="45" state="hidden" r:id="rId25"/>
    <sheet name="CAA" sheetId="31" state="hidden" r:id="rId26"/>
  </sheets>
  <externalReferences>
    <externalReference r:id="rId27"/>
  </externalReferences>
  <definedNames>
    <definedName name="Discount">'A0.Support'!$B$12:$B$13</definedName>
    <definedName name="List_RPM">'A0.Support'!$B$3:$B$8</definedName>
    <definedName name="YesNo">'[1]A0.Support'!$B$24:$B$25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81" i="8" l="1"/>
  <c r="T49" i="55"/>
  <c r="T50" i="55"/>
  <c r="T57" i="55"/>
  <c r="T58" i="55"/>
  <c r="T59" i="55"/>
  <c r="T60" i="55"/>
  <c r="T61" i="55"/>
  <c r="T62" i="55"/>
  <c r="T63" i="55"/>
  <c r="J4" i="55"/>
  <c r="I4" i="55"/>
  <c r="T38" i="55" s="1"/>
  <c r="H4" i="55"/>
  <c r="S38" i="55" s="1"/>
  <c r="G4" i="55"/>
  <c r="I42" i="53"/>
  <c r="I41" i="53"/>
  <c r="I40" i="53"/>
  <c r="I39" i="53"/>
  <c r="I38" i="53"/>
  <c r="I37" i="53"/>
  <c r="I36" i="53"/>
  <c r="I35" i="53"/>
  <c r="I34" i="53"/>
  <c r="I33" i="53"/>
  <c r="I32" i="53"/>
  <c r="I31" i="53"/>
  <c r="I30" i="53"/>
  <c r="I29" i="53"/>
  <c r="I28" i="53"/>
  <c r="I27" i="53"/>
  <c r="I26" i="53"/>
  <c r="I25" i="53"/>
  <c r="I24" i="53"/>
  <c r="I23" i="53"/>
  <c r="I22" i="53"/>
  <c r="I21" i="53"/>
  <c r="I20" i="53"/>
  <c r="I19" i="53"/>
  <c r="I18" i="53"/>
  <c r="I17" i="53"/>
  <c r="I16" i="53"/>
  <c r="I15" i="53"/>
  <c r="I14" i="53"/>
  <c r="I13" i="53"/>
  <c r="I12" i="53"/>
  <c r="I11" i="53"/>
  <c r="I10" i="53"/>
  <c r="D7" i="53"/>
  <c r="D6" i="53"/>
  <c r="D5" i="53"/>
  <c r="D4" i="53"/>
  <c r="C7" i="53"/>
  <c r="C6" i="53"/>
  <c r="C5" i="53"/>
  <c r="C4" i="53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I41" i="50"/>
  <c r="H41" i="50"/>
  <c r="G41" i="50"/>
  <c r="I40" i="50"/>
  <c r="H40" i="50"/>
  <c r="G40" i="50"/>
  <c r="I39" i="50"/>
  <c r="I38" i="50"/>
  <c r="I37" i="50"/>
  <c r="I36" i="50"/>
  <c r="I35" i="50"/>
  <c r="I34" i="50"/>
  <c r="I33" i="50"/>
  <c r="I32" i="50"/>
  <c r="I31" i="50"/>
  <c r="I30" i="50"/>
  <c r="I29" i="50"/>
  <c r="I28" i="50"/>
  <c r="I27" i="50"/>
  <c r="I26" i="50"/>
  <c r="I25" i="50"/>
  <c r="I24" i="50"/>
  <c r="I23" i="50"/>
  <c r="I22" i="50"/>
  <c r="H22" i="50"/>
  <c r="G22" i="50"/>
  <c r="I21" i="50"/>
  <c r="I20" i="50"/>
  <c r="I19" i="50"/>
  <c r="I18" i="50"/>
  <c r="I17" i="50"/>
  <c r="I16" i="50"/>
  <c r="I15" i="50"/>
  <c r="I14" i="50"/>
  <c r="I13" i="50"/>
  <c r="I12" i="50"/>
  <c r="I11" i="50"/>
  <c r="I10" i="50"/>
  <c r="I4" i="50"/>
  <c r="G9" i="50"/>
  <c r="G4" i="51" s="1"/>
  <c r="F8" i="52"/>
  <c r="G382" i="8" l="1"/>
  <c r="G395" i="8"/>
  <c r="B2" i="56" l="1"/>
  <c r="B103" i="56" s="1"/>
  <c r="U38" i="55"/>
  <c r="C6" i="54"/>
  <c r="H4" i="51"/>
  <c r="I9" i="50"/>
  <c r="I4" i="51" s="1"/>
  <c r="H9" i="50"/>
  <c r="H39" i="50"/>
  <c r="H38" i="50"/>
  <c r="H37" i="50"/>
  <c r="H36" i="50"/>
  <c r="H35" i="50"/>
  <c r="H34" i="50"/>
  <c r="H33" i="50"/>
  <c r="H32" i="50"/>
  <c r="H31" i="50"/>
  <c r="H30" i="50"/>
  <c r="H29" i="50"/>
  <c r="H28" i="50"/>
  <c r="H27" i="50"/>
  <c r="H26" i="50"/>
  <c r="H25" i="50"/>
  <c r="H24" i="50"/>
  <c r="H23" i="50"/>
  <c r="G83" i="8"/>
  <c r="G82" i="8"/>
  <c r="B63" i="56" l="1"/>
  <c r="B72" i="56"/>
  <c r="B3" i="56"/>
  <c r="C9" i="49" s="1"/>
  <c r="B39" i="56"/>
  <c r="H36" i="53" s="1"/>
  <c r="B40" i="56"/>
  <c r="B76" i="56"/>
  <c r="B11" i="56"/>
  <c r="C21" i="49" s="1"/>
  <c r="B47" i="56"/>
  <c r="K21" i="53" s="1"/>
  <c r="B83" i="56"/>
  <c r="B12" i="56"/>
  <c r="D20" i="49" s="1"/>
  <c r="B48" i="56"/>
  <c r="B84" i="56"/>
  <c r="B15" i="56"/>
  <c r="C26" i="49" s="1"/>
  <c r="B51" i="56"/>
  <c r="K5" i="51" s="1"/>
  <c r="K6" i="51" s="1"/>
  <c r="L6" i="55" s="1"/>
  <c r="B87" i="56"/>
  <c r="B28" i="56"/>
  <c r="B64" i="56"/>
  <c r="B35" i="56"/>
  <c r="E12" i="50" s="1"/>
  <c r="E17" i="50" s="1"/>
  <c r="B71" i="56"/>
  <c r="B36" i="56"/>
  <c r="H14" i="53" s="1"/>
  <c r="H27" i="53" s="1"/>
  <c r="B75" i="56"/>
  <c r="B4" i="56"/>
  <c r="C10" i="49" s="1"/>
  <c r="B16" i="56"/>
  <c r="D28" i="49" s="1"/>
  <c r="B52" i="56"/>
  <c r="B88" i="56"/>
  <c r="B23" i="56"/>
  <c r="G10" i="53" s="1"/>
  <c r="B59" i="56"/>
  <c r="L11" i="53" s="1"/>
  <c r="L33" i="53" s="1"/>
  <c r="B95" i="56"/>
  <c r="B96" i="56"/>
  <c r="B99" i="56"/>
  <c r="B24" i="56"/>
  <c r="E9" i="50" s="1"/>
  <c r="E4" i="51" s="1"/>
  <c r="E4" i="55" s="1"/>
  <c r="Q38" i="55" s="1"/>
  <c r="B60" i="56"/>
  <c r="L36" i="53" s="1"/>
  <c r="L42" i="53" s="1"/>
  <c r="B27" i="56"/>
  <c r="G11" i="53" s="1"/>
  <c r="G24" i="53" s="1"/>
  <c r="B100" i="56"/>
  <c r="E7" i="51"/>
  <c r="E7" i="55" s="1"/>
  <c r="Q41" i="55" s="1"/>
  <c r="E25" i="50"/>
  <c r="E20" i="51" s="1"/>
  <c r="E20" i="55" s="1"/>
  <c r="Q54" i="55" s="1"/>
  <c r="K27" i="51"/>
  <c r="L27" i="55" s="1"/>
  <c r="K16" i="51"/>
  <c r="L16" i="55" s="1"/>
  <c r="K35" i="51"/>
  <c r="L35" i="55" s="1"/>
  <c r="K21" i="51"/>
  <c r="L21" i="55" s="1"/>
  <c r="K13" i="51"/>
  <c r="L13" i="55" s="1"/>
  <c r="K17" i="51"/>
  <c r="L17" i="55" s="1"/>
  <c r="K26" i="51"/>
  <c r="L26" i="55" s="1"/>
  <c r="K23" i="51"/>
  <c r="L23" i="55" s="1"/>
  <c r="K15" i="51"/>
  <c r="L15" i="55" s="1"/>
  <c r="K28" i="51"/>
  <c r="L28" i="55" s="1"/>
  <c r="K34" i="51"/>
  <c r="L34" i="55" s="1"/>
  <c r="K31" i="51"/>
  <c r="L31" i="55" s="1"/>
  <c r="K20" i="51"/>
  <c r="L20" i="55" s="1"/>
  <c r="L5" i="55"/>
  <c r="K36" i="51"/>
  <c r="L36" i="55" s="1"/>
  <c r="K33" i="51"/>
  <c r="L33" i="55" s="1"/>
  <c r="K22" i="51"/>
  <c r="L22" i="55" s="1"/>
  <c r="K14" i="51"/>
  <c r="L14" i="55" s="1"/>
  <c r="K11" i="51"/>
  <c r="L11" i="55" s="1"/>
  <c r="K18" i="51"/>
  <c r="L18" i="55" s="1"/>
  <c r="K30" i="51"/>
  <c r="L30" i="55" s="1"/>
  <c r="K8" i="51"/>
  <c r="L8" i="55" s="1"/>
  <c r="L40" i="53"/>
  <c r="L28" i="53"/>
  <c r="L25" i="53"/>
  <c r="L20" i="53"/>
  <c r="L32" i="53"/>
  <c r="L29" i="53"/>
  <c r="L27" i="53"/>
  <c r="L16" i="53"/>
  <c r="L13" i="53"/>
  <c r="L35" i="53"/>
  <c r="L12" i="53"/>
  <c r="L30" i="53"/>
  <c r="L34" i="53"/>
  <c r="H10" i="53"/>
  <c r="K12" i="53"/>
  <c r="K15" i="53"/>
  <c r="L23" i="53"/>
  <c r="B8" i="56"/>
  <c r="C17" i="49" s="1"/>
  <c r="B20" i="56"/>
  <c r="B2" i="50" s="1"/>
  <c r="B32" i="56"/>
  <c r="B44" i="56"/>
  <c r="B56" i="56"/>
  <c r="B6" i="53" s="1"/>
  <c r="B68" i="56"/>
  <c r="B80" i="56"/>
  <c r="B92" i="56"/>
  <c r="K26" i="53"/>
  <c r="K37" i="53"/>
  <c r="K40" i="53"/>
  <c r="B9" i="56"/>
  <c r="C18" i="49" s="1"/>
  <c r="B21" i="56"/>
  <c r="D4" i="50" s="1"/>
  <c r="B33" i="56"/>
  <c r="B45" i="56"/>
  <c r="B57" i="56"/>
  <c r="B7" i="53" s="1"/>
  <c r="B69" i="56"/>
  <c r="B81" i="56"/>
  <c r="B93" i="56"/>
  <c r="E35" i="50"/>
  <c r="E30" i="51" s="1"/>
  <c r="E30" i="55" s="1"/>
  <c r="Q64" i="55" s="1"/>
  <c r="H13" i="53"/>
  <c r="B10" i="56"/>
  <c r="C20" i="49" s="1"/>
  <c r="B22" i="56"/>
  <c r="B7" i="50" s="1"/>
  <c r="B34" i="56"/>
  <c r="B46" i="56"/>
  <c r="K9" i="50" s="1"/>
  <c r="B58" i="56"/>
  <c r="L10" i="53" s="1"/>
  <c r="B70" i="56"/>
  <c r="B82" i="56"/>
  <c r="B94" i="56"/>
  <c r="K10" i="50"/>
  <c r="F9" i="52"/>
  <c r="D6" i="54" s="1"/>
  <c r="K27" i="53"/>
  <c r="K38" i="53"/>
  <c r="K41" i="53"/>
  <c r="B13" i="56"/>
  <c r="D21" i="49" s="1"/>
  <c r="B25" i="56"/>
  <c r="B37" i="56"/>
  <c r="B49" i="56"/>
  <c r="P4" i="50" s="1"/>
  <c r="B61" i="56"/>
  <c r="B73" i="56"/>
  <c r="B85" i="56"/>
  <c r="B97" i="56"/>
  <c r="K30" i="53"/>
  <c r="K33" i="53"/>
  <c r="B14" i="56"/>
  <c r="C23" i="49" s="1"/>
  <c r="B26" i="56"/>
  <c r="B38" i="56"/>
  <c r="B50" i="56"/>
  <c r="B2" i="51" s="1"/>
  <c r="B62" i="56"/>
  <c r="B74" i="56"/>
  <c r="B86" i="56"/>
  <c r="B98" i="56"/>
  <c r="K17" i="53"/>
  <c r="K25" i="53"/>
  <c r="K28" i="53"/>
  <c r="B5" i="56"/>
  <c r="C12" i="49" s="1"/>
  <c r="B17" i="56"/>
  <c r="D29" i="49" s="1"/>
  <c r="B29" i="56"/>
  <c r="B41" i="56"/>
  <c r="B53" i="56"/>
  <c r="P3" i="51" s="1"/>
  <c r="B65" i="56"/>
  <c r="B77" i="56"/>
  <c r="B89" i="56"/>
  <c r="B101" i="56"/>
  <c r="D9" i="50"/>
  <c r="D4" i="51" s="1"/>
  <c r="D4" i="55" s="1"/>
  <c r="P38" i="55" s="1"/>
  <c r="K31" i="53"/>
  <c r="B6" i="56"/>
  <c r="C13" i="49" s="1"/>
  <c r="B18" i="56"/>
  <c r="D30" i="49" s="1"/>
  <c r="B30" i="56"/>
  <c r="B42" i="56"/>
  <c r="B54" i="56"/>
  <c r="B4" i="53" s="1"/>
  <c r="B66" i="56"/>
  <c r="B78" i="56"/>
  <c r="B90" i="56"/>
  <c r="B102" i="56"/>
  <c r="B7" i="56"/>
  <c r="C14" i="49" s="1"/>
  <c r="B19" i="56"/>
  <c r="Q5" i="49" s="1"/>
  <c r="B31" i="56"/>
  <c r="B43" i="56"/>
  <c r="B55" i="56"/>
  <c r="B5" i="53" s="1"/>
  <c r="B67" i="56"/>
  <c r="B79" i="56"/>
  <c r="B91" i="56"/>
  <c r="H21" i="50"/>
  <c r="H20" i="50"/>
  <c r="H19" i="50"/>
  <c r="H18" i="50"/>
  <c r="H17" i="50"/>
  <c r="H16" i="50"/>
  <c r="H15" i="50"/>
  <c r="H14" i="50"/>
  <c r="H12" i="50"/>
  <c r="K16" i="53" l="1"/>
  <c r="K29" i="53"/>
  <c r="L26" i="53"/>
  <c r="L14" i="53"/>
  <c r="K7" i="51"/>
  <c r="L7" i="55" s="1"/>
  <c r="K25" i="51"/>
  <c r="L25" i="55" s="1"/>
  <c r="K10" i="51"/>
  <c r="L10" i="55" s="1"/>
  <c r="L21" i="53"/>
  <c r="L17" i="53"/>
  <c r="K12" i="51"/>
  <c r="L12" i="55" s="1"/>
  <c r="K32" i="51"/>
  <c r="L32" i="55" s="1"/>
  <c r="K34" i="53"/>
  <c r="K35" i="53"/>
  <c r="K13" i="53"/>
  <c r="K20" i="53"/>
  <c r="K42" i="53"/>
  <c r="D10" i="50"/>
  <c r="D23" i="50" s="1"/>
  <c r="D18" i="51" s="1"/>
  <c r="D18" i="55" s="1"/>
  <c r="P52" i="55" s="1"/>
  <c r="L19" i="53"/>
  <c r="L31" i="53"/>
  <c r="K18" i="53"/>
  <c r="K23" i="53"/>
  <c r="K14" i="53"/>
  <c r="K39" i="53"/>
  <c r="E13" i="50"/>
  <c r="L24" i="53"/>
  <c r="L37" i="53"/>
  <c r="K19" i="51"/>
  <c r="L19" i="55" s="1"/>
  <c r="K9" i="51"/>
  <c r="L9" i="55" s="1"/>
  <c r="K24" i="51"/>
  <c r="L24" i="55" s="1"/>
  <c r="H37" i="53"/>
  <c r="E36" i="50"/>
  <c r="E31" i="51" s="1"/>
  <c r="E31" i="55" s="1"/>
  <c r="Q65" i="55" s="1"/>
  <c r="L38" i="53"/>
  <c r="H21" i="53"/>
  <c r="H34" i="53" s="1"/>
  <c r="G16" i="53"/>
  <c r="G29" i="53" s="1"/>
  <c r="D15" i="50"/>
  <c r="L41" i="53"/>
  <c r="H19" i="53"/>
  <c r="H32" i="53" s="1"/>
  <c r="K24" i="53"/>
  <c r="L39" i="53"/>
  <c r="K36" i="53"/>
  <c r="K22" i="53"/>
  <c r="L15" i="53"/>
  <c r="L22" i="53"/>
  <c r="K11" i="53"/>
  <c r="K19" i="53"/>
  <c r="K32" i="53"/>
  <c r="L18" i="53"/>
  <c r="K29" i="51"/>
  <c r="L29" i="55" s="1"/>
  <c r="H15" i="53"/>
  <c r="E14" i="50"/>
  <c r="H23" i="53"/>
  <c r="E22" i="50"/>
  <c r="E17" i="51" s="1"/>
  <c r="E17" i="55" s="1"/>
  <c r="Q51" i="55" s="1"/>
  <c r="G37" i="53"/>
  <c r="D36" i="50"/>
  <c r="D31" i="51" s="1"/>
  <c r="D31" i="55" s="1"/>
  <c r="P65" i="55" s="1"/>
  <c r="G21" i="53"/>
  <c r="G34" i="53" s="1"/>
  <c r="D20" i="50"/>
  <c r="E10" i="50"/>
  <c r="H11" i="53"/>
  <c r="H26" i="53"/>
  <c r="H18" i="53"/>
  <c r="H31" i="53" s="1"/>
  <c r="G23" i="53"/>
  <c r="B8" i="53"/>
  <c r="D22" i="50"/>
  <c r="D17" i="51" s="1"/>
  <c r="D17" i="55" s="1"/>
  <c r="P51" i="55" s="1"/>
  <c r="H42" i="53"/>
  <c r="E41" i="50"/>
  <c r="E36" i="51" s="1"/>
  <c r="E36" i="55" s="1"/>
  <c r="Q70" i="55" s="1"/>
  <c r="E20" i="50"/>
  <c r="E8" i="51"/>
  <c r="E8" i="55" s="1"/>
  <c r="Q42" i="55" s="1"/>
  <c r="E26" i="50"/>
  <c r="E21" i="51" s="1"/>
  <c r="E21" i="55" s="1"/>
  <c r="Q55" i="55" s="1"/>
  <c r="E18" i="50"/>
  <c r="C23" i="50"/>
  <c r="F24" i="53"/>
  <c r="E40" i="50"/>
  <c r="E35" i="51" s="1"/>
  <c r="E35" i="55" s="1"/>
  <c r="Q69" i="55" s="1"/>
  <c r="H41" i="53"/>
  <c r="K41" i="50"/>
  <c r="K37" i="50"/>
  <c r="K30" i="50"/>
  <c r="K12" i="50"/>
  <c r="K15" i="50"/>
  <c r="K22" i="50"/>
  <c r="K21" i="50"/>
  <c r="K26" i="50"/>
  <c r="K33" i="50"/>
  <c r="K25" i="50"/>
  <c r="K36" i="50"/>
  <c r="K18" i="50"/>
  <c r="K24" i="50"/>
  <c r="K39" i="50"/>
  <c r="K32" i="50"/>
  <c r="K28" i="50"/>
  <c r="K14" i="50"/>
  <c r="K17" i="50"/>
  <c r="K38" i="50"/>
  <c r="K31" i="50"/>
  <c r="K13" i="50"/>
  <c r="K29" i="50"/>
  <c r="K35" i="50"/>
  <c r="K27" i="50"/>
  <c r="K23" i="50"/>
  <c r="K20" i="50"/>
  <c r="K40" i="50"/>
  <c r="K11" i="50"/>
  <c r="K34" i="50"/>
  <c r="K16" i="50"/>
  <c r="K19" i="50"/>
  <c r="H40" i="53"/>
  <c r="E39" i="50"/>
  <c r="E34" i="51" s="1"/>
  <c r="E34" i="55" s="1"/>
  <c r="Q68" i="55" s="1"/>
  <c r="K4" i="51"/>
  <c r="L4" i="55" s="1"/>
  <c r="K10" i="53"/>
  <c r="E30" i="50"/>
  <c r="E25" i="51" s="1"/>
  <c r="E25" i="55" s="1"/>
  <c r="Q59" i="55" s="1"/>
  <c r="E12" i="51"/>
  <c r="E12" i="55" s="1"/>
  <c r="Q46" i="55" s="1"/>
  <c r="F11" i="53"/>
  <c r="C10" i="50"/>
  <c r="H39" i="53"/>
  <c r="E38" i="50"/>
  <c r="E33" i="51" s="1"/>
  <c r="E33" i="55" s="1"/>
  <c r="Q67" i="55" s="1"/>
  <c r="G36" i="53"/>
  <c r="D35" i="50"/>
  <c r="D30" i="51" s="1"/>
  <c r="D30" i="55" s="1"/>
  <c r="P64" i="55" s="1"/>
  <c r="H12" i="53"/>
  <c r="E11" i="50"/>
  <c r="E37" i="50"/>
  <c r="E32" i="51" s="1"/>
  <c r="E32" i="55" s="1"/>
  <c r="Q66" i="55" s="1"/>
  <c r="H38" i="53"/>
  <c r="H13" i="50"/>
  <c r="H10" i="50"/>
  <c r="H11" i="50"/>
  <c r="D10" i="51" l="1"/>
  <c r="D10" i="55" s="1"/>
  <c r="P44" i="55" s="1"/>
  <c r="D28" i="50"/>
  <c r="D23" i="51" s="1"/>
  <c r="D23" i="55" s="1"/>
  <c r="P57" i="55" s="1"/>
  <c r="D5" i="51"/>
  <c r="D5" i="55" s="1"/>
  <c r="P39" i="55" s="1"/>
  <c r="E16" i="50"/>
  <c r="E24" i="50"/>
  <c r="E19" i="51" s="1"/>
  <c r="E19" i="55" s="1"/>
  <c r="Q53" i="55" s="1"/>
  <c r="E6" i="51"/>
  <c r="E6" i="55" s="1"/>
  <c r="Q40" i="55" s="1"/>
  <c r="H25" i="53"/>
  <c r="H17" i="53"/>
  <c r="H30" i="53" s="1"/>
  <c r="D3" i="53"/>
  <c r="C18" i="51"/>
  <c r="C18" i="55" s="1"/>
  <c r="O52" i="55" s="1"/>
  <c r="H24" i="53"/>
  <c r="H16" i="53"/>
  <c r="H29" i="53" s="1"/>
  <c r="E13" i="51"/>
  <c r="E13" i="55" s="1"/>
  <c r="Q47" i="55" s="1"/>
  <c r="E31" i="50"/>
  <c r="E26" i="51" s="1"/>
  <c r="E26" i="55" s="1"/>
  <c r="Q60" i="55" s="1"/>
  <c r="E23" i="50"/>
  <c r="E18" i="51" s="1"/>
  <c r="E18" i="55" s="1"/>
  <c r="Q52" i="55" s="1"/>
  <c r="E5" i="51"/>
  <c r="E5" i="55" s="1"/>
  <c r="Q39" i="55" s="1"/>
  <c r="E15" i="50"/>
  <c r="D33" i="50"/>
  <c r="D28" i="51" s="1"/>
  <c r="D28" i="55" s="1"/>
  <c r="P62" i="55" s="1"/>
  <c r="D15" i="51"/>
  <c r="D15" i="55" s="1"/>
  <c r="P49" i="55" s="1"/>
  <c r="C3" i="53"/>
  <c r="C5" i="51"/>
  <c r="C5" i="55" s="1"/>
  <c r="O39" i="55" s="1"/>
  <c r="E33" i="50"/>
  <c r="E28" i="51" s="1"/>
  <c r="E28" i="55" s="1"/>
  <c r="Q62" i="55" s="1"/>
  <c r="E15" i="51"/>
  <c r="E15" i="55" s="1"/>
  <c r="Q49" i="55" s="1"/>
  <c r="E27" i="50"/>
  <c r="E22" i="51" s="1"/>
  <c r="E22" i="55" s="1"/>
  <c r="Q56" i="55" s="1"/>
  <c r="E21" i="50"/>
  <c r="E19" i="50"/>
  <c r="E9" i="51"/>
  <c r="E9" i="55" s="1"/>
  <c r="Q43" i="55" s="1"/>
  <c r="H20" i="53"/>
  <c r="H33" i="53" s="1"/>
  <c r="H28" i="53"/>
  <c r="H22" i="53"/>
  <c r="H35" i="53" s="1"/>
  <c r="E14" i="51" l="1"/>
  <c r="E14" i="55" s="1"/>
  <c r="Q48" i="55" s="1"/>
  <c r="E32" i="50"/>
  <c r="E27" i="51" s="1"/>
  <c r="E27" i="55" s="1"/>
  <c r="Q61" i="55" s="1"/>
  <c r="E34" i="50"/>
  <c r="E29" i="51" s="1"/>
  <c r="E29" i="55" s="1"/>
  <c r="Q63" i="55" s="1"/>
  <c r="E16" i="51"/>
  <c r="E16" i="55" s="1"/>
  <c r="Q50" i="55" s="1"/>
  <c r="E28" i="50"/>
  <c r="E23" i="51" s="1"/>
  <c r="E23" i="55" s="1"/>
  <c r="Q57" i="55" s="1"/>
  <c r="E10" i="51"/>
  <c r="E10" i="55" s="1"/>
  <c r="Q44" i="55" s="1"/>
  <c r="E11" i="51"/>
  <c r="E11" i="55" s="1"/>
  <c r="Q45" i="55" s="1"/>
  <c r="E29" i="50"/>
  <c r="E24" i="51" s="1"/>
  <c r="E24" i="55" s="1"/>
  <c r="Q58" i="55" s="1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1" i="50"/>
  <c r="G20" i="50"/>
  <c r="G19" i="50"/>
  <c r="G18" i="50"/>
  <c r="G17" i="50"/>
  <c r="G16" i="50"/>
  <c r="G15" i="50"/>
  <c r="G14" i="50"/>
  <c r="G11" i="50"/>
  <c r="F83" i="8"/>
  <c r="F82" i="8"/>
  <c r="G13" i="50" l="1"/>
  <c r="G12" i="50"/>
  <c r="G10" i="50"/>
  <c r="B194" i="19" l="1"/>
  <c r="B26" i="18"/>
  <c r="E142" i="8" l="1"/>
  <c r="F124" i="8"/>
  <c r="E139" i="8"/>
  <c r="F121" i="8"/>
  <c r="E140" i="8"/>
  <c r="F122" i="8"/>
  <c r="E143" i="8"/>
  <c r="F125" i="8"/>
  <c r="E144" i="8"/>
  <c r="F126" i="8"/>
  <c r="E136" i="8"/>
  <c r="F118" i="8"/>
  <c r="E141" i="8"/>
  <c r="F123" i="8"/>
  <c r="E134" i="8"/>
  <c r="F116" i="8"/>
  <c r="E135" i="8"/>
  <c r="F117" i="8"/>
  <c r="E137" i="8"/>
  <c r="F119" i="8"/>
  <c r="E127" i="8"/>
  <c r="F127" i="8" s="1"/>
  <c r="E120" i="8"/>
  <c r="E115" i="8"/>
  <c r="E149" i="8"/>
  <c r="E148" i="8"/>
  <c r="E147" i="8"/>
  <c r="E146" i="8"/>
  <c r="E145" i="8"/>
  <c r="F115" i="8" l="1"/>
  <c r="E133" i="8"/>
  <c r="F120" i="8"/>
  <c r="E138" i="8"/>
  <c r="D197" i="8"/>
  <c r="G266" i="21" l="1"/>
  <c r="F266" i="21"/>
  <c r="E266" i="21"/>
  <c r="D266" i="21"/>
  <c r="G244" i="21"/>
  <c r="F244" i="21"/>
  <c r="E244" i="21"/>
  <c r="D244" i="21"/>
  <c r="G684" i="19"/>
  <c r="F684" i="19"/>
  <c r="E684" i="19"/>
  <c r="D684" i="19"/>
  <c r="G677" i="19"/>
  <c r="F677" i="19"/>
  <c r="E677" i="19"/>
  <c r="D677" i="19"/>
  <c r="D190" i="8" l="1"/>
  <c r="C23" i="6"/>
  <c r="CM27" i="6"/>
  <c r="CL27" i="6"/>
  <c r="CK27" i="6"/>
  <c r="CJ27" i="6"/>
  <c r="CI27" i="6"/>
  <c r="CH27" i="6"/>
  <c r="CG27" i="6"/>
  <c r="CF27" i="6"/>
  <c r="CE27" i="6"/>
  <c r="CD27" i="6"/>
  <c r="CC27" i="6"/>
  <c r="CB27" i="6"/>
  <c r="CA27" i="6"/>
  <c r="BZ27" i="6"/>
  <c r="BY27" i="6"/>
  <c r="BX27" i="6"/>
  <c r="BW27" i="6"/>
  <c r="BV27" i="6"/>
  <c r="BU27" i="6"/>
  <c r="BT27" i="6"/>
  <c r="BS27" i="6"/>
  <c r="BR27" i="6"/>
  <c r="BQ27" i="6"/>
  <c r="BP27" i="6"/>
  <c r="BO27" i="6"/>
  <c r="BN27" i="6"/>
  <c r="BM27" i="6"/>
  <c r="BL27" i="6"/>
  <c r="BK27" i="6"/>
  <c r="BJ27" i="6"/>
  <c r="BI27" i="6"/>
  <c r="BH27" i="6"/>
  <c r="BG27" i="6"/>
  <c r="BF27" i="6"/>
  <c r="BE27" i="6"/>
  <c r="BD27" i="6"/>
  <c r="BC27" i="6"/>
  <c r="BB27" i="6"/>
  <c r="BA27" i="6"/>
  <c r="AZ27" i="6"/>
  <c r="AY27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CM26" i="6"/>
  <c r="CL26" i="6"/>
  <c r="CK26" i="6"/>
  <c r="CJ26" i="6"/>
  <c r="CI26" i="6"/>
  <c r="CH26" i="6"/>
  <c r="CG26" i="6"/>
  <c r="CF26" i="6"/>
  <c r="CE26" i="6"/>
  <c r="CD26" i="6"/>
  <c r="CC26" i="6"/>
  <c r="CB26" i="6"/>
  <c r="CA26" i="6"/>
  <c r="BZ26" i="6"/>
  <c r="BY26" i="6"/>
  <c r="BX26" i="6"/>
  <c r="BW26" i="6"/>
  <c r="BV26" i="6"/>
  <c r="BU26" i="6"/>
  <c r="BT26" i="6"/>
  <c r="BS26" i="6"/>
  <c r="BR26" i="6"/>
  <c r="BQ26" i="6"/>
  <c r="BP26" i="6"/>
  <c r="BO26" i="6"/>
  <c r="BN26" i="6"/>
  <c r="BM26" i="6"/>
  <c r="BL26" i="6"/>
  <c r="BK26" i="6"/>
  <c r="BJ26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CM24" i="6"/>
  <c r="CL24" i="6"/>
  <c r="CK24" i="6"/>
  <c r="CJ24" i="6"/>
  <c r="CI24" i="6"/>
  <c r="CH24" i="6"/>
  <c r="CG24" i="6"/>
  <c r="CF24" i="6"/>
  <c r="CE24" i="6"/>
  <c r="CD24" i="6"/>
  <c r="CC24" i="6"/>
  <c r="CB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BO24" i="6"/>
  <c r="BN24" i="6"/>
  <c r="BM24" i="6"/>
  <c r="BL24" i="6"/>
  <c r="BK24" i="6"/>
  <c r="BJ24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BR23" i="6"/>
  <c r="BQ23" i="6"/>
  <c r="BP23" i="6"/>
  <c r="BO23" i="6"/>
  <c r="BN23" i="6"/>
  <c r="BM23" i="6"/>
  <c r="BL23" i="6"/>
  <c r="BK23" i="6"/>
  <c r="BJ23" i="6"/>
  <c r="BI23" i="6"/>
  <c r="BH23" i="6"/>
  <c r="BG23" i="6"/>
  <c r="BF23" i="6"/>
  <c r="BE23" i="6"/>
  <c r="BD23" i="6"/>
  <c r="BC23" i="6"/>
  <c r="BB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E7" i="8"/>
  <c r="G4" i="50" s="1"/>
  <c r="D7" i="8"/>
  <c r="F4" i="52" l="1"/>
  <c r="F5" i="52" s="1"/>
  <c r="E8" i="8"/>
  <c r="D8" i="8"/>
  <c r="E131" i="8" l="1"/>
  <c r="E104" i="8" l="1"/>
  <c r="F104" i="8" l="1"/>
  <c r="E107" i="8"/>
  <c r="E83" i="8"/>
  <c r="E82" i="8"/>
  <c r="D117" i="20" l="1"/>
  <c r="E198" i="8" l="1"/>
  <c r="E197" i="8"/>
  <c r="CM18" i="6" l="1"/>
  <c r="CI18" i="6"/>
  <c r="CE18" i="6"/>
  <c r="CA18" i="6"/>
  <c r="BW18" i="6"/>
  <c r="BS18" i="6"/>
  <c r="BO18" i="6"/>
  <c r="BK18" i="6"/>
  <c r="BG18" i="6"/>
  <c r="BC18" i="6"/>
  <c r="AY18" i="6"/>
  <c r="AU18" i="6"/>
  <c r="AQ18" i="6"/>
  <c r="AM18" i="6"/>
  <c r="AI18" i="6"/>
  <c r="AE18" i="6"/>
  <c r="AA18" i="6"/>
  <c r="W18" i="6"/>
  <c r="S18" i="6"/>
  <c r="O18" i="6"/>
  <c r="K18" i="6"/>
  <c r="G18" i="6"/>
  <c r="CJ17" i="6"/>
  <c r="CF17" i="6"/>
  <c r="CB17" i="6"/>
  <c r="BX17" i="6"/>
  <c r="BT17" i="6"/>
  <c r="BP17" i="6"/>
  <c r="BL17" i="6"/>
  <c r="BH17" i="6"/>
  <c r="BD17" i="6"/>
  <c r="AZ17" i="6"/>
  <c r="AV17" i="6"/>
  <c r="AR17" i="6"/>
  <c r="AN17" i="6"/>
  <c r="AJ17" i="6"/>
  <c r="AF17" i="6"/>
  <c r="AB17" i="6"/>
  <c r="X17" i="6"/>
  <c r="T17" i="6"/>
  <c r="P17" i="6"/>
  <c r="L17" i="6"/>
  <c r="H17" i="6"/>
  <c r="CK16" i="6"/>
  <c r="CG16" i="6"/>
  <c r="CC16" i="6"/>
  <c r="BY16" i="6"/>
  <c r="BU16" i="6"/>
  <c r="BQ16" i="6"/>
  <c r="BM16" i="6"/>
  <c r="BI16" i="6"/>
  <c r="BE16" i="6"/>
  <c r="BA16" i="6"/>
  <c r="AW16" i="6"/>
  <c r="AS16" i="6"/>
  <c r="AO16" i="6"/>
  <c r="AK16" i="6"/>
  <c r="AG16" i="6"/>
  <c r="AC16" i="6"/>
  <c r="Y16" i="6"/>
  <c r="U16" i="6"/>
  <c r="Q16" i="6"/>
  <c r="M16" i="6"/>
  <c r="I16" i="6"/>
  <c r="CL15" i="6"/>
  <c r="CH15" i="6"/>
  <c r="CD15" i="6"/>
  <c r="BZ15" i="6"/>
  <c r="BV15" i="6"/>
  <c r="BR15" i="6"/>
  <c r="BN15" i="6"/>
  <c r="BJ15" i="6"/>
  <c r="BF15" i="6"/>
  <c r="BB15" i="6"/>
  <c r="AX15" i="6"/>
  <c r="AT15" i="6"/>
  <c r="AP15" i="6"/>
  <c r="AL15" i="6"/>
  <c r="AH15" i="6"/>
  <c r="AD15" i="6"/>
  <c r="Z15" i="6"/>
  <c r="V15" i="6"/>
  <c r="R15" i="6"/>
  <c r="N15" i="6"/>
  <c r="J15" i="6"/>
  <c r="CL18" i="6"/>
  <c r="CH18" i="6"/>
  <c r="CD18" i="6"/>
  <c r="BZ18" i="6"/>
  <c r="BV18" i="6"/>
  <c r="BR18" i="6"/>
  <c r="BN18" i="6"/>
  <c r="BJ18" i="6"/>
  <c r="BF18" i="6"/>
  <c r="BB18" i="6"/>
  <c r="AX18" i="6"/>
  <c r="AT18" i="6"/>
  <c r="AP18" i="6"/>
  <c r="AL18" i="6"/>
  <c r="AH18" i="6"/>
  <c r="AD18" i="6"/>
  <c r="Z18" i="6"/>
  <c r="V18" i="6"/>
  <c r="R18" i="6"/>
  <c r="N18" i="6"/>
  <c r="J18" i="6"/>
  <c r="CM17" i="6"/>
  <c r="CI17" i="6"/>
  <c r="CE17" i="6"/>
  <c r="CA17" i="6"/>
  <c r="BW17" i="6"/>
  <c r="BS17" i="6"/>
  <c r="BO17" i="6"/>
  <c r="BK17" i="6"/>
  <c r="BG17" i="6"/>
  <c r="BC17" i="6"/>
  <c r="AY17" i="6"/>
  <c r="AU17" i="6"/>
  <c r="AQ17" i="6"/>
  <c r="AM17" i="6"/>
  <c r="AI17" i="6"/>
  <c r="AE17" i="6"/>
  <c r="AA17" i="6"/>
  <c r="W17" i="6"/>
  <c r="S17" i="6"/>
  <c r="O17" i="6"/>
  <c r="K17" i="6"/>
  <c r="G17" i="6"/>
  <c r="CJ16" i="6"/>
  <c r="CF16" i="6"/>
  <c r="CB16" i="6"/>
  <c r="BX16" i="6"/>
  <c r="BT16" i="6"/>
  <c r="BP16" i="6"/>
  <c r="BL16" i="6"/>
  <c r="BH16" i="6"/>
  <c r="BD16" i="6"/>
  <c r="AZ16" i="6"/>
  <c r="AV16" i="6"/>
  <c r="AR16" i="6"/>
  <c r="AN16" i="6"/>
  <c r="AJ16" i="6"/>
  <c r="AF16" i="6"/>
  <c r="AB16" i="6"/>
  <c r="X16" i="6"/>
  <c r="T16" i="6"/>
  <c r="P16" i="6"/>
  <c r="L16" i="6"/>
  <c r="H16" i="6"/>
  <c r="CK15" i="6"/>
  <c r="CG15" i="6"/>
  <c r="CC15" i="6"/>
  <c r="BY15" i="6"/>
  <c r="BU15" i="6"/>
  <c r="BQ15" i="6"/>
  <c r="BM15" i="6"/>
  <c r="BI15" i="6"/>
  <c r="BE15" i="6"/>
  <c r="BA15" i="6"/>
  <c r="AW15" i="6"/>
  <c r="AS15" i="6"/>
  <c r="AO15" i="6"/>
  <c r="AK15" i="6"/>
  <c r="AG15" i="6"/>
  <c r="AC15" i="6"/>
  <c r="Y15" i="6"/>
  <c r="U15" i="6"/>
  <c r="Q15" i="6"/>
  <c r="M15" i="6"/>
  <c r="I15" i="6"/>
  <c r="CK18" i="6"/>
  <c r="CC18" i="6"/>
  <c r="BU18" i="6"/>
  <c r="BM18" i="6"/>
  <c r="BE18" i="6"/>
  <c r="AW18" i="6"/>
  <c r="AO18" i="6"/>
  <c r="AG18" i="6"/>
  <c r="Y18" i="6"/>
  <c r="Q18" i="6"/>
  <c r="I18" i="6"/>
  <c r="CH17" i="6"/>
  <c r="BZ17" i="6"/>
  <c r="BR17" i="6"/>
  <c r="BJ17" i="6"/>
  <c r="BB17" i="6"/>
  <c r="AT17" i="6"/>
  <c r="AL17" i="6"/>
  <c r="AD17" i="6"/>
  <c r="V17" i="6"/>
  <c r="N17" i="6"/>
  <c r="CM16" i="6"/>
  <c r="CE16" i="6"/>
  <c r="BW16" i="6"/>
  <c r="BO16" i="6"/>
  <c r="BG16" i="6"/>
  <c r="AY16" i="6"/>
  <c r="AQ16" i="6"/>
  <c r="AI16" i="6"/>
  <c r="AA16" i="6"/>
  <c r="S16" i="6"/>
  <c r="K16" i="6"/>
  <c r="CJ15" i="6"/>
  <c r="CB15" i="6"/>
  <c r="BT15" i="6"/>
  <c r="BL15" i="6"/>
  <c r="BD15" i="6"/>
  <c r="AV15" i="6"/>
  <c r="AN15" i="6"/>
  <c r="AF15" i="6"/>
  <c r="X15" i="6"/>
  <c r="P15" i="6"/>
  <c r="H15" i="6"/>
  <c r="CK14" i="6"/>
  <c r="CG14" i="6"/>
  <c r="CC14" i="6"/>
  <c r="BY14" i="6"/>
  <c r="BU14" i="6"/>
  <c r="BQ14" i="6"/>
  <c r="BM14" i="6"/>
  <c r="BI14" i="6"/>
  <c r="BE14" i="6"/>
  <c r="BA14" i="6"/>
  <c r="AW14" i="6"/>
  <c r="AS14" i="6"/>
  <c r="AO14" i="6"/>
  <c r="AK14" i="6"/>
  <c r="AG14" i="6"/>
  <c r="AC14" i="6"/>
  <c r="Y14" i="6"/>
  <c r="U14" i="6"/>
  <c r="Q14" i="6"/>
  <c r="M14" i="6"/>
  <c r="I14" i="6"/>
  <c r="BY18" i="6"/>
  <c r="BQ18" i="6"/>
  <c r="BI18" i="6"/>
  <c r="BA18" i="6"/>
  <c r="AS18" i="6"/>
  <c r="AK18" i="6"/>
  <c r="AC18" i="6"/>
  <c r="M18" i="6"/>
  <c r="CL17" i="6"/>
  <c r="CD17" i="6"/>
  <c r="BV17" i="6"/>
  <c r="BN17" i="6"/>
  <c r="AX17" i="6"/>
  <c r="AP17" i="6"/>
  <c r="AH17" i="6"/>
  <c r="Z17" i="6"/>
  <c r="J17" i="6"/>
  <c r="CI16" i="6"/>
  <c r="CA16" i="6"/>
  <c r="BS16" i="6"/>
  <c r="BK16" i="6"/>
  <c r="BC16" i="6"/>
  <c r="AM16" i="6"/>
  <c r="AE16" i="6"/>
  <c r="W16" i="6"/>
  <c r="O16" i="6"/>
  <c r="G16" i="6"/>
  <c r="CF15" i="6"/>
  <c r="BP15" i="6"/>
  <c r="BH15" i="6"/>
  <c r="AZ15" i="6"/>
  <c r="AR15" i="6"/>
  <c r="AJ15" i="6"/>
  <c r="AB15" i="6"/>
  <c r="T15" i="6"/>
  <c r="CM14" i="6"/>
  <c r="CI14" i="6"/>
  <c r="CE14" i="6"/>
  <c r="CA14" i="6"/>
  <c r="BW14" i="6"/>
  <c r="BS14" i="6"/>
  <c r="BO14" i="6"/>
  <c r="BK14" i="6"/>
  <c r="BC14" i="6"/>
  <c r="AY14" i="6"/>
  <c r="AU14" i="6"/>
  <c r="AQ14" i="6"/>
  <c r="AM14" i="6"/>
  <c r="AE14" i="6"/>
  <c r="AA14" i="6"/>
  <c r="W14" i="6"/>
  <c r="S14" i="6"/>
  <c r="K14" i="6"/>
  <c r="BX18" i="6"/>
  <c r="BE17" i="6"/>
  <c r="AO17" i="6"/>
  <c r="Y17" i="6"/>
  <c r="I17" i="6"/>
  <c r="BZ16" i="6"/>
  <c r="BJ16" i="6"/>
  <c r="AT16" i="6"/>
  <c r="AL16" i="6"/>
  <c r="V16" i="6"/>
  <c r="N16" i="6"/>
  <c r="CE15" i="6"/>
  <c r="BW15" i="6"/>
  <c r="BG15" i="6"/>
  <c r="AY15" i="6"/>
  <c r="AQ15" i="6"/>
  <c r="AA15" i="6"/>
  <c r="S15" i="6"/>
  <c r="K15" i="6"/>
  <c r="CL14" i="6"/>
  <c r="CD14" i="6"/>
  <c r="BZ14" i="6"/>
  <c r="BV14" i="6"/>
  <c r="BR14" i="6"/>
  <c r="BN14" i="6"/>
  <c r="BJ14" i="6"/>
  <c r="BB14" i="6"/>
  <c r="AX14" i="6"/>
  <c r="AP14" i="6"/>
  <c r="AL14" i="6"/>
  <c r="Z14" i="6"/>
  <c r="V14" i="6"/>
  <c r="N14" i="6"/>
  <c r="CJ18" i="6"/>
  <c r="CB18" i="6"/>
  <c r="BT18" i="6"/>
  <c r="BL18" i="6"/>
  <c r="BD18" i="6"/>
  <c r="AV18" i="6"/>
  <c r="AN18" i="6"/>
  <c r="AF18" i="6"/>
  <c r="X18" i="6"/>
  <c r="P18" i="6"/>
  <c r="H18" i="6"/>
  <c r="CG17" i="6"/>
  <c r="BY17" i="6"/>
  <c r="BQ17" i="6"/>
  <c r="BI17" i="6"/>
  <c r="BA17" i="6"/>
  <c r="AS17" i="6"/>
  <c r="AK17" i="6"/>
  <c r="AC17" i="6"/>
  <c r="U17" i="6"/>
  <c r="M17" i="6"/>
  <c r="CL16" i="6"/>
  <c r="CD16" i="6"/>
  <c r="BV16" i="6"/>
  <c r="BN16" i="6"/>
  <c r="BF16" i="6"/>
  <c r="AX16" i="6"/>
  <c r="AP16" i="6"/>
  <c r="AH16" i="6"/>
  <c r="Z16" i="6"/>
  <c r="R16" i="6"/>
  <c r="J16" i="6"/>
  <c r="CI15" i="6"/>
  <c r="CA15" i="6"/>
  <c r="BS15" i="6"/>
  <c r="BK15" i="6"/>
  <c r="BC15" i="6"/>
  <c r="AU15" i="6"/>
  <c r="AM15" i="6"/>
  <c r="AE15" i="6"/>
  <c r="W15" i="6"/>
  <c r="O15" i="6"/>
  <c r="G15" i="6"/>
  <c r="CJ14" i="6"/>
  <c r="CF14" i="6"/>
  <c r="CB14" i="6"/>
  <c r="BX14" i="6"/>
  <c r="BT14" i="6"/>
  <c r="BP14" i="6"/>
  <c r="BL14" i="6"/>
  <c r="BH14" i="6"/>
  <c r="BD14" i="6"/>
  <c r="AZ14" i="6"/>
  <c r="AV14" i="6"/>
  <c r="AR14" i="6"/>
  <c r="AN14" i="6"/>
  <c r="AJ14" i="6"/>
  <c r="AF14" i="6"/>
  <c r="AB14" i="6"/>
  <c r="X14" i="6"/>
  <c r="T14" i="6"/>
  <c r="P14" i="6"/>
  <c r="L14" i="6"/>
  <c r="H14" i="6"/>
  <c r="CG18" i="6"/>
  <c r="U18" i="6"/>
  <c r="BF17" i="6"/>
  <c r="R17" i="6"/>
  <c r="AU16" i="6"/>
  <c r="BX15" i="6"/>
  <c r="L15" i="6"/>
  <c r="BG14" i="6"/>
  <c r="AI14" i="6"/>
  <c r="O14" i="6"/>
  <c r="G14" i="6"/>
  <c r="CF18" i="6"/>
  <c r="BP18" i="6"/>
  <c r="BH18" i="6"/>
  <c r="AZ18" i="6"/>
  <c r="AR18" i="6"/>
  <c r="AJ18" i="6"/>
  <c r="AB18" i="6"/>
  <c r="T18" i="6"/>
  <c r="L18" i="6"/>
  <c r="CK17" i="6"/>
  <c r="CC17" i="6"/>
  <c r="BU17" i="6"/>
  <c r="BM17" i="6"/>
  <c r="AW17" i="6"/>
  <c r="AG17" i="6"/>
  <c r="Q17" i="6"/>
  <c r="CH16" i="6"/>
  <c r="BR16" i="6"/>
  <c r="BB16" i="6"/>
  <c r="AD16" i="6"/>
  <c r="CM15" i="6"/>
  <c r="BO15" i="6"/>
  <c r="AI15" i="6"/>
  <c r="CH14" i="6"/>
  <c r="BF14" i="6"/>
  <c r="AT14" i="6"/>
  <c r="AH14" i="6"/>
  <c r="AD14" i="6"/>
  <c r="R14" i="6"/>
  <c r="J14" i="6"/>
  <c r="E18" i="6"/>
  <c r="E9" i="6" s="1"/>
  <c r="E17" i="6"/>
  <c r="E8" i="6" s="1"/>
  <c r="E16" i="6"/>
  <c r="E7" i="6" s="1"/>
  <c r="E15" i="6"/>
  <c r="E6" i="6" s="1"/>
  <c r="E14" i="6"/>
  <c r="E5" i="6" s="1"/>
  <c r="C18" i="6"/>
  <c r="C9" i="6" s="1"/>
  <c r="C17" i="6"/>
  <c r="C8" i="6" s="1"/>
  <c r="C15" i="6"/>
  <c r="C6" i="6" s="1"/>
  <c r="C14" i="6"/>
  <c r="C5" i="6" s="1"/>
  <c r="F18" i="6"/>
  <c r="F9" i="6" s="1"/>
  <c r="F16" i="6"/>
  <c r="F7" i="6" s="1"/>
  <c r="F14" i="6"/>
  <c r="F5" i="6" s="1"/>
  <c r="D18" i="6"/>
  <c r="D9" i="6" s="1"/>
  <c r="D17" i="6"/>
  <c r="D8" i="6" s="1"/>
  <c r="D16" i="6"/>
  <c r="D7" i="6" s="1"/>
  <c r="D15" i="6"/>
  <c r="D6" i="6" s="1"/>
  <c r="D14" i="6"/>
  <c r="D5" i="6" s="1"/>
  <c r="C16" i="6"/>
  <c r="C7" i="6" s="1"/>
  <c r="F17" i="6"/>
  <c r="F8" i="6" s="1"/>
  <c r="F15" i="6"/>
  <c r="F6" i="6" s="1"/>
  <c r="D243" i="8"/>
  <c r="D207" i="8"/>
  <c r="D191" i="8"/>
  <c r="J5" i="31"/>
  <c r="J4" i="31"/>
  <c r="D352" i="8" l="1"/>
  <c r="K10" i="31" l="1"/>
  <c r="K8" i="31" l="1"/>
  <c r="J8" i="31"/>
  <c r="J11" i="31" s="1"/>
  <c r="J7" i="31"/>
  <c r="J10" i="31" s="1"/>
  <c r="K5" i="31"/>
  <c r="K11" i="31" s="1"/>
  <c r="B215" i="31" l="1"/>
  <c r="B240" i="31"/>
  <c r="G263" i="31"/>
  <c r="F263" i="31"/>
  <c r="E263" i="31"/>
  <c r="D263" i="31"/>
  <c r="G254" i="31"/>
  <c r="F254" i="31"/>
  <c r="E254" i="31"/>
  <c r="D254" i="31"/>
  <c r="G241" i="31"/>
  <c r="F241" i="31"/>
  <c r="E241" i="31"/>
  <c r="D241" i="31"/>
  <c r="G234" i="31"/>
  <c r="F234" i="31"/>
  <c r="E234" i="31"/>
  <c r="D234" i="31"/>
  <c r="G225" i="31"/>
  <c r="F225" i="31"/>
  <c r="E225" i="31"/>
  <c r="D225" i="31"/>
  <c r="G216" i="31"/>
  <c r="F216" i="31"/>
  <c r="E216" i="31"/>
  <c r="D216" i="31"/>
  <c r="E216" i="8" l="1"/>
  <c r="F216" i="8" s="1"/>
  <c r="E215" i="8"/>
  <c r="F215" i="8" s="1"/>
  <c r="E214" i="8"/>
  <c r="F214" i="8" s="1"/>
  <c r="E213" i="8"/>
  <c r="F213" i="8" s="1"/>
  <c r="E206" i="8"/>
  <c r="F206" i="8" s="1"/>
  <c r="E205" i="8"/>
  <c r="F205" i="8" s="1"/>
  <c r="E204" i="8"/>
  <c r="F204" i="8" s="1"/>
  <c r="C13" i="38" l="1"/>
  <c r="C12" i="38"/>
  <c r="C11" i="38"/>
  <c r="C10" i="38"/>
  <c r="C9" i="38"/>
  <c r="C8" i="38"/>
  <c r="C7" i="38"/>
  <c r="C6" i="38"/>
  <c r="G5" i="38" l="1"/>
  <c r="F5" i="38"/>
  <c r="E5" i="38"/>
  <c r="D5" i="38"/>
  <c r="E234" i="8" l="1"/>
  <c r="F234" i="8" s="1"/>
  <c r="E233" i="8"/>
  <c r="F233" i="8" s="1"/>
  <c r="E232" i="8"/>
  <c r="F232" i="8" s="1"/>
  <c r="E231" i="8"/>
  <c r="F231" i="8" s="1"/>
  <c r="E224" i="8"/>
  <c r="F224" i="8" s="1"/>
  <c r="E223" i="8"/>
  <c r="F223" i="8" s="1"/>
  <c r="E222" i="8"/>
  <c r="F222" i="8" s="1"/>
  <c r="B14" i="18" l="1"/>
  <c r="B195" i="19"/>
  <c r="B98" i="19"/>
  <c r="B99" i="19"/>
  <c r="G229" i="8" l="1"/>
  <c r="F229" i="8"/>
  <c r="E229" i="8"/>
  <c r="D229" i="8"/>
  <c r="G220" i="8"/>
  <c r="F220" i="8"/>
  <c r="E220" i="8"/>
  <c r="D220" i="8"/>
  <c r="F225" i="8" l="1"/>
  <c r="D225" i="8"/>
  <c r="E225" i="8"/>
  <c r="B104" i="8" l="1"/>
  <c r="B103" i="8"/>
  <c r="B54" i="8"/>
  <c r="B52" i="8"/>
  <c r="B51" i="8"/>
  <c r="G93" i="21" l="1"/>
  <c r="F93" i="21"/>
  <c r="E93" i="21"/>
  <c r="D93" i="21"/>
  <c r="G92" i="21"/>
  <c r="F92" i="21"/>
  <c r="E92" i="21"/>
  <c r="D92" i="21"/>
  <c r="G91" i="21"/>
  <c r="F91" i="21"/>
  <c r="E91" i="21"/>
  <c r="D91" i="21"/>
  <c r="G90" i="21"/>
  <c r="F90" i="21"/>
  <c r="E90" i="21"/>
  <c r="D90" i="21"/>
  <c r="G89" i="21"/>
  <c r="F89" i="21"/>
  <c r="E89" i="21"/>
  <c r="D89" i="21"/>
  <c r="G88" i="21"/>
  <c r="F88" i="21"/>
  <c r="E88" i="21"/>
  <c r="D88" i="21"/>
  <c r="G87" i="21"/>
  <c r="F87" i="21"/>
  <c r="E87" i="21"/>
  <c r="D87" i="21"/>
  <c r="G84" i="21"/>
  <c r="F84" i="21"/>
  <c r="E84" i="21"/>
  <c r="D84" i="21"/>
  <c r="G83" i="21"/>
  <c r="F83" i="21"/>
  <c r="E83" i="21"/>
  <c r="D83" i="21"/>
  <c r="G82" i="21"/>
  <c r="F82" i="21"/>
  <c r="E82" i="21"/>
  <c r="D82" i="21"/>
  <c r="G81" i="21"/>
  <c r="F81" i="21"/>
  <c r="E81" i="21"/>
  <c r="D81" i="21"/>
  <c r="G80" i="21"/>
  <c r="F80" i="21"/>
  <c r="E80" i="21"/>
  <c r="D80" i="21"/>
  <c r="G79" i="21"/>
  <c r="F79" i="21"/>
  <c r="E79" i="21"/>
  <c r="D79" i="21"/>
  <c r="G78" i="21"/>
  <c r="F78" i="21"/>
  <c r="E78" i="21"/>
  <c r="D78" i="21"/>
  <c r="G77" i="21"/>
  <c r="F77" i="21"/>
  <c r="E77" i="21"/>
  <c r="D77" i="21"/>
  <c r="G76" i="21"/>
  <c r="F76" i="21"/>
  <c r="E76" i="21"/>
  <c r="D76" i="21"/>
  <c r="G75" i="21"/>
  <c r="F75" i="21"/>
  <c r="E75" i="21"/>
  <c r="D75" i="21"/>
  <c r="G73" i="20"/>
  <c r="F73" i="20"/>
  <c r="E73" i="20"/>
  <c r="D73" i="20"/>
  <c r="G70" i="20"/>
  <c r="F70" i="20"/>
  <c r="E70" i="20"/>
  <c r="D70" i="20"/>
  <c r="G69" i="20"/>
  <c r="F69" i="20"/>
  <c r="E69" i="20"/>
  <c r="D69" i="20"/>
  <c r="G68" i="20"/>
  <c r="F68" i="20"/>
  <c r="E68" i="20"/>
  <c r="D68" i="20"/>
  <c r="G67" i="20"/>
  <c r="F67" i="20"/>
  <c r="E67" i="20"/>
  <c r="D67" i="20"/>
  <c r="G66" i="20"/>
  <c r="F66" i="20"/>
  <c r="E66" i="20"/>
  <c r="D66" i="20"/>
  <c r="G65" i="20"/>
  <c r="F65" i="20"/>
  <c r="E65" i="20"/>
  <c r="D65" i="20"/>
  <c r="G64" i="20"/>
  <c r="F64" i="20"/>
  <c r="E64" i="20"/>
  <c r="D64" i="20"/>
  <c r="G63" i="20"/>
  <c r="F63" i="20"/>
  <c r="E63" i="20"/>
  <c r="D63" i="20"/>
  <c r="G62" i="20"/>
  <c r="F62" i="20"/>
  <c r="E62" i="20"/>
  <c r="D62" i="20"/>
  <c r="G61" i="20"/>
  <c r="F61" i="20"/>
  <c r="E61" i="20"/>
  <c r="D61" i="20"/>
  <c r="E250" i="8" l="1"/>
  <c r="F250" i="8" s="1"/>
  <c r="E243" i="8"/>
  <c r="F243" i="8" s="1"/>
  <c r="E241" i="8" l="1"/>
  <c r="F241" i="8" s="1"/>
  <c r="E252" i="8"/>
  <c r="F252" i="8" s="1"/>
  <c r="E242" i="8"/>
  <c r="F242" i="8" s="1"/>
  <c r="E251" i="8"/>
  <c r="F251" i="8" s="1"/>
  <c r="E249" i="8" l="1"/>
  <c r="E240" i="8"/>
  <c r="F240" i="8" l="1"/>
  <c r="F249" i="8"/>
  <c r="G247" i="8"/>
  <c r="F247" i="8"/>
  <c r="E247" i="8"/>
  <c r="D247" i="8"/>
  <c r="G238" i="8"/>
  <c r="F238" i="8"/>
  <c r="E238" i="8"/>
  <c r="D238" i="8"/>
  <c r="G206" i="31" l="1"/>
  <c r="F206" i="31"/>
  <c r="E206" i="31"/>
  <c r="D206" i="31"/>
  <c r="G197" i="31"/>
  <c r="F197" i="31"/>
  <c r="E197" i="31"/>
  <c r="D197" i="31"/>
  <c r="G184" i="31"/>
  <c r="F184" i="31"/>
  <c r="E184" i="31"/>
  <c r="D184" i="31"/>
  <c r="B183" i="31"/>
  <c r="G177" i="31"/>
  <c r="F177" i="31"/>
  <c r="E177" i="31"/>
  <c r="D177" i="31"/>
  <c r="G168" i="31"/>
  <c r="F168" i="31"/>
  <c r="E168" i="31"/>
  <c r="D168" i="31"/>
  <c r="G159" i="31"/>
  <c r="F159" i="31"/>
  <c r="E159" i="31"/>
  <c r="D159" i="31"/>
  <c r="G150" i="31"/>
  <c r="F150" i="31"/>
  <c r="E150" i="31"/>
  <c r="D150" i="31"/>
  <c r="B117" i="31" l="1"/>
  <c r="B114" i="31"/>
  <c r="B113" i="31"/>
  <c r="G111" i="31"/>
  <c r="F111" i="31"/>
  <c r="E111" i="31"/>
  <c r="D111" i="31"/>
  <c r="G84" i="31" l="1"/>
  <c r="F84" i="31"/>
  <c r="E84" i="31"/>
  <c r="D84" i="31"/>
  <c r="G118" i="31" l="1"/>
  <c r="F118" i="31"/>
  <c r="E118" i="31"/>
  <c r="D118" i="31"/>
  <c r="G102" i="31"/>
  <c r="F102" i="31"/>
  <c r="E102" i="31"/>
  <c r="D102" i="31"/>
  <c r="G140" i="31"/>
  <c r="F140" i="31"/>
  <c r="E140" i="31"/>
  <c r="D140" i="31"/>
  <c r="G131" i="31"/>
  <c r="F131" i="31"/>
  <c r="E131" i="31"/>
  <c r="D131" i="31"/>
  <c r="G93" i="31"/>
  <c r="F93" i="31"/>
  <c r="E93" i="31"/>
  <c r="D93" i="31"/>
  <c r="C25" i="31" l="1"/>
  <c r="C24" i="31"/>
  <c r="C23" i="31"/>
  <c r="C22" i="31"/>
  <c r="B24" i="31"/>
  <c r="B22" i="31"/>
  <c r="B76" i="31"/>
  <c r="B72" i="31"/>
  <c r="B63" i="31"/>
  <c r="B50" i="31"/>
  <c r="G42" i="31"/>
  <c r="G74" i="31" s="1"/>
  <c r="F42" i="31"/>
  <c r="F74" i="31" s="1"/>
  <c r="E42" i="31"/>
  <c r="E74" i="31" s="1"/>
  <c r="D42" i="31"/>
  <c r="D74" i="31" s="1"/>
  <c r="B36" i="31"/>
  <c r="B68" i="31" s="1"/>
  <c r="B35" i="31"/>
  <c r="B67" i="31" s="1"/>
  <c r="G33" i="31"/>
  <c r="F33" i="31"/>
  <c r="E33" i="31"/>
  <c r="D33" i="31"/>
  <c r="B32" i="31"/>
  <c r="B64" i="31" s="1"/>
  <c r="B130" i="31" s="1"/>
  <c r="B27" i="31"/>
  <c r="B26" i="31"/>
  <c r="G20" i="31"/>
  <c r="G52" i="31" s="1"/>
  <c r="F20" i="31"/>
  <c r="F52" i="31" s="1"/>
  <c r="E20" i="31"/>
  <c r="E52" i="31" s="1"/>
  <c r="D20" i="31"/>
  <c r="D52" i="31" s="1"/>
  <c r="G5" i="31"/>
  <c r="F5" i="31"/>
  <c r="E5" i="31"/>
  <c r="D5" i="31"/>
  <c r="G191" i="13" a="1"/>
  <c r="G191" i="13" s="1"/>
  <c r="F191" i="13" a="1"/>
  <c r="F191" i="13" s="1"/>
  <c r="E191" i="13" a="1"/>
  <c r="E195" i="13" s="1"/>
  <c r="D191" i="13" a="1"/>
  <c r="D191" i="13" s="1"/>
  <c r="C191" i="13" a="1"/>
  <c r="C191" i="13" s="1"/>
  <c r="B189" i="13"/>
  <c r="B96" i="13"/>
  <c r="G65" i="31" l="1"/>
  <c r="F65" i="31"/>
  <c r="E65" i="31"/>
  <c r="B88" i="31"/>
  <c r="B154" i="31" s="1"/>
  <c r="C88" i="31"/>
  <c r="C154" i="31" s="1"/>
  <c r="C86" i="31"/>
  <c r="C152" i="31" s="1"/>
  <c r="C89" i="31"/>
  <c r="C155" i="31" s="1"/>
  <c r="B196" i="31"/>
  <c r="B253" i="31" s="1"/>
  <c r="C96" i="31"/>
  <c r="C87" i="31"/>
  <c r="C153" i="31" s="1"/>
  <c r="B95" i="31"/>
  <c r="B86" i="31"/>
  <c r="B152" i="31" s="1"/>
  <c r="B51" i="31"/>
  <c r="B54" i="31"/>
  <c r="C55" i="31"/>
  <c r="B56" i="31"/>
  <c r="B97" i="31"/>
  <c r="C54" i="31"/>
  <c r="C95" i="31"/>
  <c r="C56" i="31"/>
  <c r="C97" i="31"/>
  <c r="B58" i="31"/>
  <c r="B59" i="31"/>
  <c r="C57" i="31"/>
  <c r="C98" i="31"/>
  <c r="D65" i="31"/>
  <c r="G238" i="13"/>
  <c r="G237" i="13"/>
  <c r="G260" i="13"/>
  <c r="G244" i="13"/>
  <c r="G236" i="13"/>
  <c r="G228" i="13"/>
  <c r="G220" i="13"/>
  <c r="G212" i="13"/>
  <c r="G204" i="13"/>
  <c r="G196" i="13"/>
  <c r="G254" i="13"/>
  <c r="G214" i="13"/>
  <c r="G245" i="13"/>
  <c r="G205" i="13"/>
  <c r="G252" i="13"/>
  <c r="G275" i="13"/>
  <c r="G267" i="13"/>
  <c r="G259" i="13"/>
  <c r="G251" i="13"/>
  <c r="G243" i="13"/>
  <c r="G235" i="13"/>
  <c r="G227" i="13"/>
  <c r="G219" i="13"/>
  <c r="G211" i="13"/>
  <c r="G203" i="13"/>
  <c r="G195" i="13"/>
  <c r="G278" i="13"/>
  <c r="G230" i="13"/>
  <c r="G269" i="13"/>
  <c r="G221" i="13"/>
  <c r="G268" i="13"/>
  <c r="G274" i="13"/>
  <c r="G266" i="13"/>
  <c r="G258" i="13"/>
  <c r="G250" i="13"/>
  <c r="G242" i="13"/>
  <c r="G234" i="13"/>
  <c r="G226" i="13"/>
  <c r="G218" i="13"/>
  <c r="G210" i="13"/>
  <c r="G202" i="13"/>
  <c r="G194" i="13"/>
  <c r="G270" i="13"/>
  <c r="G222" i="13"/>
  <c r="G261" i="13"/>
  <c r="G213" i="13"/>
  <c r="G273" i="13"/>
  <c r="G265" i="13"/>
  <c r="G257" i="13"/>
  <c r="G249" i="13"/>
  <c r="G241" i="13"/>
  <c r="G233" i="13"/>
  <c r="G225" i="13"/>
  <c r="G217" i="13"/>
  <c r="G209" i="13"/>
  <c r="G201" i="13"/>
  <c r="G193" i="13"/>
  <c r="G246" i="13"/>
  <c r="G198" i="13"/>
  <c r="G277" i="13"/>
  <c r="G229" i="13"/>
  <c r="G276" i="13"/>
  <c r="G272" i="13"/>
  <c r="G264" i="13"/>
  <c r="G256" i="13"/>
  <c r="G248" i="13"/>
  <c r="G240" i="13"/>
  <c r="G232" i="13"/>
  <c r="G224" i="13"/>
  <c r="G216" i="13"/>
  <c r="G208" i="13"/>
  <c r="G200" i="13"/>
  <c r="G192" i="13"/>
  <c r="G262" i="13"/>
  <c r="G206" i="13"/>
  <c r="G253" i="13"/>
  <c r="G197" i="13"/>
  <c r="G279" i="13"/>
  <c r="G271" i="13"/>
  <c r="G263" i="13"/>
  <c r="G255" i="13"/>
  <c r="G247" i="13"/>
  <c r="G239" i="13"/>
  <c r="G231" i="13"/>
  <c r="G223" i="13"/>
  <c r="G215" i="13"/>
  <c r="G207" i="13"/>
  <c r="G199" i="13"/>
  <c r="F262" i="13"/>
  <c r="F238" i="13"/>
  <c r="F237" i="13"/>
  <c r="F276" i="13"/>
  <c r="F268" i="13"/>
  <c r="F260" i="13"/>
  <c r="F252" i="13"/>
  <c r="F244" i="13"/>
  <c r="F236" i="13"/>
  <c r="F228" i="13"/>
  <c r="F220" i="13"/>
  <c r="F212" i="13"/>
  <c r="F204" i="13"/>
  <c r="F196" i="13"/>
  <c r="F214" i="13"/>
  <c r="F277" i="13"/>
  <c r="F229" i="13"/>
  <c r="F275" i="13"/>
  <c r="F267" i="13"/>
  <c r="F259" i="13"/>
  <c r="F251" i="13"/>
  <c r="F243" i="13"/>
  <c r="F235" i="13"/>
  <c r="F227" i="13"/>
  <c r="F219" i="13"/>
  <c r="F211" i="13"/>
  <c r="F203" i="13"/>
  <c r="F195" i="13"/>
  <c r="F254" i="13"/>
  <c r="F230" i="13"/>
  <c r="F245" i="13"/>
  <c r="F213" i="13"/>
  <c r="F274" i="13"/>
  <c r="F266" i="13"/>
  <c r="F258" i="13"/>
  <c r="F250" i="13"/>
  <c r="F242" i="13"/>
  <c r="F234" i="13"/>
  <c r="F226" i="13"/>
  <c r="F218" i="13"/>
  <c r="F210" i="13"/>
  <c r="F202" i="13"/>
  <c r="F194" i="13"/>
  <c r="F278" i="13"/>
  <c r="F246" i="13"/>
  <c r="F198" i="13"/>
  <c r="F261" i="13"/>
  <c r="F205" i="13"/>
  <c r="F273" i="13"/>
  <c r="F265" i="13"/>
  <c r="F257" i="13"/>
  <c r="F249" i="13"/>
  <c r="F241" i="13"/>
  <c r="F233" i="13"/>
  <c r="F225" i="13"/>
  <c r="F217" i="13"/>
  <c r="F209" i="13"/>
  <c r="F201" i="13"/>
  <c r="F193" i="13"/>
  <c r="F222" i="13"/>
  <c r="F269" i="13"/>
  <c r="F197" i="13"/>
  <c r="F272" i="13"/>
  <c r="F264" i="13"/>
  <c r="F256" i="13"/>
  <c r="F248" i="13"/>
  <c r="F240" i="13"/>
  <c r="F232" i="13"/>
  <c r="F224" i="13"/>
  <c r="F216" i="13"/>
  <c r="F208" i="13"/>
  <c r="F200" i="13"/>
  <c r="F192" i="13"/>
  <c r="F270" i="13"/>
  <c r="F206" i="13"/>
  <c r="F253" i="13"/>
  <c r="F221" i="13"/>
  <c r="F279" i="13"/>
  <c r="F271" i="13"/>
  <c r="F263" i="13"/>
  <c r="F255" i="13"/>
  <c r="F247" i="13"/>
  <c r="F239" i="13"/>
  <c r="F231" i="13"/>
  <c r="F223" i="13"/>
  <c r="F215" i="13"/>
  <c r="F207" i="13"/>
  <c r="F199" i="13"/>
  <c r="E277" i="13"/>
  <c r="E269" i="13"/>
  <c r="E261" i="13"/>
  <c r="E253" i="13"/>
  <c r="E245" i="13"/>
  <c r="E237" i="13"/>
  <c r="E229" i="13"/>
  <c r="E221" i="13"/>
  <c r="E213" i="13"/>
  <c r="E205" i="13"/>
  <c r="E197" i="13"/>
  <c r="E274" i="13"/>
  <c r="E266" i="13"/>
  <c r="E258" i="13"/>
  <c r="E250" i="13"/>
  <c r="E242" i="13"/>
  <c r="E234" i="13"/>
  <c r="E226" i="13"/>
  <c r="E218" i="13"/>
  <c r="E210" i="13"/>
  <c r="E202" i="13"/>
  <c r="E194" i="13"/>
  <c r="E273" i="13"/>
  <c r="E265" i="13"/>
  <c r="E257" i="13"/>
  <c r="E249" i="13"/>
  <c r="E241" i="13"/>
  <c r="E233" i="13"/>
  <c r="E225" i="13"/>
  <c r="E217" i="13"/>
  <c r="E209" i="13"/>
  <c r="E201" i="13"/>
  <c r="E193" i="13"/>
  <c r="E272" i="13"/>
  <c r="E264" i="13"/>
  <c r="E256" i="13"/>
  <c r="E248" i="13"/>
  <c r="E240" i="13"/>
  <c r="E232" i="13"/>
  <c r="E224" i="13"/>
  <c r="E216" i="13"/>
  <c r="E208" i="13"/>
  <c r="E200" i="13"/>
  <c r="E192" i="13"/>
  <c r="E279" i="13"/>
  <c r="E271" i="13"/>
  <c r="E263" i="13"/>
  <c r="E255" i="13"/>
  <c r="E247" i="13"/>
  <c r="E239" i="13"/>
  <c r="E231" i="13"/>
  <c r="E223" i="13"/>
  <c r="E215" i="13"/>
  <c r="E207" i="13"/>
  <c r="E199" i="13"/>
  <c r="E191" i="13"/>
  <c r="E278" i="13"/>
  <c r="E270" i="13"/>
  <c r="E262" i="13"/>
  <c r="E254" i="13"/>
  <c r="E246" i="13"/>
  <c r="E238" i="13"/>
  <c r="E230" i="13"/>
  <c r="E222" i="13"/>
  <c r="E214" i="13"/>
  <c r="E206" i="13"/>
  <c r="E198" i="13"/>
  <c r="E276" i="13"/>
  <c r="E268" i="13"/>
  <c r="E260" i="13"/>
  <c r="E252" i="13"/>
  <c r="E244" i="13"/>
  <c r="E236" i="13"/>
  <c r="E228" i="13"/>
  <c r="E220" i="13"/>
  <c r="E212" i="13"/>
  <c r="E204" i="13"/>
  <c r="E196" i="13"/>
  <c r="E275" i="13"/>
  <c r="E267" i="13"/>
  <c r="E259" i="13"/>
  <c r="E251" i="13"/>
  <c r="E243" i="13"/>
  <c r="E235" i="13"/>
  <c r="E227" i="13"/>
  <c r="E219" i="13"/>
  <c r="E211" i="13"/>
  <c r="E203" i="13"/>
  <c r="D270" i="13"/>
  <c r="D254" i="13"/>
  <c r="D238" i="13"/>
  <c r="D222" i="13"/>
  <c r="D206" i="13"/>
  <c r="D269" i="13"/>
  <c r="D245" i="13"/>
  <c r="D221" i="13"/>
  <c r="D197" i="13"/>
  <c r="D268" i="13"/>
  <c r="D260" i="13"/>
  <c r="D252" i="13"/>
  <c r="D244" i="13"/>
  <c r="D236" i="13"/>
  <c r="D228" i="13"/>
  <c r="D204" i="13"/>
  <c r="D196" i="13"/>
  <c r="D275" i="13"/>
  <c r="D267" i="13"/>
  <c r="D259" i="13"/>
  <c r="D251" i="13"/>
  <c r="D243" i="13"/>
  <c r="D235" i="13"/>
  <c r="D227" i="13"/>
  <c r="D219" i="13"/>
  <c r="D211" i="13"/>
  <c r="D203" i="13"/>
  <c r="D195" i="13"/>
  <c r="D274" i="13"/>
  <c r="D266" i="13"/>
  <c r="D258" i="13"/>
  <c r="D250" i="13"/>
  <c r="D242" i="13"/>
  <c r="D234" i="13"/>
  <c r="D226" i="13"/>
  <c r="D218" i="13"/>
  <c r="D210" i="13"/>
  <c r="D202" i="13"/>
  <c r="D194" i="13"/>
  <c r="D261" i="13"/>
  <c r="D237" i="13"/>
  <c r="D213" i="13"/>
  <c r="D220" i="13"/>
  <c r="D273" i="13"/>
  <c r="D257" i="13"/>
  <c r="D241" i="13"/>
  <c r="D225" i="13"/>
  <c r="D209" i="13"/>
  <c r="D193" i="13"/>
  <c r="D272" i="13"/>
  <c r="D264" i="13"/>
  <c r="D256" i="13"/>
  <c r="D248" i="13"/>
  <c r="D240" i="13"/>
  <c r="D232" i="13"/>
  <c r="D224" i="13"/>
  <c r="D216" i="13"/>
  <c r="D208" i="13"/>
  <c r="D200" i="13"/>
  <c r="D192" i="13"/>
  <c r="D278" i="13"/>
  <c r="D262" i="13"/>
  <c r="D246" i="13"/>
  <c r="D230" i="13"/>
  <c r="D214" i="13"/>
  <c r="D198" i="13"/>
  <c r="D277" i="13"/>
  <c r="D253" i="13"/>
  <c r="D229" i="13"/>
  <c r="D205" i="13"/>
  <c r="D276" i="13"/>
  <c r="D212" i="13"/>
  <c r="D265" i="13"/>
  <c r="D249" i="13"/>
  <c r="D233" i="13"/>
  <c r="D217" i="13"/>
  <c r="D201" i="13"/>
  <c r="D279" i="13"/>
  <c r="D271" i="13"/>
  <c r="D263" i="13"/>
  <c r="D255" i="13"/>
  <c r="D247" i="13"/>
  <c r="D239" i="13"/>
  <c r="D231" i="13"/>
  <c r="D223" i="13"/>
  <c r="D215" i="13"/>
  <c r="D207" i="13"/>
  <c r="D199" i="13"/>
  <c r="C277" i="13"/>
  <c r="C269" i="13"/>
  <c r="C261" i="13"/>
  <c r="C253" i="13"/>
  <c r="C245" i="13"/>
  <c r="C237" i="13"/>
  <c r="C229" i="13"/>
  <c r="C221" i="13"/>
  <c r="C213" i="13"/>
  <c r="C205" i="13"/>
  <c r="C197" i="13"/>
  <c r="C276" i="13"/>
  <c r="C268" i="13"/>
  <c r="C260" i="13"/>
  <c r="C252" i="13"/>
  <c r="C244" i="13"/>
  <c r="C236" i="13"/>
  <c r="C228" i="13"/>
  <c r="C220" i="13"/>
  <c r="C212" i="13"/>
  <c r="C204" i="13"/>
  <c r="C196" i="13"/>
  <c r="C262" i="13"/>
  <c r="C246" i="13"/>
  <c r="C238" i="13"/>
  <c r="C222" i="13"/>
  <c r="C198" i="13"/>
  <c r="C267" i="13"/>
  <c r="C251" i="13"/>
  <c r="C235" i="13"/>
  <c r="C219" i="13"/>
  <c r="C195" i="13"/>
  <c r="C266" i="13"/>
  <c r="C250" i="13"/>
  <c r="C234" i="13"/>
  <c r="C218" i="13"/>
  <c r="C194" i="13"/>
  <c r="C273" i="13"/>
  <c r="C265" i="13"/>
  <c r="C257" i="13"/>
  <c r="C249" i="13"/>
  <c r="C241" i="13"/>
  <c r="C233" i="13"/>
  <c r="C225" i="13"/>
  <c r="C217" i="13"/>
  <c r="C209" i="13"/>
  <c r="C201" i="13"/>
  <c r="C193" i="13"/>
  <c r="C278" i="13"/>
  <c r="C254" i="13"/>
  <c r="C230" i="13"/>
  <c r="C206" i="13"/>
  <c r="C275" i="13"/>
  <c r="C259" i="13"/>
  <c r="C243" i="13"/>
  <c r="C227" i="13"/>
  <c r="C203" i="13"/>
  <c r="C274" i="13"/>
  <c r="C258" i="13"/>
  <c r="C242" i="13"/>
  <c r="C226" i="13"/>
  <c r="C202" i="13"/>
  <c r="C272" i="13"/>
  <c r="C264" i="13"/>
  <c r="C256" i="13"/>
  <c r="C248" i="13"/>
  <c r="C240" i="13"/>
  <c r="C232" i="13"/>
  <c r="C224" i="13"/>
  <c r="C216" i="13"/>
  <c r="C208" i="13"/>
  <c r="C200" i="13"/>
  <c r="C192" i="13"/>
  <c r="C270" i="13"/>
  <c r="C214" i="13"/>
  <c r="C211" i="13"/>
  <c r="C210" i="13"/>
  <c r="C279" i="13"/>
  <c r="C271" i="13"/>
  <c r="C263" i="13"/>
  <c r="C255" i="13"/>
  <c r="C247" i="13"/>
  <c r="C239" i="13"/>
  <c r="C231" i="13"/>
  <c r="C223" i="13"/>
  <c r="C215" i="13"/>
  <c r="C207" i="13"/>
  <c r="C199" i="13"/>
  <c r="G101" i="30"/>
  <c r="F101" i="30"/>
  <c r="E101" i="30"/>
  <c r="D101" i="30"/>
  <c r="G5" i="30"/>
  <c r="F5" i="30"/>
  <c r="E5" i="30"/>
  <c r="D5" i="30"/>
  <c r="G17" i="29"/>
  <c r="F17" i="29"/>
  <c r="E17" i="29"/>
  <c r="D17" i="29"/>
  <c r="G5" i="29"/>
  <c r="F5" i="29"/>
  <c r="E5" i="29"/>
  <c r="D5" i="29"/>
  <c r="C164" i="31" l="1"/>
  <c r="C173" i="31" s="1"/>
  <c r="C189" i="31" s="1"/>
  <c r="C221" i="31"/>
  <c r="C230" i="31" s="1"/>
  <c r="B237" i="31" s="1"/>
  <c r="C161" i="31"/>
  <c r="C170" i="31" s="1"/>
  <c r="C186" i="31" s="1"/>
  <c r="C218" i="31"/>
  <c r="C227" i="31" s="1"/>
  <c r="C163" i="31"/>
  <c r="C172" i="31" s="1"/>
  <c r="C188" i="31" s="1"/>
  <c r="C220" i="31"/>
  <c r="C229" i="31" s="1"/>
  <c r="B236" i="31" s="1"/>
  <c r="B161" i="31"/>
  <c r="B170" i="31" s="1"/>
  <c r="B186" i="31" s="1"/>
  <c r="B190" i="31" s="1"/>
  <c r="B199" i="31" s="1"/>
  <c r="B218" i="31"/>
  <c r="B227" i="31" s="1"/>
  <c r="B163" i="31"/>
  <c r="B172" i="31" s="1"/>
  <c r="B188" i="31" s="1"/>
  <c r="B191" i="31" s="1"/>
  <c r="B200" i="31" s="1"/>
  <c r="B220" i="31"/>
  <c r="B229" i="31" s="1"/>
  <c r="C162" i="31"/>
  <c r="C171" i="31" s="1"/>
  <c r="C187" i="31" s="1"/>
  <c r="C219" i="31"/>
  <c r="C228" i="31" s="1"/>
  <c r="C105" i="31"/>
  <c r="C121" i="31" s="1"/>
  <c r="C106" i="31"/>
  <c r="C122" i="31" s="1"/>
  <c r="B104" i="31"/>
  <c r="C107" i="31"/>
  <c r="C123" i="31" s="1"/>
  <c r="C104" i="31"/>
  <c r="C120" i="31" s="1"/>
  <c r="B106" i="31"/>
  <c r="G359" i="8"/>
  <c r="F359" i="8"/>
  <c r="E359" i="8"/>
  <c r="D359" i="8"/>
  <c r="B179" i="31" l="1"/>
  <c r="B180" i="31"/>
  <c r="C244" i="31"/>
  <c r="C243" i="31"/>
  <c r="C245" i="31"/>
  <c r="B243" i="31"/>
  <c r="B247" i="31" s="1"/>
  <c r="B256" i="31" s="1"/>
  <c r="B245" i="31"/>
  <c r="B248" i="31" s="1"/>
  <c r="B257" i="31" s="1"/>
  <c r="C246" i="31"/>
  <c r="B120" i="31"/>
  <c r="B124" i="31" s="1"/>
  <c r="B133" i="31" s="1"/>
  <c r="B122" i="31"/>
  <c r="B125" i="31" s="1"/>
  <c r="B134" i="31" s="1"/>
  <c r="G106" i="19" l="1"/>
  <c r="E105" i="19"/>
  <c r="D104" i="19" l="1"/>
  <c r="D103" i="19"/>
  <c r="F103" i="19"/>
  <c r="F104" i="19"/>
  <c r="G105" i="19"/>
  <c r="F106" i="19"/>
  <c r="F105" i="19"/>
  <c r="E106" i="19"/>
  <c r="D106" i="19"/>
  <c r="D105" i="19"/>
  <c r="G103" i="19" l="1"/>
  <c r="G104" i="19"/>
  <c r="D108" i="19"/>
  <c r="D181" i="19"/>
  <c r="D165" i="19"/>
  <c r="D149" i="19"/>
  <c r="D133" i="19"/>
  <c r="D117" i="19"/>
  <c r="D180" i="19"/>
  <c r="D122" i="19"/>
  <c r="D130" i="19"/>
  <c r="D178" i="19"/>
  <c r="D132" i="19"/>
  <c r="D185" i="19"/>
  <c r="D184" i="19"/>
  <c r="D119" i="19"/>
  <c r="D144" i="19"/>
  <c r="D140" i="19"/>
  <c r="D179" i="19"/>
  <c r="D163" i="19"/>
  <c r="D147" i="19"/>
  <c r="D131" i="19"/>
  <c r="D115" i="19"/>
  <c r="D170" i="19"/>
  <c r="D110" i="19"/>
  <c r="D124" i="19"/>
  <c r="D174" i="19"/>
  <c r="D126" i="19"/>
  <c r="D136" i="19"/>
  <c r="D148" i="19"/>
  <c r="D118" i="19"/>
  <c r="D128" i="19"/>
  <c r="D120" i="19"/>
  <c r="D177" i="19"/>
  <c r="D161" i="19"/>
  <c r="D145" i="19"/>
  <c r="D129" i="19"/>
  <c r="D113" i="19"/>
  <c r="D164" i="19"/>
  <c r="D176" i="19"/>
  <c r="D112" i="19"/>
  <c r="D172" i="19"/>
  <c r="D116" i="19"/>
  <c r="D121" i="19"/>
  <c r="D151" i="19"/>
  <c r="D142" i="19"/>
  <c r="D191" i="19"/>
  <c r="D175" i="19"/>
  <c r="D159" i="19"/>
  <c r="D143" i="19"/>
  <c r="D127" i="19"/>
  <c r="D111" i="19"/>
  <c r="D158" i="19"/>
  <c r="D166" i="19"/>
  <c r="D190" i="19"/>
  <c r="D168" i="19"/>
  <c r="D169" i="19"/>
  <c r="D150" i="19"/>
  <c r="D135" i="19"/>
  <c r="D189" i="19"/>
  <c r="D173" i="19"/>
  <c r="D157" i="19"/>
  <c r="D141" i="19"/>
  <c r="D125" i="19"/>
  <c r="D109" i="19"/>
  <c r="D152" i="19"/>
  <c r="D160" i="19"/>
  <c r="D188" i="19"/>
  <c r="D162" i="19"/>
  <c r="D153" i="19"/>
  <c r="D138" i="19"/>
  <c r="D167" i="19"/>
  <c r="D182" i="19"/>
  <c r="D187" i="19"/>
  <c r="D171" i="19"/>
  <c r="D155" i="19"/>
  <c r="D139" i="19"/>
  <c r="D123" i="19"/>
  <c r="D107" i="19"/>
  <c r="D146" i="19"/>
  <c r="D156" i="19"/>
  <c r="D186" i="19"/>
  <c r="D154" i="19"/>
  <c r="D137" i="19"/>
  <c r="D134" i="19"/>
  <c r="D183" i="19"/>
  <c r="D114" i="19"/>
  <c r="F181" i="19"/>
  <c r="F165" i="19"/>
  <c r="F149" i="19"/>
  <c r="F133" i="19"/>
  <c r="F117" i="19"/>
  <c r="F186" i="19"/>
  <c r="F170" i="19"/>
  <c r="F154" i="19"/>
  <c r="F138" i="19"/>
  <c r="F122" i="19"/>
  <c r="F137" i="19"/>
  <c r="F126" i="19"/>
  <c r="F135" i="19"/>
  <c r="F124" i="19"/>
  <c r="F179" i="19"/>
  <c r="F163" i="19"/>
  <c r="F147" i="19"/>
  <c r="F131" i="19"/>
  <c r="F115" i="19"/>
  <c r="F184" i="19"/>
  <c r="F168" i="19"/>
  <c r="F152" i="19"/>
  <c r="F136" i="19"/>
  <c r="F120" i="19"/>
  <c r="F190" i="19"/>
  <c r="F167" i="19"/>
  <c r="F188" i="19"/>
  <c r="F177" i="19"/>
  <c r="F161" i="19"/>
  <c r="F145" i="19"/>
  <c r="F129" i="19"/>
  <c r="F113" i="19"/>
  <c r="F182" i="19"/>
  <c r="F166" i="19"/>
  <c r="F150" i="19"/>
  <c r="F134" i="19"/>
  <c r="F118" i="19"/>
  <c r="F153" i="19"/>
  <c r="F142" i="19"/>
  <c r="F172" i="19"/>
  <c r="F191" i="19"/>
  <c r="F175" i="19"/>
  <c r="F159" i="19"/>
  <c r="F143" i="19"/>
  <c r="F127" i="19"/>
  <c r="F111" i="19"/>
  <c r="F180" i="19"/>
  <c r="F164" i="19"/>
  <c r="F148" i="19"/>
  <c r="F132" i="19"/>
  <c r="F116" i="19"/>
  <c r="F121" i="19"/>
  <c r="F110" i="19"/>
  <c r="F183" i="19"/>
  <c r="F156" i="19"/>
  <c r="F189" i="19"/>
  <c r="F173" i="19"/>
  <c r="F157" i="19"/>
  <c r="F141" i="19"/>
  <c r="F125" i="19"/>
  <c r="F109" i="19"/>
  <c r="F178" i="19"/>
  <c r="F162" i="19"/>
  <c r="F146" i="19"/>
  <c r="F130" i="19"/>
  <c r="F114" i="19"/>
  <c r="F169" i="19"/>
  <c r="F158" i="19"/>
  <c r="F119" i="19"/>
  <c r="F108" i="19"/>
  <c r="F187" i="19"/>
  <c r="F171" i="19"/>
  <c r="F155" i="19"/>
  <c r="F139" i="19"/>
  <c r="F123" i="19"/>
  <c r="F107" i="19"/>
  <c r="F176" i="19"/>
  <c r="F160" i="19"/>
  <c r="F144" i="19"/>
  <c r="F128" i="19"/>
  <c r="F112" i="19"/>
  <c r="F185" i="19"/>
  <c r="F174" i="19"/>
  <c r="F151" i="19"/>
  <c r="F140" i="19"/>
  <c r="G191" i="19"/>
  <c r="G175" i="19"/>
  <c r="G159" i="19"/>
  <c r="G143" i="19"/>
  <c r="G127" i="19"/>
  <c r="G111" i="19"/>
  <c r="G180" i="19"/>
  <c r="G164" i="19"/>
  <c r="G148" i="19"/>
  <c r="G132" i="19"/>
  <c r="G116" i="19"/>
  <c r="G163" i="19"/>
  <c r="G115" i="19"/>
  <c r="G168" i="19"/>
  <c r="G161" i="19"/>
  <c r="G182" i="19"/>
  <c r="G118" i="19"/>
  <c r="G189" i="19"/>
  <c r="G173" i="19"/>
  <c r="G157" i="19"/>
  <c r="G141" i="19"/>
  <c r="G125" i="19"/>
  <c r="G109" i="19"/>
  <c r="G178" i="19"/>
  <c r="G162" i="19"/>
  <c r="G146" i="19"/>
  <c r="G130" i="19"/>
  <c r="G114" i="19"/>
  <c r="G160" i="19"/>
  <c r="G128" i="19"/>
  <c r="G142" i="19"/>
  <c r="G110" i="19"/>
  <c r="G131" i="19"/>
  <c r="G152" i="19"/>
  <c r="G145" i="19"/>
  <c r="G166" i="19"/>
  <c r="G187" i="19"/>
  <c r="G171" i="19"/>
  <c r="G155" i="19"/>
  <c r="G139" i="19"/>
  <c r="G123" i="19"/>
  <c r="G107" i="19"/>
  <c r="G176" i="19"/>
  <c r="G144" i="19"/>
  <c r="G112" i="19"/>
  <c r="G185" i="19"/>
  <c r="G169" i="19"/>
  <c r="G153" i="19"/>
  <c r="G137" i="19"/>
  <c r="G121" i="19"/>
  <c r="G190" i="19"/>
  <c r="G174" i="19"/>
  <c r="G158" i="19"/>
  <c r="G126" i="19"/>
  <c r="G183" i="19"/>
  <c r="G167" i="19"/>
  <c r="G151" i="19"/>
  <c r="G135" i="19"/>
  <c r="G119" i="19"/>
  <c r="G188" i="19"/>
  <c r="G172" i="19"/>
  <c r="G156" i="19"/>
  <c r="G140" i="19"/>
  <c r="G124" i="19"/>
  <c r="G108" i="19"/>
  <c r="G179" i="19"/>
  <c r="G184" i="19"/>
  <c r="G120" i="19"/>
  <c r="G177" i="19"/>
  <c r="G113" i="19"/>
  <c r="G150" i="19"/>
  <c r="G181" i="19"/>
  <c r="G165" i="19"/>
  <c r="G149" i="19"/>
  <c r="G133" i="19"/>
  <c r="G117" i="19"/>
  <c r="G186" i="19"/>
  <c r="G170" i="19"/>
  <c r="G154" i="19"/>
  <c r="G138" i="19"/>
  <c r="G122" i="19"/>
  <c r="G147" i="19"/>
  <c r="G136" i="19"/>
  <c r="G129" i="19"/>
  <c r="G134" i="19"/>
  <c r="D19" i="18"/>
  <c r="D20" i="18"/>
  <c r="E185" i="19"/>
  <c r="E169" i="19"/>
  <c r="E153" i="19"/>
  <c r="E137" i="19"/>
  <c r="E121" i="19"/>
  <c r="E190" i="19"/>
  <c r="E174" i="19"/>
  <c r="E158" i="19"/>
  <c r="E142" i="19"/>
  <c r="E126" i="19"/>
  <c r="E110" i="19"/>
  <c r="E118" i="19"/>
  <c r="E125" i="19"/>
  <c r="E123" i="19"/>
  <c r="E112" i="19"/>
  <c r="E183" i="19"/>
  <c r="E167" i="19"/>
  <c r="E151" i="19"/>
  <c r="E135" i="19"/>
  <c r="E119" i="19"/>
  <c r="E188" i="19"/>
  <c r="E172" i="19"/>
  <c r="E156" i="19"/>
  <c r="E140" i="19"/>
  <c r="E124" i="19"/>
  <c r="E108" i="19"/>
  <c r="E189" i="19"/>
  <c r="E178" i="19"/>
  <c r="E187" i="19"/>
  <c r="E107" i="19"/>
  <c r="E181" i="19"/>
  <c r="E165" i="19"/>
  <c r="E149" i="19"/>
  <c r="E133" i="19"/>
  <c r="E117" i="19"/>
  <c r="E186" i="19"/>
  <c r="E170" i="19"/>
  <c r="E154" i="19"/>
  <c r="E138" i="19"/>
  <c r="E122" i="19"/>
  <c r="E141" i="19"/>
  <c r="E130" i="19"/>
  <c r="E171" i="19"/>
  <c r="E160" i="19"/>
  <c r="E179" i="19"/>
  <c r="E163" i="19"/>
  <c r="E147" i="19"/>
  <c r="E131" i="19"/>
  <c r="E115" i="19"/>
  <c r="E184" i="19"/>
  <c r="E168" i="19"/>
  <c r="E152" i="19"/>
  <c r="E136" i="19"/>
  <c r="E120" i="19"/>
  <c r="E109" i="19"/>
  <c r="E114" i="19"/>
  <c r="E155" i="19"/>
  <c r="E144" i="19"/>
  <c r="E177" i="19"/>
  <c r="E161" i="19"/>
  <c r="E145" i="19"/>
  <c r="E129" i="19"/>
  <c r="E113" i="19"/>
  <c r="E182" i="19"/>
  <c r="E166" i="19"/>
  <c r="E150" i="19"/>
  <c r="E134" i="19"/>
  <c r="E157" i="19"/>
  <c r="E146" i="19"/>
  <c r="E176" i="19"/>
  <c r="E191" i="19"/>
  <c r="E175" i="19"/>
  <c r="E159" i="19"/>
  <c r="E143" i="19"/>
  <c r="E127" i="19"/>
  <c r="E111" i="19"/>
  <c r="E180" i="19"/>
  <c r="E164" i="19"/>
  <c r="E148" i="19"/>
  <c r="E132" i="19"/>
  <c r="E116" i="19"/>
  <c r="E173" i="19"/>
  <c r="E162" i="19"/>
  <c r="E139" i="19"/>
  <c r="E128" i="19"/>
  <c r="E20" i="18"/>
  <c r="E19" i="18"/>
  <c r="E103" i="19"/>
  <c r="E104" i="19"/>
  <c r="F19" i="18"/>
  <c r="F20" i="18"/>
  <c r="G20" i="18"/>
  <c r="G19" i="18"/>
  <c r="G22" i="18"/>
  <c r="G21" i="18"/>
  <c r="F22" i="18"/>
  <c r="F21" i="18"/>
  <c r="E22" i="18"/>
  <c r="E21" i="18"/>
  <c r="D22" i="18"/>
  <c r="D21" i="18"/>
  <c r="E23" i="18" l="1"/>
  <c r="F23" i="18"/>
  <c r="D23" i="18"/>
  <c r="G23" i="18"/>
  <c r="D422" i="8" l="1"/>
  <c r="D421" i="8"/>
  <c r="D420" i="8"/>
  <c r="D419" i="8"/>
  <c r="D418" i="8"/>
  <c r="G416" i="8"/>
  <c r="F416" i="8"/>
  <c r="E416" i="8"/>
  <c r="D416" i="8"/>
  <c r="D384" i="8"/>
  <c r="D383" i="8"/>
  <c r="D382" i="8"/>
  <c r="D381" i="8"/>
  <c r="D365" i="8"/>
  <c r="D364" i="8"/>
  <c r="D363" i="8"/>
  <c r="D362" i="8"/>
  <c r="D361" i="8"/>
  <c r="D396" i="8"/>
  <c r="D395" i="8"/>
  <c r="D394" i="8"/>
  <c r="D393" i="8"/>
  <c r="D392" i="8"/>
  <c r="G390" i="8"/>
  <c r="F390" i="8"/>
  <c r="E390" i="8"/>
  <c r="D390" i="8"/>
  <c r="G379" i="8"/>
  <c r="F379" i="8"/>
  <c r="E379" i="8"/>
  <c r="D379" i="8"/>
  <c r="D408" i="8" l="1"/>
  <c r="D407" i="8"/>
  <c r="D366" i="8" l="1"/>
  <c r="D400" i="8"/>
  <c r="D406" i="8"/>
  <c r="D405" i="8"/>
  <c r="D404" i="8"/>
  <c r="D403" i="8"/>
  <c r="D402" i="8"/>
  <c r="D401" i="8"/>
  <c r="D372" i="8"/>
  <c r="D371" i="8"/>
  <c r="D370" i="8"/>
  <c r="D369" i="8" l="1"/>
  <c r="D399" i="8"/>
  <c r="D398" i="8"/>
  <c r="D397" i="8"/>
  <c r="D368" i="8"/>
  <c r="D367" i="8"/>
  <c r="D83" i="8" l="1"/>
  <c r="D410" i="8" s="1"/>
  <c r="D82" i="8"/>
  <c r="D409" i="8" l="1"/>
  <c r="F198" i="8" l="1"/>
  <c r="F197" i="8"/>
  <c r="D236" i="31"/>
  <c r="E182" i="8"/>
  <c r="F182" i="8" s="1"/>
  <c r="D619" i="19"/>
  <c r="D618" i="19"/>
  <c r="E172" i="8"/>
  <c r="F172" i="8" s="1"/>
  <c r="E165" i="8"/>
  <c r="F165" i="8" s="1"/>
  <c r="D115" i="18"/>
  <c r="D79" i="20" s="1"/>
  <c r="D114" i="18"/>
  <c r="E156" i="8"/>
  <c r="F156" i="8" s="1"/>
  <c r="F149" i="8"/>
  <c r="F148" i="8"/>
  <c r="F147" i="8"/>
  <c r="F146" i="8"/>
  <c r="F145" i="8"/>
  <c r="F144" i="8"/>
  <c r="F142" i="8"/>
  <c r="F141" i="8"/>
  <c r="F140" i="8"/>
  <c r="F139" i="8"/>
  <c r="F137" i="8"/>
  <c r="F136" i="8"/>
  <c r="F135" i="8"/>
  <c r="F134" i="8"/>
  <c r="D19" i="14"/>
  <c r="E95" i="8"/>
  <c r="E94" i="8"/>
  <c r="E93" i="8"/>
  <c r="E92" i="8"/>
  <c r="E91" i="8"/>
  <c r="E43" i="8"/>
  <c r="E42" i="8"/>
  <c r="E41" i="8"/>
  <c r="E40" i="8"/>
  <c r="D11" i="29"/>
  <c r="E171" i="8" l="1"/>
  <c r="D613" i="19"/>
  <c r="E155" i="8"/>
  <c r="D109" i="18"/>
  <c r="D98" i="21"/>
  <c r="D97" i="21"/>
  <c r="E258" i="8"/>
  <c r="D78" i="20"/>
  <c r="D77" i="20"/>
  <c r="D100" i="21"/>
  <c r="D99" i="21"/>
  <c r="E259" i="8"/>
  <c r="E260" i="8"/>
  <c r="E261" i="8"/>
  <c r="E178" i="8"/>
  <c r="E618" i="19" s="1"/>
  <c r="E179" i="8"/>
  <c r="F93" i="8"/>
  <c r="E420" i="8"/>
  <c r="E115" i="18"/>
  <c r="E79" i="20" s="1"/>
  <c r="E163" i="8"/>
  <c r="F42" i="8"/>
  <c r="E383" i="8"/>
  <c r="F94" i="8"/>
  <c r="E421" i="8"/>
  <c r="D9" i="29"/>
  <c r="D9" i="14"/>
  <c r="F133" i="8"/>
  <c r="D7" i="30"/>
  <c r="D8" i="30"/>
  <c r="D20" i="14"/>
  <c r="E190" i="8"/>
  <c r="E236" i="31" s="1"/>
  <c r="D179" i="31"/>
  <c r="D113" i="31"/>
  <c r="D10" i="29"/>
  <c r="D10" i="14"/>
  <c r="E180" i="8"/>
  <c r="E619" i="19" s="1"/>
  <c r="E181" i="8"/>
  <c r="F43" i="8"/>
  <c r="E384" i="8"/>
  <c r="F95" i="8"/>
  <c r="E422" i="8"/>
  <c r="F138" i="8"/>
  <c r="D9" i="30"/>
  <c r="D21" i="14"/>
  <c r="E162" i="8"/>
  <c r="E114" i="18" s="1"/>
  <c r="D7" i="29"/>
  <c r="D8" i="29"/>
  <c r="D8" i="14"/>
  <c r="D7" i="14"/>
  <c r="F143" i="8"/>
  <c r="D10" i="30"/>
  <c r="D22" i="14"/>
  <c r="E9" i="29"/>
  <c r="E11" i="29"/>
  <c r="D373" i="8"/>
  <c r="D11" i="14" s="1"/>
  <c r="E365" i="8"/>
  <c r="E364" i="8"/>
  <c r="E361" i="8"/>
  <c r="E362" i="8"/>
  <c r="E363" i="8"/>
  <c r="F91" i="8"/>
  <c r="E418" i="8"/>
  <c r="F92" i="8"/>
  <c r="E419" i="8"/>
  <c r="F40" i="8"/>
  <c r="E381" i="8"/>
  <c r="F41" i="8"/>
  <c r="E382" i="8"/>
  <c r="E395" i="8"/>
  <c r="E396" i="8"/>
  <c r="E392" i="8"/>
  <c r="E394" i="8"/>
  <c r="E393" i="8"/>
  <c r="E410" i="8"/>
  <c r="E409" i="8"/>
  <c r="E372" i="8"/>
  <c r="E397" i="8"/>
  <c r="E368" i="8"/>
  <c r="E399" i="8"/>
  <c r="E404" i="8"/>
  <c r="E367" i="8"/>
  <c r="E406" i="8"/>
  <c r="E369" i="8"/>
  <c r="E400" i="8"/>
  <c r="E408" i="8"/>
  <c r="E402" i="8"/>
  <c r="E403" i="8"/>
  <c r="E366" i="8"/>
  <c r="E405" i="8"/>
  <c r="E398" i="8"/>
  <c r="E407" i="8"/>
  <c r="E370" i="8"/>
  <c r="E371" i="8"/>
  <c r="E401" i="8"/>
  <c r="G107" i="8"/>
  <c r="F107" i="8"/>
  <c r="D107" i="8"/>
  <c r="G101" i="8"/>
  <c r="F101" i="8"/>
  <c r="E101" i="8"/>
  <c r="D101" i="8"/>
  <c r="D113" i="8"/>
  <c r="E113" i="8"/>
  <c r="F113" i="8"/>
  <c r="G113" i="8"/>
  <c r="G55" i="8"/>
  <c r="F55" i="8"/>
  <c r="E55" i="8"/>
  <c r="D55" i="8"/>
  <c r="G49" i="8"/>
  <c r="F49" i="8"/>
  <c r="E49" i="8"/>
  <c r="D49" i="8"/>
  <c r="E7" i="29" l="1"/>
  <c r="E9" i="30"/>
  <c r="E10" i="30"/>
  <c r="F258" i="8"/>
  <c r="F260" i="8"/>
  <c r="E7" i="30"/>
  <c r="E8" i="30"/>
  <c r="F259" i="8"/>
  <c r="E77" i="20"/>
  <c r="E78" i="20"/>
  <c r="D71" i="20"/>
  <c r="D72" i="20"/>
  <c r="D116" i="18"/>
  <c r="D80" i="20" s="1"/>
  <c r="E99" i="21"/>
  <c r="E100" i="21"/>
  <c r="E98" i="21"/>
  <c r="E97" i="21"/>
  <c r="F155" i="8"/>
  <c r="E109" i="18"/>
  <c r="D85" i="21"/>
  <c r="D86" i="21"/>
  <c r="D620" i="19"/>
  <c r="D101" i="21" s="1"/>
  <c r="E8" i="29"/>
  <c r="F261" i="8"/>
  <c r="F171" i="8"/>
  <c r="E613" i="19"/>
  <c r="F180" i="8"/>
  <c r="F619" i="19" s="1"/>
  <c r="F115" i="18"/>
  <c r="F79" i="20" s="1"/>
  <c r="G422" i="8"/>
  <c r="F422" i="8"/>
  <c r="G421" i="8"/>
  <c r="F421" i="8"/>
  <c r="F162" i="8"/>
  <c r="F114" i="18" s="1"/>
  <c r="E10" i="29"/>
  <c r="F179" i="8"/>
  <c r="G420" i="8"/>
  <c r="F420" i="8"/>
  <c r="G384" i="8"/>
  <c r="F384" i="8"/>
  <c r="G383" i="8"/>
  <c r="F383" i="8"/>
  <c r="F181" i="8"/>
  <c r="F163" i="8"/>
  <c r="F190" i="8"/>
  <c r="F236" i="31" s="1"/>
  <c r="E179" i="31"/>
  <c r="E113" i="31"/>
  <c r="F178" i="8"/>
  <c r="F618" i="19" s="1"/>
  <c r="E10" i="14"/>
  <c r="D167" i="30"/>
  <c r="D176" i="30"/>
  <c r="D112" i="30"/>
  <c r="D170" i="30"/>
  <c r="D131" i="30"/>
  <c r="D136" i="30"/>
  <c r="D106" i="30"/>
  <c r="D137" i="30"/>
  <c r="D191" i="30"/>
  <c r="D173" i="30"/>
  <c r="D175" i="30"/>
  <c r="D105" i="30"/>
  <c r="D122" i="30"/>
  <c r="D120" i="30"/>
  <c r="D114" i="30"/>
  <c r="D153" i="30"/>
  <c r="D189" i="30"/>
  <c r="D143" i="30"/>
  <c r="D128" i="30"/>
  <c r="D117" i="30"/>
  <c r="D109" i="30"/>
  <c r="D111" i="30"/>
  <c r="D103" i="30"/>
  <c r="D134" i="30"/>
  <c r="D184" i="30"/>
  <c r="D125" i="30"/>
  <c r="D159" i="30"/>
  <c r="D144" i="30"/>
  <c r="D171" i="30"/>
  <c r="D174" i="30"/>
  <c r="D104" i="30"/>
  <c r="D185" i="30"/>
  <c r="D132" i="30"/>
  <c r="D142" i="30"/>
  <c r="D157" i="30"/>
  <c r="D151" i="30"/>
  <c r="D107" i="30"/>
  <c r="D190" i="30"/>
  <c r="D168" i="30"/>
  <c r="D154" i="30"/>
  <c r="D110" i="30"/>
  <c r="D178" i="30"/>
  <c r="D186" i="30"/>
  <c r="D155" i="30"/>
  <c r="D165" i="30"/>
  <c r="D180" i="30"/>
  <c r="D182" i="30"/>
  <c r="D160" i="30"/>
  <c r="D126" i="30"/>
  <c r="D152" i="30"/>
  <c r="D146" i="30"/>
  <c r="D133" i="30"/>
  <c r="D135" i="30"/>
  <c r="D130" i="30"/>
  <c r="D177" i="30"/>
  <c r="D188" i="30"/>
  <c r="D139" i="30"/>
  <c r="D181" i="30"/>
  <c r="D187" i="30"/>
  <c r="D179" i="30"/>
  <c r="D119" i="30"/>
  <c r="D138" i="30"/>
  <c r="D161" i="30"/>
  <c r="D163" i="30"/>
  <c r="D145" i="30"/>
  <c r="D115" i="30"/>
  <c r="D150" i="30"/>
  <c r="D169" i="30"/>
  <c r="D116" i="30"/>
  <c r="D118" i="30"/>
  <c r="D127" i="30"/>
  <c r="D149" i="30"/>
  <c r="D141" i="30"/>
  <c r="D158" i="30"/>
  <c r="D156" i="30"/>
  <c r="D166" i="30"/>
  <c r="D183" i="30"/>
  <c r="D113" i="30"/>
  <c r="D124" i="30"/>
  <c r="D164" i="30"/>
  <c r="D172" i="30"/>
  <c r="D140" i="30"/>
  <c r="D148" i="30"/>
  <c r="D147" i="30"/>
  <c r="D123" i="30"/>
  <c r="D108" i="30"/>
  <c r="D121" i="30"/>
  <c r="D129" i="30"/>
  <c r="D162" i="30"/>
  <c r="E22" i="14"/>
  <c r="F11" i="29"/>
  <c r="E373" i="8"/>
  <c r="E11" i="14" s="1"/>
  <c r="G419" i="8"/>
  <c r="F419" i="8"/>
  <c r="G418" i="8"/>
  <c r="F418" i="8"/>
  <c r="F382" i="8"/>
  <c r="E8" i="14"/>
  <c r="E7" i="14"/>
  <c r="F381" i="8"/>
  <c r="E20" i="14"/>
  <c r="E19" i="14"/>
  <c r="G409" i="8"/>
  <c r="F409" i="8"/>
  <c r="G410" i="8"/>
  <c r="F410" i="8"/>
  <c r="E21" i="14"/>
  <c r="E9" i="14"/>
  <c r="E207" i="8"/>
  <c r="F207" i="8" s="1"/>
  <c r="F99" i="21" l="1"/>
  <c r="F100" i="21"/>
  <c r="F77" i="20"/>
  <c r="F78" i="20"/>
  <c r="E86" i="21"/>
  <c r="E620" i="19"/>
  <c r="E101" i="21" s="1"/>
  <c r="E85" i="21"/>
  <c r="E71" i="20"/>
  <c r="E116" i="18"/>
  <c r="E80" i="20" s="1"/>
  <c r="E72" i="20"/>
  <c r="F97" i="21"/>
  <c r="F98" i="21"/>
  <c r="G613" i="19"/>
  <c r="F613" i="19"/>
  <c r="G109" i="18"/>
  <c r="F109" i="18"/>
  <c r="G236" i="31"/>
  <c r="F179" i="31"/>
  <c r="F113" i="31"/>
  <c r="G115" i="18"/>
  <c r="G79" i="20" s="1"/>
  <c r="G618" i="19"/>
  <c r="G114" i="18"/>
  <c r="G619" i="19"/>
  <c r="D105" i="31"/>
  <c r="E190" i="30"/>
  <c r="E182" i="30"/>
  <c r="E174" i="30"/>
  <c r="E166" i="30"/>
  <c r="E158" i="30"/>
  <c r="E150" i="30"/>
  <c r="E142" i="30"/>
  <c r="E134" i="30"/>
  <c r="E126" i="30"/>
  <c r="E118" i="30"/>
  <c r="E110" i="30"/>
  <c r="E189" i="30"/>
  <c r="E181" i="30"/>
  <c r="E173" i="30"/>
  <c r="E165" i="30"/>
  <c r="E157" i="30"/>
  <c r="E149" i="30"/>
  <c r="E141" i="30"/>
  <c r="E133" i="30"/>
  <c r="E125" i="30"/>
  <c r="E117" i="30"/>
  <c r="E109" i="30"/>
  <c r="E188" i="30"/>
  <c r="E180" i="30"/>
  <c r="E172" i="30"/>
  <c r="E164" i="30"/>
  <c r="E156" i="30"/>
  <c r="E148" i="30"/>
  <c r="E140" i="30"/>
  <c r="E132" i="30"/>
  <c r="E124" i="30"/>
  <c r="E116" i="30"/>
  <c r="E108" i="30"/>
  <c r="E187" i="30"/>
  <c r="E179" i="30"/>
  <c r="E171" i="30"/>
  <c r="E163" i="30"/>
  <c r="E155" i="30"/>
  <c r="E147" i="30"/>
  <c r="E139" i="30"/>
  <c r="E131" i="30"/>
  <c r="E123" i="30"/>
  <c r="E115" i="30"/>
  <c r="E107" i="30"/>
  <c r="E186" i="30"/>
  <c r="E178" i="30"/>
  <c r="E170" i="30"/>
  <c r="E162" i="30"/>
  <c r="E154" i="30"/>
  <c r="E146" i="30"/>
  <c r="E138" i="30"/>
  <c r="E130" i="30"/>
  <c r="E122" i="30"/>
  <c r="E114" i="30"/>
  <c r="E106" i="30"/>
  <c r="E184" i="30"/>
  <c r="E176" i="30"/>
  <c r="E168" i="30"/>
  <c r="E160" i="30"/>
  <c r="E152" i="30"/>
  <c r="E144" i="30"/>
  <c r="E136" i="30"/>
  <c r="E128" i="30"/>
  <c r="E120" i="30"/>
  <c r="E112" i="30"/>
  <c r="E104" i="30"/>
  <c r="E183" i="30"/>
  <c r="E151" i="30"/>
  <c r="E119" i="30"/>
  <c r="E135" i="30"/>
  <c r="E177" i="30"/>
  <c r="E145" i="30"/>
  <c r="E113" i="30"/>
  <c r="E103" i="30"/>
  <c r="E129" i="30"/>
  <c r="E175" i="30"/>
  <c r="E143" i="30"/>
  <c r="E111" i="30"/>
  <c r="E167" i="30"/>
  <c r="E161" i="30"/>
  <c r="E169" i="30"/>
  <c r="E137" i="30"/>
  <c r="E105" i="30"/>
  <c r="E191" i="30"/>
  <c r="E159" i="30"/>
  <c r="E127" i="30"/>
  <c r="E185" i="30"/>
  <c r="E153" i="30"/>
  <c r="E121" i="30"/>
  <c r="G11" i="29"/>
  <c r="F373" i="8"/>
  <c r="F11" i="14" s="1"/>
  <c r="E648" i="19"/>
  <c r="E682" i="19" s="1"/>
  <c r="D648" i="19"/>
  <c r="D682" i="19" s="1"/>
  <c r="E105" i="31" l="1"/>
  <c r="F71" i="20"/>
  <c r="F116" i="18"/>
  <c r="F80" i="20" s="1"/>
  <c r="F72" i="20"/>
  <c r="G71" i="20"/>
  <c r="G72" i="20"/>
  <c r="G116" i="18"/>
  <c r="G80" i="20" s="1"/>
  <c r="G99" i="21"/>
  <c r="G100" i="21"/>
  <c r="F85" i="21"/>
  <c r="F620" i="19"/>
  <c r="F101" i="21" s="1"/>
  <c r="F86" i="21"/>
  <c r="G85" i="21"/>
  <c r="G86" i="21"/>
  <c r="G620" i="19"/>
  <c r="G101" i="21" s="1"/>
  <c r="G78" i="20"/>
  <c r="G77" i="20"/>
  <c r="G97" i="21"/>
  <c r="G98" i="21"/>
  <c r="G179" i="31"/>
  <c r="G113" i="31"/>
  <c r="G373" i="8"/>
  <c r="G11" i="14" s="1"/>
  <c r="D36" i="30" l="1"/>
  <c r="D60" i="30"/>
  <c r="D84" i="30"/>
  <c r="D13" i="30"/>
  <c r="D21" i="30"/>
  <c r="D29" i="30"/>
  <c r="D37" i="30"/>
  <c r="D45" i="30"/>
  <c r="D53" i="30"/>
  <c r="D61" i="30"/>
  <c r="D69" i="30"/>
  <c r="D77" i="30"/>
  <c r="D85" i="30"/>
  <c r="D93" i="30"/>
  <c r="D28" i="30"/>
  <c r="D68" i="30"/>
  <c r="D92" i="30"/>
  <c r="D14" i="30"/>
  <c r="D22" i="30"/>
  <c r="D30" i="30"/>
  <c r="D38" i="30"/>
  <c r="D46" i="30"/>
  <c r="D54" i="30"/>
  <c r="D62" i="30"/>
  <c r="D70" i="30"/>
  <c r="D78" i="30"/>
  <c r="D86" i="30"/>
  <c r="D94" i="30"/>
  <c r="D12" i="30"/>
  <c r="D52" i="30"/>
  <c r="D76" i="30"/>
  <c r="D15" i="30"/>
  <c r="D23" i="30"/>
  <c r="D31" i="30"/>
  <c r="D39" i="30"/>
  <c r="D47" i="30"/>
  <c r="D55" i="30"/>
  <c r="D63" i="30"/>
  <c r="D71" i="30"/>
  <c r="D79" i="30"/>
  <c r="D87" i="30"/>
  <c r="D95" i="30"/>
  <c r="D16" i="30"/>
  <c r="D24" i="30"/>
  <c r="D32" i="30"/>
  <c r="D40" i="30"/>
  <c r="D48" i="30"/>
  <c r="D56" i="30"/>
  <c r="D64" i="30"/>
  <c r="D72" i="30"/>
  <c r="D80" i="30"/>
  <c r="D88" i="30"/>
  <c r="D20" i="30"/>
  <c r="D17" i="30"/>
  <c r="D25" i="30"/>
  <c r="D33" i="30"/>
  <c r="D41" i="30"/>
  <c r="D49" i="30"/>
  <c r="D57" i="30"/>
  <c r="D65" i="30"/>
  <c r="D73" i="30"/>
  <c r="D81" i="30"/>
  <c r="D89" i="30"/>
  <c r="D44" i="30"/>
  <c r="D18" i="30"/>
  <c r="D26" i="30"/>
  <c r="D34" i="30"/>
  <c r="D42" i="30"/>
  <c r="D50" i="30"/>
  <c r="D58" i="30"/>
  <c r="D66" i="30"/>
  <c r="D74" i="30"/>
  <c r="D82" i="30"/>
  <c r="D90" i="30"/>
  <c r="D11" i="30"/>
  <c r="D19" i="30"/>
  <c r="D27" i="30"/>
  <c r="D35" i="30"/>
  <c r="D43" i="30"/>
  <c r="D51" i="30"/>
  <c r="D59" i="30"/>
  <c r="D67" i="30"/>
  <c r="D75" i="30"/>
  <c r="D83" i="30"/>
  <c r="D91" i="30"/>
  <c r="D23" i="14"/>
  <c r="E288" i="8"/>
  <c r="D44" i="14"/>
  <c r="E312" i="8"/>
  <c r="D68" i="14"/>
  <c r="E320" i="8"/>
  <c r="D76" i="14"/>
  <c r="E328" i="8"/>
  <c r="D84" i="14"/>
  <c r="E336" i="8"/>
  <c r="D92" i="14"/>
  <c r="E344" i="8"/>
  <c r="D100" i="14"/>
  <c r="E273" i="8"/>
  <c r="D29" i="14"/>
  <c r="E281" i="8"/>
  <c r="D37" i="14"/>
  <c r="E289" i="8"/>
  <c r="D45" i="14"/>
  <c r="E297" i="8"/>
  <c r="D53" i="14"/>
  <c r="E305" i="8"/>
  <c r="D61" i="14"/>
  <c r="E313" i="8"/>
  <c r="D69" i="14"/>
  <c r="E321" i="8"/>
  <c r="D77" i="14"/>
  <c r="E329" i="8"/>
  <c r="D85" i="14"/>
  <c r="E337" i="8"/>
  <c r="D93" i="14"/>
  <c r="E345" i="8"/>
  <c r="D101" i="14"/>
  <c r="E296" i="8"/>
  <c r="D52" i="14"/>
  <c r="E282" i="8"/>
  <c r="D38" i="14"/>
  <c r="E314" i="8"/>
  <c r="D70" i="14"/>
  <c r="E330" i="8"/>
  <c r="D86" i="14"/>
  <c r="E275" i="8"/>
  <c r="D31" i="14"/>
  <c r="E283" i="8"/>
  <c r="D39" i="14"/>
  <c r="E291" i="8"/>
  <c r="D47" i="14"/>
  <c r="E299" i="8"/>
  <c r="D55" i="14"/>
  <c r="E307" i="8"/>
  <c r="D63" i="14"/>
  <c r="E315" i="8"/>
  <c r="D71" i="14"/>
  <c r="E323" i="8"/>
  <c r="D79" i="14"/>
  <c r="E331" i="8"/>
  <c r="D87" i="14"/>
  <c r="E339" i="8"/>
  <c r="D95" i="14"/>
  <c r="E347" i="8"/>
  <c r="D103" i="14"/>
  <c r="E280" i="8"/>
  <c r="D36" i="14"/>
  <c r="E298" i="8"/>
  <c r="D54" i="14"/>
  <c r="E338" i="8"/>
  <c r="D94" i="14"/>
  <c r="E268" i="8"/>
  <c r="D24" i="14"/>
  <c r="E276" i="8"/>
  <c r="D32" i="14"/>
  <c r="E284" i="8"/>
  <c r="D40" i="14"/>
  <c r="E292" i="8"/>
  <c r="D48" i="14"/>
  <c r="E300" i="8"/>
  <c r="D56" i="14"/>
  <c r="E308" i="8"/>
  <c r="D64" i="14"/>
  <c r="E316" i="8"/>
  <c r="D72" i="14"/>
  <c r="E324" i="8"/>
  <c r="D80" i="14"/>
  <c r="E332" i="8"/>
  <c r="D88" i="14"/>
  <c r="E340" i="8"/>
  <c r="D96" i="14"/>
  <c r="E348" i="8"/>
  <c r="D104" i="14"/>
  <c r="E272" i="8"/>
  <c r="D28" i="14"/>
  <c r="E290" i="8"/>
  <c r="D46" i="14"/>
  <c r="E346" i="8"/>
  <c r="D102" i="14"/>
  <c r="E269" i="8"/>
  <c r="D25" i="14"/>
  <c r="E277" i="8"/>
  <c r="D33" i="14"/>
  <c r="E285" i="8"/>
  <c r="D41" i="14"/>
  <c r="E293" i="8"/>
  <c r="D49" i="14"/>
  <c r="E301" i="8"/>
  <c r="D57" i="14"/>
  <c r="E309" i="8"/>
  <c r="D65" i="14"/>
  <c r="E317" i="8"/>
  <c r="D73" i="14"/>
  <c r="E325" i="8"/>
  <c r="D81" i="14"/>
  <c r="E333" i="8"/>
  <c r="D89" i="14"/>
  <c r="E341" i="8"/>
  <c r="D97" i="14"/>
  <c r="E349" i="8"/>
  <c r="D105" i="14"/>
  <c r="E270" i="8"/>
  <c r="D26" i="14"/>
  <c r="E278" i="8"/>
  <c r="D34" i="14"/>
  <c r="E286" i="8"/>
  <c r="D42" i="14"/>
  <c r="E294" i="8"/>
  <c r="D50" i="14"/>
  <c r="E302" i="8"/>
  <c r="D58" i="14"/>
  <c r="E310" i="8"/>
  <c r="D66" i="14"/>
  <c r="E318" i="8"/>
  <c r="D74" i="14"/>
  <c r="E326" i="8"/>
  <c r="D82" i="14"/>
  <c r="E334" i="8"/>
  <c r="D90" i="14"/>
  <c r="E342" i="8"/>
  <c r="D98" i="14"/>
  <c r="E350" i="8"/>
  <c r="D106" i="14"/>
  <c r="E304" i="8"/>
  <c r="D60" i="14"/>
  <c r="E274" i="8"/>
  <c r="D30" i="14"/>
  <c r="E306" i="8"/>
  <c r="D62" i="14"/>
  <c r="E322" i="8"/>
  <c r="D78" i="14"/>
  <c r="E271" i="8"/>
  <c r="D27" i="14"/>
  <c r="E279" i="8"/>
  <c r="D35" i="14"/>
  <c r="E287" i="8"/>
  <c r="D43" i="14"/>
  <c r="E295" i="8"/>
  <c r="D51" i="14"/>
  <c r="E303" i="8"/>
  <c r="D59" i="14"/>
  <c r="E311" i="8"/>
  <c r="D67" i="14"/>
  <c r="E319" i="8"/>
  <c r="D75" i="14"/>
  <c r="E327" i="8"/>
  <c r="D83" i="14"/>
  <c r="E335" i="8"/>
  <c r="D91" i="14"/>
  <c r="E343" i="8"/>
  <c r="D99" i="14"/>
  <c r="E351" i="8"/>
  <c r="D107" i="14"/>
  <c r="E267" i="8"/>
  <c r="D258" i="21" l="1"/>
  <c r="E70" i="30"/>
  <c r="E39" i="30"/>
  <c r="E94" i="30"/>
  <c r="E85" i="30"/>
  <c r="E16" i="30"/>
  <c r="E36" i="30"/>
  <c r="E87" i="30"/>
  <c r="E55" i="30"/>
  <c r="E23" i="30"/>
  <c r="E18" i="30"/>
  <c r="E78" i="30"/>
  <c r="E46" i="30"/>
  <c r="E14" i="30"/>
  <c r="E69" i="30"/>
  <c r="E37" i="30"/>
  <c r="E90" i="30"/>
  <c r="E84" i="30"/>
  <c r="E52" i="30"/>
  <c r="E20" i="30"/>
  <c r="E24" i="30"/>
  <c r="E67" i="30"/>
  <c r="E35" i="30"/>
  <c r="E58" i="30"/>
  <c r="E81" i="30"/>
  <c r="E49" i="30"/>
  <c r="E17" i="30"/>
  <c r="E64" i="30"/>
  <c r="E34" i="30"/>
  <c r="E79" i="30"/>
  <c r="E15" i="30"/>
  <c r="E93" i="30"/>
  <c r="E29" i="30"/>
  <c r="E44" i="30"/>
  <c r="E91" i="30"/>
  <c r="E26" i="30"/>
  <c r="E41" i="30"/>
  <c r="E56" i="30"/>
  <c r="E38" i="30"/>
  <c r="E59" i="30"/>
  <c r="E51" i="30"/>
  <c r="E47" i="30"/>
  <c r="E61" i="30"/>
  <c r="E76" i="30"/>
  <c r="E12" i="30"/>
  <c r="E27" i="30"/>
  <c r="E73" i="30"/>
  <c r="E88" i="30"/>
  <c r="E11" i="30"/>
  <c r="E71" i="30"/>
  <c r="E66" i="30"/>
  <c r="E62" i="30"/>
  <c r="E53" i="30"/>
  <c r="E21" i="30"/>
  <c r="E68" i="30"/>
  <c r="E82" i="30"/>
  <c r="E83" i="30"/>
  <c r="E19" i="30"/>
  <c r="E40" i="30"/>
  <c r="E65" i="30"/>
  <c r="E33" i="30"/>
  <c r="E80" i="30"/>
  <c r="E32" i="30"/>
  <c r="E95" i="30"/>
  <c r="E63" i="30"/>
  <c r="E31" i="30"/>
  <c r="E50" i="30"/>
  <c r="E86" i="30"/>
  <c r="E54" i="30"/>
  <c r="E22" i="30"/>
  <c r="E77" i="30"/>
  <c r="E45" i="30"/>
  <c r="E13" i="30"/>
  <c r="E92" i="30"/>
  <c r="E60" i="30"/>
  <c r="E28" i="30"/>
  <c r="E42" i="30"/>
  <c r="E75" i="30"/>
  <c r="E43" i="30"/>
  <c r="E74" i="30"/>
  <c r="E89" i="30"/>
  <c r="E57" i="30"/>
  <c r="E25" i="30"/>
  <c r="E72" i="30"/>
  <c r="E48" i="30"/>
  <c r="E30" i="30"/>
  <c r="D19" i="29"/>
  <c r="D23" i="29"/>
  <c r="D22" i="29"/>
  <c r="D21" i="29"/>
  <c r="D104" i="31" s="1"/>
  <c r="D20" i="29"/>
  <c r="E352" i="8"/>
  <c r="F351" i="8"/>
  <c r="E107" i="14"/>
  <c r="F342" i="8"/>
  <c r="E98" i="14"/>
  <c r="F333" i="8"/>
  <c r="E89" i="14"/>
  <c r="F301" i="8"/>
  <c r="E57" i="14"/>
  <c r="F269" i="8"/>
  <c r="E25" i="14"/>
  <c r="F348" i="8"/>
  <c r="E104" i="14"/>
  <c r="F316" i="8"/>
  <c r="E72" i="14"/>
  <c r="F284" i="8"/>
  <c r="E40" i="14"/>
  <c r="F298" i="8"/>
  <c r="E54" i="14"/>
  <c r="F331" i="8"/>
  <c r="E87" i="14"/>
  <c r="F299" i="8"/>
  <c r="E55" i="14"/>
  <c r="F330" i="8"/>
  <c r="E86" i="14"/>
  <c r="F345" i="8"/>
  <c r="E101" i="14"/>
  <c r="F313" i="8"/>
  <c r="E69" i="14"/>
  <c r="F281" i="8"/>
  <c r="E37" i="14"/>
  <c r="F328" i="8"/>
  <c r="E84" i="14"/>
  <c r="F274" i="8"/>
  <c r="E30" i="14"/>
  <c r="F334" i="8"/>
  <c r="E90" i="14"/>
  <c r="F270" i="8"/>
  <c r="E26" i="14"/>
  <c r="F325" i="8"/>
  <c r="E81" i="14"/>
  <c r="F293" i="8"/>
  <c r="E49" i="14"/>
  <c r="F346" i="8"/>
  <c r="E102" i="14"/>
  <c r="F340" i="8"/>
  <c r="E96" i="14"/>
  <c r="F308" i="8"/>
  <c r="E64" i="14"/>
  <c r="F276" i="8"/>
  <c r="E32" i="14"/>
  <c r="F280" i="8"/>
  <c r="E36" i="14"/>
  <c r="F323" i="8"/>
  <c r="E79" i="14"/>
  <c r="F291" i="8"/>
  <c r="E47" i="14"/>
  <c r="F314" i="8"/>
  <c r="E70" i="14"/>
  <c r="F337" i="8"/>
  <c r="E93" i="14"/>
  <c r="F305" i="8"/>
  <c r="E61" i="14"/>
  <c r="F273" i="8"/>
  <c r="E29" i="14"/>
  <c r="F320" i="8"/>
  <c r="E76" i="14"/>
  <c r="F319" i="8"/>
  <c r="E75" i="14"/>
  <c r="F310" i="8"/>
  <c r="E66" i="14"/>
  <c r="F279" i="8"/>
  <c r="E35" i="14"/>
  <c r="F271" i="8"/>
  <c r="E27" i="14"/>
  <c r="F306" i="8"/>
  <c r="E62" i="14"/>
  <c r="F303" i="8"/>
  <c r="E59" i="14"/>
  <c r="F349" i="8"/>
  <c r="E105" i="14"/>
  <c r="F317" i="8"/>
  <c r="E73" i="14"/>
  <c r="F285" i="8"/>
  <c r="E41" i="14"/>
  <c r="F290" i="8"/>
  <c r="E46" i="14"/>
  <c r="F332" i="8"/>
  <c r="E88" i="14"/>
  <c r="F300" i="8"/>
  <c r="E56" i="14"/>
  <c r="F268" i="8"/>
  <c r="E24" i="14"/>
  <c r="F347" i="8"/>
  <c r="E103" i="14"/>
  <c r="F315" i="8"/>
  <c r="E71" i="14"/>
  <c r="F283" i="8"/>
  <c r="E39" i="14"/>
  <c r="F282" i="8"/>
  <c r="E38" i="14"/>
  <c r="F329" i="8"/>
  <c r="E85" i="14"/>
  <c r="F297" i="8"/>
  <c r="E53" i="14"/>
  <c r="F344" i="8"/>
  <c r="E100" i="14"/>
  <c r="F312" i="8"/>
  <c r="E68" i="14"/>
  <c r="F311" i="8"/>
  <c r="E67" i="14"/>
  <c r="F302" i="8"/>
  <c r="E58" i="14"/>
  <c r="F326" i="8"/>
  <c r="E82" i="14"/>
  <c r="F295" i="8"/>
  <c r="E51" i="14"/>
  <c r="F350" i="8"/>
  <c r="E106" i="14"/>
  <c r="F286" i="8"/>
  <c r="E42" i="14"/>
  <c r="F287" i="8"/>
  <c r="E43" i="14"/>
  <c r="F278" i="8"/>
  <c r="E34" i="14"/>
  <c r="F343" i="8"/>
  <c r="E99" i="14"/>
  <c r="F335" i="8"/>
  <c r="E91" i="14"/>
  <c r="F304" i="8"/>
  <c r="E60" i="14"/>
  <c r="F294" i="8"/>
  <c r="E50" i="14"/>
  <c r="F327" i="8"/>
  <c r="E83" i="14"/>
  <c r="F322" i="8"/>
  <c r="E78" i="14"/>
  <c r="F318" i="8"/>
  <c r="E74" i="14"/>
  <c r="F341" i="8"/>
  <c r="E97" i="14"/>
  <c r="F309" i="8"/>
  <c r="E65" i="14"/>
  <c r="F277" i="8"/>
  <c r="E33" i="14"/>
  <c r="F272" i="8"/>
  <c r="E28" i="14"/>
  <c r="F324" i="8"/>
  <c r="E80" i="14"/>
  <c r="F292" i="8"/>
  <c r="E48" i="14"/>
  <c r="F338" i="8"/>
  <c r="E94" i="14"/>
  <c r="F339" i="8"/>
  <c r="E95" i="14"/>
  <c r="F307" i="8"/>
  <c r="E63" i="14"/>
  <c r="F275" i="8"/>
  <c r="E31" i="14"/>
  <c r="F296" i="8"/>
  <c r="E52" i="14"/>
  <c r="F321" i="8"/>
  <c r="E77" i="14"/>
  <c r="F289" i="8"/>
  <c r="E45" i="14"/>
  <c r="F336" i="8"/>
  <c r="E92" i="14"/>
  <c r="F288" i="8"/>
  <c r="E44" i="14"/>
  <c r="F267" i="8"/>
  <c r="E23" i="14"/>
  <c r="G169" i="21"/>
  <c r="F169" i="21"/>
  <c r="E169" i="21"/>
  <c r="D169" i="21"/>
  <c r="G168" i="21"/>
  <c r="F168" i="21"/>
  <c r="E168" i="21"/>
  <c r="D168" i="21"/>
  <c r="G167" i="21"/>
  <c r="F167" i="21"/>
  <c r="E167" i="21"/>
  <c r="D167" i="21"/>
  <c r="G166" i="21"/>
  <c r="F166" i="21"/>
  <c r="E166" i="21"/>
  <c r="D166" i="21"/>
  <c r="G165" i="21"/>
  <c r="F165" i="21"/>
  <c r="E165" i="21"/>
  <c r="D165" i="21"/>
  <c r="E156" i="21"/>
  <c r="D156" i="21"/>
  <c r="E155" i="21"/>
  <c r="D155" i="21"/>
  <c r="E154" i="21"/>
  <c r="D154" i="21"/>
  <c r="E153" i="21"/>
  <c r="D153" i="21"/>
  <c r="E152" i="21"/>
  <c r="D152" i="21"/>
  <c r="E151" i="21"/>
  <c r="D151" i="21"/>
  <c r="E150" i="21"/>
  <c r="D150" i="21"/>
  <c r="E149" i="21"/>
  <c r="D149" i="21"/>
  <c r="E148" i="21"/>
  <c r="D148" i="21"/>
  <c r="E147" i="21"/>
  <c r="D147" i="21"/>
  <c r="E146" i="21"/>
  <c r="D146" i="21"/>
  <c r="E145" i="21"/>
  <c r="D145" i="21"/>
  <c r="E144" i="21"/>
  <c r="D144" i="21"/>
  <c r="E143" i="21"/>
  <c r="D143" i="21"/>
  <c r="G67" i="21"/>
  <c r="F67" i="21"/>
  <c r="E67" i="21"/>
  <c r="D67" i="21"/>
  <c r="G66" i="21"/>
  <c r="F66" i="21"/>
  <c r="E66" i="21"/>
  <c r="D66" i="21"/>
  <c r="G65" i="21"/>
  <c r="F65" i="21"/>
  <c r="E65" i="21"/>
  <c r="D65" i="21"/>
  <c r="G64" i="21"/>
  <c r="F64" i="21"/>
  <c r="E64" i="21"/>
  <c r="D64" i="21"/>
  <c r="G63" i="21"/>
  <c r="F63" i="21"/>
  <c r="E63" i="21"/>
  <c r="D63" i="21"/>
  <c r="G59" i="21"/>
  <c r="F59" i="21"/>
  <c r="E59" i="21"/>
  <c r="D59" i="21"/>
  <c r="G58" i="21"/>
  <c r="F58" i="21"/>
  <c r="E58" i="21"/>
  <c r="D58" i="21"/>
  <c r="G57" i="21"/>
  <c r="F57" i="21"/>
  <c r="E57" i="21"/>
  <c r="D57" i="21"/>
  <c r="G56" i="21"/>
  <c r="F56" i="21"/>
  <c r="E56" i="21"/>
  <c r="D56" i="21"/>
  <c r="G55" i="21"/>
  <c r="F55" i="21"/>
  <c r="E55" i="21"/>
  <c r="D55" i="21"/>
  <c r="G52" i="21"/>
  <c r="F52" i="21"/>
  <c r="E52" i="21"/>
  <c r="D52" i="21"/>
  <c r="G51" i="21"/>
  <c r="F51" i="21"/>
  <c r="E51" i="21"/>
  <c r="D51" i="21"/>
  <c r="G50" i="21"/>
  <c r="F50" i="21"/>
  <c r="E50" i="21"/>
  <c r="D50" i="21"/>
  <c r="G49" i="21"/>
  <c r="F49" i="21"/>
  <c r="E49" i="21"/>
  <c r="D49" i="21"/>
  <c r="G48" i="21"/>
  <c r="F48" i="21"/>
  <c r="E48" i="21"/>
  <c r="D48" i="21"/>
  <c r="G47" i="21"/>
  <c r="F47" i="21"/>
  <c r="E47" i="21"/>
  <c r="D47" i="21"/>
  <c r="G46" i="21"/>
  <c r="F46" i="21"/>
  <c r="E46" i="21"/>
  <c r="D46" i="21"/>
  <c r="G45" i="21"/>
  <c r="F45" i="21"/>
  <c r="E45" i="21"/>
  <c r="D45" i="21"/>
  <c r="G44" i="21"/>
  <c r="F44" i="21"/>
  <c r="E44" i="21"/>
  <c r="D44" i="21"/>
  <c r="G43" i="21"/>
  <c r="F43" i="21"/>
  <c r="E43" i="21"/>
  <c r="D43" i="21"/>
  <c r="G42" i="21"/>
  <c r="F42" i="21"/>
  <c r="E42" i="21"/>
  <c r="D42" i="21"/>
  <c r="G41" i="21"/>
  <c r="F41" i="21"/>
  <c r="E41" i="21"/>
  <c r="D41" i="21"/>
  <c r="G654" i="19"/>
  <c r="F654" i="19"/>
  <c r="E654" i="19"/>
  <c r="D654" i="19"/>
  <c r="G653" i="19"/>
  <c r="F653" i="19"/>
  <c r="E653" i="19"/>
  <c r="D653" i="19"/>
  <c r="G652" i="19"/>
  <c r="F652" i="19"/>
  <c r="E652" i="19"/>
  <c r="D652" i="19"/>
  <c r="E647" i="19"/>
  <c r="D647" i="19"/>
  <c r="E646" i="19"/>
  <c r="D646" i="19"/>
  <c r="E645" i="19"/>
  <c r="D645" i="19"/>
  <c r="G134" i="20"/>
  <c r="F134" i="20"/>
  <c r="E134" i="20"/>
  <c r="D134" i="20"/>
  <c r="G133" i="20"/>
  <c r="F133" i="20"/>
  <c r="E133" i="20"/>
  <c r="D133" i="20"/>
  <c r="G132" i="20"/>
  <c r="F132" i="20"/>
  <c r="E132" i="20"/>
  <c r="D132" i="20"/>
  <c r="G131" i="20"/>
  <c r="F131" i="20"/>
  <c r="E131" i="20"/>
  <c r="D131" i="20"/>
  <c r="G127" i="20"/>
  <c r="F127" i="20"/>
  <c r="E127" i="20"/>
  <c r="D127" i="20"/>
  <c r="E126" i="20"/>
  <c r="D126" i="20"/>
  <c r="E125" i="20"/>
  <c r="D125" i="20"/>
  <c r="E124" i="20"/>
  <c r="D124" i="20"/>
  <c r="E123" i="20"/>
  <c r="D123" i="20"/>
  <c r="E122" i="20"/>
  <c r="D122" i="20"/>
  <c r="E121" i="20"/>
  <c r="D121" i="20"/>
  <c r="E120" i="20"/>
  <c r="D120" i="20"/>
  <c r="E119" i="20"/>
  <c r="D119" i="20"/>
  <c r="E118" i="20"/>
  <c r="D118" i="20"/>
  <c r="E117" i="20"/>
  <c r="E116" i="20"/>
  <c r="D116" i="20"/>
  <c r="E115" i="20"/>
  <c r="D115" i="20"/>
  <c r="G53" i="20"/>
  <c r="F53" i="20"/>
  <c r="E53" i="20"/>
  <c r="D53" i="20"/>
  <c r="G52" i="20"/>
  <c r="F52" i="20"/>
  <c r="E52" i="20"/>
  <c r="D52" i="20"/>
  <c r="G51" i="20"/>
  <c r="F51" i="20"/>
  <c r="E51" i="20"/>
  <c r="D51" i="20"/>
  <c r="G50" i="20"/>
  <c r="F50" i="20"/>
  <c r="E50" i="20"/>
  <c r="D50" i="20"/>
  <c r="G46" i="20"/>
  <c r="F46" i="20"/>
  <c r="E46" i="20"/>
  <c r="D46" i="20"/>
  <c r="G45" i="20"/>
  <c r="F45" i="20"/>
  <c r="E45" i="20"/>
  <c r="D45" i="20"/>
  <c r="G44" i="20"/>
  <c r="F44" i="20"/>
  <c r="E44" i="20"/>
  <c r="D44" i="20"/>
  <c r="G43" i="20"/>
  <c r="F43" i="20"/>
  <c r="E43" i="20"/>
  <c r="D43" i="20"/>
  <c r="G42" i="20"/>
  <c r="F42" i="20"/>
  <c r="E42" i="20"/>
  <c r="D42" i="20"/>
  <c r="G41" i="20"/>
  <c r="F41" i="20"/>
  <c r="E41" i="20"/>
  <c r="D41" i="20"/>
  <c r="G40" i="20"/>
  <c r="F40" i="20"/>
  <c r="E40" i="20"/>
  <c r="D40" i="20"/>
  <c r="G39" i="20"/>
  <c r="F39" i="20"/>
  <c r="E39" i="20"/>
  <c r="D39" i="20"/>
  <c r="G38" i="20"/>
  <c r="F38" i="20"/>
  <c r="E38" i="20"/>
  <c r="D38" i="20"/>
  <c r="G37" i="20"/>
  <c r="F37" i="20"/>
  <c r="E37" i="20"/>
  <c r="D37" i="20"/>
  <c r="G36" i="20"/>
  <c r="F36" i="20"/>
  <c r="E36" i="20"/>
  <c r="D36" i="20"/>
  <c r="G35" i="20"/>
  <c r="F35" i="20"/>
  <c r="E35" i="20"/>
  <c r="D35" i="20"/>
  <c r="G34" i="20"/>
  <c r="F34" i="20"/>
  <c r="E34" i="20"/>
  <c r="D34" i="20"/>
  <c r="G150" i="18"/>
  <c r="F150" i="18"/>
  <c r="E150" i="18"/>
  <c r="D150" i="18"/>
  <c r="G149" i="18"/>
  <c r="F149" i="18"/>
  <c r="E149" i="18"/>
  <c r="D149" i="18"/>
  <c r="G148" i="18"/>
  <c r="F148" i="18"/>
  <c r="E148" i="18"/>
  <c r="D148" i="18"/>
  <c r="G144" i="18"/>
  <c r="F144" i="18"/>
  <c r="E144" i="18"/>
  <c r="D144" i="18"/>
  <c r="E143" i="18"/>
  <c r="D143" i="18"/>
  <c r="E142" i="18"/>
  <c r="D142" i="18"/>
  <c r="E141" i="18"/>
  <c r="D141" i="18"/>
  <c r="E10" i="19"/>
  <c r="E202" i="19" s="1"/>
  <c r="D10" i="19"/>
  <c r="D202" i="19" s="1"/>
  <c r="E9" i="19"/>
  <c r="E201" i="19" s="1"/>
  <c r="D9" i="19"/>
  <c r="D201" i="19" s="1"/>
  <c r="E8" i="19"/>
  <c r="E200" i="19" s="1"/>
  <c r="D8" i="19"/>
  <c r="D200" i="19" s="1"/>
  <c r="E7" i="19"/>
  <c r="E199" i="19" s="1"/>
  <c r="D7" i="19"/>
  <c r="D199" i="19" s="1"/>
  <c r="G11" i="18"/>
  <c r="G35" i="18" s="1"/>
  <c r="F11" i="18"/>
  <c r="F35" i="18" s="1"/>
  <c r="E11" i="18"/>
  <c r="E35" i="18" s="1"/>
  <c r="D11" i="18"/>
  <c r="D35" i="18" s="1"/>
  <c r="E10" i="18"/>
  <c r="E34" i="18" s="1"/>
  <c r="D10" i="18"/>
  <c r="D34" i="18" s="1"/>
  <c r="E9" i="18"/>
  <c r="E33" i="18" s="1"/>
  <c r="D9" i="18"/>
  <c r="D33" i="18" s="1"/>
  <c r="E8" i="18"/>
  <c r="E32" i="18" s="1"/>
  <c r="D8" i="18"/>
  <c r="D32" i="18" s="1"/>
  <c r="E7" i="18"/>
  <c r="E31" i="18" s="1"/>
  <c r="D7" i="18"/>
  <c r="D31" i="18" s="1"/>
  <c r="G161" i="21"/>
  <c r="F161" i="21"/>
  <c r="E161" i="21"/>
  <c r="D161" i="21"/>
  <c r="G160" i="21"/>
  <c r="F160" i="21"/>
  <c r="E160" i="21"/>
  <c r="D160" i="21"/>
  <c r="E159" i="21"/>
  <c r="D159" i="21"/>
  <c r="E158" i="21"/>
  <c r="D158" i="21"/>
  <c r="D91" i="19"/>
  <c r="D283" i="19" s="1"/>
  <c r="E258" i="21" l="1"/>
  <c r="D260" i="21"/>
  <c r="D261" i="21"/>
  <c r="D259" i="21"/>
  <c r="D263" i="21"/>
  <c r="D262" i="21"/>
  <c r="D264" i="21"/>
  <c r="E218" i="31"/>
  <c r="E220" i="31" s="1"/>
  <c r="E219" i="31"/>
  <c r="E221" i="31" s="1"/>
  <c r="D219" i="31"/>
  <c r="D221" i="31" s="1"/>
  <c r="D218" i="31"/>
  <c r="E95" i="19"/>
  <c r="E287" i="19" s="1"/>
  <c r="E23" i="29"/>
  <c r="D23" i="31"/>
  <c r="D22" i="31"/>
  <c r="D24" i="31" s="1"/>
  <c r="E23" i="31"/>
  <c r="E22" i="31"/>
  <c r="E24" i="31" s="1"/>
  <c r="F352" i="8"/>
  <c r="D23" i="19"/>
  <c r="D215" i="19" s="1"/>
  <c r="D35" i="19"/>
  <c r="D227" i="19" s="1"/>
  <c r="D47" i="19"/>
  <c r="D239" i="19" s="1"/>
  <c r="D59" i="19"/>
  <c r="D251" i="19" s="1"/>
  <c r="D71" i="19"/>
  <c r="D263" i="19" s="1"/>
  <c r="D83" i="19"/>
  <c r="D275" i="19" s="1"/>
  <c r="D95" i="19"/>
  <c r="D287" i="19" s="1"/>
  <c r="E15" i="19"/>
  <c r="E207" i="19" s="1"/>
  <c r="E27" i="19"/>
  <c r="E219" i="19" s="1"/>
  <c r="E39" i="19"/>
  <c r="E231" i="19" s="1"/>
  <c r="E51" i="19"/>
  <c r="E243" i="19" s="1"/>
  <c r="E63" i="19"/>
  <c r="E255" i="19" s="1"/>
  <c r="E75" i="19"/>
  <c r="E267" i="19" s="1"/>
  <c r="E87" i="19"/>
  <c r="E279" i="19" s="1"/>
  <c r="D11" i="19"/>
  <c r="D203" i="19" s="1"/>
  <c r="D21" i="19"/>
  <c r="D213" i="19" s="1"/>
  <c r="D31" i="19"/>
  <c r="D223" i="19" s="1"/>
  <c r="D43" i="19"/>
  <c r="D235" i="19" s="1"/>
  <c r="D53" i="19"/>
  <c r="D245" i="19" s="1"/>
  <c r="D65" i="19"/>
  <c r="D257" i="19" s="1"/>
  <c r="D77" i="19"/>
  <c r="D269" i="19" s="1"/>
  <c r="D89" i="19"/>
  <c r="D281" i="19" s="1"/>
  <c r="D157" i="21"/>
  <c r="E19" i="19"/>
  <c r="E211" i="19" s="1"/>
  <c r="E31" i="19"/>
  <c r="E223" i="19" s="1"/>
  <c r="E43" i="19"/>
  <c r="E235" i="19" s="1"/>
  <c r="E55" i="19"/>
  <c r="E247" i="19" s="1"/>
  <c r="E65" i="19"/>
  <c r="E257" i="19" s="1"/>
  <c r="E77" i="19"/>
  <c r="E269" i="19" s="1"/>
  <c r="E89" i="19"/>
  <c r="E281" i="19" s="1"/>
  <c r="D13" i="19"/>
  <c r="D205" i="19" s="1"/>
  <c r="D25" i="19"/>
  <c r="D217" i="19" s="1"/>
  <c r="D37" i="19"/>
  <c r="D229" i="19" s="1"/>
  <c r="D45" i="19"/>
  <c r="D237" i="19" s="1"/>
  <c r="D57" i="19"/>
  <c r="D249" i="19" s="1"/>
  <c r="D67" i="19"/>
  <c r="D259" i="19" s="1"/>
  <c r="D79" i="19"/>
  <c r="D271" i="19" s="1"/>
  <c r="D93" i="19"/>
  <c r="D285" i="19" s="1"/>
  <c r="E17" i="19"/>
  <c r="E209" i="19" s="1"/>
  <c r="E29" i="19"/>
  <c r="E221" i="19" s="1"/>
  <c r="E41" i="19"/>
  <c r="E233" i="19" s="1"/>
  <c r="E53" i="19"/>
  <c r="E245" i="19" s="1"/>
  <c r="E67" i="19"/>
  <c r="E259" i="19" s="1"/>
  <c r="E79" i="19"/>
  <c r="E271" i="19" s="1"/>
  <c r="E91" i="19"/>
  <c r="E283" i="19" s="1"/>
  <c r="E157" i="21"/>
  <c r="D12" i="19"/>
  <c r="D204" i="19" s="1"/>
  <c r="D14" i="19"/>
  <c r="D206" i="19" s="1"/>
  <c r="D16" i="19"/>
  <c r="D208" i="19" s="1"/>
  <c r="D18" i="19"/>
  <c r="D210" i="19" s="1"/>
  <c r="D20" i="19"/>
  <c r="D212" i="19" s="1"/>
  <c r="D22" i="19"/>
  <c r="D214" i="19" s="1"/>
  <c r="D24" i="19"/>
  <c r="D216" i="19" s="1"/>
  <c r="D26" i="19"/>
  <c r="D218" i="19" s="1"/>
  <c r="D28" i="19"/>
  <c r="D220" i="19" s="1"/>
  <c r="D30" i="19"/>
  <c r="D222" i="19" s="1"/>
  <c r="D32" i="19"/>
  <c r="D224" i="19" s="1"/>
  <c r="D34" i="19"/>
  <c r="D226" i="19" s="1"/>
  <c r="D36" i="19"/>
  <c r="D228" i="19" s="1"/>
  <c r="D38" i="19"/>
  <c r="D230" i="19" s="1"/>
  <c r="D40" i="19"/>
  <c r="D232" i="19" s="1"/>
  <c r="D42" i="19"/>
  <c r="D234" i="19" s="1"/>
  <c r="D44" i="19"/>
  <c r="D236" i="19" s="1"/>
  <c r="D46" i="19"/>
  <c r="D238" i="19" s="1"/>
  <c r="D48" i="19"/>
  <c r="D240" i="19" s="1"/>
  <c r="D50" i="19"/>
  <c r="D242" i="19" s="1"/>
  <c r="D52" i="19"/>
  <c r="D244" i="19" s="1"/>
  <c r="D54" i="19"/>
  <c r="D246" i="19" s="1"/>
  <c r="D56" i="19"/>
  <c r="D248" i="19" s="1"/>
  <c r="D58" i="19"/>
  <c r="D250" i="19" s="1"/>
  <c r="D60" i="19"/>
  <c r="D252" i="19" s="1"/>
  <c r="D62" i="19"/>
  <c r="D254" i="19" s="1"/>
  <c r="D64" i="19"/>
  <c r="D256" i="19" s="1"/>
  <c r="D66" i="19"/>
  <c r="D258" i="19" s="1"/>
  <c r="D68" i="19"/>
  <c r="D260" i="19" s="1"/>
  <c r="D70" i="19"/>
  <c r="D262" i="19" s="1"/>
  <c r="D72" i="19"/>
  <c r="D264" i="19" s="1"/>
  <c r="D74" i="19"/>
  <c r="D266" i="19" s="1"/>
  <c r="D76" i="19"/>
  <c r="D268" i="19" s="1"/>
  <c r="D78" i="19"/>
  <c r="D270" i="19" s="1"/>
  <c r="D80" i="19"/>
  <c r="D272" i="19" s="1"/>
  <c r="D82" i="19"/>
  <c r="D274" i="19" s="1"/>
  <c r="D84" i="19"/>
  <c r="D276" i="19" s="1"/>
  <c r="D86" i="19"/>
  <c r="D278" i="19" s="1"/>
  <c r="D88" i="19"/>
  <c r="D280" i="19" s="1"/>
  <c r="D90" i="19"/>
  <c r="D282" i="19" s="1"/>
  <c r="D92" i="19"/>
  <c r="D284" i="19" s="1"/>
  <c r="D94" i="19"/>
  <c r="D286" i="19" s="1"/>
  <c r="D15" i="19"/>
  <c r="D207" i="19" s="1"/>
  <c r="D27" i="19"/>
  <c r="D219" i="19" s="1"/>
  <c r="D39" i="19"/>
  <c r="D231" i="19" s="1"/>
  <c r="D51" i="19"/>
  <c r="D243" i="19" s="1"/>
  <c r="D63" i="19"/>
  <c r="D255" i="19" s="1"/>
  <c r="D75" i="19"/>
  <c r="D267" i="19" s="1"/>
  <c r="D85" i="19"/>
  <c r="D277" i="19" s="1"/>
  <c r="E23" i="19"/>
  <c r="E215" i="19" s="1"/>
  <c r="E35" i="19"/>
  <c r="E227" i="19" s="1"/>
  <c r="E47" i="19"/>
  <c r="E239" i="19" s="1"/>
  <c r="E59" i="19"/>
  <c r="E251" i="19" s="1"/>
  <c r="E69" i="19"/>
  <c r="E261" i="19" s="1"/>
  <c r="E81" i="19"/>
  <c r="E273" i="19" s="1"/>
  <c r="E93" i="19"/>
  <c r="E285" i="19" s="1"/>
  <c r="E12" i="19"/>
  <c r="E204" i="19" s="1"/>
  <c r="E14" i="19"/>
  <c r="E206" i="19" s="1"/>
  <c r="E16" i="19"/>
  <c r="E208" i="19" s="1"/>
  <c r="E18" i="19"/>
  <c r="E210" i="19" s="1"/>
  <c r="E20" i="19"/>
  <c r="E212" i="19" s="1"/>
  <c r="E22" i="19"/>
  <c r="E214" i="19" s="1"/>
  <c r="E24" i="19"/>
  <c r="E216" i="19" s="1"/>
  <c r="E26" i="19"/>
  <c r="E218" i="19" s="1"/>
  <c r="E28" i="19"/>
  <c r="E220" i="19" s="1"/>
  <c r="E30" i="19"/>
  <c r="E222" i="19" s="1"/>
  <c r="E32" i="19"/>
  <c r="E224" i="19" s="1"/>
  <c r="E34" i="19"/>
  <c r="E226" i="19" s="1"/>
  <c r="E36" i="19"/>
  <c r="E228" i="19" s="1"/>
  <c r="E38" i="19"/>
  <c r="E230" i="19" s="1"/>
  <c r="E40" i="19"/>
  <c r="E232" i="19" s="1"/>
  <c r="E42" i="19"/>
  <c r="E234" i="19" s="1"/>
  <c r="E44" i="19"/>
  <c r="E236" i="19" s="1"/>
  <c r="E46" i="19"/>
  <c r="E238" i="19" s="1"/>
  <c r="E48" i="19"/>
  <c r="E240" i="19" s="1"/>
  <c r="E50" i="19"/>
  <c r="E242" i="19" s="1"/>
  <c r="E52" i="19"/>
  <c r="E244" i="19" s="1"/>
  <c r="E54" i="19"/>
  <c r="E246" i="19" s="1"/>
  <c r="E56" i="19"/>
  <c r="E248" i="19" s="1"/>
  <c r="E58" i="19"/>
  <c r="E250" i="19" s="1"/>
  <c r="E60" i="19"/>
  <c r="E252" i="19" s="1"/>
  <c r="E62" i="19"/>
  <c r="E254" i="19" s="1"/>
  <c r="E64" i="19"/>
  <c r="E256" i="19" s="1"/>
  <c r="E66" i="19"/>
  <c r="E258" i="19" s="1"/>
  <c r="E68" i="19"/>
  <c r="E260" i="19" s="1"/>
  <c r="E70" i="19"/>
  <c r="E262" i="19" s="1"/>
  <c r="E72" i="19"/>
  <c r="E264" i="19" s="1"/>
  <c r="E74" i="19"/>
  <c r="E266" i="19" s="1"/>
  <c r="E76" i="19"/>
  <c r="E268" i="19" s="1"/>
  <c r="E78" i="19"/>
  <c r="E270" i="19" s="1"/>
  <c r="E80" i="19"/>
  <c r="E272" i="19" s="1"/>
  <c r="E82" i="19"/>
  <c r="E274" i="19" s="1"/>
  <c r="E84" i="19"/>
  <c r="E276" i="19" s="1"/>
  <c r="E86" i="19"/>
  <c r="E278" i="19" s="1"/>
  <c r="E88" i="19"/>
  <c r="E280" i="19" s="1"/>
  <c r="E90" i="19"/>
  <c r="E282" i="19" s="1"/>
  <c r="E92" i="19"/>
  <c r="E284" i="19" s="1"/>
  <c r="E94" i="19"/>
  <c r="E286" i="19" s="1"/>
  <c r="D19" i="19"/>
  <c r="D211" i="19" s="1"/>
  <c r="D33" i="19"/>
  <c r="D225" i="19" s="1"/>
  <c r="D49" i="19"/>
  <c r="D241" i="19" s="1"/>
  <c r="D61" i="19"/>
  <c r="D253" i="19" s="1"/>
  <c r="D73" i="19"/>
  <c r="D265" i="19" s="1"/>
  <c r="D87" i="19"/>
  <c r="D279" i="19" s="1"/>
  <c r="E13" i="19"/>
  <c r="E205" i="19" s="1"/>
  <c r="E25" i="19"/>
  <c r="E217" i="19" s="1"/>
  <c r="E37" i="19"/>
  <c r="E229" i="19" s="1"/>
  <c r="E49" i="19"/>
  <c r="E241" i="19" s="1"/>
  <c r="E61" i="19"/>
  <c r="E253" i="19" s="1"/>
  <c r="E73" i="19"/>
  <c r="E265" i="19" s="1"/>
  <c r="E85" i="19"/>
  <c r="E277" i="19" s="1"/>
  <c r="D17" i="19"/>
  <c r="D209" i="19" s="1"/>
  <c r="D29" i="19"/>
  <c r="D221" i="19" s="1"/>
  <c r="D41" i="19"/>
  <c r="D233" i="19" s="1"/>
  <c r="D55" i="19"/>
  <c r="D247" i="19" s="1"/>
  <c r="D69" i="19"/>
  <c r="D261" i="19" s="1"/>
  <c r="D81" i="19"/>
  <c r="D273" i="19" s="1"/>
  <c r="E11" i="19"/>
  <c r="E203" i="19" s="1"/>
  <c r="E21" i="19"/>
  <c r="E213" i="19" s="1"/>
  <c r="E33" i="19"/>
  <c r="E225" i="19" s="1"/>
  <c r="E45" i="19"/>
  <c r="E237" i="19" s="1"/>
  <c r="E57" i="19"/>
  <c r="E249" i="19" s="1"/>
  <c r="E71" i="19"/>
  <c r="E263" i="19" s="1"/>
  <c r="E83" i="19"/>
  <c r="E275" i="19" s="1"/>
  <c r="E263" i="21" l="1"/>
  <c r="E262" i="21"/>
  <c r="E261" i="21"/>
  <c r="E259" i="21"/>
  <c r="E264" i="21"/>
  <c r="E260" i="21"/>
  <c r="E517" i="19"/>
  <c r="E515" i="19"/>
  <c r="D517" i="19"/>
  <c r="D526" i="19"/>
  <c r="D509" i="19"/>
  <c r="E524" i="19"/>
  <c r="D524" i="19"/>
  <c r="D501" i="19"/>
  <c r="D515" i="19"/>
  <c r="E526" i="19"/>
  <c r="E509" i="19"/>
  <c r="E501" i="19"/>
  <c r="E520" i="19"/>
  <c r="D520" i="19"/>
  <c r="D220" i="31"/>
  <c r="D222" i="31" s="1"/>
  <c r="E222" i="31"/>
  <c r="D87" i="31"/>
  <c r="E87" i="31"/>
  <c r="E107" i="31" s="1"/>
  <c r="E19" i="29"/>
  <c r="E86" i="31"/>
  <c r="D86" i="31"/>
  <c r="E20" i="29"/>
  <c r="E21" i="29"/>
  <c r="E104" i="31" s="1"/>
  <c r="E22" i="29"/>
  <c r="D25" i="31"/>
  <c r="E54" i="31"/>
  <c r="E55" i="31"/>
  <c r="D54" i="31"/>
  <c r="D55" i="31"/>
  <c r="E56" i="31"/>
  <c r="E26" i="31"/>
  <c r="E25" i="31"/>
  <c r="D56" i="31"/>
  <c r="D26" i="31"/>
  <c r="G352" i="8"/>
  <c r="D106" i="31" l="1"/>
  <c r="D107" i="31"/>
  <c r="D57" i="31"/>
  <c r="E57" i="31"/>
  <c r="E106" i="31"/>
  <c r="E154" i="31"/>
  <c r="D153" i="31"/>
  <c r="D152" i="31"/>
  <c r="E153" i="31"/>
  <c r="E152" i="31"/>
  <c r="D154" i="31"/>
  <c r="D89" i="31"/>
  <c r="E89" i="31"/>
  <c r="D58" i="31"/>
  <c r="E58" i="31"/>
  <c r="E59" i="31" l="1"/>
  <c r="E60" i="31" s="1"/>
  <c r="D59" i="31"/>
  <c r="D60" i="31" s="1"/>
  <c r="D155" i="31"/>
  <c r="D164" i="31" s="1"/>
  <c r="E155" i="31"/>
  <c r="E156" i="31" s="1"/>
  <c r="D98" i="31"/>
  <c r="D96" i="31"/>
  <c r="E98" i="31"/>
  <c r="E96" i="31"/>
  <c r="G701" i="19"/>
  <c r="F701" i="19"/>
  <c r="E701" i="19"/>
  <c r="D701" i="19"/>
  <c r="G694" i="19"/>
  <c r="F694" i="19"/>
  <c r="E694" i="19"/>
  <c r="D694" i="19"/>
  <c r="G667" i="19"/>
  <c r="F667" i="19"/>
  <c r="E667" i="19"/>
  <c r="D667" i="19"/>
  <c r="G660" i="19"/>
  <c r="F660" i="19"/>
  <c r="E660" i="19"/>
  <c r="D660" i="19"/>
  <c r="G650" i="19"/>
  <c r="F650" i="19"/>
  <c r="E650" i="19"/>
  <c r="D650" i="19"/>
  <c r="G643" i="19"/>
  <c r="F643" i="19"/>
  <c r="E643" i="19"/>
  <c r="D643" i="19"/>
  <c r="G633" i="19"/>
  <c r="F633" i="19"/>
  <c r="E633" i="19"/>
  <c r="D633" i="19"/>
  <c r="G626" i="19"/>
  <c r="F626" i="19"/>
  <c r="E626" i="19"/>
  <c r="D626" i="19"/>
  <c r="G616" i="19"/>
  <c r="F616" i="19"/>
  <c r="E616" i="19"/>
  <c r="D616" i="19"/>
  <c r="G609" i="19"/>
  <c r="F609" i="19"/>
  <c r="E609" i="19"/>
  <c r="D609" i="19"/>
  <c r="G599" i="19"/>
  <c r="F599" i="19"/>
  <c r="E599" i="19"/>
  <c r="D599" i="19"/>
  <c r="G592" i="19"/>
  <c r="F592" i="19"/>
  <c r="E592" i="19"/>
  <c r="D592" i="19"/>
  <c r="G180" i="18"/>
  <c r="F180" i="18"/>
  <c r="E180" i="18"/>
  <c r="D180" i="18"/>
  <c r="G173" i="18"/>
  <c r="F173" i="18"/>
  <c r="E173" i="18"/>
  <c r="D173" i="18"/>
  <c r="G163" i="18"/>
  <c r="F163" i="18"/>
  <c r="E163" i="18"/>
  <c r="D163" i="18"/>
  <c r="G156" i="18"/>
  <c r="F156" i="18"/>
  <c r="E156" i="18"/>
  <c r="D156" i="18"/>
  <c r="G146" i="18"/>
  <c r="F146" i="18"/>
  <c r="E146" i="18"/>
  <c r="D146" i="18"/>
  <c r="G139" i="18"/>
  <c r="F139" i="18"/>
  <c r="E139" i="18"/>
  <c r="D139" i="18"/>
  <c r="G129" i="18"/>
  <c r="F129" i="18"/>
  <c r="E129" i="18"/>
  <c r="D129" i="18"/>
  <c r="G122" i="18"/>
  <c r="F122" i="18"/>
  <c r="E122" i="18"/>
  <c r="D122" i="18"/>
  <c r="G112" i="18"/>
  <c r="F112" i="18"/>
  <c r="E112" i="18"/>
  <c r="D112" i="18"/>
  <c r="G105" i="18"/>
  <c r="F105" i="18"/>
  <c r="E105" i="18"/>
  <c r="D105" i="18"/>
  <c r="G95" i="18"/>
  <c r="F95" i="18"/>
  <c r="E95" i="18"/>
  <c r="D95" i="18"/>
  <c r="G88" i="18"/>
  <c r="F88" i="18"/>
  <c r="E88" i="18"/>
  <c r="D88" i="18"/>
  <c r="D162" i="31" l="1"/>
  <c r="D156" i="31"/>
  <c r="E164" i="31"/>
  <c r="E162" i="31"/>
  <c r="E27" i="31"/>
  <c r="E28" i="31" s="1"/>
  <c r="E88" i="31"/>
  <c r="E90" i="31" s="1"/>
  <c r="D88" i="31"/>
  <c r="D27" i="31"/>
  <c r="E163" i="31" l="1"/>
  <c r="D90" i="31"/>
  <c r="D163" i="31" s="1"/>
  <c r="D97" i="31"/>
  <c r="D95" i="31"/>
  <c r="E97" i="31"/>
  <c r="E122" i="31" s="1"/>
  <c r="E95" i="31"/>
  <c r="E120" i="31" s="1"/>
  <c r="D28" i="31"/>
  <c r="G300" i="21"/>
  <c r="F300" i="21"/>
  <c r="E300" i="21"/>
  <c r="D300" i="21"/>
  <c r="G278" i="21"/>
  <c r="F278" i="21"/>
  <c r="E278" i="21"/>
  <c r="D278" i="21"/>
  <c r="G232" i="21"/>
  <c r="F232" i="21"/>
  <c r="E232" i="21"/>
  <c r="D232" i="21"/>
  <c r="G210" i="21"/>
  <c r="F210" i="21"/>
  <c r="E210" i="21"/>
  <c r="D210" i="21"/>
  <c r="G197" i="21"/>
  <c r="F197" i="21"/>
  <c r="E197" i="21"/>
  <c r="D197" i="21"/>
  <c r="G175" i="21"/>
  <c r="F175" i="21"/>
  <c r="E175" i="21"/>
  <c r="D175" i="21"/>
  <c r="G163" i="21"/>
  <c r="F163" i="21"/>
  <c r="E163" i="21"/>
  <c r="D163" i="21"/>
  <c r="G141" i="21"/>
  <c r="F141" i="21"/>
  <c r="E141" i="21"/>
  <c r="D141" i="21"/>
  <c r="G129" i="21"/>
  <c r="F129" i="21"/>
  <c r="E129" i="21"/>
  <c r="D129" i="21"/>
  <c r="G107" i="21"/>
  <c r="F107" i="21"/>
  <c r="E107" i="21"/>
  <c r="D107" i="21"/>
  <c r="G95" i="21"/>
  <c r="F95" i="21"/>
  <c r="E95" i="21"/>
  <c r="D95" i="21"/>
  <c r="G73" i="21"/>
  <c r="F73" i="21"/>
  <c r="E73" i="21"/>
  <c r="D73" i="21"/>
  <c r="G61" i="21"/>
  <c r="F61" i="21"/>
  <c r="E61" i="21"/>
  <c r="D61" i="21"/>
  <c r="G39" i="21"/>
  <c r="F39" i="21"/>
  <c r="E39" i="21"/>
  <c r="D39" i="21"/>
  <c r="G27" i="21"/>
  <c r="F27" i="21"/>
  <c r="E27" i="21"/>
  <c r="D27" i="21"/>
  <c r="G5" i="21"/>
  <c r="F5" i="21"/>
  <c r="E5" i="21"/>
  <c r="D5" i="21"/>
  <c r="D120" i="31" l="1"/>
  <c r="D122" i="31"/>
  <c r="D161" i="31"/>
  <c r="D165" i="31" s="1"/>
  <c r="E161" i="31"/>
  <c r="G211" i="20"/>
  <c r="F211" i="20"/>
  <c r="E211" i="20"/>
  <c r="D211" i="20"/>
  <c r="G195" i="20"/>
  <c r="F195" i="20"/>
  <c r="E195" i="20"/>
  <c r="D195" i="20"/>
  <c r="G184" i="20"/>
  <c r="F184" i="20"/>
  <c r="E184" i="20"/>
  <c r="D184" i="20"/>
  <c r="G168" i="20"/>
  <c r="F168" i="20"/>
  <c r="E168" i="20"/>
  <c r="D168" i="20"/>
  <c r="G156" i="20"/>
  <c r="F156" i="20"/>
  <c r="E156" i="20"/>
  <c r="D156" i="20"/>
  <c r="G140" i="20"/>
  <c r="F140" i="20"/>
  <c r="E140" i="20"/>
  <c r="D140" i="20"/>
  <c r="G129" i="20"/>
  <c r="F129" i="20"/>
  <c r="E129" i="20"/>
  <c r="D129" i="20"/>
  <c r="G113" i="20"/>
  <c r="F113" i="20"/>
  <c r="E113" i="20"/>
  <c r="D113" i="20"/>
  <c r="D21" i="20"/>
  <c r="E21" i="20"/>
  <c r="F21" i="20"/>
  <c r="G21" i="20"/>
  <c r="G102" i="20"/>
  <c r="F102" i="20"/>
  <c r="E102" i="20"/>
  <c r="D102" i="20"/>
  <c r="G86" i="20"/>
  <c r="F86" i="20"/>
  <c r="E86" i="20"/>
  <c r="D86" i="20"/>
  <c r="G75" i="20"/>
  <c r="F75" i="20"/>
  <c r="E75" i="20"/>
  <c r="D75" i="20"/>
  <c r="G59" i="20"/>
  <c r="F59" i="20"/>
  <c r="E59" i="20"/>
  <c r="D59" i="20"/>
  <c r="G48" i="20"/>
  <c r="F48" i="20"/>
  <c r="E48" i="20"/>
  <c r="D48" i="20"/>
  <c r="G32" i="20"/>
  <c r="F32" i="20"/>
  <c r="E32" i="20"/>
  <c r="D32" i="20"/>
  <c r="G5" i="20"/>
  <c r="F5" i="20"/>
  <c r="E5" i="20"/>
  <c r="D5" i="20"/>
  <c r="E165" i="31" l="1"/>
  <c r="G581" i="19"/>
  <c r="F581" i="19"/>
  <c r="E581" i="19"/>
  <c r="D581" i="19"/>
  <c r="G485" i="19"/>
  <c r="F485" i="19"/>
  <c r="E485" i="19"/>
  <c r="D485" i="19"/>
  <c r="G389" i="19"/>
  <c r="F389" i="19"/>
  <c r="E389" i="19"/>
  <c r="D389" i="19"/>
  <c r="G293" i="19"/>
  <c r="F293" i="19"/>
  <c r="E293" i="19"/>
  <c r="D293" i="19"/>
  <c r="G77" i="18"/>
  <c r="F77" i="18"/>
  <c r="E77" i="18"/>
  <c r="D77" i="18"/>
  <c r="G65" i="18"/>
  <c r="F65" i="18"/>
  <c r="E65" i="18"/>
  <c r="D65" i="18"/>
  <c r="G53" i="18"/>
  <c r="F53" i="18"/>
  <c r="E53" i="18"/>
  <c r="D53" i="18"/>
  <c r="G197" i="19" l="1"/>
  <c r="F197" i="19"/>
  <c r="E197" i="19"/>
  <c r="D197" i="19"/>
  <c r="C191" i="19"/>
  <c r="B191" i="19"/>
  <c r="C190" i="19"/>
  <c r="B190" i="19"/>
  <c r="C189" i="19"/>
  <c r="B189" i="19"/>
  <c r="C188" i="19"/>
  <c r="B188" i="19"/>
  <c r="C187" i="19"/>
  <c r="B187" i="19"/>
  <c r="C186" i="19"/>
  <c r="B186" i="19"/>
  <c r="C185" i="19"/>
  <c r="B185" i="19"/>
  <c r="C184" i="19"/>
  <c r="B184" i="19"/>
  <c r="C183" i="19"/>
  <c r="B183" i="19"/>
  <c r="C182" i="19"/>
  <c r="B182" i="19"/>
  <c r="C181" i="19"/>
  <c r="B181" i="19"/>
  <c r="C180" i="19"/>
  <c r="B180" i="19"/>
  <c r="C179" i="19"/>
  <c r="B179" i="19"/>
  <c r="C178" i="19"/>
  <c r="B178" i="19"/>
  <c r="C177" i="19"/>
  <c r="B177" i="19"/>
  <c r="C176" i="19"/>
  <c r="B176" i="19"/>
  <c r="C175" i="19"/>
  <c r="B175" i="19"/>
  <c r="C174" i="19"/>
  <c r="B174" i="19"/>
  <c r="C173" i="19"/>
  <c r="B173" i="19"/>
  <c r="C172" i="19"/>
  <c r="B172" i="19"/>
  <c r="C171" i="19"/>
  <c r="B171" i="19"/>
  <c r="C170" i="19"/>
  <c r="B170" i="19"/>
  <c r="C169" i="19"/>
  <c r="B169" i="19"/>
  <c r="C168" i="19"/>
  <c r="B168" i="19"/>
  <c r="C167" i="19"/>
  <c r="B167" i="19"/>
  <c r="C166" i="19"/>
  <c r="B166" i="19"/>
  <c r="C165" i="19"/>
  <c r="B165" i="19"/>
  <c r="C164" i="19"/>
  <c r="B164" i="19"/>
  <c r="C163" i="19"/>
  <c r="B163" i="19"/>
  <c r="C162" i="19"/>
  <c r="B162" i="19"/>
  <c r="C161" i="19"/>
  <c r="B161" i="19"/>
  <c r="C160" i="19"/>
  <c r="B160" i="19"/>
  <c r="C159" i="19"/>
  <c r="B159" i="19"/>
  <c r="C158" i="19"/>
  <c r="B158" i="19"/>
  <c r="C157" i="19"/>
  <c r="B157" i="19"/>
  <c r="C156" i="19"/>
  <c r="B156" i="19"/>
  <c r="C155" i="19"/>
  <c r="B155" i="19"/>
  <c r="C154" i="19"/>
  <c r="B154" i="19"/>
  <c r="C153" i="19"/>
  <c r="B153" i="19"/>
  <c r="C152" i="19"/>
  <c r="B152" i="19"/>
  <c r="C151" i="19"/>
  <c r="B151" i="19"/>
  <c r="C150" i="19"/>
  <c r="B150" i="19"/>
  <c r="C149" i="19"/>
  <c r="B149" i="19"/>
  <c r="C148" i="19"/>
  <c r="B148" i="19"/>
  <c r="C147" i="19"/>
  <c r="B147" i="19"/>
  <c r="C146" i="19"/>
  <c r="B146" i="19"/>
  <c r="C145" i="19"/>
  <c r="B145" i="19"/>
  <c r="C144" i="19"/>
  <c r="B144" i="19"/>
  <c r="C143" i="19"/>
  <c r="B143" i="19"/>
  <c r="C142" i="19"/>
  <c r="B142" i="19"/>
  <c r="C141" i="19"/>
  <c r="B141" i="19"/>
  <c r="C140" i="19"/>
  <c r="B140" i="19"/>
  <c r="C139" i="19"/>
  <c r="B139" i="19"/>
  <c r="C138" i="19"/>
  <c r="B138" i="19"/>
  <c r="C137" i="19"/>
  <c r="B137" i="19"/>
  <c r="C136" i="19"/>
  <c r="B136" i="19"/>
  <c r="C135" i="19"/>
  <c r="B135" i="19"/>
  <c r="C134" i="19"/>
  <c r="B134" i="19"/>
  <c r="C133" i="19"/>
  <c r="B133" i="19"/>
  <c r="C132" i="19"/>
  <c r="B132" i="19"/>
  <c r="C131" i="19"/>
  <c r="B131" i="19"/>
  <c r="C130" i="19"/>
  <c r="B130" i="19"/>
  <c r="C129" i="19"/>
  <c r="B129" i="19"/>
  <c r="C128" i="19"/>
  <c r="B128" i="19"/>
  <c r="C127" i="19"/>
  <c r="B127" i="19"/>
  <c r="C126" i="19"/>
  <c r="B126" i="19"/>
  <c r="C125" i="19"/>
  <c r="B125" i="19"/>
  <c r="C124" i="19"/>
  <c r="B124" i="19"/>
  <c r="C123" i="19"/>
  <c r="B123" i="19"/>
  <c r="C122" i="19"/>
  <c r="B122" i="19"/>
  <c r="C121" i="19"/>
  <c r="B121" i="19"/>
  <c r="C120" i="19"/>
  <c r="B120" i="19"/>
  <c r="C119" i="19"/>
  <c r="B119" i="19"/>
  <c r="C118" i="19"/>
  <c r="B118" i="19"/>
  <c r="C117" i="19"/>
  <c r="B117" i="19"/>
  <c r="C116" i="19"/>
  <c r="B116" i="19"/>
  <c r="C115" i="19"/>
  <c r="B115" i="19"/>
  <c r="C114" i="19"/>
  <c r="B114" i="19"/>
  <c r="C113" i="19"/>
  <c r="B113" i="19"/>
  <c r="C112" i="19"/>
  <c r="B112" i="19"/>
  <c r="C111" i="19"/>
  <c r="B111" i="19"/>
  <c r="C110" i="19"/>
  <c r="B110" i="19"/>
  <c r="C109" i="19"/>
  <c r="B109" i="19"/>
  <c r="C108" i="19"/>
  <c r="B108" i="19"/>
  <c r="C107" i="19"/>
  <c r="B107" i="19"/>
  <c r="C106" i="19"/>
  <c r="B106" i="19"/>
  <c r="C105" i="19"/>
  <c r="B105" i="19"/>
  <c r="C104" i="19"/>
  <c r="B104" i="19"/>
  <c r="C103" i="19"/>
  <c r="B103" i="19"/>
  <c r="G101" i="19"/>
  <c r="F101" i="19"/>
  <c r="E101" i="19"/>
  <c r="D101" i="19"/>
  <c r="G5" i="19"/>
  <c r="F5" i="19"/>
  <c r="E5" i="19"/>
  <c r="D5" i="19"/>
  <c r="G41" i="18" l="1"/>
  <c r="F41" i="18"/>
  <c r="E41" i="18"/>
  <c r="D41" i="18"/>
  <c r="G29" i="18"/>
  <c r="F29" i="18"/>
  <c r="E29" i="18"/>
  <c r="D29" i="18"/>
  <c r="G17" i="18"/>
  <c r="F17" i="18"/>
  <c r="E17" i="18"/>
  <c r="D17" i="18"/>
  <c r="G5" i="18"/>
  <c r="F5" i="18"/>
  <c r="E5" i="18"/>
  <c r="D5" i="18"/>
  <c r="B92" i="13" l="1"/>
  <c r="B93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C4" i="13" a="1"/>
  <c r="C4" i="13" s="1"/>
  <c r="B5" i="13"/>
  <c r="CM9" i="6"/>
  <c r="CL9" i="6"/>
  <c r="CK9" i="6"/>
  <c r="CJ9" i="6"/>
  <c r="CI9" i="6"/>
  <c r="CH9" i="6"/>
  <c r="CG9" i="6"/>
  <c r="CF9" i="6"/>
  <c r="CE9" i="6"/>
  <c r="CD9" i="6"/>
  <c r="CC9" i="6"/>
  <c r="CB9" i="6"/>
  <c r="CA9" i="6"/>
  <c r="BZ9" i="6"/>
  <c r="BY9" i="6"/>
  <c r="BX9" i="6"/>
  <c r="BW9" i="6"/>
  <c r="BV9" i="6"/>
  <c r="BU9" i="6"/>
  <c r="BT9" i="6"/>
  <c r="BS9" i="6"/>
  <c r="BR9" i="6"/>
  <c r="BQ9" i="6"/>
  <c r="BP9" i="6"/>
  <c r="BO9" i="6"/>
  <c r="BN9" i="6"/>
  <c r="BM9" i="6"/>
  <c r="BL9" i="6"/>
  <c r="BK9" i="6"/>
  <c r="BJ9" i="6"/>
  <c r="BI9" i="6"/>
  <c r="BH9" i="6"/>
  <c r="BG9" i="6"/>
  <c r="BF9" i="6"/>
  <c r="BE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CM8" i="6"/>
  <c r="CL8" i="6"/>
  <c r="CK8" i="6"/>
  <c r="CJ8" i="6"/>
  <c r="CI8" i="6"/>
  <c r="CH8" i="6"/>
  <c r="CG8" i="6"/>
  <c r="CF8" i="6"/>
  <c r="CE8" i="6"/>
  <c r="CD8" i="6"/>
  <c r="CC8" i="6"/>
  <c r="CB8" i="6"/>
  <c r="CA8" i="6"/>
  <c r="BZ8" i="6"/>
  <c r="BY8" i="6"/>
  <c r="BX8" i="6"/>
  <c r="BW8" i="6"/>
  <c r="BV8" i="6"/>
  <c r="BU8" i="6"/>
  <c r="BT8" i="6"/>
  <c r="BS8" i="6"/>
  <c r="BR8" i="6"/>
  <c r="BQ8" i="6"/>
  <c r="BP8" i="6"/>
  <c r="BO8" i="6"/>
  <c r="BN8" i="6"/>
  <c r="BM8" i="6"/>
  <c r="BL8" i="6"/>
  <c r="BK8" i="6"/>
  <c r="BJ8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CM7" i="6"/>
  <c r="CL7" i="6"/>
  <c r="CK7" i="6"/>
  <c r="CJ7" i="6"/>
  <c r="CI7" i="6"/>
  <c r="CH7" i="6"/>
  <c r="CG7" i="6"/>
  <c r="CF7" i="6"/>
  <c r="CE7" i="6"/>
  <c r="CD7" i="6"/>
  <c r="CC7" i="6"/>
  <c r="CB7" i="6"/>
  <c r="CA7" i="6"/>
  <c r="BZ7" i="6"/>
  <c r="BY7" i="6"/>
  <c r="BX7" i="6"/>
  <c r="BW7" i="6"/>
  <c r="BV7" i="6"/>
  <c r="BU7" i="6"/>
  <c r="BT7" i="6"/>
  <c r="BS7" i="6"/>
  <c r="BR7" i="6"/>
  <c r="BQ7" i="6"/>
  <c r="BP7" i="6"/>
  <c r="BO7" i="6"/>
  <c r="BN7" i="6"/>
  <c r="BM7" i="6"/>
  <c r="BL7" i="6"/>
  <c r="BK7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CM6" i="6"/>
  <c r="CL6" i="6"/>
  <c r="CK6" i="6"/>
  <c r="CJ6" i="6"/>
  <c r="CI6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CM5" i="6"/>
  <c r="CL5" i="6"/>
  <c r="CK5" i="6"/>
  <c r="CJ5" i="6"/>
  <c r="CI5" i="6"/>
  <c r="CH5" i="6"/>
  <c r="CG5" i="6"/>
  <c r="CF5" i="6"/>
  <c r="CE5" i="6"/>
  <c r="CD5" i="6"/>
  <c r="CC5" i="6"/>
  <c r="CB5" i="6"/>
  <c r="CA5" i="6"/>
  <c r="BZ5" i="6"/>
  <c r="BY5" i="6"/>
  <c r="BX5" i="6"/>
  <c r="BW5" i="6"/>
  <c r="BV5" i="6"/>
  <c r="BU5" i="6"/>
  <c r="BT5" i="6"/>
  <c r="BS5" i="6"/>
  <c r="BR5" i="6"/>
  <c r="BQ5" i="6"/>
  <c r="BP5" i="6"/>
  <c r="BO5" i="6"/>
  <c r="BN5" i="6"/>
  <c r="BM5" i="6"/>
  <c r="BL5" i="6"/>
  <c r="BK5" i="6"/>
  <c r="BJ5" i="6"/>
  <c r="BI5" i="6"/>
  <c r="BH5" i="6"/>
  <c r="BG5" i="6"/>
  <c r="BF5" i="6"/>
  <c r="BE5" i="6"/>
  <c r="BD5" i="6"/>
  <c r="BC5" i="6"/>
  <c r="BB5" i="6"/>
  <c r="BA5" i="6"/>
  <c r="AZ5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C21" i="6"/>
  <c r="B22" i="6"/>
  <c r="B13" i="6"/>
  <c r="C12" i="6"/>
  <c r="C4" i="6" a="1"/>
  <c r="E4" i="6" s="1"/>
  <c r="E22" i="6" s="1"/>
  <c r="B9" i="6"/>
  <c r="B27" i="6" s="1"/>
  <c r="B8" i="6"/>
  <c r="B17" i="6" s="1"/>
  <c r="B7" i="6"/>
  <c r="B6" i="6"/>
  <c r="B5" i="6"/>
  <c r="B14" i="6" s="1"/>
  <c r="G17" i="14"/>
  <c r="F17" i="14"/>
  <c r="E17" i="14"/>
  <c r="D17" i="14"/>
  <c r="G5" i="14"/>
  <c r="F5" i="14"/>
  <c r="E5" i="14"/>
  <c r="D5" i="14"/>
  <c r="B18" i="6" l="1"/>
  <c r="B168" i="13"/>
  <c r="B261" i="13"/>
  <c r="B152" i="13"/>
  <c r="B245" i="13"/>
  <c r="B112" i="13"/>
  <c r="B205" i="13"/>
  <c r="B23" i="6"/>
  <c r="B183" i="13"/>
  <c r="B276" i="13"/>
  <c r="B175" i="13"/>
  <c r="B268" i="13"/>
  <c r="B167" i="13"/>
  <c r="B260" i="13"/>
  <c r="B159" i="13"/>
  <c r="B252" i="13"/>
  <c r="B151" i="13"/>
  <c r="B244" i="13"/>
  <c r="B143" i="13"/>
  <c r="B236" i="13"/>
  <c r="B135" i="13"/>
  <c r="B228" i="13"/>
  <c r="B127" i="13"/>
  <c r="B220" i="13"/>
  <c r="B119" i="13"/>
  <c r="B212" i="13"/>
  <c r="B111" i="13"/>
  <c r="B204" i="13"/>
  <c r="B103" i="13"/>
  <c r="B196" i="13"/>
  <c r="B184" i="13"/>
  <c r="B277" i="13"/>
  <c r="B160" i="13"/>
  <c r="B253" i="13"/>
  <c r="B144" i="13"/>
  <c r="B237" i="13"/>
  <c r="B104" i="13"/>
  <c r="B197" i="13"/>
  <c r="B182" i="13"/>
  <c r="B275" i="13"/>
  <c r="B174" i="13"/>
  <c r="B267" i="13"/>
  <c r="B166" i="13"/>
  <c r="B259" i="13"/>
  <c r="B158" i="13"/>
  <c r="B251" i="13"/>
  <c r="B150" i="13"/>
  <c r="B243" i="13"/>
  <c r="B142" i="13"/>
  <c r="B235" i="13"/>
  <c r="B134" i="13"/>
  <c r="B227" i="13"/>
  <c r="B126" i="13"/>
  <c r="B219" i="13"/>
  <c r="B118" i="13"/>
  <c r="B211" i="13"/>
  <c r="B110" i="13"/>
  <c r="B203" i="13"/>
  <c r="B102" i="13"/>
  <c r="B195" i="13"/>
  <c r="B181" i="13"/>
  <c r="B274" i="13"/>
  <c r="B266" i="13"/>
  <c r="B173" i="13"/>
  <c r="B165" i="13"/>
  <c r="B258" i="13"/>
  <c r="B250" i="13"/>
  <c r="B157" i="13"/>
  <c r="B149" i="13"/>
  <c r="B242" i="13"/>
  <c r="B234" i="13"/>
  <c r="B141" i="13"/>
  <c r="B226" i="13"/>
  <c r="B133" i="13"/>
  <c r="B125" i="13"/>
  <c r="B218" i="13"/>
  <c r="B117" i="13"/>
  <c r="B210" i="13"/>
  <c r="B202" i="13"/>
  <c r="B109" i="13"/>
  <c r="B101" i="13"/>
  <c r="B194" i="13"/>
  <c r="B128" i="13"/>
  <c r="B221" i="13"/>
  <c r="E13" i="6"/>
  <c r="B273" i="13"/>
  <c r="B180" i="13"/>
  <c r="B265" i="13"/>
  <c r="B172" i="13"/>
  <c r="B257" i="13"/>
  <c r="B164" i="13"/>
  <c r="B249" i="13"/>
  <c r="B156" i="13"/>
  <c r="B241" i="13"/>
  <c r="B148" i="13"/>
  <c r="B233" i="13"/>
  <c r="B140" i="13"/>
  <c r="B225" i="13"/>
  <c r="B132" i="13"/>
  <c r="B217" i="13"/>
  <c r="B124" i="13"/>
  <c r="B209" i="13"/>
  <c r="B116" i="13"/>
  <c r="B201" i="13"/>
  <c r="B108" i="13"/>
  <c r="B193" i="13"/>
  <c r="B100" i="13"/>
  <c r="B136" i="13"/>
  <c r="B229" i="13"/>
  <c r="B179" i="13"/>
  <c r="B272" i="13"/>
  <c r="B171" i="13"/>
  <c r="B264" i="13"/>
  <c r="B163" i="13"/>
  <c r="B256" i="13"/>
  <c r="B155" i="13"/>
  <c r="B248" i="13"/>
  <c r="B147" i="13"/>
  <c r="B240" i="13"/>
  <c r="B139" i="13"/>
  <c r="B232" i="13"/>
  <c r="B131" i="13"/>
  <c r="B224" i="13"/>
  <c r="B123" i="13"/>
  <c r="B216" i="13"/>
  <c r="B115" i="13"/>
  <c r="B208" i="13"/>
  <c r="B107" i="13"/>
  <c r="B200" i="13"/>
  <c r="B99" i="13"/>
  <c r="B192" i="13"/>
  <c r="B176" i="13"/>
  <c r="B269" i="13"/>
  <c r="B120" i="13"/>
  <c r="B213" i="13"/>
  <c r="B98" i="13"/>
  <c r="B191" i="13"/>
  <c r="B178" i="13"/>
  <c r="B271" i="13"/>
  <c r="B170" i="13"/>
  <c r="B263" i="13"/>
  <c r="B162" i="13"/>
  <c r="B255" i="13"/>
  <c r="B154" i="13"/>
  <c r="B247" i="13"/>
  <c r="B146" i="13"/>
  <c r="B239" i="13"/>
  <c r="B138" i="13"/>
  <c r="B231" i="13"/>
  <c r="B130" i="13"/>
  <c r="B223" i="13"/>
  <c r="B122" i="13"/>
  <c r="B215" i="13"/>
  <c r="B114" i="13"/>
  <c r="B207" i="13"/>
  <c r="B106" i="13"/>
  <c r="B199" i="13"/>
  <c r="B186" i="13"/>
  <c r="B279" i="13"/>
  <c r="C97" i="13"/>
  <c r="C190" i="13"/>
  <c r="B177" i="13"/>
  <c r="B270" i="13"/>
  <c r="B169" i="13"/>
  <c r="B262" i="13"/>
  <c r="B161" i="13"/>
  <c r="B254" i="13"/>
  <c r="B153" i="13"/>
  <c r="B246" i="13"/>
  <c r="B145" i="13"/>
  <c r="B238" i="13"/>
  <c r="B137" i="13"/>
  <c r="B230" i="13"/>
  <c r="B129" i="13"/>
  <c r="B222" i="13"/>
  <c r="B121" i="13"/>
  <c r="B214" i="13"/>
  <c r="B113" i="13"/>
  <c r="B206" i="13"/>
  <c r="B105" i="13"/>
  <c r="B198" i="13"/>
  <c r="B185" i="13"/>
  <c r="B278" i="13"/>
  <c r="C5" i="13" a="1"/>
  <c r="C91" i="13" s="1"/>
  <c r="C98" i="13" a="1"/>
  <c r="E5" i="13" a="1"/>
  <c r="E48" i="13" s="1"/>
  <c r="E98" i="13" a="1"/>
  <c r="G98" i="13" a="1"/>
  <c r="D5" i="13" a="1"/>
  <c r="D9" i="13" s="1"/>
  <c r="D98" i="13" a="1"/>
  <c r="F5" i="13" a="1"/>
  <c r="F5" i="13" s="1"/>
  <c r="F98" i="13" a="1"/>
  <c r="D354" i="19"/>
  <c r="E354" i="19"/>
  <c r="D299" i="19"/>
  <c r="E299" i="19"/>
  <c r="E307" i="19"/>
  <c r="D307" i="19"/>
  <c r="E315" i="19"/>
  <c r="D315" i="19"/>
  <c r="E323" i="19"/>
  <c r="D323" i="19"/>
  <c r="D331" i="19"/>
  <c r="E331" i="19"/>
  <c r="E339" i="19"/>
  <c r="D339" i="19"/>
  <c r="E347" i="19"/>
  <c r="D347" i="19"/>
  <c r="D355" i="19"/>
  <c r="E355" i="19"/>
  <c r="E363" i="19"/>
  <c r="D363" i="19"/>
  <c r="E371" i="19"/>
  <c r="D371" i="19"/>
  <c r="E379" i="19"/>
  <c r="D379" i="19"/>
  <c r="D346" i="19"/>
  <c r="E346" i="19"/>
  <c r="D378" i="19"/>
  <c r="E378" i="19"/>
  <c r="E300" i="19"/>
  <c r="D300" i="19"/>
  <c r="E308" i="19"/>
  <c r="D308" i="19"/>
  <c r="E316" i="19"/>
  <c r="D316" i="19"/>
  <c r="D324" i="19"/>
  <c r="E324" i="19"/>
  <c r="D332" i="19"/>
  <c r="E332" i="19"/>
  <c r="E340" i="19"/>
  <c r="D340" i="19"/>
  <c r="E348" i="19"/>
  <c r="D348" i="19"/>
  <c r="D356" i="19"/>
  <c r="E356" i="19"/>
  <c r="D364" i="19"/>
  <c r="E364" i="19"/>
  <c r="E372" i="19"/>
  <c r="D372" i="19"/>
  <c r="E380" i="19"/>
  <c r="D380" i="19"/>
  <c r="E322" i="19"/>
  <c r="D322" i="19"/>
  <c r="D301" i="19"/>
  <c r="E301" i="19"/>
  <c r="E309" i="19"/>
  <c r="D309" i="19"/>
  <c r="D317" i="19"/>
  <c r="E317" i="19"/>
  <c r="E325" i="19"/>
  <c r="D325" i="19"/>
  <c r="D333" i="19"/>
  <c r="E333" i="19"/>
  <c r="E341" i="19"/>
  <c r="D341" i="19"/>
  <c r="D349" i="19"/>
  <c r="E349" i="19"/>
  <c r="E357" i="19"/>
  <c r="D357" i="19"/>
  <c r="E365" i="19"/>
  <c r="D365" i="19"/>
  <c r="E373" i="19"/>
  <c r="D373" i="19"/>
  <c r="D381" i="19"/>
  <c r="E381" i="19"/>
  <c r="D296" i="19"/>
  <c r="E296" i="19"/>
  <c r="E314" i="19"/>
  <c r="D314" i="19"/>
  <c r="D370" i="19"/>
  <c r="E370" i="19"/>
  <c r="D302" i="19"/>
  <c r="E302" i="19"/>
  <c r="D310" i="19"/>
  <c r="E310" i="19"/>
  <c r="E318" i="19"/>
  <c r="D318" i="19"/>
  <c r="D326" i="19"/>
  <c r="E326" i="19"/>
  <c r="E334" i="19"/>
  <c r="D334" i="19"/>
  <c r="E342" i="19"/>
  <c r="D342" i="19"/>
  <c r="D350" i="19"/>
  <c r="E350" i="19"/>
  <c r="E358" i="19"/>
  <c r="D358" i="19"/>
  <c r="D366" i="19"/>
  <c r="E366" i="19"/>
  <c r="D374" i="19"/>
  <c r="E374" i="19"/>
  <c r="E382" i="19"/>
  <c r="D382" i="19"/>
  <c r="E297" i="19"/>
  <c r="D297" i="19"/>
  <c r="D306" i="19"/>
  <c r="E306" i="19"/>
  <c r="D362" i="19"/>
  <c r="E362" i="19"/>
  <c r="D303" i="19"/>
  <c r="E303" i="19"/>
  <c r="E311" i="19"/>
  <c r="D311" i="19"/>
  <c r="D319" i="19"/>
  <c r="E319" i="19"/>
  <c r="D327" i="19"/>
  <c r="E327" i="19"/>
  <c r="D335" i="19"/>
  <c r="E335" i="19"/>
  <c r="D343" i="19"/>
  <c r="E343" i="19"/>
  <c r="D351" i="19"/>
  <c r="E351" i="19"/>
  <c r="D359" i="19"/>
  <c r="E359" i="19"/>
  <c r="D367" i="19"/>
  <c r="E367" i="19"/>
  <c r="D375" i="19"/>
  <c r="E375" i="19"/>
  <c r="E383" i="19"/>
  <c r="D383" i="19"/>
  <c r="D298" i="19"/>
  <c r="E298" i="19"/>
  <c r="D330" i="19"/>
  <c r="E330" i="19"/>
  <c r="E304" i="19"/>
  <c r="D304" i="19"/>
  <c r="E312" i="19"/>
  <c r="D312" i="19"/>
  <c r="E320" i="19"/>
  <c r="D320" i="19"/>
  <c r="D328" i="19"/>
  <c r="E328" i="19"/>
  <c r="E336" i="19"/>
  <c r="D336" i="19"/>
  <c r="E344" i="19"/>
  <c r="D344" i="19"/>
  <c r="E352" i="19"/>
  <c r="D352" i="19"/>
  <c r="D360" i="19"/>
  <c r="E360" i="19"/>
  <c r="E368" i="19"/>
  <c r="D368" i="19"/>
  <c r="E376" i="19"/>
  <c r="D376" i="19"/>
  <c r="D338" i="19"/>
  <c r="E338" i="19"/>
  <c r="D305" i="19"/>
  <c r="E305" i="19"/>
  <c r="D313" i="19"/>
  <c r="E313" i="19"/>
  <c r="E321" i="19"/>
  <c r="D321" i="19"/>
  <c r="E329" i="19"/>
  <c r="D329" i="19"/>
  <c r="D337" i="19"/>
  <c r="E337" i="19"/>
  <c r="D345" i="19"/>
  <c r="E345" i="19"/>
  <c r="D353" i="19"/>
  <c r="E353" i="19"/>
  <c r="D361" i="19"/>
  <c r="E361" i="19"/>
  <c r="E369" i="19"/>
  <c r="D369" i="19"/>
  <c r="D377" i="19"/>
  <c r="E377" i="19"/>
  <c r="B24" i="6"/>
  <c r="B15" i="6"/>
  <c r="B16" i="6"/>
  <c r="B25" i="6"/>
  <c r="G5" i="13" a="1"/>
  <c r="G66" i="13" s="1"/>
  <c r="B26" i="6"/>
  <c r="G4" i="13"/>
  <c r="F4" i="13"/>
  <c r="E4" i="13"/>
  <c r="D4" i="13"/>
  <c r="CK4" i="6"/>
  <c r="CC4" i="6"/>
  <c r="BU4" i="6"/>
  <c r="BM4" i="6"/>
  <c r="BE4" i="6"/>
  <c r="AW4" i="6"/>
  <c r="AO4" i="6"/>
  <c r="AG4" i="6"/>
  <c r="Y4" i="6"/>
  <c r="Q4" i="6"/>
  <c r="I4" i="6"/>
  <c r="BX4" i="6"/>
  <c r="AR4" i="6"/>
  <c r="T4" i="6"/>
  <c r="CE4" i="6"/>
  <c r="AY4" i="6"/>
  <c r="S4" i="6"/>
  <c r="CL4" i="6"/>
  <c r="CD4" i="6"/>
  <c r="BV4" i="6"/>
  <c r="BN4" i="6"/>
  <c r="BF4" i="6"/>
  <c r="AX4" i="6"/>
  <c r="AP4" i="6"/>
  <c r="AH4" i="6"/>
  <c r="Z4" i="6"/>
  <c r="R4" i="6"/>
  <c r="J4" i="6"/>
  <c r="CJ4" i="6"/>
  <c r="CB4" i="6"/>
  <c r="BT4" i="6"/>
  <c r="BL4" i="6"/>
  <c r="BD4" i="6"/>
  <c r="AV4" i="6"/>
  <c r="AN4" i="6"/>
  <c r="AF4" i="6"/>
  <c r="X4" i="6"/>
  <c r="P4" i="6"/>
  <c r="H4" i="6"/>
  <c r="CF4" i="6"/>
  <c r="BH4" i="6"/>
  <c r="AZ4" i="6"/>
  <c r="AB4" i="6"/>
  <c r="D4" i="6"/>
  <c r="CM4" i="6"/>
  <c r="BW4" i="6"/>
  <c r="BG4" i="6"/>
  <c r="AQ4" i="6"/>
  <c r="AA4" i="6"/>
  <c r="K4" i="6"/>
  <c r="CI4" i="6"/>
  <c r="BS4" i="6"/>
  <c r="BK4" i="6"/>
  <c r="AU4" i="6"/>
  <c r="AM4" i="6"/>
  <c r="W4" i="6"/>
  <c r="G4" i="6"/>
  <c r="CH4" i="6"/>
  <c r="BZ4" i="6"/>
  <c r="BR4" i="6"/>
  <c r="BJ4" i="6"/>
  <c r="BB4" i="6"/>
  <c r="AT4" i="6"/>
  <c r="AL4" i="6"/>
  <c r="AD4" i="6"/>
  <c r="V4" i="6"/>
  <c r="N4" i="6"/>
  <c r="F4" i="6"/>
  <c r="BP4" i="6"/>
  <c r="AJ4" i="6"/>
  <c r="L4" i="6"/>
  <c r="BO4" i="6"/>
  <c r="AI4" i="6"/>
  <c r="C4" i="6"/>
  <c r="CA4" i="6"/>
  <c r="BC4" i="6"/>
  <c r="AE4" i="6"/>
  <c r="O4" i="6"/>
  <c r="CG4" i="6"/>
  <c r="BY4" i="6"/>
  <c r="BQ4" i="6"/>
  <c r="BI4" i="6"/>
  <c r="BA4" i="6"/>
  <c r="AS4" i="6"/>
  <c r="AK4" i="6"/>
  <c r="AC4" i="6"/>
  <c r="U4" i="6"/>
  <c r="M4" i="6"/>
  <c r="F97" i="13" l="1"/>
  <c r="F190" i="13"/>
  <c r="E190" i="13"/>
  <c r="E97" i="13"/>
  <c r="G97" i="13"/>
  <c r="G190" i="13"/>
  <c r="D190" i="13"/>
  <c r="D97" i="13"/>
  <c r="E295" i="19"/>
  <c r="E391" i="19" s="1"/>
  <c r="D295" i="19"/>
  <c r="D391" i="19" s="1"/>
  <c r="G98" i="13"/>
  <c r="G176" i="13"/>
  <c r="G103" i="13"/>
  <c r="G126" i="13"/>
  <c r="G160" i="13"/>
  <c r="G172" i="13"/>
  <c r="G108" i="13"/>
  <c r="G173" i="13"/>
  <c r="G155" i="13"/>
  <c r="G161" i="13"/>
  <c r="G133" i="13"/>
  <c r="G138" i="13"/>
  <c r="G134" i="13"/>
  <c r="G146" i="13"/>
  <c r="G144" i="13"/>
  <c r="G182" i="13"/>
  <c r="G118" i="13"/>
  <c r="G128" i="13"/>
  <c r="G164" i="13"/>
  <c r="G100" i="13"/>
  <c r="G157" i="13"/>
  <c r="G147" i="13"/>
  <c r="G121" i="13"/>
  <c r="G109" i="13"/>
  <c r="G130" i="13"/>
  <c r="G180" i="13"/>
  <c r="G165" i="13"/>
  <c r="G112" i="13"/>
  <c r="G174" i="13"/>
  <c r="G110" i="13"/>
  <c r="G183" i="13"/>
  <c r="G156" i="13"/>
  <c r="G169" i="13"/>
  <c r="G141" i="13"/>
  <c r="G139" i="13"/>
  <c r="G168" i="13"/>
  <c r="G186" i="13"/>
  <c r="G122" i="13"/>
  <c r="G184" i="13"/>
  <c r="G99" i="13"/>
  <c r="G167" i="13"/>
  <c r="G166" i="13"/>
  <c r="G102" i="13"/>
  <c r="G135" i="13"/>
  <c r="G148" i="13"/>
  <c r="G137" i="13"/>
  <c r="G125" i="13"/>
  <c r="G131" i="13"/>
  <c r="G136" i="13"/>
  <c r="G178" i="13"/>
  <c r="G114" i="13"/>
  <c r="G159" i="13"/>
  <c r="G158" i="13"/>
  <c r="G185" i="13"/>
  <c r="G181" i="13"/>
  <c r="G140" i="13"/>
  <c r="G129" i="13"/>
  <c r="G101" i="13"/>
  <c r="G123" i="13"/>
  <c r="G104" i="13"/>
  <c r="G170" i="13"/>
  <c r="G106" i="13"/>
  <c r="G116" i="13"/>
  <c r="G177" i="13"/>
  <c r="G127" i="13"/>
  <c r="G150" i="13"/>
  <c r="G153" i="13"/>
  <c r="G149" i="13"/>
  <c r="G132" i="13"/>
  <c r="G152" i="13"/>
  <c r="G179" i="13"/>
  <c r="G115" i="13"/>
  <c r="G175" i="13"/>
  <c r="G162" i="13"/>
  <c r="G113" i="13"/>
  <c r="G163" i="13"/>
  <c r="G145" i="13"/>
  <c r="G119" i="13"/>
  <c r="G142" i="13"/>
  <c r="G105" i="13"/>
  <c r="G117" i="13"/>
  <c r="G124" i="13"/>
  <c r="G120" i="13"/>
  <c r="G171" i="13"/>
  <c r="G107" i="13"/>
  <c r="G143" i="13"/>
  <c r="G154" i="13"/>
  <c r="G111" i="13"/>
  <c r="G151" i="13"/>
  <c r="F100" i="13"/>
  <c r="F120" i="13"/>
  <c r="F135" i="13"/>
  <c r="F101" i="13"/>
  <c r="F170" i="13"/>
  <c r="F106" i="13"/>
  <c r="F137" i="13"/>
  <c r="F136" i="13"/>
  <c r="F142" i="13"/>
  <c r="F141" i="13"/>
  <c r="F155" i="13"/>
  <c r="F157" i="13"/>
  <c r="F145" i="13"/>
  <c r="F104" i="13"/>
  <c r="F127" i="13"/>
  <c r="F172" i="13"/>
  <c r="F162" i="13"/>
  <c r="F98" i="13"/>
  <c r="F129" i="13"/>
  <c r="F128" i="13"/>
  <c r="F134" i="13"/>
  <c r="F117" i="13"/>
  <c r="F147" i="13"/>
  <c r="F133" i="13"/>
  <c r="F152" i="13"/>
  <c r="F183" i="13"/>
  <c r="F119" i="13"/>
  <c r="F156" i="13"/>
  <c r="F154" i="13"/>
  <c r="F185" i="13"/>
  <c r="F121" i="13"/>
  <c r="F112" i="13"/>
  <c r="F126" i="13"/>
  <c r="F164" i="13"/>
  <c r="F139" i="13"/>
  <c r="F109" i="13"/>
  <c r="F178" i="13"/>
  <c r="F99" i="13"/>
  <c r="F175" i="13"/>
  <c r="F111" i="13"/>
  <c r="F140" i="13"/>
  <c r="F146" i="13"/>
  <c r="F177" i="13"/>
  <c r="F113" i="13"/>
  <c r="F182" i="13"/>
  <c r="F118" i="13"/>
  <c r="F132" i="13"/>
  <c r="F131" i="13"/>
  <c r="F180" i="13"/>
  <c r="F114" i="13"/>
  <c r="F167" i="13"/>
  <c r="F103" i="13"/>
  <c r="F124" i="13"/>
  <c r="F138" i="13"/>
  <c r="F169" i="13"/>
  <c r="F105" i="13"/>
  <c r="F174" i="13"/>
  <c r="F110" i="13"/>
  <c r="F116" i="13"/>
  <c r="F123" i="13"/>
  <c r="F148" i="13"/>
  <c r="F144" i="13"/>
  <c r="F165" i="13"/>
  <c r="F176" i="13"/>
  <c r="F159" i="13"/>
  <c r="F173" i="13"/>
  <c r="F108" i="13"/>
  <c r="F130" i="13"/>
  <c r="F161" i="13"/>
  <c r="F184" i="13"/>
  <c r="F166" i="13"/>
  <c r="F102" i="13"/>
  <c r="F179" i="13"/>
  <c r="F115" i="13"/>
  <c r="F125" i="13"/>
  <c r="F163" i="13"/>
  <c r="F160" i="13"/>
  <c r="F151" i="13"/>
  <c r="F149" i="13"/>
  <c r="F186" i="13"/>
  <c r="F122" i="13"/>
  <c r="F153" i="13"/>
  <c r="F168" i="13"/>
  <c r="F158" i="13"/>
  <c r="F181" i="13"/>
  <c r="F171" i="13"/>
  <c r="F107" i="13"/>
  <c r="F143" i="13"/>
  <c r="F150" i="13"/>
  <c r="E99" i="13"/>
  <c r="E161" i="13"/>
  <c r="E159" i="13"/>
  <c r="E170" i="13"/>
  <c r="E112" i="13"/>
  <c r="E157" i="13"/>
  <c r="E162" i="13"/>
  <c r="E104" i="13"/>
  <c r="E156" i="13"/>
  <c r="E186" i="13"/>
  <c r="E182" i="13"/>
  <c r="E139" i="13"/>
  <c r="E98" i="13"/>
  <c r="E136" i="13"/>
  <c r="E129" i="13"/>
  <c r="E151" i="13"/>
  <c r="E146" i="13"/>
  <c r="E166" i="13"/>
  <c r="E149" i="13"/>
  <c r="E138" i="13"/>
  <c r="E174" i="13"/>
  <c r="E148" i="13"/>
  <c r="E154" i="13"/>
  <c r="E150" i="13"/>
  <c r="E131" i="13"/>
  <c r="E103" i="13"/>
  <c r="E100" i="13"/>
  <c r="E184" i="13"/>
  <c r="E143" i="13"/>
  <c r="E114" i="13"/>
  <c r="E142" i="13"/>
  <c r="E141" i="13"/>
  <c r="E106" i="13"/>
  <c r="E158" i="13"/>
  <c r="E140" i="13"/>
  <c r="E122" i="13"/>
  <c r="E118" i="13"/>
  <c r="E123" i="13"/>
  <c r="E164" i="13"/>
  <c r="E152" i="13"/>
  <c r="E135" i="13"/>
  <c r="E169" i="13"/>
  <c r="E126" i="13"/>
  <c r="E133" i="13"/>
  <c r="E177" i="13"/>
  <c r="E134" i="13"/>
  <c r="E132" i="13"/>
  <c r="E185" i="13"/>
  <c r="E179" i="13"/>
  <c r="E115" i="13"/>
  <c r="E128" i="13"/>
  <c r="E127" i="13"/>
  <c r="E137" i="13"/>
  <c r="E102" i="13"/>
  <c r="E125" i="13"/>
  <c r="E153" i="13"/>
  <c r="E110" i="13"/>
  <c r="E124" i="13"/>
  <c r="E145" i="13"/>
  <c r="E171" i="13"/>
  <c r="E107" i="13"/>
  <c r="E165" i="13"/>
  <c r="E147" i="13"/>
  <c r="E178" i="13"/>
  <c r="E183" i="13"/>
  <c r="E119" i="13"/>
  <c r="E105" i="13"/>
  <c r="E181" i="13"/>
  <c r="E117" i="13"/>
  <c r="E121" i="13"/>
  <c r="E180" i="13"/>
  <c r="E116" i="13"/>
  <c r="E113" i="13"/>
  <c r="E163" i="13"/>
  <c r="E144" i="13"/>
  <c r="E120" i="13"/>
  <c r="E130" i="13"/>
  <c r="E175" i="13"/>
  <c r="E111" i="13"/>
  <c r="E176" i="13"/>
  <c r="E173" i="13"/>
  <c r="E109" i="13"/>
  <c r="E160" i="13"/>
  <c r="E172" i="13"/>
  <c r="E108" i="13"/>
  <c r="E168" i="13"/>
  <c r="E155" i="13"/>
  <c r="E167" i="13"/>
  <c r="E101" i="13"/>
  <c r="D98" i="13"/>
  <c r="D185" i="13"/>
  <c r="D169" i="13"/>
  <c r="D177" i="13"/>
  <c r="D161" i="13"/>
  <c r="D129" i="13"/>
  <c r="D152" i="13"/>
  <c r="D175" i="13"/>
  <c r="D111" i="13"/>
  <c r="D134" i="13"/>
  <c r="D157" i="13"/>
  <c r="D180" i="13"/>
  <c r="D116" i="13"/>
  <c r="D139" i="13"/>
  <c r="D170" i="13"/>
  <c r="D106" i="13"/>
  <c r="D160" i="13"/>
  <c r="D124" i="13"/>
  <c r="D121" i="13"/>
  <c r="D144" i="13"/>
  <c r="D167" i="13"/>
  <c r="D103" i="13"/>
  <c r="D126" i="13"/>
  <c r="D149" i="13"/>
  <c r="D172" i="13"/>
  <c r="D108" i="13"/>
  <c r="D131" i="13"/>
  <c r="D162" i="13"/>
  <c r="D119" i="13"/>
  <c r="D178" i="13"/>
  <c r="D113" i="13"/>
  <c r="D136" i="13"/>
  <c r="D159" i="13"/>
  <c r="D182" i="13"/>
  <c r="D118" i="13"/>
  <c r="D141" i="13"/>
  <c r="D164" i="13"/>
  <c r="D100" i="13"/>
  <c r="D123" i="13"/>
  <c r="D154" i="13"/>
  <c r="D183" i="13"/>
  <c r="D147" i="13"/>
  <c r="D105" i="13"/>
  <c r="D128" i="13"/>
  <c r="D151" i="13"/>
  <c r="D174" i="13"/>
  <c r="D110" i="13"/>
  <c r="D133" i="13"/>
  <c r="D156" i="13"/>
  <c r="D179" i="13"/>
  <c r="D115" i="13"/>
  <c r="D146" i="13"/>
  <c r="D184" i="13"/>
  <c r="D120" i="13"/>
  <c r="D143" i="13"/>
  <c r="D166" i="13"/>
  <c r="D102" i="13"/>
  <c r="D125" i="13"/>
  <c r="D148" i="13"/>
  <c r="D171" i="13"/>
  <c r="D107" i="13"/>
  <c r="D138" i="13"/>
  <c r="D165" i="13"/>
  <c r="D153" i="13"/>
  <c r="D176" i="13"/>
  <c r="D112" i="13"/>
  <c r="D135" i="13"/>
  <c r="D158" i="13"/>
  <c r="D181" i="13"/>
  <c r="D117" i="13"/>
  <c r="D140" i="13"/>
  <c r="D163" i="13"/>
  <c r="D99" i="13"/>
  <c r="D130" i="13"/>
  <c r="D142" i="13"/>
  <c r="D114" i="13"/>
  <c r="D145" i="13"/>
  <c r="D168" i="13"/>
  <c r="D104" i="13"/>
  <c r="D127" i="13"/>
  <c r="D150" i="13"/>
  <c r="D173" i="13"/>
  <c r="D109" i="13"/>
  <c r="D132" i="13"/>
  <c r="D155" i="13"/>
  <c r="D186" i="13"/>
  <c r="D122" i="13"/>
  <c r="D137" i="13"/>
  <c r="D101" i="13"/>
  <c r="C98" i="13"/>
  <c r="C112" i="13"/>
  <c r="C135" i="13"/>
  <c r="C118" i="13"/>
  <c r="C125" i="13"/>
  <c r="C126" i="13"/>
  <c r="C176" i="13"/>
  <c r="C163" i="13"/>
  <c r="C99" i="13"/>
  <c r="C134" i="13"/>
  <c r="C170" i="13"/>
  <c r="C106" i="13"/>
  <c r="C160" i="13"/>
  <c r="C150" i="13"/>
  <c r="C169" i="13"/>
  <c r="C104" i="13"/>
  <c r="C127" i="13"/>
  <c r="C181" i="13"/>
  <c r="C117" i="13"/>
  <c r="C164" i="13"/>
  <c r="C166" i="13"/>
  <c r="C155" i="13"/>
  <c r="C153" i="13"/>
  <c r="C110" i="13"/>
  <c r="C162" i="13"/>
  <c r="C152" i="13"/>
  <c r="C114" i="13"/>
  <c r="C137" i="13"/>
  <c r="C183" i="13"/>
  <c r="C119" i="13"/>
  <c r="C173" i="13"/>
  <c r="C109" i="13"/>
  <c r="C148" i="13"/>
  <c r="C142" i="13"/>
  <c r="C147" i="13"/>
  <c r="C121" i="13"/>
  <c r="C172" i="13"/>
  <c r="C154" i="13"/>
  <c r="C133" i="13"/>
  <c r="C178" i="13"/>
  <c r="C184" i="13"/>
  <c r="C175" i="13"/>
  <c r="C111" i="13"/>
  <c r="C165" i="13"/>
  <c r="C101" i="13"/>
  <c r="C132" i="13"/>
  <c r="C102" i="13"/>
  <c r="C139" i="13"/>
  <c r="C144" i="13"/>
  <c r="C156" i="13"/>
  <c r="C146" i="13"/>
  <c r="C168" i="13"/>
  <c r="C167" i="13"/>
  <c r="C103" i="13"/>
  <c r="C157" i="13"/>
  <c r="C185" i="13"/>
  <c r="C116" i="13"/>
  <c r="C180" i="13"/>
  <c r="C131" i="13"/>
  <c r="C182" i="13"/>
  <c r="C140" i="13"/>
  <c r="C138" i="13"/>
  <c r="C120" i="13"/>
  <c r="C171" i="13"/>
  <c r="C136" i="13"/>
  <c r="C159" i="13"/>
  <c r="C177" i="13"/>
  <c r="C149" i="13"/>
  <c r="C145" i="13"/>
  <c r="C100" i="13"/>
  <c r="C124" i="13"/>
  <c r="C123" i="13"/>
  <c r="C174" i="13"/>
  <c r="C108" i="13"/>
  <c r="C130" i="13"/>
  <c r="C129" i="13"/>
  <c r="C128" i="13"/>
  <c r="C151" i="13"/>
  <c r="C105" i="13"/>
  <c r="C141" i="13"/>
  <c r="C113" i="13"/>
  <c r="C161" i="13"/>
  <c r="C179" i="13"/>
  <c r="C115" i="13"/>
  <c r="C158" i="13"/>
  <c r="C186" i="13"/>
  <c r="C122" i="13"/>
  <c r="C143" i="13"/>
  <c r="C107" i="13"/>
  <c r="F16" i="13"/>
  <c r="G48" i="13"/>
  <c r="E39" i="13"/>
  <c r="F44" i="13"/>
  <c r="F78" i="13"/>
  <c r="F71" i="13"/>
  <c r="F75" i="13"/>
  <c r="F43" i="13"/>
  <c r="G23" i="13"/>
  <c r="E41" i="13"/>
  <c r="F68" i="13"/>
  <c r="F32" i="13"/>
  <c r="F79" i="13"/>
  <c r="F91" i="13"/>
  <c r="F51" i="13"/>
  <c r="G71" i="13"/>
  <c r="F13" i="13"/>
  <c r="F84" i="13"/>
  <c r="F88" i="13"/>
  <c r="F87" i="13"/>
  <c r="F26" i="13"/>
  <c r="G21" i="13"/>
  <c r="G79" i="13"/>
  <c r="F37" i="13"/>
  <c r="F36" i="13"/>
  <c r="F34" i="13"/>
  <c r="F14" i="13"/>
  <c r="F92" i="13"/>
  <c r="F41" i="13"/>
  <c r="F42" i="13"/>
  <c r="G25" i="13"/>
  <c r="F69" i="13"/>
  <c r="F7" i="13"/>
  <c r="F90" i="13"/>
  <c r="G85" i="13"/>
  <c r="E13" i="13"/>
  <c r="F77" i="13"/>
  <c r="F62" i="13"/>
  <c r="F15" i="13"/>
  <c r="F57" i="13"/>
  <c r="F11" i="13"/>
  <c r="G38" i="13"/>
  <c r="G81" i="13"/>
  <c r="F6" i="13"/>
  <c r="G29" i="13"/>
  <c r="F45" i="13"/>
  <c r="G77" i="13"/>
  <c r="F54" i="13"/>
  <c r="F49" i="13"/>
  <c r="G33" i="13"/>
  <c r="E7" i="13"/>
  <c r="F12" i="13"/>
  <c r="F70" i="13"/>
  <c r="F63" i="13"/>
  <c r="F65" i="13"/>
  <c r="F27" i="13"/>
  <c r="G15" i="13"/>
  <c r="G89" i="13"/>
  <c r="C25" i="13"/>
  <c r="E62" i="13"/>
  <c r="E64" i="13"/>
  <c r="E85" i="13"/>
  <c r="C85" i="13"/>
  <c r="E56" i="13"/>
  <c r="C59" i="13"/>
  <c r="C33" i="13"/>
  <c r="C67" i="13"/>
  <c r="E70" i="13"/>
  <c r="E79" i="13"/>
  <c r="E72" i="13"/>
  <c r="E65" i="13"/>
  <c r="F85" i="13"/>
  <c r="F89" i="13"/>
  <c r="C10" i="13"/>
  <c r="E6" i="13"/>
  <c r="E8" i="13"/>
  <c r="E88" i="13"/>
  <c r="F93" i="13"/>
  <c r="F23" i="13"/>
  <c r="F28" i="13"/>
  <c r="F50" i="13"/>
  <c r="G46" i="13"/>
  <c r="G50" i="13"/>
  <c r="C50" i="13"/>
  <c r="E29" i="13"/>
  <c r="E30" i="13"/>
  <c r="E23" i="13"/>
  <c r="E16" i="13"/>
  <c r="E25" i="13"/>
  <c r="F21" i="13"/>
  <c r="F24" i="13"/>
  <c r="F38" i="13"/>
  <c r="F56" i="13"/>
  <c r="F31" i="13"/>
  <c r="F25" i="13"/>
  <c r="F35" i="13"/>
  <c r="F58" i="13"/>
  <c r="F60" i="13"/>
  <c r="G54" i="13"/>
  <c r="G64" i="13"/>
  <c r="G58" i="13"/>
  <c r="C89" i="13"/>
  <c r="E93" i="13"/>
  <c r="E87" i="13"/>
  <c r="E80" i="13"/>
  <c r="E89" i="13"/>
  <c r="G75" i="13"/>
  <c r="E21" i="13"/>
  <c r="E15" i="13"/>
  <c r="F48" i="13"/>
  <c r="F19" i="13"/>
  <c r="F67" i="13"/>
  <c r="G56" i="13"/>
  <c r="C20" i="13"/>
  <c r="C58" i="13"/>
  <c r="E37" i="13"/>
  <c r="E38" i="13"/>
  <c r="E31" i="13"/>
  <c r="E24" i="13"/>
  <c r="E33" i="13"/>
  <c r="F29" i="13"/>
  <c r="F40" i="13"/>
  <c r="F46" i="13"/>
  <c r="F72" i="13"/>
  <c r="F39" i="13"/>
  <c r="F33" i="13"/>
  <c r="F59" i="13"/>
  <c r="F66" i="13"/>
  <c r="G13" i="13"/>
  <c r="G7" i="13"/>
  <c r="G17" i="13"/>
  <c r="C84" i="13"/>
  <c r="E69" i="13"/>
  <c r="E54" i="13"/>
  <c r="E47" i="13"/>
  <c r="E49" i="13"/>
  <c r="E77" i="13"/>
  <c r="E71" i="13"/>
  <c r="E57" i="13"/>
  <c r="C76" i="13"/>
  <c r="C69" i="13"/>
  <c r="E61" i="13"/>
  <c r="E46" i="13"/>
  <c r="AK22" i="6"/>
  <c r="AK13" i="6"/>
  <c r="BP22" i="6"/>
  <c r="BP13" i="6"/>
  <c r="BK22" i="6"/>
  <c r="BK13" i="6"/>
  <c r="CJ13" i="6"/>
  <c r="CJ22" i="6"/>
  <c r="AR22" i="6"/>
  <c r="AR13" i="6"/>
  <c r="D37" i="13"/>
  <c r="D46" i="13"/>
  <c r="D63" i="13"/>
  <c r="D56" i="13"/>
  <c r="AS22" i="6"/>
  <c r="AS13" i="6"/>
  <c r="F13" i="6"/>
  <c r="F22" i="6"/>
  <c r="BR13" i="6"/>
  <c r="BR22" i="6"/>
  <c r="D22" i="6"/>
  <c r="D13" i="6"/>
  <c r="AF13" i="6"/>
  <c r="AF22" i="6"/>
  <c r="J13" i="6"/>
  <c r="J22" i="6"/>
  <c r="BV13" i="6"/>
  <c r="BV22" i="6"/>
  <c r="BM22" i="6"/>
  <c r="BM13" i="6"/>
  <c r="D45" i="13"/>
  <c r="D7" i="13"/>
  <c r="D90" i="13"/>
  <c r="G5" i="13"/>
  <c r="G12" i="13"/>
  <c r="G44" i="13"/>
  <c r="G27" i="13"/>
  <c r="G60" i="13"/>
  <c r="G28" i="13"/>
  <c r="G68" i="13"/>
  <c r="G52" i="13"/>
  <c r="G43" i="13"/>
  <c r="G11" i="13"/>
  <c r="G76" i="13"/>
  <c r="G19" i="13"/>
  <c r="G84" i="13"/>
  <c r="G20" i="13"/>
  <c r="G92" i="13"/>
  <c r="G36" i="13"/>
  <c r="G35" i="13"/>
  <c r="G51" i="13"/>
  <c r="BQ22" i="6"/>
  <c r="BQ13" i="6"/>
  <c r="AD13" i="6"/>
  <c r="AD22" i="6"/>
  <c r="AA22" i="6"/>
  <c r="AA13" i="6"/>
  <c r="BD13" i="6"/>
  <c r="BD22" i="6"/>
  <c r="Y22" i="6"/>
  <c r="Y13" i="6"/>
  <c r="C44" i="13"/>
  <c r="C57" i="13"/>
  <c r="C82" i="13"/>
  <c r="D14" i="13"/>
  <c r="D31" i="13"/>
  <c r="D88" i="13"/>
  <c r="G45" i="13"/>
  <c r="G70" i="13"/>
  <c r="G39" i="13"/>
  <c r="G16" i="13"/>
  <c r="G80" i="13"/>
  <c r="G49" i="13"/>
  <c r="E5" i="13"/>
  <c r="E26" i="13"/>
  <c r="E44" i="13"/>
  <c r="E67" i="13"/>
  <c r="E90" i="13"/>
  <c r="E11" i="13"/>
  <c r="E34" i="13"/>
  <c r="E52" i="13"/>
  <c r="E75" i="13"/>
  <c r="E12" i="13"/>
  <c r="E35" i="13"/>
  <c r="E58" i="13"/>
  <c r="E76" i="13"/>
  <c r="E20" i="13"/>
  <c r="E59" i="13"/>
  <c r="E91" i="13"/>
  <c r="E27" i="13"/>
  <c r="E60" i="13"/>
  <c r="E92" i="13"/>
  <c r="E28" i="13"/>
  <c r="E66" i="13"/>
  <c r="E50" i="13"/>
  <c r="E36" i="13"/>
  <c r="E68" i="13"/>
  <c r="E43" i="13"/>
  <c r="E82" i="13"/>
  <c r="E83" i="13"/>
  <c r="E42" i="13"/>
  <c r="E74" i="13"/>
  <c r="E10" i="13"/>
  <c r="E18" i="13"/>
  <c r="E19" i="13"/>
  <c r="E51" i="13"/>
  <c r="E84" i="13"/>
  <c r="AE22" i="6"/>
  <c r="AE13" i="6"/>
  <c r="BJ22" i="6"/>
  <c r="BJ13" i="6"/>
  <c r="CM22" i="6"/>
  <c r="CM13" i="6"/>
  <c r="BN22" i="6"/>
  <c r="BN13" i="6"/>
  <c r="BE22" i="6"/>
  <c r="BE13" i="6"/>
  <c r="D33" i="13"/>
  <c r="D82" i="13"/>
  <c r="D74" i="13"/>
  <c r="D89" i="13"/>
  <c r="C12" i="13"/>
  <c r="C16" i="13"/>
  <c r="C38" i="13"/>
  <c r="C56" i="13"/>
  <c r="C79" i="13"/>
  <c r="C7" i="13"/>
  <c r="C23" i="13"/>
  <c r="C46" i="13"/>
  <c r="C64" i="13"/>
  <c r="C87" i="13"/>
  <c r="C8" i="13"/>
  <c r="C24" i="13"/>
  <c r="C47" i="13"/>
  <c r="C70" i="13"/>
  <c r="C88" i="13"/>
  <c r="C15" i="13"/>
  <c r="C48" i="13"/>
  <c r="C80" i="13"/>
  <c r="C13" i="13"/>
  <c r="C39" i="13"/>
  <c r="C72" i="13"/>
  <c r="C21" i="13"/>
  <c r="C54" i="13"/>
  <c r="C86" i="13"/>
  <c r="C22" i="13"/>
  <c r="C55" i="13"/>
  <c r="C30" i="13"/>
  <c r="C62" i="13"/>
  <c r="C6" i="13"/>
  <c r="C32" i="13"/>
  <c r="C71" i="13"/>
  <c r="C5" i="13"/>
  <c r="C31" i="13"/>
  <c r="C63" i="13"/>
  <c r="C78" i="13"/>
  <c r="C14" i="13"/>
  <c r="C40" i="13"/>
  <c r="C13" i="6"/>
  <c r="C22" i="6"/>
  <c r="CH13" i="6"/>
  <c r="CH22" i="6"/>
  <c r="AZ22" i="6"/>
  <c r="AZ13" i="6"/>
  <c r="AV22" i="6"/>
  <c r="AV13" i="6"/>
  <c r="CL13" i="6"/>
  <c r="CL22" i="6"/>
  <c r="CC22" i="6"/>
  <c r="CC13" i="6"/>
  <c r="C36" i="13"/>
  <c r="C49" i="13"/>
  <c r="C93" i="13"/>
  <c r="C74" i="13"/>
  <c r="C83" i="13"/>
  <c r="D61" i="13"/>
  <c r="D6" i="13"/>
  <c r="D70" i="13"/>
  <c r="D23" i="13"/>
  <c r="D87" i="13"/>
  <c r="D80" i="13"/>
  <c r="G37" i="13"/>
  <c r="G83" i="13"/>
  <c r="G62" i="13"/>
  <c r="G31" i="13"/>
  <c r="G8" i="13"/>
  <c r="G41" i="13"/>
  <c r="G74" i="13"/>
  <c r="AI13" i="6"/>
  <c r="AI22" i="6"/>
  <c r="G13" i="6"/>
  <c r="G22" i="6"/>
  <c r="BH22" i="6"/>
  <c r="BH13" i="6"/>
  <c r="AH22" i="6"/>
  <c r="AH13" i="6"/>
  <c r="CK22" i="6"/>
  <c r="CK13" i="6"/>
  <c r="C53" i="13"/>
  <c r="C18" i="13"/>
  <c r="C27" i="13"/>
  <c r="D69" i="13"/>
  <c r="D78" i="13"/>
  <c r="D17" i="13"/>
  <c r="G6" i="13"/>
  <c r="G82" i="13"/>
  <c r="M22" i="6"/>
  <c r="M13" i="6"/>
  <c r="BY22" i="6"/>
  <c r="BY13" i="6"/>
  <c r="BO13" i="6"/>
  <c r="BO22" i="6"/>
  <c r="AL22" i="6"/>
  <c r="AL13" i="6"/>
  <c r="W22" i="6"/>
  <c r="W13" i="6"/>
  <c r="AQ13" i="6"/>
  <c r="AQ22" i="6"/>
  <c r="CF13" i="6"/>
  <c r="CF22" i="6"/>
  <c r="BL22" i="6"/>
  <c r="BL13" i="6"/>
  <c r="AP22" i="6"/>
  <c r="AP13" i="6"/>
  <c r="AY13" i="6"/>
  <c r="AY22" i="6"/>
  <c r="AG22" i="6"/>
  <c r="AG13" i="6"/>
  <c r="C52" i="13"/>
  <c r="C77" i="13"/>
  <c r="C65" i="13"/>
  <c r="C26" i="13"/>
  <c r="C90" i="13"/>
  <c r="C35" i="13"/>
  <c r="D13" i="13"/>
  <c r="D77" i="13"/>
  <c r="D22" i="13"/>
  <c r="D86" i="13"/>
  <c r="D39" i="13"/>
  <c r="D49" i="13"/>
  <c r="D32" i="13"/>
  <c r="E45" i="13"/>
  <c r="E14" i="13"/>
  <c r="E78" i="13"/>
  <c r="E55" i="13"/>
  <c r="E32" i="13"/>
  <c r="E9" i="13"/>
  <c r="E73" i="13"/>
  <c r="F53" i="13"/>
  <c r="F64" i="13"/>
  <c r="F22" i="13"/>
  <c r="F86" i="13"/>
  <c r="F52" i="13"/>
  <c r="F47" i="13"/>
  <c r="F9" i="13"/>
  <c r="F73" i="13"/>
  <c r="F10" i="13"/>
  <c r="F74" i="13"/>
  <c r="F83" i="13"/>
  <c r="G53" i="13"/>
  <c r="G14" i="13"/>
  <c r="G78" i="13"/>
  <c r="G47" i="13"/>
  <c r="G24" i="13"/>
  <c r="G88" i="13"/>
  <c r="G57" i="13"/>
  <c r="G26" i="13"/>
  <c r="G90" i="13"/>
  <c r="D5" i="13"/>
  <c r="D19" i="13"/>
  <c r="D42" i="13"/>
  <c r="D67" i="13"/>
  <c r="D27" i="13"/>
  <c r="D50" i="13"/>
  <c r="D76" i="13"/>
  <c r="D10" i="13"/>
  <c r="D28" i="13"/>
  <c r="D51" i="13"/>
  <c r="D83" i="13"/>
  <c r="D35" i="13"/>
  <c r="D75" i="13"/>
  <c r="D26" i="13"/>
  <c r="D60" i="13"/>
  <c r="D36" i="13"/>
  <c r="D84" i="13"/>
  <c r="D11" i="13"/>
  <c r="D43" i="13"/>
  <c r="D91" i="13"/>
  <c r="D12" i="13"/>
  <c r="D44" i="13"/>
  <c r="D92" i="13"/>
  <c r="D20" i="13"/>
  <c r="D59" i="13"/>
  <c r="D18" i="13"/>
  <c r="D52" i="13"/>
  <c r="D34" i="13"/>
  <c r="D68" i="13"/>
  <c r="BC22" i="6"/>
  <c r="BC13" i="6"/>
  <c r="BX22" i="6"/>
  <c r="BX13" i="6"/>
  <c r="D57" i="13"/>
  <c r="D71" i="13"/>
  <c r="D64" i="13"/>
  <c r="BA22" i="6"/>
  <c r="BA13" i="6"/>
  <c r="N22" i="6"/>
  <c r="N13" i="6"/>
  <c r="BZ13" i="6"/>
  <c r="BZ22" i="6"/>
  <c r="AB13" i="6"/>
  <c r="AB22" i="6"/>
  <c r="CD13" i="6"/>
  <c r="CD22" i="6"/>
  <c r="BU22" i="6"/>
  <c r="BU13" i="6"/>
  <c r="C92" i="13"/>
  <c r="C61" i="13"/>
  <c r="C75" i="13"/>
  <c r="D62" i="13"/>
  <c r="D79" i="13"/>
  <c r="D72" i="13"/>
  <c r="G93" i="13"/>
  <c r="BI22" i="6"/>
  <c r="BI13" i="6"/>
  <c r="K13" i="6"/>
  <c r="K22" i="6"/>
  <c r="Q22" i="6"/>
  <c r="Q13" i="6"/>
  <c r="C19" i="13"/>
  <c r="G10" i="13"/>
  <c r="S13" i="6"/>
  <c r="S22" i="6"/>
  <c r="D24" i="13"/>
  <c r="G18" i="13"/>
  <c r="U22" i="6"/>
  <c r="U13" i="6"/>
  <c r="CG22" i="6"/>
  <c r="CG13" i="6"/>
  <c r="L22" i="6"/>
  <c r="L13" i="6"/>
  <c r="AT13" i="6"/>
  <c r="AT22" i="6"/>
  <c r="AM22" i="6"/>
  <c r="AM13" i="6"/>
  <c r="BG13" i="6"/>
  <c r="BG22" i="6"/>
  <c r="H13" i="6"/>
  <c r="H22" i="6"/>
  <c r="BT22" i="6"/>
  <c r="BT13" i="6"/>
  <c r="AX22" i="6"/>
  <c r="AX13" i="6"/>
  <c r="CE22" i="6"/>
  <c r="CE13" i="6"/>
  <c r="AO22" i="6"/>
  <c r="AO13" i="6"/>
  <c r="C60" i="13"/>
  <c r="C9" i="13"/>
  <c r="C73" i="13"/>
  <c r="C34" i="13"/>
  <c r="C37" i="13"/>
  <c r="C43" i="13"/>
  <c r="D21" i="13"/>
  <c r="D85" i="13"/>
  <c r="D30" i="13"/>
  <c r="D25" i="13"/>
  <c r="D47" i="13"/>
  <c r="D81" i="13"/>
  <c r="D40" i="13"/>
  <c r="D41" i="13"/>
  <c r="E53" i="13"/>
  <c r="E22" i="13"/>
  <c r="E86" i="13"/>
  <c r="E63" i="13"/>
  <c r="E40" i="13"/>
  <c r="E17" i="13"/>
  <c r="E81" i="13"/>
  <c r="F61" i="13"/>
  <c r="F80" i="13"/>
  <c r="F30" i="13"/>
  <c r="F8" i="13"/>
  <c r="F76" i="13"/>
  <c r="F55" i="13"/>
  <c r="F17" i="13"/>
  <c r="F81" i="13"/>
  <c r="F18" i="13"/>
  <c r="F82" i="13"/>
  <c r="F20" i="13"/>
  <c r="G61" i="13"/>
  <c r="G22" i="13"/>
  <c r="G86" i="13"/>
  <c r="G55" i="13"/>
  <c r="G32" i="13"/>
  <c r="G67" i="13"/>
  <c r="G65" i="13"/>
  <c r="G34" i="13"/>
  <c r="G59" i="13"/>
  <c r="X22" i="6"/>
  <c r="X13" i="6"/>
  <c r="BS13" i="6"/>
  <c r="BS22" i="6"/>
  <c r="D54" i="13"/>
  <c r="CA13" i="6"/>
  <c r="CA22" i="6"/>
  <c r="CI22" i="6"/>
  <c r="CI13" i="6"/>
  <c r="AN13" i="6"/>
  <c r="AN22" i="6"/>
  <c r="R22" i="6"/>
  <c r="R13" i="6"/>
  <c r="I22" i="6"/>
  <c r="I13" i="6"/>
  <c r="C28" i="13"/>
  <c r="C41" i="13"/>
  <c r="C66" i="13"/>
  <c r="C11" i="13"/>
  <c r="D53" i="13"/>
  <c r="D66" i="13"/>
  <c r="D15" i="13"/>
  <c r="D8" i="13"/>
  <c r="G87" i="13"/>
  <c r="V13" i="6"/>
  <c r="V22" i="6"/>
  <c r="Z22" i="6"/>
  <c r="Z13" i="6"/>
  <c r="C29" i="13"/>
  <c r="D16" i="13"/>
  <c r="G72" i="13"/>
  <c r="AC22" i="6"/>
  <c r="AC13" i="6"/>
  <c r="O22" i="6"/>
  <c r="O13" i="6"/>
  <c r="AJ22" i="6"/>
  <c r="AJ13" i="6"/>
  <c r="BB13" i="6"/>
  <c r="BB22" i="6"/>
  <c r="AU22" i="6"/>
  <c r="AU13" i="6"/>
  <c r="BW22" i="6"/>
  <c r="BW13" i="6"/>
  <c r="P13" i="6"/>
  <c r="P22" i="6"/>
  <c r="CB22" i="6"/>
  <c r="CB13" i="6"/>
  <c r="BF22" i="6"/>
  <c r="BF13" i="6"/>
  <c r="T22" i="6"/>
  <c r="T13" i="6"/>
  <c r="AW22" i="6"/>
  <c r="AW13" i="6"/>
  <c r="C68" i="13"/>
  <c r="C17" i="13"/>
  <c r="C81" i="13"/>
  <c r="C42" i="13"/>
  <c r="C45" i="13"/>
  <c r="C51" i="13"/>
  <c r="D29" i="13"/>
  <c r="D93" i="13"/>
  <c r="D38" i="13"/>
  <c r="D73" i="13"/>
  <c r="D55" i="13"/>
  <c r="D58" i="13"/>
  <c r="D48" i="13"/>
  <c r="D65" i="13"/>
  <c r="G69" i="13"/>
  <c r="G30" i="13"/>
  <c r="G91" i="13"/>
  <c r="G63" i="13"/>
  <c r="G40" i="13"/>
  <c r="G9" i="13"/>
  <c r="G73" i="13"/>
  <c r="G42" i="13"/>
  <c r="E474" i="19" l="1"/>
  <c r="E471" i="19"/>
  <c r="E456" i="19"/>
  <c r="E412" i="19"/>
  <c r="E434" i="19"/>
  <c r="D420" i="19"/>
  <c r="E453" i="19"/>
  <c r="E394" i="19"/>
  <c r="D469" i="19"/>
  <c r="D393" i="19"/>
  <c r="D400" i="19"/>
  <c r="E419" i="19"/>
  <c r="E444" i="19"/>
  <c r="D477" i="19"/>
  <c r="D573" i="19" s="1"/>
  <c r="D457" i="19"/>
  <c r="D429" i="19"/>
  <c r="D401" i="19"/>
  <c r="E450" i="19"/>
  <c r="D412" i="19"/>
  <c r="D462" i="19"/>
  <c r="E479" i="19"/>
  <c r="E462" i="19"/>
  <c r="D479" i="19"/>
  <c r="D575" i="19" s="1"/>
  <c r="D470" i="19"/>
  <c r="E409" i="19"/>
  <c r="E404" i="19"/>
  <c r="D454" i="19"/>
  <c r="D436" i="19"/>
  <c r="E400" i="19"/>
  <c r="E441" i="19"/>
  <c r="E427" i="19"/>
  <c r="E452" i="19"/>
  <c r="E392" i="19"/>
  <c r="D416" i="19"/>
  <c r="E457" i="19"/>
  <c r="E410" i="19"/>
  <c r="D399" i="19"/>
  <c r="D424" i="19"/>
  <c r="D450" i="19"/>
  <c r="E445" i="19"/>
  <c r="D417" i="19"/>
  <c r="D403" i="19"/>
  <c r="E428" i="19"/>
  <c r="D478" i="19"/>
  <c r="D574" i="19" s="1"/>
  <c r="E426" i="19"/>
  <c r="E433" i="19"/>
  <c r="E411" i="19"/>
  <c r="E436" i="19"/>
  <c r="E393" i="19"/>
  <c r="D395" i="19"/>
  <c r="E470" i="19"/>
  <c r="D407" i="19"/>
  <c r="D432" i="19"/>
  <c r="D451" i="19"/>
  <c r="D398" i="19"/>
  <c r="D415" i="19"/>
  <c r="E440" i="19"/>
  <c r="E403" i="19"/>
  <c r="D428" i="19"/>
  <c r="D461" i="19"/>
  <c r="E478" i="19"/>
  <c r="D433" i="19"/>
  <c r="D419" i="19"/>
  <c r="E477" i="19"/>
  <c r="D408" i="19"/>
  <c r="D449" i="19"/>
  <c r="E402" i="19"/>
  <c r="E449" i="19"/>
  <c r="D452" i="19"/>
  <c r="D392" i="19"/>
  <c r="D458" i="19"/>
  <c r="D411" i="19"/>
  <c r="E469" i="19"/>
  <c r="D445" i="19"/>
  <c r="D443" i="19"/>
  <c r="E466" i="19"/>
  <c r="E407" i="19"/>
  <c r="E432" i="19"/>
  <c r="E473" i="19"/>
  <c r="D459" i="19"/>
  <c r="D418" i="19"/>
  <c r="E423" i="19"/>
  <c r="D448" i="19"/>
  <c r="E417" i="19"/>
  <c r="E467" i="19"/>
  <c r="D431" i="19"/>
  <c r="D456" i="19"/>
  <c r="D444" i="19"/>
  <c r="D402" i="19"/>
  <c r="E408" i="19"/>
  <c r="E435" i="19"/>
  <c r="D460" i="19"/>
  <c r="E424" i="19"/>
  <c r="D465" i="19"/>
  <c r="D435" i="19"/>
  <c r="E460" i="19"/>
  <c r="E399" i="19"/>
  <c r="E468" i="19"/>
  <c r="D427" i="19"/>
  <c r="E458" i="19"/>
  <c r="E416" i="19"/>
  <c r="D455" i="19"/>
  <c r="E418" i="19"/>
  <c r="D423" i="19"/>
  <c r="E422" i="19"/>
  <c r="E465" i="19"/>
  <c r="D442" i="19"/>
  <c r="D413" i="19"/>
  <c r="D447" i="19"/>
  <c r="E472" i="19"/>
  <c r="D410" i="19"/>
  <c r="E451" i="19"/>
  <c r="E398" i="19"/>
  <c r="D476" i="19"/>
  <c r="D572" i="19" s="1"/>
  <c r="E459" i="19"/>
  <c r="D406" i="19"/>
  <c r="E443" i="19"/>
  <c r="D468" i="19"/>
  <c r="D466" i="19"/>
  <c r="D405" i="19"/>
  <c r="E439" i="19"/>
  <c r="D464" i="19"/>
  <c r="D421" i="19"/>
  <c r="E455" i="19"/>
  <c r="D463" i="19"/>
  <c r="E476" i="19"/>
  <c r="E415" i="19"/>
  <c r="D440" i="19"/>
  <c r="D394" i="19"/>
  <c r="D467" i="19"/>
  <c r="E397" i="19"/>
  <c r="E414" i="19"/>
  <c r="E431" i="19"/>
  <c r="D414" i="19"/>
  <c r="E475" i="19"/>
  <c r="E406" i="19"/>
  <c r="E448" i="19"/>
  <c r="D397" i="19"/>
  <c r="E464" i="19"/>
  <c r="D430" i="19"/>
  <c r="E425" i="19"/>
  <c r="D474" i="19"/>
  <c r="E421" i="19"/>
  <c r="E438" i="19"/>
  <c r="D475" i="19"/>
  <c r="D571" i="19" s="1"/>
  <c r="E405" i="19"/>
  <c r="D422" i="19"/>
  <c r="D439" i="19"/>
  <c r="D437" i="19"/>
  <c r="D404" i="19"/>
  <c r="E437" i="19"/>
  <c r="D471" i="19"/>
  <c r="E395" i="19"/>
  <c r="E420" i="19"/>
  <c r="D453" i="19"/>
  <c r="D425" i="19"/>
  <c r="E461" i="19"/>
  <c r="D426" i="19"/>
  <c r="D409" i="19"/>
  <c r="E442" i="19"/>
  <c r="E413" i="19"/>
  <c r="E430" i="19"/>
  <c r="E447" i="19"/>
  <c r="D472" i="19"/>
  <c r="E396" i="19"/>
  <c r="D446" i="19"/>
  <c r="E463" i="19"/>
  <c r="D434" i="19"/>
  <c r="D396" i="19"/>
  <c r="E429" i="19"/>
  <c r="E446" i="19"/>
  <c r="E401" i="19"/>
  <c r="D441" i="19"/>
  <c r="E454" i="19"/>
  <c r="D438" i="19"/>
  <c r="D473" i="19"/>
  <c r="D171" i="31"/>
  <c r="D173" i="31" s="1"/>
  <c r="E171" i="31"/>
  <c r="E173" i="31" s="1"/>
  <c r="D46" i="18"/>
  <c r="E45" i="18"/>
  <c r="D45" i="18"/>
  <c r="D47" i="18"/>
  <c r="E47" i="18"/>
  <c r="E43" i="18"/>
  <c r="D43" i="18"/>
  <c r="E46" i="18"/>
  <c r="D44" i="18"/>
  <c r="E44" i="18"/>
  <c r="G265" i="8"/>
  <c r="F265" i="8"/>
  <c r="E265" i="8"/>
  <c r="D265" i="8"/>
  <c r="E56" i="18" l="1"/>
  <c r="E68" i="18" s="1"/>
  <c r="D56" i="18"/>
  <c r="D68" i="18" s="1"/>
  <c r="D55" i="18"/>
  <c r="D67" i="18" s="1"/>
  <c r="D57" i="18"/>
  <c r="D69" i="18" s="1"/>
  <c r="E55" i="18"/>
  <c r="E67" i="18" s="1"/>
  <c r="E57" i="18"/>
  <c r="E69" i="18" s="1"/>
  <c r="D58" i="18"/>
  <c r="D70" i="18" s="1"/>
  <c r="E58" i="18"/>
  <c r="E70" i="18" s="1"/>
  <c r="E59" i="18"/>
  <c r="E71" i="18" s="1"/>
  <c r="D59" i="18"/>
  <c r="D71" i="18" s="1"/>
  <c r="D228" i="31"/>
  <c r="D230" i="31" s="1"/>
  <c r="E228" i="31"/>
  <c r="E230" i="31" s="1"/>
  <c r="D170" i="31"/>
  <c r="D186" i="31" s="1"/>
  <c r="E170" i="31"/>
  <c r="E186" i="31" s="1"/>
  <c r="G256" i="8"/>
  <c r="F256" i="8"/>
  <c r="E256" i="8"/>
  <c r="D256" i="8"/>
  <c r="G211" i="8"/>
  <c r="F211" i="8"/>
  <c r="E211" i="8"/>
  <c r="D211" i="8"/>
  <c r="G202" i="8"/>
  <c r="F202" i="8"/>
  <c r="E202" i="8"/>
  <c r="D202" i="8"/>
  <c r="G195" i="8"/>
  <c r="F195" i="8"/>
  <c r="E195" i="8"/>
  <c r="D195" i="8"/>
  <c r="G188" i="8"/>
  <c r="F188" i="8"/>
  <c r="E188" i="8"/>
  <c r="D188" i="8"/>
  <c r="G176" i="8"/>
  <c r="F176" i="8"/>
  <c r="E176" i="8"/>
  <c r="D176" i="8"/>
  <c r="G160" i="8"/>
  <c r="F160" i="8"/>
  <c r="E160" i="8"/>
  <c r="D160" i="8"/>
  <c r="G169" i="8"/>
  <c r="F169" i="8"/>
  <c r="E169" i="8"/>
  <c r="D169" i="8"/>
  <c r="G153" i="8"/>
  <c r="F153" i="8"/>
  <c r="E153" i="8"/>
  <c r="D153" i="8"/>
  <c r="G89" i="8"/>
  <c r="F89" i="8"/>
  <c r="E89" i="8"/>
  <c r="D89" i="8"/>
  <c r="G131" i="8"/>
  <c r="F131" i="8"/>
  <c r="D131" i="8"/>
  <c r="G63" i="8"/>
  <c r="F63" i="8"/>
  <c r="E63" i="8"/>
  <c r="D63" i="8"/>
  <c r="G38" i="8"/>
  <c r="F38" i="8"/>
  <c r="E38" i="8"/>
  <c r="D38" i="8"/>
  <c r="D227" i="31" l="1"/>
  <c r="D229" i="31" s="1"/>
  <c r="D245" i="31" s="1"/>
  <c r="E227" i="31"/>
  <c r="E229" i="31" s="1"/>
  <c r="E245" i="31" s="1"/>
  <c r="D79" i="18"/>
  <c r="E79" i="18"/>
  <c r="D81" i="18"/>
  <c r="E82" i="18"/>
  <c r="D82" i="18"/>
  <c r="E80" i="18"/>
  <c r="D80" i="18"/>
  <c r="E81" i="18"/>
  <c r="D172" i="31"/>
  <c r="D188" i="31" s="1"/>
  <c r="E172" i="31"/>
  <c r="E188" i="31" s="1"/>
  <c r="E243" i="31" l="1"/>
  <c r="D243" i="31"/>
  <c r="D487" i="19"/>
  <c r="D506" i="19"/>
  <c r="D539" i="19"/>
  <c r="D514" i="19"/>
  <c r="D555" i="19"/>
  <c r="D565" i="19"/>
  <c r="D530" i="19"/>
  <c r="D560" i="19"/>
  <c r="D542" i="19"/>
  <c r="D544" i="19"/>
  <c r="D488" i="19"/>
  <c r="D550" i="19"/>
  <c r="D541" i="19"/>
  <c r="D564" i="19"/>
  <c r="D513" i="19"/>
  <c r="D567" i="19"/>
  <c r="D502" i="19"/>
  <c r="D538" i="19"/>
  <c r="D529" i="19"/>
  <c r="D510" i="19"/>
  <c r="D519" i="19"/>
  <c r="D548" i="19"/>
  <c r="D553" i="19"/>
  <c r="D495" i="19"/>
  <c r="D543" i="19"/>
  <c r="D566" i="19"/>
  <c r="D537" i="19"/>
  <c r="D507" i="19"/>
  <c r="D532" i="19"/>
  <c r="D494" i="19"/>
  <c r="D525" i="19"/>
  <c r="D563" i="19"/>
  <c r="D558" i="19"/>
  <c r="D490" i="19"/>
  <c r="D585" i="19" s="1"/>
  <c r="D545" i="19"/>
  <c r="D489" i="19"/>
  <c r="D584" i="19" s="1"/>
  <c r="D14" i="21" s="1"/>
  <c r="D116" i="21" s="1"/>
  <c r="D184" i="21" s="1"/>
  <c r="D492" i="19"/>
  <c r="D536" i="19"/>
  <c r="D504" i="19"/>
  <c r="D551" i="19"/>
  <c r="D511" i="19"/>
  <c r="D522" i="19"/>
  <c r="D559" i="19"/>
  <c r="D523" i="19"/>
  <c r="D547" i="19"/>
  <c r="D516" i="19"/>
  <c r="D568" i="19"/>
  <c r="D557" i="19"/>
  <c r="D493" i="19"/>
  <c r="D500" i="19"/>
  <c r="D503" i="19"/>
  <c r="D497" i="19"/>
  <c r="D521" i="19"/>
  <c r="D549" i="19"/>
  <c r="D556" i="19"/>
  <c r="D496" i="19"/>
  <c r="D534" i="19"/>
  <c r="D569" i="19"/>
  <c r="D561" i="19"/>
  <c r="D505" i="19"/>
  <c r="D552" i="19"/>
  <c r="D535" i="19"/>
  <c r="D562" i="19"/>
  <c r="D508" i="19"/>
  <c r="D528" i="19"/>
  <c r="D498" i="19"/>
  <c r="D570" i="19"/>
  <c r="D546" i="19"/>
  <c r="D527" i="19"/>
  <c r="D518" i="19"/>
  <c r="D491" i="19"/>
  <c r="D531" i="19"/>
  <c r="D499" i="19"/>
  <c r="D540" i="19"/>
  <c r="D533" i="19"/>
  <c r="D554" i="19"/>
  <c r="D512" i="19"/>
  <c r="D237" i="31"/>
  <c r="E13" i="20"/>
  <c r="E98" i="18"/>
  <c r="E132" i="18" s="1"/>
  <c r="E93" i="18"/>
  <c r="E127" i="18" s="1"/>
  <c r="E19" i="20"/>
  <c r="E100" i="20" s="1"/>
  <c r="D18" i="20"/>
  <c r="D99" i="18"/>
  <c r="D133" i="18" s="1"/>
  <c r="D17" i="20"/>
  <c r="D92" i="18"/>
  <c r="D126" i="18" s="1"/>
  <c r="D26" i="20"/>
  <c r="E26" i="20"/>
  <c r="E92" i="18"/>
  <c r="E126" i="18" s="1"/>
  <c r="E17" i="20"/>
  <c r="E18" i="20"/>
  <c r="E99" i="18"/>
  <c r="E133" i="18" s="1"/>
  <c r="D93" i="18"/>
  <c r="D127" i="18" s="1"/>
  <c r="D19" i="20"/>
  <c r="D100" i="20" s="1"/>
  <c r="D98" i="18"/>
  <c r="D132" i="18" s="1"/>
  <c r="D25" i="20"/>
  <c r="D91" i="18"/>
  <c r="D125" i="18" s="1"/>
  <c r="D15" i="20"/>
  <c r="D13" i="20"/>
  <c r="D14" i="20"/>
  <c r="D16" i="20"/>
  <c r="D12" i="20"/>
  <c r="E16" i="20"/>
  <c r="E91" i="18"/>
  <c r="E125" i="18" s="1"/>
  <c r="E25" i="20"/>
  <c r="E15" i="20"/>
  <c r="E12" i="20"/>
  <c r="E14" i="20"/>
  <c r="E191" i="8"/>
  <c r="D180" i="31"/>
  <c r="D114" i="31"/>
  <c r="D154" i="20" l="1"/>
  <c r="E154" i="20"/>
  <c r="E572" i="19"/>
  <c r="E574" i="19"/>
  <c r="E575" i="19"/>
  <c r="E573" i="19"/>
  <c r="E571" i="19"/>
  <c r="E487" i="19"/>
  <c r="E497" i="19"/>
  <c r="E538" i="19"/>
  <c r="E494" i="19"/>
  <c r="E504" i="19"/>
  <c r="E489" i="19"/>
  <c r="E584" i="19" s="1"/>
  <c r="E602" i="19" s="1"/>
  <c r="E636" i="19" s="1"/>
  <c r="E528" i="19"/>
  <c r="E513" i="19"/>
  <c r="E532" i="19"/>
  <c r="E540" i="19"/>
  <c r="E551" i="19"/>
  <c r="E541" i="19"/>
  <c r="E560" i="19"/>
  <c r="E561" i="19"/>
  <c r="E534" i="19"/>
  <c r="E502" i="19"/>
  <c r="E543" i="19"/>
  <c r="E508" i="19"/>
  <c r="E547" i="19"/>
  <c r="E565" i="19"/>
  <c r="E537" i="19"/>
  <c r="E527" i="19"/>
  <c r="E503" i="19"/>
  <c r="E562" i="19"/>
  <c r="E553" i="19"/>
  <c r="E542" i="19"/>
  <c r="E550" i="19"/>
  <c r="E569" i="19"/>
  <c r="E506" i="19"/>
  <c r="E544" i="19"/>
  <c r="E492" i="19"/>
  <c r="E525" i="19"/>
  <c r="E514" i="19"/>
  <c r="E548" i="19"/>
  <c r="E568" i="19"/>
  <c r="E523" i="19"/>
  <c r="E570" i="19"/>
  <c r="E499" i="19"/>
  <c r="E559" i="19"/>
  <c r="E498" i="19"/>
  <c r="E552" i="19"/>
  <c r="E493" i="19"/>
  <c r="E495" i="19"/>
  <c r="E500" i="19"/>
  <c r="E518" i="19"/>
  <c r="E545" i="19"/>
  <c r="E505" i="19"/>
  <c r="E564" i="19"/>
  <c r="E496" i="19"/>
  <c r="E554" i="19"/>
  <c r="E566" i="19"/>
  <c r="E522" i="19"/>
  <c r="E516" i="19"/>
  <c r="E530" i="19"/>
  <c r="E557" i="19"/>
  <c r="E556" i="19"/>
  <c r="E558" i="19"/>
  <c r="E533" i="19"/>
  <c r="E536" i="19"/>
  <c r="E519" i="19"/>
  <c r="E529" i="19"/>
  <c r="E555" i="19"/>
  <c r="E549" i="19"/>
  <c r="E531" i="19"/>
  <c r="E491" i="19"/>
  <c r="E511" i="19"/>
  <c r="E546" i="19"/>
  <c r="E535" i="19"/>
  <c r="E512" i="19"/>
  <c r="E510" i="19"/>
  <c r="E507" i="19"/>
  <c r="E490" i="19"/>
  <c r="E585" i="19" s="1"/>
  <c r="E521" i="19"/>
  <c r="E488" i="19"/>
  <c r="E539" i="19"/>
  <c r="E563" i="19"/>
  <c r="E567" i="19"/>
  <c r="D15" i="21"/>
  <c r="D117" i="21" s="1"/>
  <c r="D185" i="21" s="1"/>
  <c r="D32" i="21"/>
  <c r="D134" i="21" s="1"/>
  <c r="D202" i="21" s="1"/>
  <c r="D12" i="21"/>
  <c r="D114" i="21" s="1"/>
  <c r="D13" i="21"/>
  <c r="D115" i="21" s="1"/>
  <c r="D183" i="21" s="1"/>
  <c r="D602" i="19"/>
  <c r="D636" i="19" s="1"/>
  <c r="D31" i="21"/>
  <c r="D133" i="21" s="1"/>
  <c r="D201" i="21" s="1"/>
  <c r="D595" i="19"/>
  <c r="D629" i="19" s="1"/>
  <c r="D16" i="21"/>
  <c r="D118" i="21" s="1"/>
  <c r="D186" i="21" s="1"/>
  <c r="E237" i="31"/>
  <c r="D583" i="19"/>
  <c r="D29" i="21" s="1"/>
  <c r="D131" i="21" s="1"/>
  <c r="D199" i="21" s="1"/>
  <c r="D586" i="19"/>
  <c r="D123" i="31"/>
  <c r="D121" i="31"/>
  <c r="D187" i="31"/>
  <c r="D190" i="31" s="1"/>
  <c r="D189" i="31"/>
  <c r="D191" i="31" s="1"/>
  <c r="F191" i="8"/>
  <c r="E180" i="31"/>
  <c r="E114" i="31"/>
  <c r="D17" i="21"/>
  <c r="D119" i="21" s="1"/>
  <c r="D33" i="21"/>
  <c r="D135" i="21" s="1"/>
  <c r="D203" i="21" s="1"/>
  <c r="D596" i="19"/>
  <c r="D630" i="19" s="1"/>
  <c r="D18" i="21"/>
  <c r="D120" i="21" s="1"/>
  <c r="D188" i="21" s="1"/>
  <c r="D603" i="19"/>
  <c r="D637" i="19" s="1"/>
  <c r="E24" i="20"/>
  <c r="E105" i="20" s="1"/>
  <c r="E11" i="20"/>
  <c r="E92" i="20" s="1"/>
  <c r="E9" i="20"/>
  <c r="E90" i="20" s="1"/>
  <c r="E7" i="20"/>
  <c r="E88" i="20" s="1"/>
  <c r="E23" i="20"/>
  <c r="E104" i="20" s="1"/>
  <c r="E10" i="20"/>
  <c r="E91" i="20" s="1"/>
  <c r="E8" i="20"/>
  <c r="E89" i="20" s="1"/>
  <c r="D24" i="20"/>
  <c r="D105" i="20" s="1"/>
  <c r="D11" i="20"/>
  <c r="D92" i="20" s="1"/>
  <c r="D9" i="20"/>
  <c r="D90" i="20" s="1"/>
  <c r="D7" i="20"/>
  <c r="D88" i="20" s="1"/>
  <c r="D23" i="20"/>
  <c r="D104" i="20" s="1"/>
  <c r="D10" i="20"/>
  <c r="D91" i="20" s="1"/>
  <c r="D8" i="20"/>
  <c r="D89" i="20" s="1"/>
  <c r="D97" i="18"/>
  <c r="D90" i="18"/>
  <c r="D99" i="20"/>
  <c r="E107" i="20"/>
  <c r="E98" i="20"/>
  <c r="D107" i="20"/>
  <c r="D98" i="20"/>
  <c r="E99" i="20"/>
  <c r="D106" i="20"/>
  <c r="D97" i="20"/>
  <c r="D95" i="20"/>
  <c r="D93" i="20"/>
  <c r="E96" i="20"/>
  <c r="E94" i="20"/>
  <c r="D96" i="20"/>
  <c r="D94" i="20"/>
  <c r="E106" i="20"/>
  <c r="E97" i="20"/>
  <c r="E95" i="20"/>
  <c r="E93" i="20"/>
  <c r="E90" i="18"/>
  <c r="E97" i="18"/>
  <c r="D182" i="21" l="1"/>
  <c r="D187" i="21"/>
  <c r="E32" i="21"/>
  <c r="E134" i="21" s="1"/>
  <c r="E202" i="21" s="1"/>
  <c r="E16" i="21"/>
  <c r="E118" i="21" s="1"/>
  <c r="E186" i="21" s="1"/>
  <c r="E31" i="21"/>
  <c r="E133" i="21" s="1"/>
  <c r="E201" i="21" s="1"/>
  <c r="E12" i="21"/>
  <c r="E114" i="21" s="1"/>
  <c r="E595" i="19"/>
  <c r="E629" i="19" s="1"/>
  <c r="E14" i="21"/>
  <c r="E116" i="21" s="1"/>
  <c r="E184" i="21" s="1"/>
  <c r="E15" i="21"/>
  <c r="E117" i="21" s="1"/>
  <c r="E185" i="21" s="1"/>
  <c r="F237" i="31"/>
  <c r="E13" i="21"/>
  <c r="E115" i="21" s="1"/>
  <c r="E183" i="21" s="1"/>
  <c r="D124" i="31"/>
  <c r="D125" i="31"/>
  <c r="D246" i="31"/>
  <c r="E586" i="19"/>
  <c r="E583" i="19"/>
  <c r="E8" i="21" s="1"/>
  <c r="E110" i="21" s="1"/>
  <c r="D7" i="21"/>
  <c r="D109" i="21" s="1"/>
  <c r="D9" i="21"/>
  <c r="D111" i="21" s="1"/>
  <c r="D179" i="21" s="1"/>
  <c r="D30" i="21"/>
  <c r="D132" i="21" s="1"/>
  <c r="D200" i="21" s="1"/>
  <c r="D594" i="19"/>
  <c r="D628" i="19" s="1"/>
  <c r="D601" i="19"/>
  <c r="D635" i="19" s="1"/>
  <c r="D8" i="21"/>
  <c r="D110" i="21" s="1"/>
  <c r="D178" i="21" s="1"/>
  <c r="D11" i="21"/>
  <c r="D113" i="21" s="1"/>
  <c r="D181" i="21" s="1"/>
  <c r="D10" i="21"/>
  <c r="D112" i="21" s="1"/>
  <c r="D180" i="21" s="1"/>
  <c r="F180" i="31"/>
  <c r="F114" i="31"/>
  <c r="E596" i="19"/>
  <c r="E630" i="19" s="1"/>
  <c r="E17" i="21"/>
  <c r="E119" i="21" s="1"/>
  <c r="E603" i="19"/>
  <c r="E637" i="19" s="1"/>
  <c r="E18" i="21"/>
  <c r="E120" i="21" s="1"/>
  <c r="E33" i="21"/>
  <c r="E135" i="21" s="1"/>
  <c r="E187" i="31"/>
  <c r="E190" i="31" s="1"/>
  <c r="E189" i="31"/>
  <c r="E191" i="31" s="1"/>
  <c r="D597" i="19"/>
  <c r="D631" i="19" s="1"/>
  <c r="D24" i="21"/>
  <c r="D126" i="21" s="1"/>
  <c r="D22" i="21"/>
  <c r="D124" i="21" s="1"/>
  <c r="D19" i="21"/>
  <c r="D121" i="21" s="1"/>
  <c r="D20" i="21"/>
  <c r="D122" i="21" s="1"/>
  <c r="D25" i="21"/>
  <c r="D127" i="21" s="1"/>
  <c r="D23" i="21"/>
  <c r="D125" i="21" s="1"/>
  <c r="D21" i="21"/>
  <c r="D123" i="21" s="1"/>
  <c r="E123" i="31"/>
  <c r="E121" i="31"/>
  <c r="D131" i="18"/>
  <c r="E131" i="18"/>
  <c r="D124" i="18"/>
  <c r="E124" i="18"/>
  <c r="E151" i="20"/>
  <c r="D159" i="20"/>
  <c r="E160" i="20"/>
  <c r="D152" i="20"/>
  <c r="D153" i="20"/>
  <c r="E142" i="20"/>
  <c r="D148" i="20"/>
  <c r="D147" i="20"/>
  <c r="D161" i="20"/>
  <c r="E144" i="20"/>
  <c r="D146" i="20"/>
  <c r="D150" i="20"/>
  <c r="D149" i="20"/>
  <c r="E152" i="20"/>
  <c r="E146" i="20"/>
  <c r="E149" i="20"/>
  <c r="D158" i="20"/>
  <c r="E148" i="20"/>
  <c r="D151" i="20"/>
  <c r="E161" i="20"/>
  <c r="E143" i="20"/>
  <c r="E159" i="20"/>
  <c r="E150" i="20"/>
  <c r="D160" i="20"/>
  <c r="E145" i="20"/>
  <c r="D142" i="20"/>
  <c r="D143" i="20"/>
  <c r="E147" i="20"/>
  <c r="E153" i="20"/>
  <c r="E158" i="20"/>
  <c r="D144" i="20"/>
  <c r="D145" i="20"/>
  <c r="D162" i="20" l="1"/>
  <c r="D170" i="20" s="1"/>
  <c r="D177" i="21"/>
  <c r="E182" i="21"/>
  <c r="G237" i="31"/>
  <c r="D248" i="31"/>
  <c r="E124" i="31"/>
  <c r="E125" i="31"/>
  <c r="D244" i="31"/>
  <c r="D665" i="19"/>
  <c r="D699" i="19" s="1"/>
  <c r="E10" i="21"/>
  <c r="E112" i="21" s="1"/>
  <c r="E180" i="21" s="1"/>
  <c r="E9" i="21"/>
  <c r="E111" i="21" s="1"/>
  <c r="E179" i="21" s="1"/>
  <c r="E11" i="21"/>
  <c r="E113" i="21" s="1"/>
  <c r="E181" i="21" s="1"/>
  <c r="E601" i="19"/>
  <c r="E635" i="19" s="1"/>
  <c r="E7" i="21"/>
  <c r="E109" i="21" s="1"/>
  <c r="E594" i="19"/>
  <c r="E628" i="19" s="1"/>
  <c r="E30" i="21"/>
  <c r="E132" i="21" s="1"/>
  <c r="E200" i="21" s="1"/>
  <c r="E29" i="21"/>
  <c r="E131" i="21" s="1"/>
  <c r="E199" i="21" s="1"/>
  <c r="D664" i="19"/>
  <c r="D698" i="19" s="1"/>
  <c r="D662" i="19"/>
  <c r="D696" i="19" s="1"/>
  <c r="D195" i="21"/>
  <c r="E203" i="21"/>
  <c r="D190" i="21"/>
  <c r="E188" i="21"/>
  <c r="D193" i="21"/>
  <c r="D189" i="21"/>
  <c r="D159" i="18"/>
  <c r="D176" i="18" s="1"/>
  <c r="D192" i="21"/>
  <c r="E187" i="21"/>
  <c r="D194" i="21"/>
  <c r="E178" i="21"/>
  <c r="D671" i="19"/>
  <c r="D705" i="19" s="1"/>
  <c r="E19" i="21"/>
  <c r="E121" i="21" s="1"/>
  <c r="E597" i="19"/>
  <c r="E631" i="19" s="1"/>
  <c r="E24" i="21"/>
  <c r="E126" i="21" s="1"/>
  <c r="E21" i="21"/>
  <c r="E123" i="21" s="1"/>
  <c r="E22" i="21"/>
  <c r="E124" i="21" s="1"/>
  <c r="E20" i="21"/>
  <c r="E122" i="21" s="1"/>
  <c r="E25" i="21"/>
  <c r="E127" i="21" s="1"/>
  <c r="E23" i="21"/>
  <c r="E125" i="21" s="1"/>
  <c r="D670" i="19"/>
  <c r="D704" i="19" s="1"/>
  <c r="G180" i="31"/>
  <c r="G114" i="31"/>
  <c r="D191" i="21"/>
  <c r="D663" i="19"/>
  <c r="D697" i="19" s="1"/>
  <c r="D669" i="19"/>
  <c r="D703" i="19" s="1"/>
  <c r="E166" i="18"/>
  <c r="E183" i="18" s="1"/>
  <c r="D161" i="18"/>
  <c r="D178" i="18" s="1"/>
  <c r="D165" i="18"/>
  <c r="D182" i="18" s="1"/>
  <c r="D160" i="18"/>
  <c r="D177" i="18" s="1"/>
  <c r="E161" i="18"/>
  <c r="E178" i="18" s="1"/>
  <c r="D166" i="18"/>
  <c r="D183" i="18" s="1"/>
  <c r="D158" i="18"/>
  <c r="D175" i="18" s="1"/>
  <c r="D167" i="18"/>
  <c r="D184" i="18" s="1"/>
  <c r="E158" i="18"/>
  <c r="E175" i="18" s="1"/>
  <c r="E160" i="18"/>
  <c r="E177" i="18" s="1"/>
  <c r="E167" i="18"/>
  <c r="E184" i="18" s="1"/>
  <c r="E159" i="18"/>
  <c r="E176" i="18" s="1"/>
  <c r="E165" i="18"/>
  <c r="E182" i="18" s="1"/>
  <c r="E162" i="20"/>
  <c r="E177" i="21" l="1"/>
  <c r="D247" i="31"/>
  <c r="D231" i="31"/>
  <c r="E244" i="31"/>
  <c r="E665" i="19"/>
  <c r="E699" i="19" s="1"/>
  <c r="D706" i="19"/>
  <c r="D707" i="19" s="1"/>
  <c r="E189" i="21"/>
  <c r="E662" i="19"/>
  <c r="E696" i="19" s="1"/>
  <c r="E193" i="21"/>
  <c r="E669" i="19"/>
  <c r="E703" i="19" s="1"/>
  <c r="D204" i="21"/>
  <c r="E670" i="19"/>
  <c r="E704" i="19" s="1"/>
  <c r="E195" i="21"/>
  <c r="E190" i="21"/>
  <c r="E664" i="19"/>
  <c r="E698" i="19" s="1"/>
  <c r="E192" i="21"/>
  <c r="E191" i="21"/>
  <c r="E671" i="19"/>
  <c r="E705" i="19" s="1"/>
  <c r="E194" i="21"/>
  <c r="E663" i="19"/>
  <c r="E697" i="19" s="1"/>
  <c r="D185" i="18"/>
  <c r="D186" i="18" s="1"/>
  <c r="E185" i="18"/>
  <c r="E186" i="18" s="1"/>
  <c r="E188" i="20"/>
  <c r="E215" i="20" s="1"/>
  <c r="E177" i="20"/>
  <c r="E204" i="20" s="1"/>
  <c r="E180" i="20"/>
  <c r="E8" i="38" s="1"/>
  <c r="E175" i="20"/>
  <c r="E7" i="38" s="1"/>
  <c r="E189" i="20"/>
  <c r="E216" i="20" s="1"/>
  <c r="E178" i="20"/>
  <c r="E205" i="20" s="1"/>
  <c r="E182" i="20"/>
  <c r="E9" i="38" s="1"/>
  <c r="E181" i="20"/>
  <c r="E208" i="20" s="1"/>
  <c r="E176" i="20"/>
  <c r="E203" i="20" s="1"/>
  <c r="E179" i="20"/>
  <c r="E206" i="20" s="1"/>
  <c r="E171" i="20"/>
  <c r="E198" i="20" s="1"/>
  <c r="E173" i="20"/>
  <c r="E200" i="20" s="1"/>
  <c r="E187" i="20"/>
  <c r="E214" i="20" s="1"/>
  <c r="E186" i="20"/>
  <c r="E213" i="20" s="1"/>
  <c r="E172" i="20"/>
  <c r="E199" i="20" s="1"/>
  <c r="E174" i="20"/>
  <c r="E201" i="20" s="1"/>
  <c r="E170" i="20"/>
  <c r="E6" i="38" s="1"/>
  <c r="D182" i="20"/>
  <c r="D188" i="20"/>
  <c r="D215" i="20" s="1"/>
  <c r="D177" i="20"/>
  <c r="D180" i="20"/>
  <c r="D175" i="20"/>
  <c r="D189" i="20"/>
  <c r="D216" i="20" s="1"/>
  <c r="D178" i="20"/>
  <c r="D181" i="20"/>
  <c r="D179" i="20"/>
  <c r="D176" i="20"/>
  <c r="D172" i="20"/>
  <c r="D171" i="20"/>
  <c r="D174" i="20"/>
  <c r="D186" i="20"/>
  <c r="D213" i="20" s="1"/>
  <c r="D187" i="20"/>
  <c r="D214" i="20" s="1"/>
  <c r="D173" i="20"/>
  <c r="D208" i="20" l="1"/>
  <c r="G16" i="55"/>
  <c r="D205" i="20"/>
  <c r="G13" i="55"/>
  <c r="D200" i="20"/>
  <c r="G8" i="55"/>
  <c r="D7" i="38"/>
  <c r="G10" i="55"/>
  <c r="D204" i="20"/>
  <c r="G12" i="55"/>
  <c r="D201" i="20"/>
  <c r="G9" i="55"/>
  <c r="D198" i="20"/>
  <c r="G6" i="55"/>
  <c r="D9" i="38"/>
  <c r="G17" i="55"/>
  <c r="D199" i="20"/>
  <c r="G7" i="55"/>
  <c r="D6" i="38"/>
  <c r="G5" i="55"/>
  <c r="D203" i="20"/>
  <c r="G11" i="55"/>
  <c r="D8" i="38"/>
  <c r="G15" i="55"/>
  <c r="D206" i="20"/>
  <c r="G14" i="55"/>
  <c r="E246" i="31"/>
  <c r="E248" i="31" s="1"/>
  <c r="E247" i="31"/>
  <c r="E231" i="31"/>
  <c r="E204" i="21"/>
  <c r="E236" i="21" s="1"/>
  <c r="E304" i="21" s="1"/>
  <c r="D238" i="21"/>
  <c r="D306" i="21" s="1"/>
  <c r="D216" i="21"/>
  <c r="D212" i="21"/>
  <c r="G18" i="55" s="1"/>
  <c r="D221" i="21"/>
  <c r="D223" i="21"/>
  <c r="D235" i="21"/>
  <c r="D303" i="21" s="1"/>
  <c r="D236" i="21"/>
  <c r="D304" i="21" s="1"/>
  <c r="D218" i="21"/>
  <c r="D214" i="21"/>
  <c r="D219" i="21"/>
  <c r="D220" i="21"/>
  <c r="D217" i="21"/>
  <c r="G23" i="55" s="1"/>
  <c r="D215" i="21"/>
  <c r="D234" i="21"/>
  <c r="D302" i="21" s="1"/>
  <c r="D237" i="21"/>
  <c r="D305" i="21" s="1"/>
  <c r="D213" i="21"/>
  <c r="D222" i="21"/>
  <c r="G28" i="55" s="1"/>
  <c r="D226" i="21"/>
  <c r="D230" i="21"/>
  <c r="D229" i="21"/>
  <c r="D228" i="21"/>
  <c r="D225" i="21"/>
  <c r="D224" i="21"/>
  <c r="G30" i="55" s="1"/>
  <c r="D227" i="21"/>
  <c r="E706" i="19"/>
  <c r="E707" i="19" s="1"/>
  <c r="D7" i="31"/>
  <c r="E7" i="31"/>
  <c r="E209" i="20"/>
  <c r="D207" i="20"/>
  <c r="E197" i="20"/>
  <c r="D197" i="20"/>
  <c r="E207" i="20"/>
  <c r="D209" i="20"/>
  <c r="D202" i="20"/>
  <c r="E202" i="20"/>
  <c r="S62" i="55" l="1"/>
  <c r="S52" i="55"/>
  <c r="S57" i="55"/>
  <c r="S64" i="55"/>
  <c r="S44" i="55"/>
  <c r="S45" i="55"/>
  <c r="S41" i="55"/>
  <c r="S42" i="55"/>
  <c r="S43" i="55"/>
  <c r="S51" i="55"/>
  <c r="S47" i="55"/>
  <c r="S46" i="55"/>
  <c r="S48" i="55"/>
  <c r="S40" i="55"/>
  <c r="S50" i="55"/>
  <c r="S49" i="55"/>
  <c r="S39" i="55"/>
  <c r="D294" i="21"/>
  <c r="G32" i="55"/>
  <c r="D284" i="21"/>
  <c r="G22" i="55"/>
  <c r="D281" i="21"/>
  <c r="G19" i="55"/>
  <c r="D289" i="21"/>
  <c r="G27" i="55"/>
  <c r="D283" i="21"/>
  <c r="G21" i="55"/>
  <c r="D291" i="21"/>
  <c r="G29" i="55"/>
  <c r="D288" i="21"/>
  <c r="G26" i="55"/>
  <c r="D293" i="21"/>
  <c r="G31" i="55"/>
  <c r="D287" i="21"/>
  <c r="G25" i="55"/>
  <c r="D296" i="21"/>
  <c r="G34" i="55"/>
  <c r="D282" i="21"/>
  <c r="G20" i="55"/>
  <c r="D295" i="21"/>
  <c r="G33" i="55"/>
  <c r="D297" i="21"/>
  <c r="G35" i="55"/>
  <c r="D286" i="21"/>
  <c r="G24" i="55"/>
  <c r="D298" i="21"/>
  <c r="G36" i="55"/>
  <c r="D13" i="38"/>
  <c r="D292" i="21"/>
  <c r="D11" i="38"/>
  <c r="D285" i="21"/>
  <c r="D10" i="38"/>
  <c r="D280" i="21"/>
  <c r="D12" i="38"/>
  <c r="D290" i="21"/>
  <c r="E238" i="21"/>
  <c r="E306" i="21" s="1"/>
  <c r="E215" i="21"/>
  <c r="E283" i="21" s="1"/>
  <c r="E216" i="21"/>
  <c r="E284" i="21" s="1"/>
  <c r="E234" i="21"/>
  <c r="E302" i="21" s="1"/>
  <c r="E235" i="21"/>
  <c r="E303" i="21" s="1"/>
  <c r="E219" i="21"/>
  <c r="E287" i="21" s="1"/>
  <c r="E229" i="21"/>
  <c r="E297" i="21" s="1"/>
  <c r="E224" i="21"/>
  <c r="E292" i="21" s="1"/>
  <c r="E220" i="21"/>
  <c r="E288" i="21" s="1"/>
  <c r="E225" i="21"/>
  <c r="E293" i="21" s="1"/>
  <c r="E214" i="21"/>
  <c r="E282" i="21" s="1"/>
  <c r="E237" i="21"/>
  <c r="E305" i="21" s="1"/>
  <c r="E222" i="21"/>
  <c r="E290" i="21" s="1"/>
  <c r="E230" i="21"/>
  <c r="E298" i="21" s="1"/>
  <c r="E223" i="21"/>
  <c r="E291" i="21" s="1"/>
  <c r="E218" i="21"/>
  <c r="E286" i="21" s="1"/>
  <c r="E228" i="21"/>
  <c r="E296" i="21" s="1"/>
  <c r="E217" i="21"/>
  <c r="E285" i="21" s="1"/>
  <c r="E227" i="21"/>
  <c r="E295" i="21" s="1"/>
  <c r="E213" i="21"/>
  <c r="E281" i="21" s="1"/>
  <c r="E221" i="21"/>
  <c r="E289" i="21" s="1"/>
  <c r="E226" i="21"/>
  <c r="E294" i="21" s="1"/>
  <c r="E212" i="21"/>
  <c r="E280" i="21" s="1"/>
  <c r="E217" i="20"/>
  <c r="E9" i="31" s="1"/>
  <c r="D217" i="20"/>
  <c r="D9" i="31" s="1"/>
  <c r="G18" i="8"/>
  <c r="D18" i="8"/>
  <c r="F18" i="8"/>
  <c r="E18" i="8"/>
  <c r="S69" i="55" l="1"/>
  <c r="S60" i="55"/>
  <c r="S66" i="55"/>
  <c r="S67" i="55"/>
  <c r="S63" i="55"/>
  <c r="S68" i="55"/>
  <c r="S61" i="55"/>
  <c r="S70" i="55"/>
  <c r="S59" i="55"/>
  <c r="S53" i="55"/>
  <c r="S55" i="55"/>
  <c r="S54" i="55"/>
  <c r="S58" i="55"/>
  <c r="S65" i="55"/>
  <c r="S56" i="55"/>
  <c r="E10" i="38"/>
  <c r="E13" i="38"/>
  <c r="E12" i="38"/>
  <c r="E11" i="38"/>
  <c r="D8" i="31"/>
  <c r="D307" i="21"/>
  <c r="D308" i="21" s="1"/>
  <c r="E218" i="20"/>
  <c r="D218" i="20"/>
  <c r="D11" i="31" l="1"/>
  <c r="D256" i="31" s="1"/>
  <c r="E8" i="31"/>
  <c r="E307" i="21"/>
  <c r="E308" i="21" s="1"/>
  <c r="D10" i="31"/>
  <c r="D12" i="31" s="1"/>
  <c r="D257" i="31" l="1"/>
  <c r="F10" i="52"/>
  <c r="F11" i="52" s="1"/>
  <c r="C9" i="54" s="1"/>
  <c r="D9" i="54" s="1"/>
  <c r="D199" i="31"/>
  <c r="D67" i="31"/>
  <c r="D133" i="31"/>
  <c r="D35" i="31"/>
  <c r="D265" i="31"/>
  <c r="E11" i="31"/>
  <c r="E256" i="31" s="1"/>
  <c r="D13" i="31"/>
  <c r="E10" i="31"/>
  <c r="E12" i="31" s="1"/>
  <c r="D36" i="31"/>
  <c r="D134" i="31"/>
  <c r="D142" i="31" s="1"/>
  <c r="D200" i="31"/>
  <c r="D68" i="31"/>
  <c r="D76" i="31" l="1"/>
  <c r="D208" i="31"/>
  <c r="D44" i="31"/>
  <c r="E67" i="31"/>
  <c r="E133" i="31"/>
  <c r="E35" i="31"/>
  <c r="E199" i="31"/>
  <c r="E13" i="31"/>
  <c r="E36" i="31"/>
  <c r="E257" i="31"/>
  <c r="E265" i="31" s="1"/>
  <c r="E68" i="31"/>
  <c r="E200" i="31"/>
  <c r="E134" i="31"/>
  <c r="E142" i="31" l="1"/>
  <c r="E76" i="31"/>
  <c r="E44" i="31"/>
  <c r="E208" i="31"/>
  <c r="F397" i="8" l="1"/>
  <c r="F9" i="30"/>
  <c r="F148" i="21"/>
  <c r="F646" i="19"/>
  <c r="F400" i="8"/>
  <c r="F151" i="21"/>
  <c r="F399" i="8"/>
  <c r="F150" i="21"/>
  <c r="F398" i="8"/>
  <c r="F149" i="21"/>
  <c r="F401" i="8"/>
  <c r="F152" i="21"/>
  <c r="G400" i="8" l="1"/>
  <c r="G151" i="21"/>
  <c r="G401" i="8"/>
  <c r="G152" i="21"/>
  <c r="G399" i="8"/>
  <c r="G150" i="21"/>
  <c r="G397" i="8"/>
  <c r="G9" i="30"/>
  <c r="G148" i="21"/>
  <c r="G646" i="19"/>
  <c r="G398" i="8"/>
  <c r="G149" i="21"/>
  <c r="F21" i="14"/>
  <c r="F9" i="19" s="1"/>
  <c r="G21" i="14" l="1"/>
  <c r="G9" i="19" s="1"/>
  <c r="G201" i="19" s="1"/>
  <c r="F201" i="19"/>
  <c r="F365" i="8"/>
  <c r="F119" i="20"/>
  <c r="G365" i="8" l="1"/>
  <c r="G119" i="20"/>
  <c r="F361" i="8" l="1"/>
  <c r="F7" i="29"/>
  <c r="F8" i="29"/>
  <c r="F115" i="20"/>
  <c r="F141" i="18"/>
  <c r="F363" i="8"/>
  <c r="F117" i="20"/>
  <c r="F364" i="8"/>
  <c r="F118" i="20"/>
  <c r="F362" i="8"/>
  <c r="F116" i="20"/>
  <c r="G363" i="8" l="1"/>
  <c r="G117" i="20"/>
  <c r="G362" i="8"/>
  <c r="G116" i="20"/>
  <c r="F8" i="14"/>
  <c r="F8" i="18" s="1"/>
  <c r="F32" i="18" s="1"/>
  <c r="F7" i="14"/>
  <c r="G364" i="8"/>
  <c r="G118" i="20"/>
  <c r="G361" i="8"/>
  <c r="G8" i="29"/>
  <c r="G7" i="29"/>
  <c r="G115" i="20"/>
  <c r="G141" i="18"/>
  <c r="F7" i="18" l="1"/>
  <c r="F31" i="18" s="1"/>
  <c r="G8" i="14"/>
  <c r="G8" i="18" s="1"/>
  <c r="G32" i="18" s="1"/>
  <c r="G7" i="14"/>
  <c r="G7" i="18" l="1"/>
  <c r="G31" i="18" s="1"/>
  <c r="F395" i="8" l="1"/>
  <c r="F146" i="21"/>
  <c r="F392" i="8"/>
  <c r="F7" i="30"/>
  <c r="F8" i="30"/>
  <c r="F143" i="21"/>
  <c r="F645" i="19"/>
  <c r="F393" i="8"/>
  <c r="F144" i="21"/>
  <c r="F394" i="8"/>
  <c r="F145" i="21"/>
  <c r="F396" i="8"/>
  <c r="F147" i="21"/>
  <c r="G392" i="8" l="1"/>
  <c r="G8" i="30"/>
  <c r="G7" i="30"/>
  <c r="G143" i="21"/>
  <c r="G645" i="19"/>
  <c r="F20" i="14"/>
  <c r="F8" i="19" s="1"/>
  <c r="F19" i="14"/>
  <c r="F7" i="19" s="1"/>
  <c r="G393" i="8"/>
  <c r="G144" i="21"/>
  <c r="F218" i="31"/>
  <c r="F219" i="31"/>
  <c r="F23" i="31"/>
  <c r="F87" i="31" s="1"/>
  <c r="F22" i="31"/>
  <c r="G396" i="8"/>
  <c r="G147" i="21"/>
  <c r="G146" i="21"/>
  <c r="G394" i="8"/>
  <c r="G145" i="21"/>
  <c r="F26" i="31" l="1"/>
  <c r="F86" i="31"/>
  <c r="F199" i="19"/>
  <c r="F200" i="19"/>
  <c r="G218" i="31"/>
  <c r="G219" i="31"/>
  <c r="G22" i="31"/>
  <c r="G23" i="31"/>
  <c r="G87" i="31" s="1"/>
  <c r="G20" i="14"/>
  <c r="G8" i="19" s="1"/>
  <c r="G19" i="14"/>
  <c r="G7" i="19" s="1"/>
  <c r="F55" i="31" l="1"/>
  <c r="F153" i="31" s="1"/>
  <c r="F54" i="31"/>
  <c r="G26" i="31"/>
  <c r="G86" i="31"/>
  <c r="F403" i="8"/>
  <c r="F154" i="21"/>
  <c r="G199" i="19"/>
  <c r="G200" i="19"/>
  <c r="G403" i="8" l="1"/>
  <c r="G154" i="21"/>
  <c r="G55" i="31"/>
  <c r="G153" i="31" s="1"/>
  <c r="G54" i="31"/>
  <c r="F58" i="31"/>
  <c r="F152" i="31"/>
  <c r="G152" i="31" l="1"/>
  <c r="G58" i="31"/>
  <c r="F372" i="8" l="1"/>
  <c r="F126" i="20"/>
  <c r="F10" i="29"/>
  <c r="F371" i="8"/>
  <c r="F125" i="20"/>
  <c r="F143" i="18"/>
  <c r="F10" i="14" l="1"/>
  <c r="F10" i="18" s="1"/>
  <c r="F34" i="18" s="1"/>
  <c r="G371" i="8"/>
  <c r="G10" i="29"/>
  <c r="G143" i="18"/>
  <c r="G125" i="20"/>
  <c r="G372" i="8"/>
  <c r="G126" i="20"/>
  <c r="F10" i="30" l="1"/>
  <c r="F402" i="8"/>
  <c r="F22" i="14" s="1"/>
  <c r="F10" i="19" s="1"/>
  <c r="F153" i="21"/>
  <c r="F647" i="19"/>
  <c r="G10" i="14"/>
  <c r="G10" i="18" s="1"/>
  <c r="G34" i="18" s="1"/>
  <c r="F202" i="19" l="1"/>
  <c r="G10" i="30"/>
  <c r="G402" i="8"/>
  <c r="G22" i="14" s="1"/>
  <c r="G10" i="19" s="1"/>
  <c r="G153" i="21"/>
  <c r="G647" i="19"/>
  <c r="G202" i="19" l="1"/>
  <c r="F369" i="8" l="1"/>
  <c r="F123" i="20"/>
  <c r="F370" i="8" l="1"/>
  <c r="F124" i="20"/>
  <c r="F368" i="8"/>
  <c r="F122" i="20"/>
  <c r="F367" i="8"/>
  <c r="F121" i="20"/>
  <c r="G369" i="8"/>
  <c r="G123" i="20"/>
  <c r="G368" i="8" l="1"/>
  <c r="G122" i="20"/>
  <c r="F9" i="29"/>
  <c r="F366" i="8"/>
  <c r="F9" i="14" s="1"/>
  <c r="F120" i="20"/>
  <c r="F142" i="18"/>
  <c r="F24" i="31"/>
  <c r="F220" i="31"/>
  <c r="G367" i="8"/>
  <c r="G121" i="20"/>
  <c r="G370" i="8"/>
  <c r="G124" i="20"/>
  <c r="F9" i="18" l="1"/>
  <c r="F33" i="18" s="1"/>
  <c r="G366" i="8"/>
  <c r="G9" i="14" s="1"/>
  <c r="G9" i="29"/>
  <c r="G120" i="20"/>
  <c r="G142" i="18"/>
  <c r="G24" i="31"/>
  <c r="G220" i="31"/>
  <c r="F88" i="31"/>
  <c r="F178" i="30"/>
  <c r="F138" i="30"/>
  <c r="F106" i="30"/>
  <c r="F163" i="30"/>
  <c r="F121" i="30"/>
  <c r="F122" i="30"/>
  <c r="F113" i="30"/>
  <c r="F141" i="30"/>
  <c r="F110" i="30"/>
  <c r="F148" i="30"/>
  <c r="F176" i="30"/>
  <c r="F147" i="30"/>
  <c r="F154" i="30"/>
  <c r="F119" i="30"/>
  <c r="F170" i="30"/>
  <c r="F175" i="30"/>
  <c r="F114" i="30"/>
  <c r="F136" i="30"/>
  <c r="F129" i="30"/>
  <c r="F152" i="30"/>
  <c r="F151" i="30"/>
  <c r="F144" i="30"/>
  <c r="F143" i="30"/>
  <c r="F164" i="30"/>
  <c r="F118" i="30"/>
  <c r="F171" i="30"/>
  <c r="F128" i="30"/>
  <c r="F117" i="30"/>
  <c r="F132" i="30"/>
  <c r="F115" i="30"/>
  <c r="F191" i="30"/>
  <c r="F177" i="30"/>
  <c r="F137" i="30"/>
  <c r="F145" i="30"/>
  <c r="F159" i="30"/>
  <c r="F157" i="30"/>
  <c r="F158" i="30"/>
  <c r="F149" i="30"/>
  <c r="F126" i="30"/>
  <c r="F187" i="30"/>
  <c r="F134" i="30"/>
  <c r="F107" i="30"/>
  <c r="F105" i="30"/>
  <c r="F133" i="30"/>
  <c r="F135" i="30"/>
  <c r="F167" i="30"/>
  <c r="F165" i="30"/>
  <c r="F190" i="30"/>
  <c r="F180" i="30"/>
  <c r="F182" i="30"/>
  <c r="F172" i="30"/>
  <c r="F150" i="30"/>
  <c r="F123" i="30"/>
  <c r="F161" i="30"/>
  <c r="F130" i="30"/>
  <c r="F140" i="30"/>
  <c r="F127" i="30"/>
  <c r="F142" i="30"/>
  <c r="F125" i="30"/>
  <c r="F173" i="30"/>
  <c r="F103" i="30"/>
  <c r="F188" i="30"/>
  <c r="F168" i="30"/>
  <c r="F116" i="30"/>
  <c r="F104" i="30"/>
  <c r="F108" i="30"/>
  <c r="F166" i="30"/>
  <c r="F146" i="30"/>
  <c r="F160" i="30"/>
  <c r="F153" i="30"/>
  <c r="F111" i="30"/>
  <c r="F181" i="30"/>
  <c r="F109" i="30"/>
  <c r="F120" i="30"/>
  <c r="F124" i="30"/>
  <c r="F174" i="30"/>
  <c r="F139" i="30"/>
  <c r="F179" i="30"/>
  <c r="F131" i="30"/>
  <c r="F156" i="30"/>
  <c r="F169" i="30"/>
  <c r="F186" i="30"/>
  <c r="F183" i="30"/>
  <c r="F112" i="30"/>
  <c r="F162" i="30"/>
  <c r="F189" i="30"/>
  <c r="F155" i="30"/>
  <c r="F185" i="30"/>
  <c r="F184" i="30"/>
  <c r="G88" i="31" l="1"/>
  <c r="G105" i="30"/>
  <c r="G166" i="30"/>
  <c r="G150" i="30"/>
  <c r="G148" i="30"/>
  <c r="G175" i="30"/>
  <c r="G122" i="30"/>
  <c r="G188" i="30"/>
  <c r="G160" i="30"/>
  <c r="G103" i="30"/>
  <c r="G144" i="30"/>
  <c r="G154" i="30"/>
  <c r="G174" i="30"/>
  <c r="G165" i="30"/>
  <c r="G126" i="30"/>
  <c r="G110" i="30"/>
  <c r="G161" i="30"/>
  <c r="G191" i="30"/>
  <c r="G131" i="30"/>
  <c r="G128" i="30"/>
  <c r="G156" i="30"/>
  <c r="G181" i="30"/>
  <c r="G171" i="30"/>
  <c r="G149" i="30"/>
  <c r="G145" i="30"/>
  <c r="G182" i="30"/>
  <c r="G190" i="30"/>
  <c r="G143" i="30"/>
  <c r="G177" i="30"/>
  <c r="G180" i="30"/>
  <c r="G113" i="30"/>
  <c r="G176" i="30"/>
  <c r="G178" i="30"/>
  <c r="G162" i="30"/>
  <c r="G142" i="30"/>
  <c r="G152" i="30"/>
  <c r="G158" i="30"/>
  <c r="G179" i="30"/>
  <c r="G125" i="30"/>
  <c r="G107" i="30"/>
  <c r="G109" i="30"/>
  <c r="G168" i="30"/>
  <c r="G164" i="30"/>
  <c r="G133" i="30"/>
  <c r="G115" i="30"/>
  <c r="G141" i="30"/>
  <c r="G130" i="30"/>
  <c r="G106" i="30"/>
  <c r="G104" i="30"/>
  <c r="G132" i="30"/>
  <c r="G159" i="30"/>
  <c r="G116" i="30"/>
  <c r="G117" i="30"/>
  <c r="G136" i="30"/>
  <c r="G119" i="30"/>
  <c r="G123" i="30"/>
  <c r="G173" i="30"/>
  <c r="G129" i="30"/>
  <c r="G140" i="30"/>
  <c r="G135" i="30"/>
  <c r="G120" i="30"/>
  <c r="G137" i="30"/>
  <c r="G187" i="30"/>
  <c r="G157" i="30"/>
  <c r="G138" i="30"/>
  <c r="G147" i="30"/>
  <c r="G153" i="30"/>
  <c r="G127" i="30"/>
  <c r="G134" i="30"/>
  <c r="G155" i="30"/>
  <c r="G183" i="30"/>
  <c r="G139" i="30"/>
  <c r="G172" i="30"/>
  <c r="G186" i="30"/>
  <c r="G121" i="30"/>
  <c r="G146" i="30"/>
  <c r="G170" i="30"/>
  <c r="G184" i="30"/>
  <c r="G151" i="30"/>
  <c r="G112" i="30"/>
  <c r="G163" i="30"/>
  <c r="G111" i="30"/>
  <c r="G114" i="30"/>
  <c r="G124" i="30"/>
  <c r="G185" i="30"/>
  <c r="G108" i="30"/>
  <c r="G169" i="30"/>
  <c r="G118" i="30"/>
  <c r="G189" i="30"/>
  <c r="G167" i="30"/>
  <c r="G9" i="18"/>
  <c r="G33" i="18" s="1"/>
  <c r="F97" i="31"/>
  <c r="F95" i="31"/>
  <c r="F105" i="31"/>
  <c r="F306" i="19"/>
  <c r="F339" i="19"/>
  <c r="F303" i="19"/>
  <c r="F307" i="19"/>
  <c r="F347" i="19"/>
  <c r="F348" i="19"/>
  <c r="F369" i="19"/>
  <c r="F357" i="19"/>
  <c r="F352" i="19"/>
  <c r="F377" i="19"/>
  <c r="F372" i="19"/>
  <c r="F334" i="19"/>
  <c r="F320" i="19"/>
  <c r="F366" i="19"/>
  <c r="F56" i="31"/>
  <c r="F305" i="19"/>
  <c r="F300" i="19"/>
  <c r="F367" i="19"/>
  <c r="F332" i="19"/>
  <c r="F374" i="19"/>
  <c r="F314" i="19"/>
  <c r="F329" i="19"/>
  <c r="F373" i="19"/>
  <c r="F338" i="19"/>
  <c r="F378" i="19"/>
  <c r="F358" i="19"/>
  <c r="F343" i="19"/>
  <c r="F324" i="19"/>
  <c r="F382" i="19"/>
  <c r="F321" i="19"/>
  <c r="F354" i="19"/>
  <c r="F337" i="19"/>
  <c r="F364" i="19"/>
  <c r="F383" i="19"/>
  <c r="F317" i="19"/>
  <c r="F313" i="19"/>
  <c r="F335" i="19"/>
  <c r="F309" i="19"/>
  <c r="F370" i="19"/>
  <c r="F361" i="19"/>
  <c r="F340" i="19"/>
  <c r="F295" i="19"/>
  <c r="F346" i="19"/>
  <c r="F345" i="19"/>
  <c r="F322" i="19"/>
  <c r="F380" i="19"/>
  <c r="F356" i="19"/>
  <c r="F381" i="19"/>
  <c r="F328" i="19"/>
  <c r="F349" i="19"/>
  <c r="F323" i="19"/>
  <c r="F312" i="19"/>
  <c r="F299" i="19"/>
  <c r="F327" i="19"/>
  <c r="F363" i="19"/>
  <c r="F341" i="19"/>
  <c r="F351" i="19"/>
  <c r="F375" i="19"/>
  <c r="F298" i="19"/>
  <c r="F362" i="19"/>
  <c r="F301" i="19"/>
  <c r="F325" i="19"/>
  <c r="F302" i="19"/>
  <c r="F353" i="19"/>
  <c r="F365" i="19"/>
  <c r="F355" i="19"/>
  <c r="F344" i="19"/>
  <c r="F331" i="19"/>
  <c r="F359" i="19"/>
  <c r="F296" i="19"/>
  <c r="F297" i="19"/>
  <c r="F342" i="19"/>
  <c r="F310" i="19"/>
  <c r="F330" i="19"/>
  <c r="F336" i="19"/>
  <c r="F333" i="19"/>
  <c r="F379" i="19"/>
  <c r="F318" i="19"/>
  <c r="F326" i="19"/>
  <c r="F319" i="19"/>
  <c r="F371" i="19"/>
  <c r="F360" i="19"/>
  <c r="F308" i="19"/>
  <c r="F304" i="19"/>
  <c r="F315" i="19"/>
  <c r="F311" i="19"/>
  <c r="F350" i="19"/>
  <c r="F376" i="19"/>
  <c r="F316" i="19"/>
  <c r="F368" i="19"/>
  <c r="G56" i="31" l="1"/>
  <c r="G350" i="19"/>
  <c r="G370" i="19"/>
  <c r="G321" i="19"/>
  <c r="G333" i="19"/>
  <c r="G376" i="19"/>
  <c r="G349" i="19"/>
  <c r="G315" i="19"/>
  <c r="G326" i="19"/>
  <c r="G356" i="19"/>
  <c r="G304" i="19"/>
  <c r="G372" i="19"/>
  <c r="G364" i="19"/>
  <c r="G367" i="19"/>
  <c r="G352" i="19"/>
  <c r="G341" i="19"/>
  <c r="G366" i="19"/>
  <c r="G323" i="19"/>
  <c r="G299" i="19"/>
  <c r="G314" i="19"/>
  <c r="G305" i="19"/>
  <c r="G365" i="19"/>
  <c r="G373" i="19"/>
  <c r="G311" i="19"/>
  <c r="G322" i="19"/>
  <c r="G336" i="19"/>
  <c r="G368" i="19"/>
  <c r="G344" i="19"/>
  <c r="G313" i="19"/>
  <c r="G317" i="19"/>
  <c r="G307" i="19"/>
  <c r="G383" i="19"/>
  <c r="G355" i="19"/>
  <c r="G297" i="19"/>
  <c r="G334" i="19"/>
  <c r="G377" i="19"/>
  <c r="G381" i="19"/>
  <c r="G358" i="19"/>
  <c r="G343" i="19"/>
  <c r="G325" i="19"/>
  <c r="G329" i="19"/>
  <c r="G295" i="19"/>
  <c r="G348" i="19"/>
  <c r="G359" i="19"/>
  <c r="G380" i="19"/>
  <c r="G298" i="19"/>
  <c r="G339" i="19"/>
  <c r="G312" i="19"/>
  <c r="G371" i="19"/>
  <c r="G361" i="19"/>
  <c r="G382" i="19"/>
  <c r="G379" i="19"/>
  <c r="G302" i="19"/>
  <c r="G308" i="19"/>
  <c r="G375" i="19"/>
  <c r="G357" i="19"/>
  <c r="G331" i="19"/>
  <c r="G310" i="19"/>
  <c r="G330" i="19"/>
  <c r="G363" i="19"/>
  <c r="G318" i="19"/>
  <c r="G328" i="19"/>
  <c r="G300" i="19"/>
  <c r="G353" i="19"/>
  <c r="G316" i="19"/>
  <c r="G340" i="19"/>
  <c r="G306" i="19"/>
  <c r="G374" i="19"/>
  <c r="G319" i="19"/>
  <c r="G338" i="19"/>
  <c r="G345" i="19"/>
  <c r="G296" i="19"/>
  <c r="G362" i="19"/>
  <c r="G342" i="19"/>
  <c r="G309" i="19"/>
  <c r="G369" i="19"/>
  <c r="G324" i="19"/>
  <c r="G332" i="19"/>
  <c r="G337" i="19"/>
  <c r="G335" i="19"/>
  <c r="G346" i="19"/>
  <c r="G303" i="19"/>
  <c r="G354" i="19"/>
  <c r="G351" i="19"/>
  <c r="G347" i="19"/>
  <c r="G320" i="19"/>
  <c r="G327" i="19"/>
  <c r="G301" i="19"/>
  <c r="G360" i="19"/>
  <c r="G378" i="19"/>
  <c r="F171" i="31"/>
  <c r="G105" i="31"/>
  <c r="F154" i="31"/>
  <c r="G97" i="31"/>
  <c r="G95" i="31"/>
  <c r="G171" i="31" l="1"/>
  <c r="G154" i="31"/>
  <c r="G161" i="31" s="1"/>
  <c r="F163" i="31"/>
  <c r="F161" i="31"/>
  <c r="F406" i="8" l="1"/>
  <c r="F157" i="21"/>
  <c r="G406" i="8" l="1"/>
  <c r="G157" i="21"/>
  <c r="F7" i="8" l="1"/>
  <c r="F8" i="8" l="1"/>
  <c r="H4" i="50"/>
  <c r="F408" i="8"/>
  <c r="F159" i="21"/>
  <c r="F405" i="8"/>
  <c r="F156" i="21"/>
  <c r="F91" i="30"/>
  <c r="F63" i="30"/>
  <c r="F22" i="30"/>
  <c r="F61" i="30"/>
  <c r="F90" i="30"/>
  <c r="F14" i="30"/>
  <c r="F59" i="30"/>
  <c r="F18" i="30"/>
  <c r="F79" i="30"/>
  <c r="F52" i="30"/>
  <c r="F49" i="30"/>
  <c r="F221" i="31"/>
  <c r="F404" i="8"/>
  <c r="F82" i="30"/>
  <c r="F77" i="30"/>
  <c r="F53" i="30"/>
  <c r="F92" i="30"/>
  <c r="F50" i="30"/>
  <c r="F94" i="30"/>
  <c r="F93" i="30"/>
  <c r="F15" i="30"/>
  <c r="F83" i="30"/>
  <c r="F40" i="30"/>
  <c r="F60" i="30"/>
  <c r="F48" i="30"/>
  <c r="F45" i="30"/>
  <c r="F75" i="30"/>
  <c r="F24" i="30"/>
  <c r="F64" i="30"/>
  <c r="F71" i="30"/>
  <c r="F25" i="30"/>
  <c r="F155" i="21"/>
  <c r="F51" i="30"/>
  <c r="F26" i="30"/>
  <c r="F67" i="30"/>
  <c r="F78" i="30"/>
  <c r="F72" i="30"/>
  <c r="F44" i="30"/>
  <c r="F81" i="30"/>
  <c r="F86" i="30"/>
  <c r="F28" i="30"/>
  <c r="F65" i="30"/>
  <c r="F39" i="30"/>
  <c r="F62" i="30"/>
  <c r="F37" i="30"/>
  <c r="F648" i="19"/>
  <c r="F682" i="19" s="1"/>
  <c r="F73" i="30"/>
  <c r="F88" i="30"/>
  <c r="F31" i="30"/>
  <c r="F32" i="30"/>
  <c r="F68" i="30"/>
  <c r="F12" i="30"/>
  <c r="F57" i="30"/>
  <c r="F35" i="30"/>
  <c r="F11" i="30"/>
  <c r="F13" i="30"/>
  <c r="F23" i="30"/>
  <c r="F43" i="30"/>
  <c r="F20" i="30"/>
  <c r="F30" i="30"/>
  <c r="F56" i="30"/>
  <c r="F87" i="30"/>
  <c r="F19" i="30"/>
  <c r="F47" i="30"/>
  <c r="F42" i="30"/>
  <c r="F95" i="30"/>
  <c r="F89" i="30"/>
  <c r="F21" i="30"/>
  <c r="F85" i="30"/>
  <c r="F41" i="30"/>
  <c r="F54" i="30"/>
  <c r="F76" i="30"/>
  <c r="F33" i="30"/>
  <c r="F38" i="30"/>
  <c r="F34" i="30"/>
  <c r="F74" i="30"/>
  <c r="F69" i="30"/>
  <c r="F66" i="30"/>
  <c r="F27" i="30"/>
  <c r="F46" i="30"/>
  <c r="F84" i="30"/>
  <c r="F70" i="30"/>
  <c r="F58" i="30"/>
  <c r="F17" i="30"/>
  <c r="F25" i="31"/>
  <c r="F80" i="30"/>
  <c r="F55" i="30"/>
  <c r="F29" i="30"/>
  <c r="F36" i="30"/>
  <c r="F16" i="30"/>
  <c r="F407" i="8"/>
  <c r="F158" i="21"/>
  <c r="F20" i="29" l="1"/>
  <c r="F21" i="29"/>
  <c r="F104" i="31" s="1"/>
  <c r="F120" i="31" s="1"/>
  <c r="F19" i="29"/>
  <c r="F22" i="29"/>
  <c r="F23" i="29"/>
  <c r="F107" i="31"/>
  <c r="F24" i="14"/>
  <c r="F12" i="19" s="1"/>
  <c r="F204" i="19" s="1"/>
  <c r="F104" i="14"/>
  <c r="F92" i="19" s="1"/>
  <c r="F284" i="19" s="1"/>
  <c r="F28" i="14"/>
  <c r="F16" i="19" s="1"/>
  <c r="F208" i="19" s="1"/>
  <c r="F67" i="14"/>
  <c r="F55" i="19" s="1"/>
  <c r="F247" i="19" s="1"/>
  <c r="F86" i="14"/>
  <c r="F74" i="19" s="1"/>
  <c r="F266" i="19" s="1"/>
  <c r="F71" i="14"/>
  <c r="F59" i="19" s="1"/>
  <c r="F251" i="19" s="1"/>
  <c r="F25" i="14"/>
  <c r="F13" i="19" s="1"/>
  <c r="F205" i="19" s="1"/>
  <c r="F36" i="14"/>
  <c r="F24" i="19" s="1"/>
  <c r="F216" i="19" s="1"/>
  <c r="F100" i="14"/>
  <c r="F88" i="19" s="1"/>
  <c r="F280" i="19" s="1"/>
  <c r="F31" i="14"/>
  <c r="F19" i="19" s="1"/>
  <c r="F211" i="19" s="1"/>
  <c r="F27" i="14"/>
  <c r="F15" i="19" s="1"/>
  <c r="F207" i="19" s="1"/>
  <c r="F105" i="14"/>
  <c r="F93" i="19" s="1"/>
  <c r="F285" i="19" s="1"/>
  <c r="F76" i="14"/>
  <c r="F64" i="19" s="1"/>
  <c r="F256" i="19" s="1"/>
  <c r="F96" i="14"/>
  <c r="F84" i="19" s="1"/>
  <c r="F276" i="19" s="1"/>
  <c r="F50" i="14"/>
  <c r="F38" i="19" s="1"/>
  <c r="F230" i="19" s="1"/>
  <c r="F23" i="14"/>
  <c r="F34" i="14"/>
  <c r="F22" i="19" s="1"/>
  <c r="F214" i="19" s="1"/>
  <c r="F87" i="14"/>
  <c r="F75" i="19" s="1"/>
  <c r="F267" i="19" s="1"/>
  <c r="F93" i="14"/>
  <c r="F81" i="19" s="1"/>
  <c r="F273" i="19" s="1"/>
  <c r="F64" i="14"/>
  <c r="F52" i="19" s="1"/>
  <c r="F244" i="19" s="1"/>
  <c r="F97" i="14"/>
  <c r="F85" i="19" s="1"/>
  <c r="F277" i="19" s="1"/>
  <c r="F69" i="14"/>
  <c r="F57" i="19" s="1"/>
  <c r="F249" i="19" s="1"/>
  <c r="F75" i="14"/>
  <c r="F63" i="19" s="1"/>
  <c r="F255" i="19" s="1"/>
  <c r="F68" i="14"/>
  <c r="F56" i="19" s="1"/>
  <c r="F248" i="19" s="1"/>
  <c r="F62" i="14"/>
  <c r="F50" i="19" s="1"/>
  <c r="F242" i="19" s="1"/>
  <c r="F92" i="14"/>
  <c r="F80" i="19" s="1"/>
  <c r="F272" i="19" s="1"/>
  <c r="F91" i="14"/>
  <c r="F79" i="19" s="1"/>
  <c r="F271" i="19" s="1"/>
  <c r="F73" i="14"/>
  <c r="F61" i="19" s="1"/>
  <c r="F253" i="19" s="1"/>
  <c r="F65" i="14"/>
  <c r="F53" i="19" s="1"/>
  <c r="F245" i="19" s="1"/>
  <c r="F99" i="14"/>
  <c r="F87" i="19" s="1"/>
  <c r="F279" i="19" s="1"/>
  <c r="F79" i="14"/>
  <c r="F67" i="19" s="1"/>
  <c r="F259" i="19" s="1"/>
  <c r="F46" i="14"/>
  <c r="F34" i="19" s="1"/>
  <c r="F226" i="19" s="1"/>
  <c r="F74" i="14"/>
  <c r="F62" i="19" s="1"/>
  <c r="F254" i="19" s="1"/>
  <c r="F98" i="14"/>
  <c r="F86" i="19" s="1"/>
  <c r="F278" i="19" s="1"/>
  <c r="F57" i="14"/>
  <c r="F45" i="19" s="1"/>
  <c r="F237" i="19" s="1"/>
  <c r="F54" i="14"/>
  <c r="F42" i="19" s="1"/>
  <c r="F234" i="19" s="1"/>
  <c r="F53" i="14"/>
  <c r="F41" i="19" s="1"/>
  <c r="F233" i="19" s="1"/>
  <c r="F37" i="14"/>
  <c r="F25" i="19" s="1"/>
  <c r="F217" i="19" s="1"/>
  <c r="F89" i="14"/>
  <c r="F77" i="19" s="1"/>
  <c r="F269" i="19" s="1"/>
  <c r="F51" i="14"/>
  <c r="F39" i="19" s="1"/>
  <c r="F231" i="19" s="1"/>
  <c r="F42" i="14"/>
  <c r="F30" i="19" s="1"/>
  <c r="F222" i="19" s="1"/>
  <c r="F63" i="14"/>
  <c r="F51" i="19" s="1"/>
  <c r="F243" i="19" s="1"/>
  <c r="F85" i="14"/>
  <c r="F73" i="19" s="1"/>
  <c r="F265" i="19" s="1"/>
  <c r="F94" i="14"/>
  <c r="F82" i="19" s="1"/>
  <c r="F274" i="19" s="1"/>
  <c r="F58" i="14"/>
  <c r="F46" i="19" s="1"/>
  <c r="F59" i="14"/>
  <c r="F47" i="19" s="1"/>
  <c r="F239" i="19" s="1"/>
  <c r="F29" i="14"/>
  <c r="F17" i="19" s="1"/>
  <c r="F209" i="19" s="1"/>
  <c r="F30" i="14"/>
  <c r="F18" i="19" s="1"/>
  <c r="F210" i="19" s="1"/>
  <c r="F78" i="14"/>
  <c r="F66" i="19" s="1"/>
  <c r="F258" i="19" s="1"/>
  <c r="F106" i="14"/>
  <c r="F94" i="19" s="1"/>
  <c r="F286" i="19" s="1"/>
  <c r="F77" i="14"/>
  <c r="F65" i="19" s="1"/>
  <c r="F257" i="19" s="1"/>
  <c r="F26" i="14"/>
  <c r="F14" i="19" s="1"/>
  <c r="F206" i="19" s="1"/>
  <c r="F80" i="14"/>
  <c r="F68" i="19" s="1"/>
  <c r="F260" i="19" s="1"/>
  <c r="F38" i="14"/>
  <c r="F26" i="19" s="1"/>
  <c r="F218" i="19" s="1"/>
  <c r="F102" i="14"/>
  <c r="F90" i="19" s="1"/>
  <c r="F282" i="19" s="1"/>
  <c r="F49" i="14"/>
  <c r="F37" i="19" s="1"/>
  <c r="F56" i="14"/>
  <c r="F44" i="19" s="1"/>
  <c r="F83" i="14"/>
  <c r="F71" i="19" s="1"/>
  <c r="F263" i="19" s="1"/>
  <c r="F72" i="14"/>
  <c r="F60" i="19" s="1"/>
  <c r="F252" i="19" s="1"/>
  <c r="F61" i="14"/>
  <c r="F49" i="19" s="1"/>
  <c r="F241" i="19" s="1"/>
  <c r="F44" i="14"/>
  <c r="F32" i="19" s="1"/>
  <c r="F224" i="19" s="1"/>
  <c r="F35" i="14"/>
  <c r="F23" i="19" s="1"/>
  <c r="F215" i="19" s="1"/>
  <c r="F45" i="14"/>
  <c r="F33" i="19" s="1"/>
  <c r="F225" i="19" s="1"/>
  <c r="F90" i="14"/>
  <c r="F78" i="19" s="1"/>
  <c r="F270" i="19" s="1"/>
  <c r="F41" i="14"/>
  <c r="F29" i="19" s="1"/>
  <c r="F52" i="14"/>
  <c r="F40" i="19" s="1"/>
  <c r="F32" i="14"/>
  <c r="F20" i="19" s="1"/>
  <c r="F212" i="19" s="1"/>
  <c r="F82" i="14"/>
  <c r="F70" i="19" s="1"/>
  <c r="F262" i="19" s="1"/>
  <c r="F81" i="14"/>
  <c r="F69" i="19" s="1"/>
  <c r="F261" i="19" s="1"/>
  <c r="F70" i="14"/>
  <c r="F58" i="19" s="1"/>
  <c r="F250" i="19" s="1"/>
  <c r="F43" i="14"/>
  <c r="F31" i="19" s="1"/>
  <c r="F223" i="19" s="1"/>
  <c r="F84" i="14"/>
  <c r="F72" i="19" s="1"/>
  <c r="F264" i="19" s="1"/>
  <c r="F101" i="14"/>
  <c r="F89" i="19" s="1"/>
  <c r="F281" i="19" s="1"/>
  <c r="F40" i="14"/>
  <c r="F28" i="19" s="1"/>
  <c r="F220" i="19" s="1"/>
  <c r="F103" i="14"/>
  <c r="F91" i="19" s="1"/>
  <c r="F283" i="19" s="1"/>
  <c r="F60" i="14"/>
  <c r="F48" i="19" s="1"/>
  <c r="F240" i="19" s="1"/>
  <c r="F39" i="14"/>
  <c r="F27" i="19" s="1"/>
  <c r="F219" i="19" s="1"/>
  <c r="F33" i="14"/>
  <c r="F21" i="19" s="1"/>
  <c r="F47" i="14"/>
  <c r="F35" i="19" s="1"/>
  <c r="F66" i="14"/>
  <c r="F54" i="19" s="1"/>
  <c r="F246" i="19" s="1"/>
  <c r="F55" i="14"/>
  <c r="F43" i="19" s="1"/>
  <c r="F235" i="19" s="1"/>
  <c r="F95" i="14"/>
  <c r="F83" i="19" s="1"/>
  <c r="F275" i="19" s="1"/>
  <c r="F107" i="14"/>
  <c r="F95" i="19" s="1"/>
  <c r="F287" i="19" s="1"/>
  <c r="F88" i="14"/>
  <c r="F76" i="19" s="1"/>
  <c r="F268" i="19" s="1"/>
  <c r="F48" i="14"/>
  <c r="F36" i="19" s="1"/>
  <c r="F228" i="19" s="1"/>
  <c r="F89" i="31"/>
  <c r="F90" i="31" s="1"/>
  <c r="F27" i="31"/>
  <c r="F213" i="19" l="1"/>
  <c r="F501" i="19"/>
  <c r="F520" i="19"/>
  <c r="F232" i="19"/>
  <c r="F517" i="19"/>
  <c r="F229" i="19"/>
  <c r="F28" i="31"/>
  <c r="F258" i="21"/>
  <c r="F222" i="31"/>
  <c r="F11" i="19"/>
  <c r="F203" i="19" s="1"/>
  <c r="F98" i="31"/>
  <c r="F123" i="31" s="1"/>
  <c r="F96" i="31"/>
  <c r="F121" i="31" s="1"/>
  <c r="F124" i="31" s="1"/>
  <c r="F515" i="19"/>
  <c r="F227" i="19"/>
  <c r="F221" i="19"/>
  <c r="F509" i="19"/>
  <c r="F524" i="19"/>
  <c r="F236" i="19"/>
  <c r="F526" i="19"/>
  <c r="F238" i="19"/>
  <c r="F106" i="31"/>
  <c r="F122" i="31" s="1"/>
  <c r="F396" i="19" l="1"/>
  <c r="F492" i="19" s="1"/>
  <c r="F446" i="19"/>
  <c r="F542" i="19" s="1"/>
  <c r="F434" i="19"/>
  <c r="F530" i="19" s="1"/>
  <c r="F414" i="19"/>
  <c r="F510" i="19" s="1"/>
  <c r="F406" i="19"/>
  <c r="F502" i="19" s="1"/>
  <c r="F472" i="19"/>
  <c r="F568" i="19" s="1"/>
  <c r="F458" i="19"/>
  <c r="F554" i="19" s="1"/>
  <c r="F448" i="19"/>
  <c r="F544" i="19" s="1"/>
  <c r="F469" i="19"/>
  <c r="F565" i="19" s="1"/>
  <c r="F437" i="19"/>
  <c r="F533" i="19" s="1"/>
  <c r="F425" i="19"/>
  <c r="F521" i="19" s="1"/>
  <c r="F430" i="19"/>
  <c r="F401" i="19"/>
  <c r="F497" i="19" s="1"/>
  <c r="F474" i="19"/>
  <c r="F570" i="19" s="1"/>
  <c r="F416" i="19"/>
  <c r="F512" i="19" s="1"/>
  <c r="F415" i="19"/>
  <c r="F511" i="19" s="1"/>
  <c r="F419" i="19"/>
  <c r="F427" i="19"/>
  <c r="F523" i="19" s="1"/>
  <c r="F439" i="19"/>
  <c r="F535" i="19" s="1"/>
  <c r="F477" i="19"/>
  <c r="F573" i="19" s="1"/>
  <c r="F393" i="19"/>
  <c r="F489" i="19" s="1"/>
  <c r="F584" i="19" s="1"/>
  <c r="F394" i="19"/>
  <c r="F490" i="19" s="1"/>
  <c r="F585" i="19" s="1"/>
  <c r="F392" i="19"/>
  <c r="F488" i="19" s="1"/>
  <c r="F173" i="31"/>
  <c r="F391" i="19"/>
  <c r="F46" i="18"/>
  <c r="F45" i="18"/>
  <c r="F43" i="18"/>
  <c r="F47" i="18"/>
  <c r="F395" i="19"/>
  <c r="F491" i="19" s="1"/>
  <c r="F57" i="31"/>
  <c r="F44" i="18"/>
  <c r="F459" i="19"/>
  <c r="F555" i="19" s="1"/>
  <c r="F441" i="19"/>
  <c r="F537" i="19" s="1"/>
  <c r="F471" i="19"/>
  <c r="F567" i="19" s="1"/>
  <c r="F409" i="19"/>
  <c r="F505" i="19" s="1"/>
  <c r="F435" i="19"/>
  <c r="F531" i="19" s="1"/>
  <c r="F478" i="19"/>
  <c r="F574" i="19" s="1"/>
  <c r="F410" i="19"/>
  <c r="F506" i="19" s="1"/>
  <c r="F462" i="19"/>
  <c r="F558" i="19" s="1"/>
  <c r="F412" i="19"/>
  <c r="F508" i="19" s="1"/>
  <c r="F438" i="19"/>
  <c r="F534" i="19" s="1"/>
  <c r="F460" i="19"/>
  <c r="F556" i="19" s="1"/>
  <c r="F449" i="19"/>
  <c r="F545" i="19" s="1"/>
  <c r="F404" i="19"/>
  <c r="F500" i="19" s="1"/>
  <c r="F475" i="19"/>
  <c r="F571" i="19" s="1"/>
  <c r="F420" i="19"/>
  <c r="F516" i="19" s="1"/>
  <c r="F408" i="19"/>
  <c r="F504" i="19" s="1"/>
  <c r="F263" i="21"/>
  <c r="F261" i="21"/>
  <c r="F262" i="21"/>
  <c r="F259" i="21"/>
  <c r="F264" i="21"/>
  <c r="F260" i="21"/>
  <c r="F464" i="19"/>
  <c r="F560" i="19" s="1"/>
  <c r="F470" i="19"/>
  <c r="F566" i="19" s="1"/>
  <c r="F431" i="19"/>
  <c r="F527" i="19" s="1"/>
  <c r="F433" i="19"/>
  <c r="F529" i="19" s="1"/>
  <c r="F442" i="19"/>
  <c r="F538" i="19" s="1"/>
  <c r="F125" i="31"/>
  <c r="F400" i="19"/>
  <c r="F496" i="19" s="1"/>
  <c r="F397" i="19"/>
  <c r="F493" i="19" s="1"/>
  <c r="F399" i="19"/>
  <c r="F495" i="19" s="1"/>
  <c r="F422" i="19"/>
  <c r="F518" i="19" s="1"/>
  <c r="F465" i="19"/>
  <c r="F561" i="19" s="1"/>
  <c r="F447" i="19"/>
  <c r="F543" i="19" s="1"/>
  <c r="F463" i="19"/>
  <c r="F559" i="19" s="1"/>
  <c r="F451" i="19"/>
  <c r="F547" i="19" s="1"/>
  <c r="F429" i="19"/>
  <c r="F525" i="19" s="1"/>
  <c r="F461" i="19"/>
  <c r="F557" i="19" s="1"/>
  <c r="F457" i="19"/>
  <c r="F553" i="19" s="1"/>
  <c r="F450" i="19"/>
  <c r="F546" i="19" s="1"/>
  <c r="F452" i="19"/>
  <c r="F548" i="19" s="1"/>
  <c r="F428" i="19"/>
  <c r="F444" i="19"/>
  <c r="F540" i="19" s="1"/>
  <c r="F417" i="19"/>
  <c r="F513" i="19" s="1"/>
  <c r="F413" i="19"/>
  <c r="F453" i="19"/>
  <c r="F549" i="19" s="1"/>
  <c r="F473" i="19"/>
  <c r="F569" i="19" s="1"/>
  <c r="F411" i="19"/>
  <c r="F507" i="19" s="1"/>
  <c r="F479" i="19"/>
  <c r="F575" i="19" s="1"/>
  <c r="F476" i="19"/>
  <c r="F572" i="19" s="1"/>
  <c r="F443" i="19"/>
  <c r="F539" i="19" s="1"/>
  <c r="F403" i="19"/>
  <c r="F499" i="19" s="1"/>
  <c r="F468" i="19"/>
  <c r="F564" i="19" s="1"/>
  <c r="F436" i="19"/>
  <c r="F532" i="19" s="1"/>
  <c r="F440" i="19"/>
  <c r="F536" i="19" s="1"/>
  <c r="F445" i="19"/>
  <c r="F541" i="19" s="1"/>
  <c r="F418" i="19"/>
  <c r="F514" i="19" s="1"/>
  <c r="F426" i="19"/>
  <c r="F522" i="19" s="1"/>
  <c r="F423" i="19"/>
  <c r="F519" i="19" s="1"/>
  <c r="F466" i="19"/>
  <c r="F562" i="19" s="1"/>
  <c r="F402" i="19"/>
  <c r="F498" i="19" s="1"/>
  <c r="F398" i="19"/>
  <c r="F494" i="19" s="1"/>
  <c r="F421" i="19"/>
  <c r="F455" i="19"/>
  <c r="F551" i="19" s="1"/>
  <c r="F407" i="19"/>
  <c r="F503" i="19" s="1"/>
  <c r="F424" i="19"/>
  <c r="F454" i="19"/>
  <c r="F550" i="19" s="1"/>
  <c r="F456" i="19"/>
  <c r="F552" i="19" s="1"/>
  <c r="F432" i="19"/>
  <c r="F528" i="19" s="1"/>
  <c r="F405" i="19"/>
  <c r="F467" i="19"/>
  <c r="F563" i="19" s="1"/>
  <c r="F59" i="18" l="1"/>
  <c r="F71" i="18" s="1"/>
  <c r="F82" i="18" s="1"/>
  <c r="F19" i="20" s="1"/>
  <c r="F100" i="20" s="1"/>
  <c r="F56" i="18"/>
  <c r="F68" i="18" s="1"/>
  <c r="F586" i="19"/>
  <c r="F55" i="18"/>
  <c r="F67" i="18" s="1"/>
  <c r="F58" i="18"/>
  <c r="F70" i="18" s="1"/>
  <c r="F81" i="18" s="1"/>
  <c r="F603" i="19"/>
  <c r="F637" i="19" s="1"/>
  <c r="F33" i="21"/>
  <c r="F135" i="21" s="1"/>
  <c r="F17" i="21"/>
  <c r="F119" i="21" s="1"/>
  <c r="F596" i="19"/>
  <c r="F630" i="19" s="1"/>
  <c r="F18" i="21"/>
  <c r="F120" i="21" s="1"/>
  <c r="F155" i="31"/>
  <c r="F156" i="31" s="1"/>
  <c r="F59" i="31"/>
  <c r="F60" i="31" s="1"/>
  <c r="F170" i="31"/>
  <c r="F186" i="31" s="1"/>
  <c r="F57" i="18"/>
  <c r="F228" i="31"/>
  <c r="F487" i="19"/>
  <c r="F583" i="19" s="1"/>
  <c r="F14" i="21"/>
  <c r="F116" i="21" s="1"/>
  <c r="F13" i="21"/>
  <c r="F115" i="21" s="1"/>
  <c r="F16" i="21"/>
  <c r="F118" i="21" s="1"/>
  <c r="F602" i="19"/>
  <c r="F636" i="19" s="1"/>
  <c r="F32" i="21"/>
  <c r="F134" i="21" s="1"/>
  <c r="F12" i="21"/>
  <c r="F114" i="21" s="1"/>
  <c r="F595" i="19"/>
  <c r="F629" i="19" s="1"/>
  <c r="F15" i="21"/>
  <c r="F117" i="21" s="1"/>
  <c r="F31" i="21"/>
  <c r="F133" i="21" s="1"/>
  <c r="F93" i="18" l="1"/>
  <c r="F127" i="18" s="1"/>
  <c r="F79" i="18"/>
  <c r="F90" i="18" s="1"/>
  <c r="F124" i="18" s="1"/>
  <c r="F201" i="21"/>
  <c r="F184" i="21"/>
  <c r="F203" i="21"/>
  <c r="F18" i="20"/>
  <c r="F99" i="20" s="1"/>
  <c r="F17" i="20"/>
  <c r="F98" i="20" s="1"/>
  <c r="F92" i="18"/>
  <c r="F126" i="18" s="1"/>
  <c r="F99" i="18"/>
  <c r="F133" i="18" s="1"/>
  <c r="F26" i="20"/>
  <c r="F107" i="20" s="1"/>
  <c r="F202" i="21"/>
  <c r="F186" i="21"/>
  <c r="F230" i="31"/>
  <c r="F246" i="31" s="1"/>
  <c r="F244" i="31"/>
  <c r="F154" i="20"/>
  <c r="F185" i="21"/>
  <c r="F182" i="21"/>
  <c r="F183" i="21"/>
  <c r="F601" i="19"/>
  <c r="F635" i="19" s="1"/>
  <c r="F30" i="21"/>
  <c r="F132" i="21" s="1"/>
  <c r="F10" i="21"/>
  <c r="F112" i="21" s="1"/>
  <c r="F11" i="21"/>
  <c r="F113" i="21" s="1"/>
  <c r="F7" i="21"/>
  <c r="F109" i="21" s="1"/>
  <c r="F9" i="21"/>
  <c r="F111" i="21" s="1"/>
  <c r="F29" i="21"/>
  <c r="F131" i="21" s="1"/>
  <c r="F8" i="21"/>
  <c r="F110" i="21" s="1"/>
  <c r="F594" i="19"/>
  <c r="F628" i="19" s="1"/>
  <c r="F227" i="31"/>
  <c r="F69" i="18"/>
  <c r="F80" i="18" s="1"/>
  <c r="F162" i="31"/>
  <c r="F164" i="31"/>
  <c r="F189" i="31" s="1"/>
  <c r="F188" i="21"/>
  <c r="F187" i="21"/>
  <c r="F172" i="31"/>
  <c r="F188" i="31" s="1"/>
  <c r="F19" i="21"/>
  <c r="F121" i="21" s="1"/>
  <c r="F20" i="21"/>
  <c r="F122" i="21" s="1"/>
  <c r="F597" i="19"/>
  <c r="F631" i="19" s="1"/>
  <c r="F25" i="21"/>
  <c r="F127" i="21" s="1"/>
  <c r="F24" i="21"/>
  <c r="F126" i="21" s="1"/>
  <c r="F22" i="21"/>
  <c r="F124" i="21" s="1"/>
  <c r="F21" i="21"/>
  <c r="F123" i="21" s="1"/>
  <c r="F23" i="21"/>
  <c r="F125" i="21" s="1"/>
  <c r="F9" i="20" l="1"/>
  <c r="F90" i="20" s="1"/>
  <c r="F144" i="20" s="1"/>
  <c r="F7" i="20"/>
  <c r="F88" i="20" s="1"/>
  <c r="F10" i="20"/>
  <c r="F91" i="20" s="1"/>
  <c r="F145" i="20" s="1"/>
  <c r="F24" i="20"/>
  <c r="F105" i="20" s="1"/>
  <c r="F159" i="20" s="1"/>
  <c r="F8" i="20"/>
  <c r="F89" i="20" s="1"/>
  <c r="F143" i="20" s="1"/>
  <c r="F97" i="18"/>
  <c r="F131" i="18" s="1"/>
  <c r="F23" i="20"/>
  <c r="F104" i="20" s="1"/>
  <c r="F158" i="20" s="1"/>
  <c r="F11" i="20"/>
  <c r="F92" i="20" s="1"/>
  <c r="F146" i="20" s="1"/>
  <c r="F662" i="19"/>
  <c r="F696" i="19" s="1"/>
  <c r="F193" i="21"/>
  <c r="F195" i="21"/>
  <c r="F190" i="21"/>
  <c r="F187" i="31"/>
  <c r="F190" i="31" s="1"/>
  <c r="F165" i="31"/>
  <c r="F25" i="20"/>
  <c r="F106" i="20" s="1"/>
  <c r="F91" i="18"/>
  <c r="F125" i="18" s="1"/>
  <c r="F12" i="20"/>
  <c r="F93" i="20" s="1"/>
  <c r="F98" i="18"/>
  <c r="F132" i="18" s="1"/>
  <c r="F14" i="20"/>
  <c r="F95" i="20" s="1"/>
  <c r="F15" i="20"/>
  <c r="F96" i="20" s="1"/>
  <c r="F16" i="20"/>
  <c r="F97" i="20" s="1"/>
  <c r="F13" i="20"/>
  <c r="F94" i="20" s="1"/>
  <c r="F199" i="21"/>
  <c r="F177" i="21"/>
  <c r="F180" i="21"/>
  <c r="F669" i="19"/>
  <c r="F703" i="19" s="1"/>
  <c r="F663" i="19"/>
  <c r="F697" i="19" s="1"/>
  <c r="F161" i="20"/>
  <c r="F153" i="20"/>
  <c r="F192" i="21"/>
  <c r="F191" i="21"/>
  <c r="F194" i="21"/>
  <c r="F665" i="19"/>
  <c r="F699" i="19" s="1"/>
  <c r="F189" i="21"/>
  <c r="F671" i="19"/>
  <c r="F705" i="19" s="1"/>
  <c r="F191" i="31"/>
  <c r="F243" i="31"/>
  <c r="F247" i="31" s="1"/>
  <c r="F229" i="31"/>
  <c r="F245" i="31" s="1"/>
  <c r="F248" i="31" s="1"/>
  <c r="F178" i="21"/>
  <c r="F179" i="21"/>
  <c r="F181" i="21"/>
  <c r="F200" i="21"/>
  <c r="F670" i="19"/>
  <c r="F704" i="19" s="1"/>
  <c r="F152" i="20"/>
  <c r="F664" i="19"/>
  <c r="F698" i="19" s="1"/>
  <c r="F142" i="20" l="1"/>
  <c r="F158" i="18"/>
  <c r="F175" i="18" s="1"/>
  <c r="F231" i="31"/>
  <c r="F160" i="18"/>
  <c r="F177" i="18" s="1"/>
  <c r="F166" i="18"/>
  <c r="F183" i="18" s="1"/>
  <c r="F165" i="18"/>
  <c r="F182" i="18" s="1"/>
  <c r="F167" i="18"/>
  <c r="F184" i="18" s="1"/>
  <c r="F706" i="19"/>
  <c r="F707" i="19" s="1"/>
  <c r="F151" i="20"/>
  <c r="F149" i="20"/>
  <c r="F147" i="20"/>
  <c r="F160" i="20"/>
  <c r="F204" i="21"/>
  <c r="F148" i="20"/>
  <c r="F150" i="20"/>
  <c r="F159" i="18"/>
  <c r="F176" i="18" s="1"/>
  <c r="F161" i="18"/>
  <c r="F178" i="18" s="1"/>
  <c r="F185" i="18" l="1"/>
  <c r="F186" i="18" s="1"/>
  <c r="F162" i="20"/>
  <c r="F181" i="20" s="1"/>
  <c r="F238" i="21"/>
  <c r="F306" i="21" s="1"/>
  <c r="F220" i="21"/>
  <c r="F218" i="21"/>
  <c r="F223" i="21"/>
  <c r="F236" i="21"/>
  <c r="F304" i="21" s="1"/>
  <c r="F219" i="21"/>
  <c r="F237" i="21"/>
  <c r="F305" i="21" s="1"/>
  <c r="F221" i="21"/>
  <c r="F217" i="21"/>
  <c r="I23" i="55" s="1"/>
  <c r="F222" i="21"/>
  <c r="I28" i="55" s="1"/>
  <c r="F228" i="21"/>
  <c r="F230" i="21"/>
  <c r="F225" i="21"/>
  <c r="F212" i="21"/>
  <c r="I18" i="55" s="1"/>
  <c r="F215" i="21"/>
  <c r="F213" i="21"/>
  <c r="F214" i="21"/>
  <c r="F235" i="21"/>
  <c r="F303" i="21" s="1"/>
  <c r="F234" i="21"/>
  <c r="F302" i="21" s="1"/>
  <c r="F227" i="21"/>
  <c r="F226" i="21"/>
  <c r="F229" i="21"/>
  <c r="F224" i="21"/>
  <c r="I30" i="55" s="1"/>
  <c r="F216" i="21"/>
  <c r="F289" i="21" l="1"/>
  <c r="I27" i="55"/>
  <c r="F297" i="21"/>
  <c r="I35" i="55"/>
  <c r="F295" i="21"/>
  <c r="I33" i="55"/>
  <c r="F287" i="21"/>
  <c r="I25" i="55"/>
  <c r="F281" i="21"/>
  <c r="I19" i="55"/>
  <c r="F291" i="21"/>
  <c r="I29" i="55"/>
  <c r="F283" i="21"/>
  <c r="I21" i="55"/>
  <c r="F286" i="21"/>
  <c r="I24" i="55"/>
  <c r="T52" i="55"/>
  <c r="H18" i="51"/>
  <c r="F288" i="21"/>
  <c r="I26" i="55"/>
  <c r="U57" i="55"/>
  <c r="H23" i="51"/>
  <c r="F282" i="21"/>
  <c r="I20" i="55"/>
  <c r="F293" i="21"/>
  <c r="I31" i="55"/>
  <c r="F294" i="21"/>
  <c r="I32" i="55"/>
  <c r="F284" i="21"/>
  <c r="I22" i="55"/>
  <c r="F298" i="21"/>
  <c r="I36" i="55"/>
  <c r="F208" i="20"/>
  <c r="I16" i="55"/>
  <c r="U62" i="55"/>
  <c r="H28" i="51"/>
  <c r="T64" i="55"/>
  <c r="H30" i="51"/>
  <c r="F296" i="21"/>
  <c r="I34" i="55"/>
  <c r="F188" i="20"/>
  <c r="F215" i="20" s="1"/>
  <c r="F179" i="20"/>
  <c r="F187" i="20"/>
  <c r="F214" i="20" s="1"/>
  <c r="F176" i="20"/>
  <c r="F172" i="20"/>
  <c r="F175" i="20"/>
  <c r="F170" i="20"/>
  <c r="F171" i="20"/>
  <c r="F180" i="20"/>
  <c r="F177" i="20"/>
  <c r="F189" i="20"/>
  <c r="F216" i="20" s="1"/>
  <c r="F178" i="20"/>
  <c r="F186" i="20"/>
  <c r="F213" i="20" s="1"/>
  <c r="F174" i="20"/>
  <c r="F173" i="20"/>
  <c r="F182" i="20"/>
  <c r="F280" i="21"/>
  <c r="F10" i="38"/>
  <c r="F290" i="21"/>
  <c r="F12" i="38"/>
  <c r="F13" i="38"/>
  <c r="F292" i="21"/>
  <c r="F11" i="38"/>
  <c r="F285" i="21"/>
  <c r="H16" i="51" l="1"/>
  <c r="U50" i="55"/>
  <c r="T70" i="55"/>
  <c r="H36" i="51"/>
  <c r="U60" i="55"/>
  <c r="H26" i="51"/>
  <c r="F206" i="20"/>
  <c r="I14" i="55"/>
  <c r="H25" i="51"/>
  <c r="U59" i="55"/>
  <c r="U63" i="55"/>
  <c r="H29" i="51"/>
  <c r="F203" i="20"/>
  <c r="I11" i="55"/>
  <c r="T56" i="55"/>
  <c r="H22" i="51"/>
  <c r="F202" i="20"/>
  <c r="I10" i="55"/>
  <c r="F205" i="20"/>
  <c r="I13" i="55"/>
  <c r="T68" i="55"/>
  <c r="H34" i="51"/>
  <c r="T67" i="55"/>
  <c r="H33" i="51"/>
  <c r="T66" i="55"/>
  <c r="H32" i="51"/>
  <c r="F204" i="20"/>
  <c r="I12" i="55"/>
  <c r="H24" i="51"/>
  <c r="U58" i="55"/>
  <c r="T69" i="55"/>
  <c r="H35" i="51"/>
  <c r="T53" i="55"/>
  <c r="H19" i="51"/>
  <c r="F201" i="20"/>
  <c r="I9" i="55"/>
  <c r="F207" i="20"/>
  <c r="I15" i="55"/>
  <c r="T65" i="55"/>
  <c r="H31" i="51"/>
  <c r="F199" i="20"/>
  <c r="I7" i="55"/>
  <c r="F200" i="20"/>
  <c r="I8" i="55"/>
  <c r="F198" i="20"/>
  <c r="I6" i="55"/>
  <c r="T55" i="55"/>
  <c r="H21" i="51"/>
  <c r="H27" i="51"/>
  <c r="U61" i="55"/>
  <c r="F9" i="38"/>
  <c r="I17" i="55"/>
  <c r="F197" i="20"/>
  <c r="I5" i="55"/>
  <c r="T54" i="55"/>
  <c r="H20" i="51"/>
  <c r="F7" i="38"/>
  <c r="F7" i="31"/>
  <c r="F209" i="20"/>
  <c r="F8" i="38"/>
  <c r="F6" i="38"/>
  <c r="F307" i="21"/>
  <c r="F8" i="31"/>
  <c r="T46" i="55" l="1"/>
  <c r="H12" i="51"/>
  <c r="T48" i="55"/>
  <c r="H14" i="51"/>
  <c r="T44" i="55"/>
  <c r="H10" i="51"/>
  <c r="H15" i="51"/>
  <c r="U49" i="55"/>
  <c r="T43" i="55"/>
  <c r="H9" i="51"/>
  <c r="T47" i="55"/>
  <c r="H13" i="51"/>
  <c r="T42" i="55"/>
  <c r="H8" i="51"/>
  <c r="T39" i="55"/>
  <c r="H5" i="51"/>
  <c r="T45" i="55"/>
  <c r="H11" i="51"/>
  <c r="T41" i="55"/>
  <c r="H7" i="51"/>
  <c r="T40" i="55"/>
  <c r="H6" i="51"/>
  <c r="T51" i="55"/>
  <c r="H17" i="51"/>
  <c r="F217" i="20"/>
  <c r="F9" i="31" s="1"/>
  <c r="F11" i="31"/>
  <c r="F308" i="21"/>
  <c r="F10" i="31"/>
  <c r="F218" i="20" l="1"/>
  <c r="F12" i="31"/>
  <c r="F67" i="31"/>
  <c r="F35" i="31"/>
  <c r="F199" i="31"/>
  <c r="F133" i="31"/>
  <c r="F256" i="31"/>
  <c r="F13" i="31" l="1"/>
  <c r="F36" i="31"/>
  <c r="F44" i="31" s="1"/>
  <c r="F68" i="31"/>
  <c r="F76" i="31" s="1"/>
  <c r="F200" i="31"/>
  <c r="F208" i="31" s="1"/>
  <c r="F257" i="31"/>
  <c r="F265" i="31" s="1"/>
  <c r="F134" i="31"/>
  <c r="F142" i="31" s="1"/>
  <c r="G7" i="8" l="1"/>
  <c r="G8" i="8" s="1"/>
  <c r="G82" i="30" l="1"/>
  <c r="G16" i="30"/>
  <c r="G73" i="30"/>
  <c r="G85" i="30"/>
  <c r="G56" i="30"/>
  <c r="G42" i="30"/>
  <c r="G40" i="30"/>
  <c r="G59" i="30"/>
  <c r="G33" i="30"/>
  <c r="G72" i="30"/>
  <c r="G70" i="30"/>
  <c r="G91" i="30"/>
  <c r="G89" i="30"/>
  <c r="G79" i="30"/>
  <c r="G44" i="30"/>
  <c r="G51" i="30"/>
  <c r="G90" i="30"/>
  <c r="G88" i="30"/>
  <c r="G74" i="30"/>
  <c r="G31" i="30"/>
  <c r="G25" i="30"/>
  <c r="G50" i="30"/>
  <c r="G12" i="30"/>
  <c r="G43" i="30"/>
  <c r="G83" i="30"/>
  <c r="G17" i="30"/>
  <c r="G94" i="30"/>
  <c r="G41" i="30"/>
  <c r="G52" i="30"/>
  <c r="G20" i="30"/>
  <c r="G22" i="30"/>
  <c r="G404" i="8"/>
  <c r="G55" i="30"/>
  <c r="G81" i="30"/>
  <c r="G71" i="30"/>
  <c r="G24" i="30"/>
  <c r="G23" i="30"/>
  <c r="G35" i="30"/>
  <c r="G86" i="30"/>
  <c r="G19" i="30"/>
  <c r="G15" i="30"/>
  <c r="G26" i="30"/>
  <c r="G155" i="21"/>
  <c r="G14" i="30"/>
  <c r="G95" i="30"/>
  <c r="G66" i="30"/>
  <c r="G62" i="30"/>
  <c r="G18" i="30"/>
  <c r="G46" i="30"/>
  <c r="G25" i="31"/>
  <c r="G221" i="31"/>
  <c r="G80" i="30"/>
  <c r="G49" i="30"/>
  <c r="G38" i="30"/>
  <c r="G76" i="30"/>
  <c r="G53" i="30"/>
  <c r="G54" i="30"/>
  <c r="G28" i="30"/>
  <c r="G93" i="30"/>
  <c r="G78" i="30"/>
  <c r="G61" i="30"/>
  <c r="G27" i="30"/>
  <c r="G57" i="30"/>
  <c r="G39" i="30"/>
  <c r="G21" i="30"/>
  <c r="G13" i="30"/>
  <c r="G67" i="30"/>
  <c r="G11" i="30"/>
  <c r="G32" i="30"/>
  <c r="G30" i="30"/>
  <c r="G36" i="30"/>
  <c r="G87" i="30"/>
  <c r="G63" i="30"/>
  <c r="G84" i="30"/>
  <c r="G65" i="30"/>
  <c r="G92" i="30"/>
  <c r="G45" i="30"/>
  <c r="G37" i="30"/>
  <c r="G60" i="30"/>
  <c r="G77" i="30"/>
  <c r="G58" i="30"/>
  <c r="G648" i="19"/>
  <c r="G682" i="19" s="1"/>
  <c r="G75" i="30"/>
  <c r="G29" i="30"/>
  <c r="G34" i="30"/>
  <c r="G48" i="30"/>
  <c r="G68" i="30"/>
  <c r="G47" i="30"/>
  <c r="G64" i="30"/>
  <c r="G69" i="30"/>
  <c r="G408" i="8"/>
  <c r="G159" i="21"/>
  <c r="G407" i="8"/>
  <c r="G158" i="21"/>
  <c r="G156" i="21"/>
  <c r="G405" i="8"/>
  <c r="G22" i="29" l="1"/>
  <c r="G19" i="29"/>
  <c r="G20" i="29"/>
  <c r="G107" i="31"/>
  <c r="G23" i="29"/>
  <c r="G21" i="29"/>
  <c r="G104" i="31" s="1"/>
  <c r="G120" i="31" s="1"/>
  <c r="G89" i="31"/>
  <c r="G90" i="31"/>
  <c r="G163" i="31" s="1"/>
  <c r="G27" i="31"/>
  <c r="G62" i="14"/>
  <c r="G50" i="19" s="1"/>
  <c r="G242" i="19" s="1"/>
  <c r="G37" i="14"/>
  <c r="G25" i="19" s="1"/>
  <c r="G217" i="19" s="1"/>
  <c r="G94" i="14"/>
  <c r="G82" i="19" s="1"/>
  <c r="G274" i="19" s="1"/>
  <c r="G44" i="14"/>
  <c r="G32" i="19" s="1"/>
  <c r="G224" i="19" s="1"/>
  <c r="G83" i="14"/>
  <c r="G71" i="19" s="1"/>
  <c r="G263" i="19" s="1"/>
  <c r="G78" i="14"/>
  <c r="G66" i="19" s="1"/>
  <c r="G258" i="19" s="1"/>
  <c r="G39" i="14"/>
  <c r="G27" i="19" s="1"/>
  <c r="G219" i="19" s="1"/>
  <c r="G99" i="14"/>
  <c r="G87" i="19" s="1"/>
  <c r="G279" i="19" s="1"/>
  <c r="G38" i="14"/>
  <c r="G26" i="19" s="1"/>
  <c r="G218" i="19" s="1"/>
  <c r="G43" i="14"/>
  <c r="G31" i="19" s="1"/>
  <c r="G223" i="19" s="1"/>
  <c r="G80" i="14"/>
  <c r="G68" i="19" s="1"/>
  <c r="G260" i="19" s="1"/>
  <c r="G61" i="14"/>
  <c r="G49" i="19" s="1"/>
  <c r="G241" i="19" s="1"/>
  <c r="G66" i="14"/>
  <c r="G54" i="19" s="1"/>
  <c r="G246" i="19" s="1"/>
  <c r="G84" i="14"/>
  <c r="G72" i="19" s="1"/>
  <c r="G264" i="19" s="1"/>
  <c r="G79" i="14"/>
  <c r="G67" i="19" s="1"/>
  <c r="G259" i="19" s="1"/>
  <c r="G90" i="14"/>
  <c r="G78" i="19" s="1"/>
  <c r="G270" i="19" s="1"/>
  <c r="G47" i="14"/>
  <c r="G35" i="19" s="1"/>
  <c r="G86" i="14"/>
  <c r="G74" i="19" s="1"/>
  <c r="G266" i="19" s="1"/>
  <c r="G31" i="14"/>
  <c r="G19" i="19" s="1"/>
  <c r="G211" i="19" s="1"/>
  <c r="G64" i="14"/>
  <c r="G52" i="19" s="1"/>
  <c r="G244" i="19" s="1"/>
  <c r="G23" i="14"/>
  <c r="G63" i="14"/>
  <c r="G51" i="19" s="1"/>
  <c r="G243" i="19" s="1"/>
  <c r="G35" i="14"/>
  <c r="G23" i="19" s="1"/>
  <c r="G215" i="19" s="1"/>
  <c r="G92" i="14"/>
  <c r="G80" i="19" s="1"/>
  <c r="G272" i="19" s="1"/>
  <c r="G32" i="14"/>
  <c r="G20" i="19" s="1"/>
  <c r="G212" i="19" s="1"/>
  <c r="G26" i="14"/>
  <c r="G14" i="19" s="1"/>
  <c r="G206" i="19" s="1"/>
  <c r="G50" i="14"/>
  <c r="G38" i="19" s="1"/>
  <c r="G230" i="19" s="1"/>
  <c r="G103" i="14"/>
  <c r="G91" i="19" s="1"/>
  <c r="G283" i="19" s="1"/>
  <c r="G102" i="14"/>
  <c r="G90" i="19" s="1"/>
  <c r="G282" i="19" s="1"/>
  <c r="G67" i="14"/>
  <c r="G55" i="19" s="1"/>
  <c r="G247" i="19" s="1"/>
  <c r="G72" i="14"/>
  <c r="G60" i="19" s="1"/>
  <c r="G252" i="19" s="1"/>
  <c r="G91" i="14"/>
  <c r="G79" i="19" s="1"/>
  <c r="G271" i="19" s="1"/>
  <c r="G41" i="14"/>
  <c r="G29" i="19" s="1"/>
  <c r="G106" i="14"/>
  <c r="G94" i="19" s="1"/>
  <c r="G286" i="19" s="1"/>
  <c r="G24" i="14"/>
  <c r="G12" i="19" s="1"/>
  <c r="G204" i="19" s="1"/>
  <c r="G42" i="14"/>
  <c r="G30" i="19" s="1"/>
  <c r="G222" i="19" s="1"/>
  <c r="G85" i="14"/>
  <c r="G73" i="19" s="1"/>
  <c r="G265" i="19" s="1"/>
  <c r="G52" i="14"/>
  <c r="G40" i="19" s="1"/>
  <c r="G71" i="14"/>
  <c r="G59" i="19" s="1"/>
  <c r="G251" i="19" s="1"/>
  <c r="G95" i="14"/>
  <c r="G83" i="19" s="1"/>
  <c r="G275" i="19" s="1"/>
  <c r="G45" i="14"/>
  <c r="G33" i="19" s="1"/>
  <c r="G225" i="19" s="1"/>
  <c r="G70" i="14"/>
  <c r="G58" i="19" s="1"/>
  <c r="G250" i="19" s="1"/>
  <c r="G87" i="14"/>
  <c r="G75" i="19" s="1"/>
  <c r="G267" i="19" s="1"/>
  <c r="G56" i="14"/>
  <c r="G44" i="19" s="1"/>
  <c r="G100" i="14"/>
  <c r="G88" i="19" s="1"/>
  <c r="G280" i="19" s="1"/>
  <c r="G40" i="14"/>
  <c r="G28" i="19" s="1"/>
  <c r="G220" i="19" s="1"/>
  <c r="G89" i="14"/>
  <c r="G77" i="19" s="1"/>
  <c r="G269" i="19" s="1"/>
  <c r="G74" i="14"/>
  <c r="G62" i="19" s="1"/>
  <c r="G254" i="19" s="1"/>
  <c r="G104" i="14"/>
  <c r="G92" i="19" s="1"/>
  <c r="G284" i="19" s="1"/>
  <c r="G51" i="14"/>
  <c r="G39" i="19" s="1"/>
  <c r="G231" i="19" s="1"/>
  <c r="G68" i="14"/>
  <c r="G56" i="19" s="1"/>
  <c r="G248" i="19" s="1"/>
  <c r="G75" i="14"/>
  <c r="G63" i="19" s="1"/>
  <c r="G255" i="19" s="1"/>
  <c r="G76" i="14"/>
  <c r="G64" i="19" s="1"/>
  <c r="G256" i="19" s="1"/>
  <c r="G97" i="14"/>
  <c r="G85" i="19" s="1"/>
  <c r="G277" i="19" s="1"/>
  <c r="G46" i="14"/>
  <c r="G34" i="19" s="1"/>
  <c r="G226" i="19" s="1"/>
  <c r="G93" i="14"/>
  <c r="G81" i="19" s="1"/>
  <c r="G273" i="19" s="1"/>
  <c r="G60" i="14"/>
  <c r="G48" i="19" s="1"/>
  <c r="G240" i="19" s="1"/>
  <c r="G57" i="14"/>
  <c r="G45" i="19" s="1"/>
  <c r="G237" i="19" s="1"/>
  <c r="G54" i="14"/>
  <c r="G42" i="19" s="1"/>
  <c r="G234" i="19" s="1"/>
  <c r="G29" i="14"/>
  <c r="G17" i="19" s="1"/>
  <c r="G209" i="19" s="1"/>
  <c r="G69" i="14"/>
  <c r="G57" i="19" s="1"/>
  <c r="G249" i="19" s="1"/>
  <c r="G53" i="14"/>
  <c r="G41" i="19" s="1"/>
  <c r="G233" i="19" s="1"/>
  <c r="G81" i="14"/>
  <c r="G69" i="19" s="1"/>
  <c r="G261" i="19" s="1"/>
  <c r="G101" i="14"/>
  <c r="G89" i="19" s="1"/>
  <c r="G281" i="19" s="1"/>
  <c r="G27" i="14"/>
  <c r="G15" i="19" s="1"/>
  <c r="G207" i="19" s="1"/>
  <c r="G30" i="14"/>
  <c r="G18" i="19" s="1"/>
  <c r="G210" i="19" s="1"/>
  <c r="G77" i="14"/>
  <c r="G65" i="19" s="1"/>
  <c r="G257" i="19" s="1"/>
  <c r="G105" i="14"/>
  <c r="G93" i="19" s="1"/>
  <c r="G285" i="19" s="1"/>
  <c r="G65" i="14"/>
  <c r="G53" i="19" s="1"/>
  <c r="G245" i="19" s="1"/>
  <c r="G59" i="14"/>
  <c r="G47" i="19" s="1"/>
  <c r="G239" i="19" s="1"/>
  <c r="G96" i="14"/>
  <c r="G84" i="19" s="1"/>
  <c r="G276" i="19" s="1"/>
  <c r="G88" i="14"/>
  <c r="G76" i="19" s="1"/>
  <c r="G268" i="19" s="1"/>
  <c r="G25" i="14"/>
  <c r="G13" i="19" s="1"/>
  <c r="G205" i="19" s="1"/>
  <c r="G48" i="14"/>
  <c r="G36" i="19" s="1"/>
  <c r="G228" i="19" s="1"/>
  <c r="G82" i="14"/>
  <c r="G70" i="19" s="1"/>
  <c r="G262" i="19" s="1"/>
  <c r="G107" i="14"/>
  <c r="G95" i="19" s="1"/>
  <c r="G287" i="19" s="1"/>
  <c r="G34" i="14"/>
  <c r="G22" i="19" s="1"/>
  <c r="G214" i="19" s="1"/>
  <c r="G98" i="14"/>
  <c r="G86" i="19" s="1"/>
  <c r="G278" i="19" s="1"/>
  <c r="G36" i="14"/>
  <c r="G24" i="19" s="1"/>
  <c r="G216" i="19" s="1"/>
  <c r="G49" i="14"/>
  <c r="G37" i="19" s="1"/>
  <c r="G55" i="14"/>
  <c r="G43" i="19" s="1"/>
  <c r="G235" i="19" s="1"/>
  <c r="G28" i="14"/>
  <c r="G16" i="19" s="1"/>
  <c r="G208" i="19" s="1"/>
  <c r="G58" i="14"/>
  <c r="G46" i="19" s="1"/>
  <c r="G73" i="14"/>
  <c r="G61" i="19" s="1"/>
  <c r="G253" i="19" s="1"/>
  <c r="G33" i="14"/>
  <c r="G21" i="19" s="1"/>
  <c r="G236" i="19" l="1"/>
  <c r="G524" i="19"/>
  <c r="G232" i="19"/>
  <c r="G520" i="19"/>
  <c r="G98" i="31"/>
  <c r="G123" i="31" s="1"/>
  <c r="G96" i="31"/>
  <c r="G121" i="31" s="1"/>
  <c r="G124" i="31" s="1"/>
  <c r="G517" i="19"/>
  <c r="G229" i="19"/>
  <c r="G501" i="19"/>
  <c r="G213" i="19"/>
  <c r="G451" i="19" s="1"/>
  <c r="G547" i="19" s="1"/>
  <c r="G238" i="19"/>
  <c r="G526" i="19"/>
  <c r="G221" i="19"/>
  <c r="G509" i="19"/>
  <c r="G222" i="31"/>
  <c r="G258" i="21"/>
  <c r="G28" i="31"/>
  <c r="G11" i="19"/>
  <c r="G203" i="19" s="1"/>
  <c r="G227" i="19"/>
  <c r="G515" i="19"/>
  <c r="G411" i="19"/>
  <c r="G507" i="19" s="1"/>
  <c r="G434" i="19"/>
  <c r="G530" i="19" s="1"/>
  <c r="G106" i="31"/>
  <c r="G122" i="31" s="1"/>
  <c r="G125" i="31" s="1"/>
  <c r="G419" i="19" l="1"/>
  <c r="G452" i="19"/>
  <c r="G548" i="19" s="1"/>
  <c r="G466" i="19"/>
  <c r="G562" i="19" s="1"/>
  <c r="G470" i="19"/>
  <c r="G566" i="19" s="1"/>
  <c r="G455" i="19"/>
  <c r="G551" i="19" s="1"/>
  <c r="G410" i="19"/>
  <c r="G506" i="19" s="1"/>
  <c r="G438" i="19"/>
  <c r="G534" i="19" s="1"/>
  <c r="G403" i="19"/>
  <c r="G499" i="19" s="1"/>
  <c r="G404" i="19"/>
  <c r="G500" i="19" s="1"/>
  <c r="G474" i="19"/>
  <c r="G570" i="19" s="1"/>
  <c r="G396" i="19"/>
  <c r="G492" i="19" s="1"/>
  <c r="G443" i="19"/>
  <c r="G539" i="19" s="1"/>
  <c r="G459" i="19"/>
  <c r="G555" i="19" s="1"/>
  <c r="G461" i="19"/>
  <c r="G557" i="19" s="1"/>
  <c r="G440" i="19"/>
  <c r="G536" i="19" s="1"/>
  <c r="G418" i="19"/>
  <c r="G514" i="19" s="1"/>
  <c r="G426" i="19"/>
  <c r="G522" i="19" s="1"/>
  <c r="G453" i="19"/>
  <c r="G549" i="19" s="1"/>
  <c r="G449" i="19"/>
  <c r="G545" i="19" s="1"/>
  <c r="G468" i="19"/>
  <c r="G564" i="19" s="1"/>
  <c r="G454" i="19"/>
  <c r="G550" i="19" s="1"/>
  <c r="G408" i="19"/>
  <c r="G504" i="19" s="1"/>
  <c r="G405" i="19"/>
  <c r="G421" i="19"/>
  <c r="G400" i="19"/>
  <c r="G496" i="19" s="1"/>
  <c r="G409" i="19"/>
  <c r="G505" i="19" s="1"/>
  <c r="G450" i="19"/>
  <c r="G546" i="19" s="1"/>
  <c r="G415" i="19"/>
  <c r="G511" i="19" s="1"/>
  <c r="G456" i="19"/>
  <c r="G552" i="19" s="1"/>
  <c r="G458" i="19"/>
  <c r="G554" i="19" s="1"/>
  <c r="G435" i="19"/>
  <c r="G531" i="19" s="1"/>
  <c r="G398" i="19"/>
  <c r="G494" i="19" s="1"/>
  <c r="G439" i="19"/>
  <c r="G535" i="19" s="1"/>
  <c r="G478" i="19"/>
  <c r="G574" i="19" s="1"/>
  <c r="G467" i="19"/>
  <c r="G563" i="19" s="1"/>
  <c r="G412" i="19"/>
  <c r="G508" i="19" s="1"/>
  <c r="G423" i="19"/>
  <c r="G519" i="19" s="1"/>
  <c r="G469" i="19"/>
  <c r="G565" i="19" s="1"/>
  <c r="G429" i="19"/>
  <c r="G525" i="19" s="1"/>
  <c r="G425" i="19"/>
  <c r="G521" i="19" s="1"/>
  <c r="G402" i="19"/>
  <c r="G498" i="19" s="1"/>
  <c r="G431" i="19"/>
  <c r="G527" i="19" s="1"/>
  <c r="G420" i="19"/>
  <c r="G516" i="19" s="1"/>
  <c r="G46" i="18"/>
  <c r="G44" i="18"/>
  <c r="G391" i="19"/>
  <c r="G43" i="18"/>
  <c r="G394" i="19"/>
  <c r="G490" i="19" s="1"/>
  <c r="G585" i="19" s="1"/>
  <c r="G47" i="18"/>
  <c r="G173" i="31"/>
  <c r="G395" i="19"/>
  <c r="G491" i="19" s="1"/>
  <c r="G393" i="19"/>
  <c r="G489" i="19" s="1"/>
  <c r="G584" i="19" s="1"/>
  <c r="G45" i="18"/>
  <c r="G57" i="31"/>
  <c r="G392" i="19"/>
  <c r="G488" i="19" s="1"/>
  <c r="G261" i="21"/>
  <c r="G264" i="21"/>
  <c r="G263" i="21"/>
  <c r="G259" i="21"/>
  <c r="G260" i="21"/>
  <c r="G262" i="21"/>
  <c r="G407" i="19"/>
  <c r="G503" i="19" s="1"/>
  <c r="G422" i="19"/>
  <c r="G518" i="19" s="1"/>
  <c r="G444" i="19"/>
  <c r="G540" i="19" s="1"/>
  <c r="G413" i="19"/>
  <c r="G457" i="19"/>
  <c r="G553" i="19" s="1"/>
  <c r="G417" i="19"/>
  <c r="G513" i="19" s="1"/>
  <c r="G472" i="19"/>
  <c r="G568" i="19" s="1"/>
  <c r="G476" i="19"/>
  <c r="G572" i="19" s="1"/>
  <c r="G448" i="19"/>
  <c r="G544" i="19" s="1"/>
  <c r="G432" i="19"/>
  <c r="G528" i="19" s="1"/>
  <c r="G441" i="19"/>
  <c r="G537" i="19" s="1"/>
  <c r="G399" i="19"/>
  <c r="G495" i="19" s="1"/>
  <c r="G437" i="19"/>
  <c r="G533" i="19" s="1"/>
  <c r="G397" i="19"/>
  <c r="G493" i="19" s="1"/>
  <c r="G406" i="19"/>
  <c r="G502" i="19" s="1"/>
  <c r="G427" i="19"/>
  <c r="G523" i="19" s="1"/>
  <c r="G430" i="19"/>
  <c r="G416" i="19"/>
  <c r="G512" i="19" s="1"/>
  <c r="G471" i="19"/>
  <c r="G567" i="19" s="1"/>
  <c r="G433" i="19"/>
  <c r="G529" i="19" s="1"/>
  <c r="G462" i="19"/>
  <c r="G558" i="19" s="1"/>
  <c r="G436" i="19"/>
  <c r="G532" i="19" s="1"/>
  <c r="G464" i="19"/>
  <c r="G560" i="19" s="1"/>
  <c r="G475" i="19"/>
  <c r="G571" i="19" s="1"/>
  <c r="G463" i="19"/>
  <c r="G559" i="19" s="1"/>
  <c r="G414" i="19"/>
  <c r="G510" i="19" s="1"/>
  <c r="G424" i="19"/>
  <c r="G442" i="19"/>
  <c r="G538" i="19" s="1"/>
  <c r="G428" i="19"/>
  <c r="G446" i="19"/>
  <c r="G542" i="19" s="1"/>
  <c r="G447" i="19"/>
  <c r="G543" i="19" s="1"/>
  <c r="G465" i="19"/>
  <c r="G561" i="19" s="1"/>
  <c r="G401" i="19"/>
  <c r="G497" i="19" s="1"/>
  <c r="G473" i="19"/>
  <c r="G569" i="19" s="1"/>
  <c r="G477" i="19"/>
  <c r="G573" i="19" s="1"/>
  <c r="G460" i="19"/>
  <c r="G556" i="19" s="1"/>
  <c r="G479" i="19"/>
  <c r="G575" i="19" s="1"/>
  <c r="G445" i="19"/>
  <c r="G541" i="19" s="1"/>
  <c r="G155" i="31" l="1"/>
  <c r="G59" i="31"/>
  <c r="G60" i="31" s="1"/>
  <c r="G13" i="21"/>
  <c r="G115" i="21" s="1"/>
  <c r="G12" i="21"/>
  <c r="G114" i="21" s="1"/>
  <c r="G31" i="21"/>
  <c r="G133" i="21" s="1"/>
  <c r="G16" i="21"/>
  <c r="G118" i="21" s="1"/>
  <c r="G14" i="21"/>
  <c r="G116" i="21" s="1"/>
  <c r="G15" i="21"/>
  <c r="G117" i="21" s="1"/>
  <c r="G32" i="21"/>
  <c r="G134" i="21" s="1"/>
  <c r="G602" i="19"/>
  <c r="G636" i="19" s="1"/>
  <c r="G595" i="19"/>
  <c r="G629" i="19" s="1"/>
  <c r="G596" i="19"/>
  <c r="G630" i="19" s="1"/>
  <c r="G603" i="19"/>
  <c r="G637" i="19" s="1"/>
  <c r="G33" i="21"/>
  <c r="G135" i="21" s="1"/>
  <c r="G18" i="21"/>
  <c r="G120" i="21" s="1"/>
  <c r="G17" i="21"/>
  <c r="G119" i="21" s="1"/>
  <c r="G228" i="31"/>
  <c r="G487" i="19"/>
  <c r="G583" i="19" s="1"/>
  <c r="G58" i="18"/>
  <c r="G70" i="18" s="1"/>
  <c r="G81" i="18" s="1"/>
  <c r="G170" i="31"/>
  <c r="G186" i="31" s="1"/>
  <c r="G57" i="18"/>
  <c r="G586" i="19"/>
  <c r="G59" i="18"/>
  <c r="G71" i="18" s="1"/>
  <c r="G82" i="18" s="1"/>
  <c r="G55" i="18"/>
  <c r="G67" i="18" s="1"/>
  <c r="G56" i="18"/>
  <c r="G68" i="18" s="1"/>
  <c r="G172" i="31" l="1"/>
  <c r="G188" i="31" s="1"/>
  <c r="G19" i="20"/>
  <c r="G100" i="20" s="1"/>
  <c r="G93" i="18"/>
  <c r="G127" i="18" s="1"/>
  <c r="G227" i="31"/>
  <c r="G69" i="18"/>
  <c r="G80" i="18" s="1"/>
  <c r="G9" i="21"/>
  <c r="G111" i="21" s="1"/>
  <c r="G30" i="21"/>
  <c r="G132" i="21" s="1"/>
  <c r="G601" i="19"/>
  <c r="G635" i="19" s="1"/>
  <c r="G7" i="21"/>
  <c r="G109" i="21" s="1"/>
  <c r="G594" i="19"/>
  <c r="G628" i="19" s="1"/>
  <c r="G671" i="19" s="1"/>
  <c r="G705" i="19" s="1"/>
  <c r="G11" i="21"/>
  <c r="G113" i="21" s="1"/>
  <c r="G10" i="21"/>
  <c r="G112" i="21" s="1"/>
  <c r="G29" i="21"/>
  <c r="G131" i="21" s="1"/>
  <c r="G8" i="21"/>
  <c r="G110" i="21" s="1"/>
  <c r="G187" i="21"/>
  <c r="G203" i="21"/>
  <c r="G185" i="21"/>
  <c r="G186" i="21"/>
  <c r="G182" i="21"/>
  <c r="G79" i="18"/>
  <c r="G597" i="19"/>
  <c r="G631" i="19" s="1"/>
  <c r="G665" i="19" s="1"/>
  <c r="G699" i="19" s="1"/>
  <c r="G21" i="21"/>
  <c r="G123" i="21" s="1"/>
  <c r="G23" i="21"/>
  <c r="G125" i="21" s="1"/>
  <c r="G20" i="21"/>
  <c r="G122" i="21" s="1"/>
  <c r="G19" i="21"/>
  <c r="G121" i="21" s="1"/>
  <c r="G22" i="21"/>
  <c r="G124" i="21" s="1"/>
  <c r="G25" i="21"/>
  <c r="G127" i="21" s="1"/>
  <c r="G24" i="21"/>
  <c r="G126" i="21" s="1"/>
  <c r="G92" i="18"/>
  <c r="G126" i="18" s="1"/>
  <c r="G99" i="18"/>
  <c r="G133" i="18" s="1"/>
  <c r="G17" i="20"/>
  <c r="G98" i="20" s="1"/>
  <c r="G26" i="20"/>
  <c r="G107" i="20" s="1"/>
  <c r="G18" i="20"/>
  <c r="G99" i="20" s="1"/>
  <c r="G230" i="31"/>
  <c r="G246" i="31" s="1"/>
  <c r="G244" i="31"/>
  <c r="G188" i="21"/>
  <c r="G202" i="21"/>
  <c r="G184" i="21"/>
  <c r="G201" i="21"/>
  <c r="G183" i="21"/>
  <c r="G156" i="31"/>
  <c r="G164" i="31"/>
  <c r="G189" i="31" s="1"/>
  <c r="G162" i="31"/>
  <c r="G191" i="31" l="1"/>
  <c r="G663" i="19"/>
  <c r="G697" i="19" s="1"/>
  <c r="G187" i="31"/>
  <c r="G190" i="31" s="1"/>
  <c r="G165" i="31"/>
  <c r="G161" i="20"/>
  <c r="G194" i="21"/>
  <c r="G192" i="21"/>
  <c r="G190" i="21"/>
  <c r="G191" i="21"/>
  <c r="G97" i="18"/>
  <c r="G131" i="18" s="1"/>
  <c r="G8" i="20"/>
  <c r="G89" i="20" s="1"/>
  <c r="G143" i="20" s="1"/>
  <c r="G10" i="20"/>
  <c r="G91" i="20" s="1"/>
  <c r="G23" i="20"/>
  <c r="G104" i="20" s="1"/>
  <c r="G9" i="20"/>
  <c r="G90" i="20" s="1"/>
  <c r="G90" i="18"/>
  <c r="G124" i="18" s="1"/>
  <c r="G11" i="20"/>
  <c r="G92" i="20" s="1"/>
  <c r="G7" i="20"/>
  <c r="G88" i="20" s="1"/>
  <c r="G24" i="20"/>
  <c r="G105" i="20" s="1"/>
  <c r="G670" i="19"/>
  <c r="G704" i="19" s="1"/>
  <c r="G199" i="21"/>
  <c r="G181" i="21"/>
  <c r="G177" i="21"/>
  <c r="G200" i="21"/>
  <c r="G15" i="20"/>
  <c r="G96" i="20" s="1"/>
  <c r="G25" i="20"/>
  <c r="G106" i="20" s="1"/>
  <c r="G91" i="18"/>
  <c r="G125" i="18" s="1"/>
  <c r="G13" i="20"/>
  <c r="G94" i="20" s="1"/>
  <c r="G14" i="20"/>
  <c r="G95" i="20" s="1"/>
  <c r="G98" i="18"/>
  <c r="G132" i="18" s="1"/>
  <c r="G12" i="20"/>
  <c r="G93" i="20" s="1"/>
  <c r="G16" i="20"/>
  <c r="G97" i="20" s="1"/>
  <c r="G153" i="20"/>
  <c r="G152" i="20"/>
  <c r="G160" i="18"/>
  <c r="G177" i="18" s="1"/>
  <c r="G195" i="21"/>
  <c r="G189" i="21"/>
  <c r="G193" i="21"/>
  <c r="G664" i="19"/>
  <c r="G698" i="19" s="1"/>
  <c r="G178" i="21"/>
  <c r="G180" i="21"/>
  <c r="G662" i="19"/>
  <c r="G696" i="19" s="1"/>
  <c r="G669" i="19"/>
  <c r="G703" i="19" s="1"/>
  <c r="G179" i="21"/>
  <c r="G229" i="31"/>
  <c r="G245" i="31" s="1"/>
  <c r="G248" i="31" s="1"/>
  <c r="L8" i="31" s="1"/>
  <c r="G243" i="31"/>
  <c r="G247" i="31" s="1"/>
  <c r="L7" i="31" s="1"/>
  <c r="G231" i="31"/>
  <c r="G154" i="20"/>
  <c r="G166" i="18" l="1"/>
  <c r="G183" i="18" s="1"/>
  <c r="G161" i="18"/>
  <c r="G178" i="18" s="1"/>
  <c r="G706" i="19"/>
  <c r="G707" i="19" s="1"/>
  <c r="G151" i="20"/>
  <c r="G148" i="20"/>
  <c r="G160" i="20"/>
  <c r="G142" i="20"/>
  <c r="G158" i="18"/>
  <c r="G175" i="18" s="1"/>
  <c r="G158" i="20"/>
  <c r="G147" i="20"/>
  <c r="G149" i="20"/>
  <c r="G159" i="18"/>
  <c r="G176" i="18" s="1"/>
  <c r="G150" i="20"/>
  <c r="G204" i="21"/>
  <c r="G159" i="20"/>
  <c r="G146" i="20"/>
  <c r="G144" i="20"/>
  <c r="G145" i="20"/>
  <c r="G165" i="18"/>
  <c r="G182" i="18" s="1"/>
  <c r="G167" i="18"/>
  <c r="G184" i="18" s="1"/>
  <c r="G185" i="18" l="1"/>
  <c r="G186" i="18" s="1"/>
  <c r="G217" i="21"/>
  <c r="J23" i="55" s="1"/>
  <c r="I23" i="51" s="1"/>
  <c r="G223" i="21"/>
  <c r="G222" i="21"/>
  <c r="J28" i="55" s="1"/>
  <c r="I28" i="51" s="1"/>
  <c r="G238" i="21"/>
  <c r="G306" i="21" s="1"/>
  <c r="G220" i="21"/>
  <c r="G221" i="21"/>
  <c r="G237" i="21"/>
  <c r="G305" i="21" s="1"/>
  <c r="G219" i="21"/>
  <c r="G236" i="21"/>
  <c r="G304" i="21" s="1"/>
  <c r="G218" i="21"/>
  <c r="G212" i="21"/>
  <c r="J18" i="55" s="1"/>
  <c r="G235" i="21"/>
  <c r="G303" i="21" s="1"/>
  <c r="G230" i="21"/>
  <c r="G213" i="21"/>
  <c r="G215" i="21"/>
  <c r="G214" i="21"/>
  <c r="G229" i="21"/>
  <c r="G227" i="21"/>
  <c r="G225" i="21"/>
  <c r="G226" i="21"/>
  <c r="G234" i="21"/>
  <c r="G302" i="21" s="1"/>
  <c r="G216" i="21"/>
  <c r="G224" i="21"/>
  <c r="J30" i="55" s="1"/>
  <c r="G228" i="21"/>
  <c r="G162" i="20"/>
  <c r="G284" i="21" l="1"/>
  <c r="J22" i="55"/>
  <c r="G282" i="21"/>
  <c r="J20" i="55"/>
  <c r="I30" i="51"/>
  <c r="U64" i="55"/>
  <c r="G286" i="21"/>
  <c r="J24" i="55"/>
  <c r="I24" i="51" s="1"/>
  <c r="G294" i="21"/>
  <c r="J32" i="55"/>
  <c r="G295" i="21"/>
  <c r="J33" i="55"/>
  <c r="G297" i="21"/>
  <c r="J35" i="55"/>
  <c r="G283" i="21"/>
  <c r="J21" i="55"/>
  <c r="G293" i="21"/>
  <c r="J31" i="55"/>
  <c r="G289" i="21"/>
  <c r="J27" i="55"/>
  <c r="I27" i="51" s="1"/>
  <c r="G288" i="21"/>
  <c r="J26" i="55"/>
  <c r="I26" i="51" s="1"/>
  <c r="G281" i="21"/>
  <c r="J19" i="55"/>
  <c r="G291" i="21"/>
  <c r="J29" i="55"/>
  <c r="I29" i="51" s="1"/>
  <c r="G298" i="21"/>
  <c r="J36" i="55"/>
  <c r="I18" i="51"/>
  <c r="U52" i="55"/>
  <c r="G287" i="21"/>
  <c r="J25" i="55"/>
  <c r="I25" i="51" s="1"/>
  <c r="G296" i="21"/>
  <c r="J34" i="55"/>
  <c r="G171" i="20"/>
  <c r="G181" i="20"/>
  <c r="G182" i="20"/>
  <c r="J17" i="55" s="1"/>
  <c r="G189" i="20"/>
  <c r="G216" i="20" s="1"/>
  <c r="G180" i="20"/>
  <c r="J15" i="55" s="1"/>
  <c r="I15" i="51" s="1"/>
  <c r="G170" i="20"/>
  <c r="J5" i="55" s="1"/>
  <c r="G175" i="20"/>
  <c r="J10" i="55" s="1"/>
  <c r="G177" i="20"/>
  <c r="G187" i="20"/>
  <c r="G214" i="20" s="1"/>
  <c r="G174" i="20"/>
  <c r="G172" i="20"/>
  <c r="G173" i="20"/>
  <c r="G179" i="20"/>
  <c r="G176" i="20"/>
  <c r="G188" i="20"/>
  <c r="G215" i="20" s="1"/>
  <c r="G186" i="20"/>
  <c r="G213" i="20" s="1"/>
  <c r="G178" i="20"/>
  <c r="G13" i="38"/>
  <c r="G292" i="21"/>
  <c r="G10" i="38"/>
  <c r="G280" i="21"/>
  <c r="G290" i="21"/>
  <c r="G12" i="38"/>
  <c r="G11" i="38"/>
  <c r="G285" i="21"/>
  <c r="G203" i="20" l="1"/>
  <c r="J11" i="55"/>
  <c r="G206" i="20"/>
  <c r="J14" i="55"/>
  <c r="G200" i="20"/>
  <c r="J8" i="55"/>
  <c r="G199" i="20"/>
  <c r="J7" i="55"/>
  <c r="G198" i="20"/>
  <c r="J6" i="55"/>
  <c r="I31" i="51"/>
  <c r="U65" i="55"/>
  <c r="I5" i="51"/>
  <c r="U39" i="55"/>
  <c r="I36" i="51"/>
  <c r="U70" i="55"/>
  <c r="I21" i="51"/>
  <c r="U55" i="55"/>
  <c r="I20" i="51"/>
  <c r="U54" i="55"/>
  <c r="I19" i="51"/>
  <c r="U53" i="55"/>
  <c r="G201" i="20"/>
  <c r="J9" i="55"/>
  <c r="G204" i="20"/>
  <c r="J12" i="55"/>
  <c r="I33" i="51"/>
  <c r="U67" i="55"/>
  <c r="I34" i="51"/>
  <c r="U68" i="55"/>
  <c r="I32" i="51"/>
  <c r="U66" i="55"/>
  <c r="I10" i="51"/>
  <c r="U44" i="55"/>
  <c r="G205" i="20"/>
  <c r="J13" i="55"/>
  <c r="I35" i="51"/>
  <c r="U69" i="55"/>
  <c r="I22" i="51"/>
  <c r="U56" i="55"/>
  <c r="G208" i="20"/>
  <c r="J16" i="55"/>
  <c r="I16" i="51" s="1"/>
  <c r="I17" i="51"/>
  <c r="U51" i="55"/>
  <c r="G8" i="31"/>
  <c r="G307" i="21"/>
  <c r="G6" i="38"/>
  <c r="G197" i="20"/>
  <c r="G202" i="20"/>
  <c r="G7" i="38"/>
  <c r="G7" i="31"/>
  <c r="G8" i="38"/>
  <c r="G207" i="20"/>
  <c r="G9" i="38"/>
  <c r="G209" i="20"/>
  <c r="I13" i="51" l="1"/>
  <c r="U47" i="55"/>
  <c r="I14" i="51"/>
  <c r="U48" i="55"/>
  <c r="I8" i="51"/>
  <c r="U42" i="55"/>
  <c r="I12" i="51"/>
  <c r="U46" i="55"/>
  <c r="I11" i="51"/>
  <c r="U45" i="55"/>
  <c r="I9" i="51"/>
  <c r="U43" i="55"/>
  <c r="I6" i="51"/>
  <c r="U40" i="55"/>
  <c r="I7" i="51"/>
  <c r="U41" i="55"/>
  <c r="G11" i="31"/>
  <c r="L4" i="31" s="1"/>
  <c r="L10" i="31" s="1"/>
  <c r="G308" i="21"/>
  <c r="G10" i="31"/>
  <c r="G217" i="20"/>
  <c r="G9" i="31" l="1"/>
  <c r="G12" i="31" s="1"/>
  <c r="L5" i="31" s="1"/>
  <c r="L11" i="31" s="1"/>
  <c r="L12" i="31" s="1"/>
  <c r="G218" i="20"/>
  <c r="G199" i="31"/>
  <c r="G133" i="31"/>
  <c r="G35" i="31"/>
  <c r="G256" i="31"/>
  <c r="G67" i="31"/>
  <c r="G13" i="31" l="1"/>
  <c r="G36" i="31"/>
  <c r="G44" i="31" s="1"/>
  <c r="G68" i="31"/>
  <c r="G76" i="31" s="1"/>
  <c r="G134" i="31"/>
  <c r="G142" i="31" s="1"/>
  <c r="G200" i="31"/>
  <c r="G208" i="31" s="1"/>
  <c r="G257" i="31"/>
  <c r="G265" i="3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Horta (ERSE)</author>
  </authors>
  <commentList>
    <comment ref="H2" authorId="0" shapeId="0" xr:uid="{9DAE9D1C-5F09-44E2-ACA4-68FB10283FCA}">
      <text>
        <r>
          <rPr>
            <b/>
            <sz val="9"/>
            <color indexed="81"/>
            <rFont val="Tahoma"/>
            <family val="2"/>
          </rPr>
          <t>Valores desta coluna colados manulamente do ano anterior.</t>
        </r>
      </text>
    </comment>
  </commentList>
</comments>
</file>

<file path=xl/sharedStrings.xml><?xml version="1.0" encoding="utf-8"?>
<sst xmlns="http://schemas.openxmlformats.org/spreadsheetml/2006/main" count="5138" uniqueCount="807">
  <si>
    <t>CTS Campo Maior</t>
  </si>
  <si>
    <t>Exit point</t>
  </si>
  <si>
    <t>Entry point</t>
  </si>
  <si>
    <t>Effective distance, in km</t>
  </si>
  <si>
    <t>Distance, in km</t>
  </si>
  <si>
    <t>Economic value</t>
  </si>
  <si>
    <t>Product</t>
  </si>
  <si>
    <t>Entry</t>
  </si>
  <si>
    <t>VIP</t>
  </si>
  <si>
    <t>Annual</t>
  </si>
  <si>
    <t>Quarterly</t>
  </si>
  <si>
    <t>Monthly</t>
  </si>
  <si>
    <t>Daily</t>
  </si>
  <si>
    <t>Within-day</t>
  </si>
  <si>
    <t>LNG terminal</t>
  </si>
  <si>
    <t>Underground storage</t>
  </si>
  <si>
    <t>Exit</t>
  </si>
  <si>
    <t>Distribution networks and HP customers</t>
  </si>
  <si>
    <t>Long uses</t>
  </si>
  <si>
    <t>HP customers</t>
  </si>
  <si>
    <t>Annual Flexible Tariff - Annual Base Capacity</t>
  </si>
  <si>
    <t>Annual Flexible Tariff - Additional Monthly Capacity (April to September)</t>
  </si>
  <si>
    <t>Flexible Monthly Tariff - Monthly Capacity (October to March)</t>
  </si>
  <si>
    <t>Flexible Monthly Tariff - Monthly Capacity (April to September)</t>
  </si>
  <si>
    <t>Daily Flexible Tariff - Daily Capacity (October to March)</t>
  </si>
  <si>
    <t>Daily Flexible Tariff - Daily Capacity (April to September)</t>
  </si>
  <si>
    <t>Gas producers</t>
  </si>
  <si>
    <t>Used capacity at injection</t>
  </si>
  <si>
    <t>2023-24</t>
  </si>
  <si>
    <t>2024-25</t>
  </si>
  <si>
    <t>2025-26</t>
  </si>
  <si>
    <t>Allowed revenues of the transmission system operator</t>
  </si>
  <si>
    <t>TOTAL</t>
  </si>
  <si>
    <t>2. Demand forecast by entry point</t>
  </si>
  <si>
    <t>3. Demand forecast by exit point</t>
  </si>
  <si>
    <t>2026-27</t>
  </si>
  <si>
    <t>Allowed revenues</t>
  </si>
  <si>
    <t>Entry-exit split</t>
  </si>
  <si>
    <t>Multipliers at entry points</t>
  </si>
  <si>
    <t>Multipliers at exit points</t>
  </si>
  <si>
    <t>Discounts at entry points (interruptible capacity)</t>
  </si>
  <si>
    <t>Discounts at exit points (interruptible capacity)</t>
  </si>
  <si>
    <t>4. Multipliers and discounts</t>
  </si>
  <si>
    <t>5. Parameters for the Reference Price Methodology</t>
  </si>
  <si>
    <t>Economic value factor</t>
  </si>
  <si>
    <t>%</t>
  </si>
  <si>
    <t>Domestic exit points</t>
  </si>
  <si>
    <t>Physical flow factor at entry points</t>
  </si>
  <si>
    <t>Gas routes ending in domestic exit points</t>
  </si>
  <si>
    <t>Other gas routes</t>
  </si>
  <si>
    <t>Physical flow factor at exit points</t>
  </si>
  <si>
    <t>Campo Maior (entry)</t>
  </si>
  <si>
    <t>Valença do Minho (entry)</t>
  </si>
  <si>
    <t>Campo Maior (exit)</t>
  </si>
  <si>
    <t>Valença do Minho (exit)</t>
  </si>
  <si>
    <t>GRMS 01059</t>
  </si>
  <si>
    <t>Setúbal</t>
  </si>
  <si>
    <t>GRMS 01109</t>
  </si>
  <si>
    <t>Seixal</t>
  </si>
  <si>
    <t>GRMS 01119</t>
  </si>
  <si>
    <t>Palmela - BV</t>
  </si>
  <si>
    <t>GRMS 01129</t>
  </si>
  <si>
    <t>GRMS 01139</t>
  </si>
  <si>
    <t>Rio Frio</t>
  </si>
  <si>
    <t>GRMS 01149</t>
  </si>
  <si>
    <t>Alcochete</t>
  </si>
  <si>
    <t>GRMS 01159</t>
  </si>
  <si>
    <t>Barreiro</t>
  </si>
  <si>
    <t>GRMS 01179</t>
  </si>
  <si>
    <t>Benavente - JCT</t>
  </si>
  <si>
    <t>GRMS 01189</t>
  </si>
  <si>
    <t>Castanheira do Ribatejo</t>
  </si>
  <si>
    <t>GRMS 01209</t>
  </si>
  <si>
    <t>Frielas</t>
  </si>
  <si>
    <t>GRMS 01219</t>
  </si>
  <si>
    <t>C.T. Carregado</t>
  </si>
  <si>
    <t>GRMS 01229</t>
  </si>
  <si>
    <t xml:space="preserve"> Loures</t>
  </si>
  <si>
    <t>GRMS 01239</t>
  </si>
  <si>
    <t>Alpriate</t>
  </si>
  <si>
    <t>GRMS 01259</t>
  </si>
  <si>
    <t>Alenquer - ICJCT</t>
  </si>
  <si>
    <t>GRMS 01269</t>
  </si>
  <si>
    <t>GRMS 01279</t>
  </si>
  <si>
    <t>GRMS 01309</t>
  </si>
  <si>
    <t>Cartaxo</t>
  </si>
  <si>
    <t>GRMS 01319</t>
  </si>
  <si>
    <t>Abrigada</t>
  </si>
  <si>
    <t>GRMS 01359</t>
  </si>
  <si>
    <t>Torres Vedras</t>
  </si>
  <si>
    <t>GRMS 01369</t>
  </si>
  <si>
    <t>GRMS 01409</t>
  </si>
  <si>
    <t>Rio Maior</t>
  </si>
  <si>
    <t>GRMS 02069</t>
  </si>
  <si>
    <t>Porto de Mós</t>
  </si>
  <si>
    <t>GRMS 02089</t>
  </si>
  <si>
    <t>Maceira</t>
  </si>
  <si>
    <t>GRMS 02159</t>
  </si>
  <si>
    <t>Leiria</t>
  </si>
  <si>
    <t>GRMS 02509</t>
  </si>
  <si>
    <t>Carriço</t>
  </si>
  <si>
    <t>GRMS 02519</t>
  </si>
  <si>
    <t>Leirosa</t>
  </si>
  <si>
    <t>GRMS 02539</t>
  </si>
  <si>
    <t>GRMS 02549</t>
  </si>
  <si>
    <t>C.C.C. Lares</t>
  </si>
  <si>
    <t>GRMS 02559</t>
  </si>
  <si>
    <t>Pombal - JCT</t>
  </si>
  <si>
    <t>GRMS 02569</t>
  </si>
  <si>
    <t>GRMS 02709</t>
  </si>
  <si>
    <t>Soure</t>
  </si>
  <si>
    <t>GRMS 02719</t>
  </si>
  <si>
    <t>Montemor</t>
  </si>
  <si>
    <t>GRMS 02739</t>
  </si>
  <si>
    <t>Condeixa</t>
  </si>
  <si>
    <t>GRMS 03009</t>
  </si>
  <si>
    <t>Ameal</t>
  </si>
  <si>
    <t>GRMS 03059</t>
  </si>
  <si>
    <t>Coimbra</t>
  </si>
  <si>
    <t>GRMS 03069</t>
  </si>
  <si>
    <t>Souselas</t>
  </si>
  <si>
    <t>GRMS 03109</t>
  </si>
  <si>
    <t>Mealhada</t>
  </si>
  <si>
    <t>GRMS 03169</t>
  </si>
  <si>
    <t>Cantanhede</t>
  </si>
  <si>
    <t>GRMS 03219</t>
  </si>
  <si>
    <t>Oliveira do Bairro</t>
  </si>
  <si>
    <t>GRMS 03229</t>
  </si>
  <si>
    <t>Oiã</t>
  </si>
  <si>
    <t>GRMS 03259</t>
  </si>
  <si>
    <t>Aveiro - GRMS</t>
  </si>
  <si>
    <t>GRMS 03269</t>
  </si>
  <si>
    <t>GRMS 03309</t>
  </si>
  <si>
    <t>Roxico</t>
  </si>
  <si>
    <t>GRMS 03359</t>
  </si>
  <si>
    <t>Estarreja</t>
  </si>
  <si>
    <t>GRMS 03369</t>
  </si>
  <si>
    <t>GRMS 03459</t>
  </si>
  <si>
    <t>Feira - JCT</t>
  </si>
  <si>
    <t>GRMS 03559</t>
  </si>
  <si>
    <t>Fiães</t>
  </si>
  <si>
    <t>GRMS 03609</t>
  </si>
  <si>
    <t>Vila Nova de Gaia</t>
  </si>
  <si>
    <t>GRMS 03619</t>
  </si>
  <si>
    <t>Avintes</t>
  </si>
  <si>
    <t>GRMS 03659</t>
  </si>
  <si>
    <t>C.T. Tapada</t>
  </si>
  <si>
    <t>GRMS 04059</t>
  </si>
  <si>
    <t>Valongo</t>
  </si>
  <si>
    <t>GRMS 04109</t>
  </si>
  <si>
    <t>Maia</t>
  </si>
  <si>
    <t>GRMS 04149</t>
  </si>
  <si>
    <t>Perafita</t>
  </si>
  <si>
    <t>GRMS 04159</t>
  </si>
  <si>
    <t>Santo Tirso</t>
  </si>
  <si>
    <t>GRMS 04209</t>
  </si>
  <si>
    <t>Famalicão</t>
  </si>
  <si>
    <t>GRMS 05009</t>
  </si>
  <si>
    <t>Braga</t>
  </si>
  <si>
    <t>GRMS 05119</t>
  </si>
  <si>
    <t>Barcelos</t>
  </si>
  <si>
    <t>GRMS 05179</t>
  </si>
  <si>
    <t>Viana do Castelo</t>
  </si>
  <si>
    <t>GRMS 05309</t>
  </si>
  <si>
    <t>Ponte de Lima</t>
  </si>
  <si>
    <t>GRMS 05609</t>
  </si>
  <si>
    <t>Vila Nova de Cerveira</t>
  </si>
  <si>
    <t>GRMS 07009</t>
  </si>
  <si>
    <t>Campo Maior</t>
  </si>
  <si>
    <t>GRMS 08009</t>
  </si>
  <si>
    <t>Ponte de Sor</t>
  </si>
  <si>
    <t>GRMS 08109</t>
  </si>
  <si>
    <t>Pego</t>
  </si>
  <si>
    <t>GRMS 08119</t>
  </si>
  <si>
    <t>C.C.C. Pego</t>
  </si>
  <si>
    <t>GRMS 08209</t>
  </si>
  <si>
    <t>Santa Margarida da Coutada</t>
  </si>
  <si>
    <t>GRMS 08309</t>
  </si>
  <si>
    <t>Asseiceira</t>
  </si>
  <si>
    <t>GRMS 08409</t>
  </si>
  <si>
    <t>Sabacheira</t>
  </si>
  <si>
    <t>GRMS 08559</t>
  </si>
  <si>
    <t>Madalena</t>
  </si>
  <si>
    <t>GRMS 10079</t>
  </si>
  <si>
    <t>Portalegre</t>
  </si>
  <si>
    <t>GRMS 10159</t>
  </si>
  <si>
    <t>Vila Velha de Rodão</t>
  </si>
  <si>
    <t>GRMS 10209</t>
  </si>
  <si>
    <t>Castelo Branco</t>
  </si>
  <si>
    <t>GRMS 10309</t>
  </si>
  <si>
    <t>Fundão</t>
  </si>
  <si>
    <t>GRMS 10359</t>
  </si>
  <si>
    <t>Covilhã</t>
  </si>
  <si>
    <t>GRMS 10459</t>
  </si>
  <si>
    <t>Guarda</t>
  </si>
  <si>
    <t>GRMS 11109</t>
  </si>
  <si>
    <t>Mortágua</t>
  </si>
  <si>
    <t>GRMS 11159</t>
  </si>
  <si>
    <t>Santa Comba Dão</t>
  </si>
  <si>
    <t>GRMS 11209</t>
  </si>
  <si>
    <t>Tondela</t>
  </si>
  <si>
    <t>GRMS 11279</t>
  </si>
  <si>
    <t>Viseu</t>
  </si>
  <si>
    <t>GRMS 11309</t>
  </si>
  <si>
    <t>Mangualde</t>
  </si>
  <si>
    <t>GRMS 12209</t>
  </si>
  <si>
    <t>Mitrena</t>
  </si>
  <si>
    <t>GRMS 12609</t>
  </si>
  <si>
    <t>Chaparral</t>
  </si>
  <si>
    <t>GRMS 12619</t>
  </si>
  <si>
    <t>GRMS 12619B</t>
  </si>
  <si>
    <t>Zona Industrial e Logística de Sines (ZILS)</t>
  </si>
  <si>
    <t>GRMS 12629</t>
  </si>
  <si>
    <t>GRMS 12809</t>
  </si>
  <si>
    <t>Sines</t>
  </si>
  <si>
    <t>Type</t>
  </si>
  <si>
    <t>CTS Valença do Minho</t>
  </si>
  <si>
    <t>Interconnection point</t>
  </si>
  <si>
    <t>LNG Terminal Sines</t>
  </si>
  <si>
    <t>Underground storage Carriço</t>
  </si>
  <si>
    <t>Producer</t>
  </si>
  <si>
    <t>Domestic exit</t>
  </si>
  <si>
    <t>1. Forecasted capacity at entry points</t>
  </si>
  <si>
    <t>1. Forecasted capacity at exit points</t>
  </si>
  <si>
    <t>5. Weight of cost at entry points</t>
  </si>
  <si>
    <t>Virtual Interconnection point</t>
  </si>
  <si>
    <t>VIP Iberico</t>
  </si>
  <si>
    <t>5. Weight of cost at exit points</t>
  </si>
  <si>
    <t>HP customers and distribution networks</t>
  </si>
  <si>
    <t>Product of firm capacity</t>
  </si>
  <si>
    <t>Product of interruptible capacity</t>
  </si>
  <si>
    <t>2. Multipliers</t>
  </si>
  <si>
    <t>3. Discounts</t>
  </si>
  <si>
    <t>Without multipliers and without discounts.</t>
  </si>
  <si>
    <t>Includes yearly and short-term products. Includes firm and interruptible capacity. Conversion internalizes multipliers.</t>
  </si>
  <si>
    <t>9. Discounts at entry points by firm/interruptible capacity</t>
  </si>
  <si>
    <t>Includes discounts.</t>
  </si>
  <si>
    <t>Discounts at entry points</t>
  </si>
  <si>
    <t>Discounts at exit points</t>
  </si>
  <si>
    <t>Firm capacity</t>
  </si>
  <si>
    <t>Interruptible capacity</t>
  </si>
  <si>
    <t>Intra-system network use</t>
  </si>
  <si>
    <t>Cross-system network use</t>
  </si>
  <si>
    <t>Network use</t>
  </si>
  <si>
    <t>2.2 Ratio = Revenues ÷ Cost driver</t>
  </si>
  <si>
    <t>2.3 Capacity cost allocation comparison index</t>
  </si>
  <si>
    <t>2. Cost allocation assessment (Capacity): Forecasted capacity as cost driver</t>
  </si>
  <si>
    <t>Capacity cost allocation comparison index</t>
  </si>
  <si>
    <t>A positive result (+) implies that cross-system users are being subsidized.</t>
  </si>
  <si>
    <t>3. Cost allocation assessment (Capacity): Effective capacity as cost driver</t>
  </si>
  <si>
    <t>Measured in equivalent capacity.</t>
  </si>
  <si>
    <t>3.3 Capacity cost allocation comparison index</t>
  </si>
  <si>
    <t>3.2 Ratio = Revenues ÷ Cost driver</t>
  </si>
  <si>
    <t>Ratio between revenues and the cost driver.</t>
  </si>
  <si>
    <t>Cross-system network use = Flow [Entry from LNG terminal] towards [Exit to VIP Iberico]</t>
  </si>
  <si>
    <t>Capacity structure by GRMS</t>
  </si>
  <si>
    <t>6. Demand forecast for RPM</t>
  </si>
  <si>
    <t>LNG Terminal</t>
  </si>
  <si>
    <t>4.2 Ratio = Revenues ÷ Cost driver</t>
  </si>
  <si>
    <t>4.3 Capacity cost allocation comparison index</t>
  </si>
  <si>
    <t>5.2 Ratio = Revenues ÷ Cost driver</t>
  </si>
  <si>
    <t>5.3 Capacity cost allocation comparison index</t>
  </si>
  <si>
    <t>4. Cost allocation assessment (Capacity): Forecasted capacity &amp; Distance as cost driver</t>
  </si>
  <si>
    <t>2. Average weighted distance at entry points</t>
  </si>
  <si>
    <t>Calculation according to CWD (without effective capacity and without effective distance).</t>
  </si>
  <si>
    <t>2. Average weighted distance at exit points</t>
  </si>
  <si>
    <t>Forecasted capacity</t>
  </si>
  <si>
    <t>Average distance</t>
  </si>
  <si>
    <t>5. Cost allocation assessment (Capacity): Effective capacity &amp; Distance as cost driver</t>
  </si>
  <si>
    <t>Effective capacity</t>
  </si>
  <si>
    <t>Includes yearly and short-term products. Includes firm and interruptible capacity. Conversion internalizes multipliers (but not discounts).</t>
  </si>
  <si>
    <t>4.1 Cost drivers: Forecasted capacity &amp; Distance</t>
  </si>
  <si>
    <t>As percentage of aggregate capacity at entry/exit</t>
  </si>
  <si>
    <t>Forecasted capacity (%)</t>
  </si>
  <si>
    <t>E/X split</t>
  </si>
  <si>
    <t>5.1 Cost drivers: Effective capacity &amp; Distance</t>
  </si>
  <si>
    <t>Effective capacity (%)</t>
  </si>
  <si>
    <t>6.2 Ratio = Revenues ÷ Cost driver</t>
  </si>
  <si>
    <t>6.3 Capacity cost allocation comparison index</t>
  </si>
  <si>
    <t>CWD</t>
  </si>
  <si>
    <t>List of RPM</t>
  </si>
  <si>
    <t>Discount mode</t>
  </si>
  <si>
    <t>On</t>
  </si>
  <si>
    <t>Off</t>
  </si>
  <si>
    <t>Default: On</t>
  </si>
  <si>
    <t>Domestic consumption</t>
  </si>
  <si>
    <t>Yes</t>
  </si>
  <si>
    <t>No</t>
  </si>
  <si>
    <t>In order to simulate the Postage Stamp approach, prices are set here equal to 1.</t>
  </si>
  <si>
    <t>Commercial utilization factor at entry points</t>
  </si>
  <si>
    <t>Commercial utilization factor at exit points</t>
  </si>
  <si>
    <t>Commercial utilization factor by default. Physical flow factor in mCWD.</t>
  </si>
  <si>
    <t>Effective capacity by default. Forecasted capacity in CWD.</t>
  </si>
  <si>
    <t>Direction</t>
  </si>
  <si>
    <t>Point</t>
  </si>
  <si>
    <t>Price for a capacity product for firm capacity with a duration of one year</t>
  </si>
  <si>
    <t>mCWD (2019)</t>
  </si>
  <si>
    <t>6.1 Cost drivers: Effective capacity &amp; Distance</t>
  </si>
  <si>
    <t>Weight of cost (%)</t>
  </si>
  <si>
    <t>6. Cost allocation assessment (Capacity): Weight of cost and E/X split as cost driver</t>
  </si>
  <si>
    <t>(in equivalent capacity)</t>
  </si>
  <si>
    <t>Point ID</t>
  </si>
  <si>
    <t>Point designation</t>
  </si>
  <si>
    <t>Designation by TSO</t>
  </si>
  <si>
    <t>Entry point?</t>
  </si>
  <si>
    <t>Exit point?</t>
  </si>
  <si>
    <t>IP Campo Maior</t>
  </si>
  <si>
    <t>IP Valença</t>
  </si>
  <si>
    <t>CTS Valença</t>
  </si>
  <si>
    <t>Terminal de GNL</t>
  </si>
  <si>
    <t>Armazenamento Subterrâneo</t>
  </si>
  <si>
    <t>PP Gas producers</t>
  </si>
  <si>
    <t>GRMS 01059 - Setúbal</t>
  </si>
  <si>
    <t>GRMS 01109 - Seixal</t>
  </si>
  <si>
    <t>GRMS 01119 - Palmela - BV</t>
  </si>
  <si>
    <t>GRMS 01129 - Seixal</t>
  </si>
  <si>
    <t>GRMS 01139 - Rio Frio</t>
  </si>
  <si>
    <t>GRMS 01149 - Alcochete</t>
  </si>
  <si>
    <t>GRMS 01159 - Barreiro</t>
  </si>
  <si>
    <t>GRMS 01179 - Benavente - JCT</t>
  </si>
  <si>
    <t>GRMS 01189 - Castanheira do Ribatejo</t>
  </si>
  <si>
    <t>GRMS 01209 - Frielas</t>
  </si>
  <si>
    <t>GRMS 01219 - C.T. Carregado</t>
  </si>
  <si>
    <t>GRMS 01229 -  Loures</t>
  </si>
  <si>
    <t>GRMS 01239 - Alpriate</t>
  </si>
  <si>
    <t>GRMS 01259 - Alenquer - ICJCT</t>
  </si>
  <si>
    <t>GRMS 01269 - C.T. Carregado</t>
  </si>
  <si>
    <t>GRMS 01279 - Alpriate</t>
  </si>
  <si>
    <t>GRMS 01309 - Cartaxo</t>
  </si>
  <si>
    <t>GRMS 01319 - Abrigada</t>
  </si>
  <si>
    <t>GRMS 01359 - Torres Vedras</t>
  </si>
  <si>
    <t>GRMS 01369 - Torres Vedras</t>
  </si>
  <si>
    <t>GRMS 01409 - Rio Maior</t>
  </si>
  <si>
    <t>GRMS 02069 - Porto de Mós</t>
  </si>
  <si>
    <t>GRMS 02089 - Maceira</t>
  </si>
  <si>
    <t>GRMS 02159 - Leiria</t>
  </si>
  <si>
    <t>GRMS 02509 - Carriço</t>
  </si>
  <si>
    <t>GRMS 02519 - Leirosa</t>
  </si>
  <si>
    <t>GRMS 02539 - Leirosa</t>
  </si>
  <si>
    <t>GRMS 02549 - C.C.C. Lares</t>
  </si>
  <si>
    <t>GRMS 02559 - Pombal - JCT</t>
  </si>
  <si>
    <t>GRMS 02569 - C.C.C. Lares</t>
  </si>
  <si>
    <t>GRMS 02709 - Soure</t>
  </si>
  <si>
    <t>GRMS 02719 - Montemor</t>
  </si>
  <si>
    <t>GRMS 02739 - Condeixa</t>
  </si>
  <si>
    <t>GRMS 03009 - Ameal</t>
  </si>
  <si>
    <t>GRMS 03059 - Coimbra</t>
  </si>
  <si>
    <t>GRMS 03069 - Souselas</t>
  </si>
  <si>
    <t>GRMS 03109 - Mealhada</t>
  </si>
  <si>
    <t>GRMS 03169 - Cantanhede</t>
  </si>
  <si>
    <t>GRMS 03219 - Oliveira do Bairro</t>
  </si>
  <si>
    <t>GRMS 03229 - Oiã</t>
  </si>
  <si>
    <t>GRMS 03259 - Aveiro - GRMS</t>
  </si>
  <si>
    <t>GRMS 03269 - Aveiro - GRMS</t>
  </si>
  <si>
    <t>GRMS 03309 - Roxico</t>
  </si>
  <si>
    <t>GRMS 03359 - Estarreja</t>
  </si>
  <si>
    <t>GRMS 03369 - Estarreja</t>
  </si>
  <si>
    <t>GRMS 03459 - Feira - JCT</t>
  </si>
  <si>
    <t>GRMS 03559 - Fiães</t>
  </si>
  <si>
    <t>GRMS 03609 - Vila Nova de Gaia</t>
  </si>
  <si>
    <t>GRMS 03619 - Avintes</t>
  </si>
  <si>
    <t>GRMS 03659 - C.T. Tapada</t>
  </si>
  <si>
    <t>GRMS 04059 - Valongo</t>
  </si>
  <si>
    <t>GRMS 04109 - Maia</t>
  </si>
  <si>
    <t>GRMS 04149 - Perafita</t>
  </si>
  <si>
    <t>GRMS 04159 - Santo Tirso</t>
  </si>
  <si>
    <t>GRMS 04209 - Famalicão</t>
  </si>
  <si>
    <t>GRMS 05009 - Braga</t>
  </si>
  <si>
    <t>GRMS 05119 - Barcelos</t>
  </si>
  <si>
    <t>GRMS 05179 - Viana do Castelo</t>
  </si>
  <si>
    <t>GRMS 05309 - Ponte de Lima</t>
  </si>
  <si>
    <t>GRMS 05609 - Vila Nova de Cerveira</t>
  </si>
  <si>
    <t>GRMS 07009 - Campo Maior</t>
  </si>
  <si>
    <t>GRMS 08009 - Ponte de Sor</t>
  </si>
  <si>
    <t>GRMS 08109 - Pego</t>
  </si>
  <si>
    <t>GRMS 08119 - C.C.C. Pego</t>
  </si>
  <si>
    <t>GRMS 08209 - Santa Margarida da Coutada</t>
  </si>
  <si>
    <t>GRMS 08309 - Asseiceira</t>
  </si>
  <si>
    <t>GRMS 08409 - Sabacheira</t>
  </si>
  <si>
    <t>GRMS 08559 - Madalena</t>
  </si>
  <si>
    <t>GRMS 10079 - Portalegre</t>
  </si>
  <si>
    <t>GRMS 10159 - Vila Velha de Rodão</t>
  </si>
  <si>
    <t>GRMS 10209 - Castelo Branco</t>
  </si>
  <si>
    <t>GRMS 10309 - Fundão</t>
  </si>
  <si>
    <t>GRMS 10359 - Covilhã</t>
  </si>
  <si>
    <t>GRMS 10459 - Guarda</t>
  </si>
  <si>
    <t>GRMS 11109 - Mortágua</t>
  </si>
  <si>
    <t>GRMS 11159 - Santa Comba Dão</t>
  </si>
  <si>
    <t>GRMS 11209 - Tondela</t>
  </si>
  <si>
    <t>GRMS 11279 - Viseu</t>
  </si>
  <si>
    <t>GRMS 11309 - Mangualde</t>
  </si>
  <si>
    <t>GRMS 12209 - Mitrena</t>
  </si>
  <si>
    <t>GRMS 12609 - Chaparral</t>
  </si>
  <si>
    <t>GRMS 12619 - Chaparral</t>
  </si>
  <si>
    <t>GRMS 12619B - Zona Industrial e Logística de Sines (ZILS)</t>
  </si>
  <si>
    <t>GRMS 12629 - Chaparral</t>
  </si>
  <si>
    <t>GRMS 12809 - Sines</t>
  </si>
  <si>
    <t>NP Abul</t>
  </si>
  <si>
    <t>Abul</t>
  </si>
  <si>
    <t>NP Albergaria-a-Velha</t>
  </si>
  <si>
    <t>Albergaria-a-Velha</t>
  </si>
  <si>
    <t>NP Alcobaça</t>
  </si>
  <si>
    <t>Alcobaça</t>
  </si>
  <si>
    <t>NP Alenquer</t>
  </si>
  <si>
    <t>Alenquer</t>
  </si>
  <si>
    <t>NP Almojanda</t>
  </si>
  <si>
    <t>Almojanda</t>
  </si>
  <si>
    <t>NP Alter-do-Chão</t>
  </si>
  <si>
    <t>Alter-do-Chão</t>
  </si>
  <si>
    <t>NP Alto da Serra</t>
  </si>
  <si>
    <t>Alto da Serra</t>
  </si>
  <si>
    <t>NP Arcozelo</t>
  </si>
  <si>
    <t>Arcozelo</t>
  </si>
  <si>
    <t>NP Areias de Vilar</t>
  </si>
  <si>
    <t>Areias de Vilar</t>
  </si>
  <si>
    <t>NP Arruda</t>
  </si>
  <si>
    <t>Arruda</t>
  </si>
  <si>
    <t>NP Atalaia</t>
  </si>
  <si>
    <t>Atalaia</t>
  </si>
  <si>
    <t>NP Aveiro</t>
  </si>
  <si>
    <t>Aveiro</t>
  </si>
  <si>
    <t>NP Avelãs de Ambom</t>
  </si>
  <si>
    <t>Avelãs de Ambom</t>
  </si>
  <si>
    <t>NP Azambuja</t>
  </si>
  <si>
    <t>Azambuja</t>
  </si>
  <si>
    <t>NP Belmonte</t>
  </si>
  <si>
    <t>Belmonte</t>
  </si>
  <si>
    <t>NP Benavente</t>
  </si>
  <si>
    <t>Benavente</t>
  </si>
  <si>
    <t>NP Bidoeira</t>
  </si>
  <si>
    <t>Bidoeira</t>
  </si>
  <si>
    <t>NP Cachada</t>
  </si>
  <si>
    <t>Cachada</t>
  </si>
  <si>
    <t>NP Carregado</t>
  </si>
  <si>
    <t>Carregado</t>
  </si>
  <si>
    <t>NP Castelo de Vide</t>
  </si>
  <si>
    <t>Castelo de Vide</t>
  </si>
  <si>
    <t>NP Celorico</t>
  </si>
  <si>
    <t>Celorico</t>
  </si>
  <si>
    <t>NP Elvas</t>
  </si>
  <si>
    <t>Elvas</t>
  </si>
  <si>
    <t>NP Feira</t>
  </si>
  <si>
    <t>Feira</t>
  </si>
  <si>
    <t>NP Gaia</t>
  </si>
  <si>
    <t>Gaia</t>
  </si>
  <si>
    <t>NP Gondomar</t>
  </si>
  <si>
    <t>Gondomar</t>
  </si>
  <si>
    <t>NP Grândola</t>
  </si>
  <si>
    <t>Grândola</t>
  </si>
  <si>
    <t>NP Labruja</t>
  </si>
  <si>
    <t>Labruja</t>
  </si>
  <si>
    <t>NP Luso</t>
  </si>
  <si>
    <t>Luso</t>
  </si>
  <si>
    <t>NP Marinha Grande</t>
  </si>
  <si>
    <t>Marinha Grande</t>
  </si>
  <si>
    <t>NP Monforte</t>
  </si>
  <si>
    <t>Monforte</t>
  </si>
  <si>
    <t>NP Mosteiró</t>
  </si>
  <si>
    <t>Mosteiró</t>
  </si>
  <si>
    <t>NP Ortigosa</t>
  </si>
  <si>
    <t>Ortigosa</t>
  </si>
  <si>
    <t>NP Ourém</t>
  </si>
  <si>
    <t>Ourém</t>
  </si>
  <si>
    <t>NP Ovar</t>
  </si>
  <si>
    <t>Ovar</t>
  </si>
  <si>
    <t>NP Palmela</t>
  </si>
  <si>
    <t>Palmela</t>
  </si>
  <si>
    <t>NP Palmela B</t>
  </si>
  <si>
    <t>Palmela B</t>
  </si>
  <si>
    <t>NP Paredes de Coura</t>
  </si>
  <si>
    <t>Paredes de Coura</t>
  </si>
  <si>
    <t>NP Pombal</t>
  </si>
  <si>
    <t>Pombal</t>
  </si>
  <si>
    <t>NP Ponte</t>
  </si>
  <si>
    <t>Ponte</t>
  </si>
  <si>
    <t>NP Porto Coelheiro</t>
  </si>
  <si>
    <t>Porto Coelheiro</t>
  </si>
  <si>
    <t>NP Quereledo</t>
  </si>
  <si>
    <t>Quereledo</t>
  </si>
  <si>
    <t>NP Rêgo de Água</t>
  </si>
  <si>
    <t>Rêgo de Água</t>
  </si>
  <si>
    <t>NP S. Cosme Vale</t>
  </si>
  <si>
    <t>S. Cosme Vale</t>
  </si>
  <si>
    <t>NP S. Julião</t>
  </si>
  <si>
    <t>S. Julião</t>
  </si>
  <si>
    <t>NP Silgueiros</t>
  </si>
  <si>
    <t>Silgueiros</t>
  </si>
  <si>
    <t>NP Sto André</t>
  </si>
  <si>
    <t>Sto André</t>
  </si>
  <si>
    <t>NP V. Soeiro do Chão</t>
  </si>
  <si>
    <t>V. Soeiro do Chão</t>
  </si>
  <si>
    <t>NP Vale Marim</t>
  </si>
  <si>
    <t>Vale Marim</t>
  </si>
  <si>
    <t>pk 0,14 (Valença)</t>
  </si>
  <si>
    <t>0,14 (Valença)</t>
  </si>
  <si>
    <t>pk 0,40 (Campo Maior)</t>
  </si>
  <si>
    <t>0,40 (Campo Maior)</t>
  </si>
  <si>
    <t>pk 1,31 (Sines)</t>
  </si>
  <si>
    <t>1,31 (Sines)</t>
  </si>
  <si>
    <t>pk 2,19 (Sines)</t>
  </si>
  <si>
    <t>2,19 (Sines)</t>
  </si>
  <si>
    <t>DP Air Liquide</t>
  </si>
  <si>
    <t>Air Liquide</t>
  </si>
  <si>
    <t>DP C. Ribatejo</t>
  </si>
  <si>
    <t>C. Ribatejo</t>
  </si>
  <si>
    <t>DP C.T. Carregado</t>
  </si>
  <si>
    <t>DP C.T. Outeiro</t>
  </si>
  <si>
    <t>C.T. Outeiro</t>
  </si>
  <si>
    <t>DP Cogeração Carriço</t>
  </si>
  <si>
    <t>Cogeração Carriço</t>
  </si>
  <si>
    <t>DP 02508 - Cogeração Carriço</t>
  </si>
  <si>
    <t>DP Indorama</t>
  </si>
  <si>
    <t>Indorama</t>
  </si>
  <si>
    <t>DP Navigator Setúbal</t>
  </si>
  <si>
    <t>Navigator Setúbal</t>
  </si>
  <si>
    <t>DP Portucel (Viana)</t>
  </si>
  <si>
    <t>Portucel (Viana)</t>
  </si>
  <si>
    <t>DP 05178 - Portucel (Viana)</t>
  </si>
  <si>
    <t>DP Refinaria Sines #1</t>
  </si>
  <si>
    <t>Refinaria Sines #1</t>
  </si>
  <si>
    <t>DP Refinaria Sines #2</t>
  </si>
  <si>
    <t>Refinaria Sines #2</t>
  </si>
  <si>
    <t>DP Repsol</t>
  </si>
  <si>
    <t>Repsol</t>
  </si>
  <si>
    <t>DP Soporcel</t>
  </si>
  <si>
    <t>DP 02518 - Soporcel</t>
  </si>
  <si>
    <t>Point ID start</t>
  </si>
  <si>
    <t>Point ID end</t>
  </si>
  <si>
    <t>Distance [km]</t>
  </si>
  <si>
    <t>E/X system</t>
  </si>
  <si>
    <t>Trunk?</t>
  </si>
  <si>
    <t>Bi-directional?</t>
  </si>
  <si>
    <t>Instrumental?</t>
  </si>
  <si>
    <t>Lote</t>
  </si>
  <si>
    <t>Comments</t>
  </si>
  <si>
    <t>Unidirectional based on TSO information</t>
  </si>
  <si>
    <t>Beyond GRMS 03659. Unidirectional based on TSO information.</t>
  </si>
  <si>
    <t>Instrumental distance (unidirectional)</t>
  </si>
  <si>
    <t>According to TSO's distance matrix, GRMS 02509 is at zero distance from Underground Storage</t>
  </si>
  <si>
    <t>Fictional point</t>
  </si>
  <si>
    <t>Beyond GRMS 01219. Unidirectional based on TSO information.</t>
  </si>
  <si>
    <t>Beyond GRMS 01269. Unidirectional based on TSO information.</t>
  </si>
  <si>
    <t>Beyond GRMS 12619. Unidirectional based on TSO information</t>
  </si>
  <si>
    <t>According to TSO's distance matrix, GRMS12809 is at zero distance from LNG terminal</t>
  </si>
  <si>
    <t xml:space="preserve">Instrumental distance </t>
  </si>
  <si>
    <t>Choose a reference price methodology:</t>
  </si>
  <si>
    <t>Choose whether discounts shall be included:</t>
  </si>
  <si>
    <t>Revenues</t>
  </si>
  <si>
    <t>million €</t>
  </si>
  <si>
    <t>Cost driver: capacity and distance</t>
  </si>
  <si>
    <t>Ratio = Revenues ÷ Cost driver</t>
  </si>
  <si>
    <t>Capacity CACI</t>
  </si>
  <si>
    <t>Transmission services</t>
  </si>
  <si>
    <t>Non-transmission services</t>
  </si>
  <si>
    <t>CWD 28/72</t>
  </si>
  <si>
    <t>Counter-factual</t>
  </si>
  <si>
    <t>Distance matrix</t>
  </si>
  <si>
    <t>Assumption for RPM</t>
  </si>
  <si>
    <t>Note</t>
  </si>
  <si>
    <t>Trunk</t>
  </si>
  <si>
    <t>Entry split</t>
  </si>
  <si>
    <t>Parameter</t>
  </si>
  <si>
    <t>Only a share of the revenues (56%), corresponding to the non-regional assets, is allocated through the RPM, as transmission service revenues.
The remaining share is allocated as non-transmission service revenues to domestic exits, as a uniform capacity price.</t>
  </si>
  <si>
    <t>Version of distance matrix that excludes network segments that are not part of the trunk network</t>
  </si>
  <si>
    <t>Value applicable to gas routes ending in domestic exits.</t>
  </si>
  <si>
    <t>Share of revenues recovered from entry points.</t>
  </si>
  <si>
    <t>Only for counter-factual.</t>
  </si>
  <si>
    <t>Euros</t>
  </si>
  <si>
    <t>mCWD (2024)</t>
  </si>
  <si>
    <t>Postage stamp 28/72</t>
  </si>
  <si>
    <t>Default: mCWD (2024)</t>
  </si>
  <si>
    <t>2. Only primary pipelines</t>
  </si>
  <si>
    <t>1. All pipelines,</t>
  </si>
  <si>
    <t>including primary</t>
  </si>
  <si>
    <t>and secondary pipelines</t>
  </si>
  <si>
    <t>1. Allowed revenues of the transmission system operator, in Euros</t>
  </si>
  <si>
    <t>2.1 Firm capacity, in kWh/day</t>
  </si>
  <si>
    <t>2.2 Interruptible capacity, in kWh/day</t>
  </si>
  <si>
    <t>2.3 Gas volume, in MWh</t>
  </si>
  <si>
    <t>3.1 Firm capacity, in kWh/day</t>
  </si>
  <si>
    <t>3.2 Interruptible capacity, in kWh/day</t>
  </si>
  <si>
    <t>3.3 Gas volume, in MWh</t>
  </si>
  <si>
    <t>Technical capacity at entry points, GWh/day</t>
  </si>
  <si>
    <t>Technical capacity at exit points, GWh/day</t>
  </si>
  <si>
    <t>Technical capacity at VIP Iberico, GWh/day</t>
  </si>
  <si>
    <t>6.1 Firm capacity at entry points, in kWh/day</t>
  </si>
  <si>
    <t>6.2 Interruptible capacity at entry points, in kWh/day</t>
  </si>
  <si>
    <t>6.3 Firm capacity at exit points, in kWh/day</t>
  </si>
  <si>
    <t>6.4 Interruptible capacity at exit points, in kWh/day</t>
  </si>
  <si>
    <t>1.a Entry capacity forecast (equivalent capacity), in kWh/day</t>
  </si>
  <si>
    <t>1.b Exit capacity forecast (equivalent capacity), in kWh/day</t>
  </si>
  <si>
    <t>1. Forecasted capacity at entry points, in kWh/day</t>
  </si>
  <si>
    <t>4. Average weighted distance at entry points, in km</t>
  </si>
  <si>
    <t>Reference price, in EUR/kWh/d/year</t>
  </si>
  <si>
    <t>6. Pre-equalization price at entry points, in EUR/kWh/d/year</t>
  </si>
  <si>
    <t>7. Post-equalization price at entry points, in EUR/kWh/d/year</t>
  </si>
  <si>
    <t>8. Post-equalization price at entry points by firm/interruptible capacity, in EUR/kWh/d/year</t>
  </si>
  <si>
    <t>10. Pre-scaling price at entry points by firm/interruptible capacity, in EUR/kWh/d/year</t>
  </si>
  <si>
    <t>10. Demand, kWh/day</t>
  </si>
  <si>
    <t>11. Reference prices, in EUR/kWh/d/year</t>
  </si>
  <si>
    <t>12. Revenues, in EUR</t>
  </si>
  <si>
    <t>1. Post-equalization price by entry point and capacity product, in EUR/kWh/d/year</t>
  </si>
  <si>
    <t>4. Pre-scaling prices by entry point and capacity product, in EUR/kWh/d/year</t>
  </si>
  <si>
    <t>5. Demand forecast by entry point, kWh/day</t>
  </si>
  <si>
    <t>6. Pre-scaling revenues, in EUR</t>
  </si>
  <si>
    <t>7. Reference prices, in EUR/kWh/d/year</t>
  </si>
  <si>
    <t>8. Revenues from reference prices, in EUR</t>
  </si>
  <si>
    <t>1. Forecasted capacity at exit points, in kWh/day</t>
  </si>
  <si>
    <t>4. Average weighted distance at exit points, in km</t>
  </si>
  <si>
    <t>6. Pre-equalization price at exit points, in EUR/kWh/d/year</t>
  </si>
  <si>
    <t>7. Post-equalization price at exit points, in EUR/kWh/d/year</t>
  </si>
  <si>
    <t>8. Post-equalization price at exit points by firm/interruptible capacity, in EUR/kWh/d/year</t>
  </si>
  <si>
    <t>10. Demand, in kWh/day</t>
  </si>
  <si>
    <t>12. Prices for non-transmission services, in EUR/kWh/d/year</t>
  </si>
  <si>
    <t>13. Revenues, in EUR</t>
  </si>
  <si>
    <t>1. Post-equalization price by exit point and capacity product, in EUR/kWh/d/year</t>
  </si>
  <si>
    <t>4. Pre-scaling prices by exit point and capacity product, in EUR/kWh/d/year</t>
  </si>
  <si>
    <t>5. Demand forecast by exit point, in kWh/day</t>
  </si>
  <si>
    <t>8. Prices for non-transmission services, in EUR/kWh/d/year</t>
  </si>
  <si>
    <t>9. Revenues, in EUR</t>
  </si>
  <si>
    <t>1. Revenues from network use, in EUR</t>
  </si>
  <si>
    <t>2.1 Forecasted capacity, in kWh/day</t>
  </si>
  <si>
    <t>3.1 Effective capacity, in kWh/day</t>
  </si>
  <si>
    <t>Seixal #1</t>
  </si>
  <si>
    <t>Seixal #2</t>
  </si>
  <si>
    <t>C.T. Carregado #1</t>
  </si>
  <si>
    <t>Loures</t>
  </si>
  <si>
    <t>Alpriate #1</t>
  </si>
  <si>
    <t>C.T. Carregado #2</t>
  </si>
  <si>
    <t>Alpriate #2</t>
  </si>
  <si>
    <t>Torres Vedras #1</t>
  </si>
  <si>
    <t>Torres Vedras #2</t>
  </si>
  <si>
    <t>Leirosa #1</t>
  </si>
  <si>
    <t>Leirosa #2</t>
  </si>
  <si>
    <t>C.C.C. Lares #1</t>
  </si>
  <si>
    <t>C.C.C. Lares #2</t>
  </si>
  <si>
    <t>Aveiro - GRMS #1</t>
  </si>
  <si>
    <t>Aveiro - GRMS #2</t>
  </si>
  <si>
    <t>Estarreja #1</t>
  </si>
  <si>
    <t>Estarreja #2</t>
  </si>
  <si>
    <t>Chaparral #1</t>
  </si>
  <si>
    <t>Chaparral #2</t>
  </si>
  <si>
    <t>Chaparral #3</t>
  </si>
  <si>
    <t>Beyond GRMS 03369. Unidirectional based on TSO information</t>
  </si>
  <si>
    <t>Beyond GRMS 12609. Unidirectional based on TSO information</t>
  </si>
  <si>
    <t>Beyond GRMS 12629. Unidirectional based on TSO information</t>
  </si>
  <si>
    <t>€/(kWh/dia)/ano</t>
  </si>
  <si>
    <t>Terminal GNL</t>
  </si>
  <si>
    <t>Produtores de gás</t>
  </si>
  <si>
    <t>Descrição</t>
  </si>
  <si>
    <t>Language / Idioma</t>
  </si>
  <si>
    <t>Português</t>
  </si>
  <si>
    <t>2025-2026</t>
  </si>
  <si>
    <t>2026-2027</t>
  </si>
  <si>
    <t>Artigo do código de rede</t>
  </si>
  <si>
    <t>Art. 30 (1)(b)(i)</t>
  </si>
  <si>
    <t>Proveitos permitidos/previstos, em milhares de euros</t>
  </si>
  <si>
    <t>Art. 30 (1)(b)(iv)</t>
  </si>
  <si>
    <t>Receitas dos serviços de transporte, em milhares de euros</t>
  </si>
  <si>
    <t>Art. 30 (1)(b)(v)(1)</t>
  </si>
  <si>
    <t>Divisão capacidade-energia</t>
  </si>
  <si>
    <t>Capacidade</t>
  </si>
  <si>
    <t>Energia</t>
  </si>
  <si>
    <t>Art. 30 (1)(b)(v)(2)</t>
  </si>
  <si>
    <t>Divisão entrada-saída (nas tarifas de transporte baseadas na capacidade)</t>
  </si>
  <si>
    <t>Entrada</t>
  </si>
  <si>
    <t>Saída</t>
  </si>
  <si>
    <t>Art. 30 (1)(b)(v)(3)</t>
  </si>
  <si>
    <t>Divisão transfronteiriço-nacional (calculada nos termos do artigo 5.º)</t>
  </si>
  <si>
    <t>Utilização intrasistema</t>
  </si>
  <si>
    <t>Utilização intersistema</t>
  </si>
  <si>
    <t>Capacidade técnica, em GWh/dia</t>
  </si>
  <si>
    <t>-</t>
  </si>
  <si>
    <t>Capacidade prevista</t>
  </si>
  <si>
    <t>Divisão capacidade-energia, ou seja, a repartição entre a receita proveniente das tarifas de transporte baseadas na capacidade e a receita proveniente das tarifas de transporte baseadas na energia</t>
  </si>
  <si>
    <t>Divisão entrada-saída, ou seja, a repartição entre a receita proveniente das tarifas de transporte baseadas na capacidade em todos os pontos de entrada e a receita proveniente das tarifas de transporte baseadas na capacidade em todos os pontos de saída</t>
  </si>
  <si>
    <t>Transfronteiriço</t>
  </si>
  <si>
    <t>Nacional</t>
  </si>
  <si>
    <t>Divisão transfronteiriço-nacional, ou seja, a repartição entre a receita proveniente dos utilizadores nacionais da rede, tanto nos pontos de entrada como nos de saída, e a receita proveniente dos utilizadores transfronteiriços da rede, tanto nos pontos de entrada como de saída, calculada nos termos do artigo 5.º.</t>
  </si>
  <si>
    <t>Tarifas de uso da rede de transporte (até ao final do período de regulação)</t>
  </si>
  <si>
    <t>NOTA</t>
  </si>
  <si>
    <t>Chosen language</t>
  </si>
  <si>
    <t>English</t>
  </si>
  <si>
    <t>Info</t>
  </si>
  <si>
    <t>Transmission tariffs for natural gas</t>
  </si>
  <si>
    <t>Tarifas de transporte para o gás natural</t>
  </si>
  <si>
    <t>Simplified tariff model</t>
  </si>
  <si>
    <t>Modelo tarifário simplificado</t>
  </si>
  <si>
    <t>All calculated data are for information purposes only.</t>
  </si>
  <si>
    <t>Todos os dados calculados são apenas para fins informativos.</t>
  </si>
  <si>
    <t>The calculated prices do not include value-added tax (VAT).</t>
  </si>
  <si>
    <t>Os preços calculados não incluem o imposto sobre o valor acrescentado (IVA).</t>
  </si>
  <si>
    <t>Description of the simplified tariff model</t>
  </si>
  <si>
    <t>Descrição do modelo tarifário simplificado</t>
  </si>
  <si>
    <t>This model includes two additional worksheets, with the following purposes:</t>
  </si>
  <si>
    <t>Este modelo inclui duas folhas de cálculo adicionais, com as seguintes finalidades:</t>
  </si>
  <si>
    <t xml:space="preserve">Input - </t>
  </si>
  <si>
    <t xml:space="preserve">Output - </t>
  </si>
  <si>
    <t>This worksheet includes the allowed revenues of the transmission system operator and the forecasted capacity demand.</t>
  </si>
  <si>
    <t>Esta folha inclui os proveitos permitidos do operador da rede de transporte e os valores para a capacidade prevista.</t>
  </si>
  <si>
    <t>This worksheet computes the transmission tariffs applicable for the use of the transmission system based on the values from the 'Input' worksheet.</t>
  </si>
  <si>
    <t>Esta folha calcula as tarifas de transporte aplicáveis para o uso da rede de transporte com base nos valores da folha 'Input'.</t>
  </si>
  <si>
    <t>The values that can be changed by the user are the yellow cells included in the 'Input' worksheet.</t>
  </si>
  <si>
    <t>Os valores que podem ser alterados pelo utilizador são as células amarelas incluídas na folha 'Input'.</t>
  </si>
  <si>
    <t>Color legend</t>
  </si>
  <si>
    <t>Legenda de cores</t>
  </si>
  <si>
    <t>This information can be changed by the user in order to simulate what the transmission tariffs would have been equal to if demand or revenues were different.</t>
  </si>
  <si>
    <t>Esta informação pode ser alterada pelo utilizador para simular qual teria sido o efeito nas tarifas de transporte se a procura ou os proveitos tivessem sido diferentes.</t>
  </si>
  <si>
    <t>Green cells in the worksheet 'Output' are computed based on the values entered in the yellow cells in the 'Input' worksheet.</t>
  </si>
  <si>
    <t>Células verdes na folha 'Output' são valores estimados com base nos valores introduzidos nas células amarelas na folha 'Input'.</t>
  </si>
  <si>
    <t>Last update:</t>
  </si>
  <si>
    <t>Última atualização:</t>
  </si>
  <si>
    <t>Input</t>
  </si>
  <si>
    <t>Proveitos permitidos</t>
  </si>
  <si>
    <t>Proveitos permitidos do operador da rede de transporte</t>
  </si>
  <si>
    <t>Forecasted capacity demand</t>
  </si>
  <si>
    <t>Ponto</t>
  </si>
  <si>
    <t>Produtos</t>
  </si>
  <si>
    <t>VIP Ibérico</t>
  </si>
  <si>
    <t>Underground Storage</t>
  </si>
  <si>
    <t>Distribution networks and HP Customers</t>
  </si>
  <si>
    <t>Redes de distribuição e clientes em AP</t>
  </si>
  <si>
    <t>HP Customers</t>
  </si>
  <si>
    <t>Clientes em AP</t>
  </si>
  <si>
    <t>Yearly</t>
  </si>
  <si>
    <t>Anual</t>
  </si>
  <si>
    <t>Trimestral</t>
  </si>
  <si>
    <t>Mensal</t>
  </si>
  <si>
    <t>Diário</t>
  </si>
  <si>
    <t>Intraday</t>
  </si>
  <si>
    <t>Intradiário</t>
  </si>
  <si>
    <t>Capacidade utilizada na injeção</t>
  </si>
  <si>
    <t>Long Uses</t>
  </si>
  <si>
    <t>Longas utilizações</t>
  </si>
  <si>
    <t>Annual Flexible Rate - Annual Base Capacity</t>
  </si>
  <si>
    <t>Tarifa flexível anual - capacidade base anual</t>
  </si>
  <si>
    <t>Annual Flexible Rate - Additional Monthly Capacity (April to September)</t>
  </si>
  <si>
    <t>Tarifa flexível anual - capacidade mensal adicional (abril a setembro)</t>
  </si>
  <si>
    <t>Flexible Monthly Rate - Monthly Capacity (October to March)</t>
  </si>
  <si>
    <t>Tarifa flexível mensal - capacidade mensal (outubro a março)</t>
  </si>
  <si>
    <t>Flexible Monthly Rate - Monthly Capacity (April to September)</t>
  </si>
  <si>
    <t>Tarifa flexível mensal - capacidade mensal (abril a setembro)</t>
  </si>
  <si>
    <t>Daily Flexible Rate - Daily Capacity (October to March)</t>
  </si>
  <si>
    <t>Tarifa flexível diária - capacidade diária (outubro a março)</t>
  </si>
  <si>
    <t>Daily Flexible Rate - Daily Capacity (April to September)</t>
  </si>
  <si>
    <t>Tarifa flexível diária - capacidade diária (abril a setembro)</t>
  </si>
  <si>
    <t>Unit</t>
  </si>
  <si>
    <t>Unidade</t>
  </si>
  <si>
    <t>kWh/day</t>
  </si>
  <si>
    <t>kWh/dia</t>
  </si>
  <si>
    <t>kWh/h</t>
  </si>
  <si>
    <t>Yellow cells can be changed by the user</t>
  </si>
  <si>
    <t>Células amarelas podem ser alteradas pelo utilizador</t>
  </si>
  <si>
    <t>Output</t>
  </si>
  <si>
    <t>Transmission tariffs</t>
  </si>
  <si>
    <t>Tarifas de uso da rede de transporte</t>
  </si>
  <si>
    <t>€/(kWh/day)/year</t>
  </si>
  <si>
    <t>€/(kWh/h)/year</t>
  </si>
  <si>
    <t>€/(kWh/h)/ano</t>
  </si>
  <si>
    <t>Art 30(1)(a)</t>
  </si>
  <si>
    <t>Interconnection point (Campo Maior)</t>
  </si>
  <si>
    <t>Ponto de interligação (Campo Maior)</t>
  </si>
  <si>
    <t>Interconnection point (Valença do Minho)</t>
  </si>
  <si>
    <t>Ponto de interligação (Valença do Minho)</t>
  </si>
  <si>
    <t>Terminal de GNL (Sines)</t>
  </si>
  <si>
    <t>Armazenamento Subterrâneo (Carriço)</t>
  </si>
  <si>
    <t>Tipo</t>
  </si>
  <si>
    <t>Contracted</t>
  </si>
  <si>
    <t>Contratada</t>
  </si>
  <si>
    <t>Used</t>
  </si>
  <si>
    <t>Utilizada</t>
  </si>
  <si>
    <t>Type of point</t>
  </si>
  <si>
    <t>Tipo de ponto</t>
  </si>
  <si>
    <t>Valença do Minho</t>
  </si>
  <si>
    <t>LNG terminal (Sines)</t>
  </si>
  <si>
    <t>Terminal de Sines</t>
  </si>
  <si>
    <t>Underground storage (Carriço)</t>
  </si>
  <si>
    <t>Lisboagás, Setgás, Carregado, Ribatejo</t>
  </si>
  <si>
    <t>Portgás, Outeiro power plant</t>
  </si>
  <si>
    <t>Portgás, Central Outeiro</t>
  </si>
  <si>
    <t>Lusitâniagás, Lares power plant, Figueira da Foz power plant</t>
  </si>
  <si>
    <t>Lusitâniagás, Central Lares, Central Figueira da Foz</t>
  </si>
  <si>
    <t>Tagusgás, Pego power plant</t>
  </si>
  <si>
    <t>Tagusgás, Central Pego</t>
  </si>
  <si>
    <t>Portucel</t>
  </si>
  <si>
    <t>Sines Refinary, Portucel</t>
  </si>
  <si>
    <t>Refinaria Sines, Portucel</t>
  </si>
  <si>
    <t>Beiragás</t>
  </si>
  <si>
    <t>Ponto de interligação</t>
  </si>
  <si>
    <t>Storage</t>
  </si>
  <si>
    <t>Armazenamento</t>
  </si>
  <si>
    <t>Consumption</t>
  </si>
  <si>
    <t>Consumo</t>
  </si>
  <si>
    <t>Technical capacity</t>
  </si>
  <si>
    <t>Capacidade técnica</t>
  </si>
  <si>
    <t>Physical flow</t>
  </si>
  <si>
    <t>Fluxo físico</t>
  </si>
  <si>
    <t>Physical utilization factor</t>
  </si>
  <si>
    <t>Fator de utilização física</t>
  </si>
  <si>
    <t>Yellow cells in the worksheet 'Input' correspond to the information used in the tariff approval for gas year 2026-2027.</t>
  </si>
  <si>
    <t>Células amarelas na folha 'Input' é informação utilizada na aprovação das tarifas para o ano gás 2026-2027.</t>
  </si>
  <si>
    <t>Ano Gás 22026-2027</t>
  </si>
  <si>
    <t>2024-2025</t>
  </si>
  <si>
    <t>Este modelo tarifário simplificado apresenta as tarifas de transporte de gás natural desde o ano gás 2024-2025 até ao ano gás 2026-2027.</t>
  </si>
  <si>
    <t>This simplified tariff model presents the transmission tariffs for natural gas since gas year 2024-2025 until gas year 2026-2027.</t>
  </si>
  <si>
    <t>Green cells are estimates and vary with input values</t>
  </si>
  <si>
    <t>Células verdes são estimativas e dependem dos inputs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</si>
</sst>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0.000%"/>
    <numFmt numFmtId="167" formatCode="0.0%"/>
    <numFmt numFmtId="168" formatCode="#,##0.0"/>
    <numFmt numFmtId="169" formatCode="#,##0.000000"/>
    <numFmt numFmtId="170" formatCode="#,##0.000"/>
    <numFmt numFmtId="171" formatCode="\(\+\)\ 0.0%;\(\-\)\ 0.0%"/>
    <numFmt numFmtId="172" formatCode="0.0000"/>
    <numFmt numFmtId="173" formatCode="#,##0.0000"/>
    <numFmt numFmtId="174" formatCode="#,##0\ &quot;€&quot;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Arial"/>
      <family val="2"/>
    </font>
    <font>
      <sz val="8"/>
      <name val="CG Omega"/>
      <family val="2"/>
    </font>
    <font>
      <b/>
      <sz val="9"/>
      <color indexed="81"/>
      <name val="Tahoma"/>
      <family val="2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CC9925"/>
      <name val="Calibri"/>
      <family val="2"/>
      <scheme val="minor"/>
    </font>
    <font>
      <b/>
      <sz val="18"/>
      <color rgb="FFCC992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CC992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CC9925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</patternFill>
    </fill>
    <fill>
      <patternFill patternType="solid">
        <fgColor rgb="FFCC992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thick">
        <color rgb="FFCC992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CC9925"/>
      </left>
      <right/>
      <top style="medium">
        <color rgb="FFCC9925"/>
      </top>
      <bottom/>
      <diagonal/>
    </border>
    <border>
      <left/>
      <right/>
      <top style="medium">
        <color rgb="FFCC9925"/>
      </top>
      <bottom/>
      <diagonal/>
    </border>
    <border>
      <left/>
      <right style="medium">
        <color rgb="FFCC9925"/>
      </right>
      <top style="medium">
        <color rgb="FFCC9925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9925"/>
      </left>
      <right/>
      <top/>
      <bottom/>
      <diagonal/>
    </border>
    <border>
      <left/>
      <right style="medium">
        <color rgb="FFCC9925"/>
      </right>
      <top/>
      <bottom/>
      <diagonal/>
    </border>
    <border>
      <left style="medium">
        <color rgb="FFCC9925"/>
      </left>
      <right/>
      <top/>
      <bottom style="medium">
        <color rgb="FFCC9925"/>
      </bottom>
      <diagonal/>
    </border>
    <border>
      <left/>
      <right/>
      <top/>
      <bottom style="medium">
        <color rgb="FFCC9925"/>
      </bottom>
      <diagonal/>
    </border>
    <border>
      <left/>
      <right style="medium">
        <color rgb="FFCC9925"/>
      </right>
      <top/>
      <bottom style="medium">
        <color rgb="FFCC992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8" fillId="14" borderId="31" applyNumberFormat="0" applyAlignment="0" applyProtection="0"/>
    <xf numFmtId="0" fontId="19" fillId="0" borderId="0" applyNumberFormat="0" applyFill="0" applyBorder="0" applyAlignment="0" applyProtection="0"/>
  </cellStyleXfs>
  <cellXfs count="365">
    <xf numFmtId="0" fontId="0" fillId="0" borderId="0" xfId="0"/>
    <xf numFmtId="0" fontId="0" fillId="0" borderId="0" xfId="0"/>
    <xf numFmtId="0" fontId="6" fillId="0" borderId="0" xfId="0" applyFont="1"/>
    <xf numFmtId="0" fontId="0" fillId="0" borderId="1" xfId="0" applyFont="1" applyBorder="1"/>
    <xf numFmtId="0" fontId="2" fillId="5" borderId="0" xfId="0" applyFont="1" applyFill="1"/>
    <xf numFmtId="0" fontId="2" fillId="3" borderId="2" xfId="0" applyFont="1" applyFill="1" applyBorder="1" applyAlignment="1">
      <alignment horizontal="centerContinuous"/>
    </xf>
    <xf numFmtId="0" fontId="0" fillId="2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Continuous"/>
    </xf>
    <xf numFmtId="0" fontId="2" fillId="3" borderId="4" xfId="0" applyFont="1" applyFill="1" applyBorder="1"/>
    <xf numFmtId="0" fontId="0" fillId="2" borderId="4" xfId="0" applyFont="1" applyFill="1" applyBorder="1"/>
    <xf numFmtId="0" fontId="7" fillId="2" borderId="5" xfId="0" applyFont="1" applyFill="1" applyBorder="1"/>
    <xf numFmtId="0" fontId="7" fillId="2" borderId="3" xfId="0" applyFont="1" applyFill="1" applyBorder="1"/>
    <xf numFmtId="0" fontId="0" fillId="2" borderId="5" xfId="0" applyFont="1" applyFill="1" applyBorder="1"/>
    <xf numFmtId="0" fontId="0" fillId="2" borderId="3" xfId="0" applyFont="1" applyFill="1" applyBorder="1"/>
    <xf numFmtId="0" fontId="0" fillId="2" borderId="1" xfId="0" applyFont="1" applyFill="1" applyBorder="1"/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6" xfId="0" applyFont="1" applyBorder="1"/>
    <xf numFmtId="0" fontId="0" fillId="0" borderId="7" xfId="0" applyFont="1" applyBorder="1"/>
    <xf numFmtId="3" fontId="2" fillId="3" borderId="7" xfId="0" applyNumberFormat="1" applyFont="1" applyFill="1" applyBorder="1" applyAlignment="1">
      <alignment horizontal="right"/>
    </xf>
    <xf numFmtId="0" fontId="2" fillId="3" borderId="10" xfId="0" applyFont="1" applyFill="1" applyBorder="1"/>
    <xf numFmtId="0" fontId="2" fillId="3" borderId="11" xfId="0" applyFont="1" applyFill="1" applyBorder="1"/>
    <xf numFmtId="0" fontId="0" fillId="2" borderId="11" xfId="0" applyFont="1" applyFill="1" applyBorder="1" applyAlignment="1">
      <alignment horizontal="center"/>
    </xf>
    <xf numFmtId="0" fontId="0" fillId="3" borderId="3" xfId="0" applyFill="1" applyBorder="1"/>
    <xf numFmtId="0" fontId="0" fillId="3" borderId="5" xfId="0" applyFill="1" applyBorder="1"/>
    <xf numFmtId="0" fontId="2" fillId="3" borderId="8" xfId="0" applyFont="1" applyFill="1" applyBorder="1"/>
    <xf numFmtId="0" fontId="2" fillId="3" borderId="9" xfId="0" applyFont="1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2" xfId="0" applyFill="1" applyBorder="1"/>
    <xf numFmtId="0" fontId="2" fillId="5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5" borderId="0" xfId="0" applyFont="1" applyFill="1" applyAlignment="1">
      <alignment horizontal="left" vertical="center" indent="1"/>
    </xf>
    <xf numFmtId="0" fontId="0" fillId="0" borderId="1" xfId="0" applyFont="1" applyFill="1" applyBorder="1"/>
    <xf numFmtId="0" fontId="8" fillId="0" borderId="0" xfId="0" applyFont="1"/>
    <xf numFmtId="3" fontId="0" fillId="0" borderId="1" xfId="0" applyNumberFormat="1" applyFont="1" applyFill="1" applyBorder="1" applyAlignment="1">
      <alignment horizontal="right"/>
    </xf>
    <xf numFmtId="0" fontId="2" fillId="3" borderId="10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2" borderId="12" xfId="0" applyFont="1" applyFill="1" applyBorder="1"/>
    <xf numFmtId="0" fontId="2" fillId="3" borderId="2" xfId="0" applyFont="1" applyFill="1" applyBorder="1" applyAlignment="1">
      <alignment horizontal="left"/>
    </xf>
    <xf numFmtId="0" fontId="0" fillId="2" borderId="15" xfId="0" applyFont="1" applyFill="1" applyBorder="1"/>
    <xf numFmtId="0" fontId="0" fillId="2" borderId="14" xfId="0" applyFont="1" applyFill="1" applyBorder="1"/>
    <xf numFmtId="165" fontId="0" fillId="4" borderId="2" xfId="0" applyNumberFormat="1" applyFont="1" applyFill="1" applyBorder="1"/>
    <xf numFmtId="9" fontId="0" fillId="0" borderId="1" xfId="0" applyNumberFormat="1" applyFont="1" applyFill="1" applyBorder="1"/>
    <xf numFmtId="9" fontId="0" fillId="0" borderId="1" xfId="1" applyNumberFormat="1" applyFont="1" applyFill="1" applyBorder="1"/>
    <xf numFmtId="168" fontId="0" fillId="0" borderId="1" xfId="0" applyNumberFormat="1" applyFont="1" applyFill="1" applyBorder="1"/>
    <xf numFmtId="168" fontId="0" fillId="0" borderId="1" xfId="0" applyNumberFormat="1" applyBorder="1"/>
    <xf numFmtId="9" fontId="0" fillId="0" borderId="1" xfId="1" applyFont="1" applyFill="1" applyBorder="1" applyAlignment="1">
      <alignment horizontal="right"/>
    </xf>
    <xf numFmtId="168" fontId="0" fillId="0" borderId="1" xfId="0" applyNumberFormat="1" applyFont="1" applyFill="1" applyBorder="1" applyAlignment="1">
      <alignment horizontal="right"/>
    </xf>
    <xf numFmtId="167" fontId="0" fillId="0" borderId="1" xfId="1" applyNumberFormat="1" applyFont="1" applyFill="1" applyBorder="1" applyAlignment="1">
      <alignment horizontal="right"/>
    </xf>
    <xf numFmtId="169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3" fontId="0" fillId="0" borderId="0" xfId="0" applyNumberFormat="1"/>
    <xf numFmtId="0" fontId="0" fillId="0" borderId="0" xfId="0" applyFill="1" applyBorder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0" fillId="6" borderId="1" xfId="0" applyNumberFormat="1" applyFont="1" applyFill="1" applyBorder="1" applyAlignment="1">
      <alignment horizontal="right"/>
    </xf>
    <xf numFmtId="0" fontId="0" fillId="6" borderId="1" xfId="0" applyNumberFormat="1" applyFont="1" applyFill="1" applyBorder="1" applyAlignment="1">
      <alignment horizontal="right"/>
    </xf>
    <xf numFmtId="167" fontId="0" fillId="6" borderId="1" xfId="1" applyNumberFormat="1" applyFont="1" applyFill="1" applyBorder="1" applyAlignment="1">
      <alignment horizontal="right"/>
    </xf>
    <xf numFmtId="9" fontId="0" fillId="0" borderId="1" xfId="1" applyFont="1" applyBorder="1"/>
    <xf numFmtId="0" fontId="2" fillId="3" borderId="0" xfId="0" applyFont="1" applyFill="1" applyBorder="1"/>
    <xf numFmtId="0" fontId="0" fillId="3" borderId="0" xfId="0" applyFill="1" applyBorder="1"/>
    <xf numFmtId="0" fontId="0" fillId="0" borderId="4" xfId="0" applyFont="1" applyFill="1" applyBorder="1"/>
    <xf numFmtId="0" fontId="0" fillId="0" borderId="3" xfId="0" applyFont="1" applyFill="1" applyBorder="1"/>
    <xf numFmtId="0" fontId="7" fillId="0" borderId="6" xfId="0" applyFont="1" applyFill="1" applyBorder="1"/>
    <xf numFmtId="0" fontId="7" fillId="0" borderId="7" xfId="0" applyFont="1" applyFill="1" applyBorder="1"/>
    <xf numFmtId="3" fontId="7" fillId="0" borderId="1" xfId="0" applyNumberFormat="1" applyFont="1" applyFill="1" applyBorder="1" applyAlignment="1">
      <alignment horizontal="right"/>
    </xf>
    <xf numFmtId="168" fontId="7" fillId="0" borderId="1" xfId="0" applyNumberFormat="1" applyFont="1" applyFill="1" applyBorder="1" applyAlignment="1">
      <alignment horizontal="right"/>
    </xf>
    <xf numFmtId="170" fontId="7" fillId="0" borderId="1" xfId="0" applyNumberFormat="1" applyFont="1" applyFill="1" applyBorder="1" applyAlignment="1">
      <alignment horizontal="right"/>
    </xf>
    <xf numFmtId="171" fontId="7" fillId="0" borderId="1" xfId="0" applyNumberFormat="1" applyFont="1" applyFill="1" applyBorder="1" applyAlignment="1">
      <alignment horizontal="right"/>
    </xf>
    <xf numFmtId="0" fontId="10" fillId="3" borderId="13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7" fillId="0" borderId="0" xfId="0" applyFont="1"/>
    <xf numFmtId="0" fontId="0" fillId="7" borderId="4" xfId="0" applyFill="1" applyBorder="1"/>
    <xf numFmtId="0" fontId="0" fillId="7" borderId="5" xfId="0" applyFill="1" applyBorder="1"/>
    <xf numFmtId="0" fontId="0" fillId="7" borderId="3" xfId="0" applyFill="1" applyBorder="1"/>
    <xf numFmtId="9" fontId="0" fillId="0" borderId="1" xfId="1" applyNumberFormat="1" applyFont="1" applyFill="1" applyBorder="1" applyAlignment="1">
      <alignment horizontal="right"/>
    </xf>
    <xf numFmtId="0" fontId="0" fillId="7" borderId="1" xfId="0" applyFill="1" applyBorder="1"/>
    <xf numFmtId="0" fontId="11" fillId="0" borderId="0" xfId="0" applyFont="1" applyAlignment="1">
      <alignment horizontal="left" indent="1"/>
    </xf>
    <xf numFmtId="0" fontId="0" fillId="0" borderId="0" xfId="0" applyFill="1"/>
    <xf numFmtId="169" fontId="0" fillId="6" borderId="1" xfId="0" applyNumberFormat="1" applyFont="1" applyFill="1" applyBorder="1" applyAlignment="1">
      <alignment horizontal="right"/>
    </xf>
    <xf numFmtId="9" fontId="7" fillId="0" borderId="1" xfId="1" applyFont="1" applyFill="1" applyBorder="1" applyAlignment="1">
      <alignment horizontal="right"/>
    </xf>
    <xf numFmtId="0" fontId="3" fillId="3" borderId="13" xfId="0" applyFont="1" applyFill="1" applyBorder="1"/>
    <xf numFmtId="0" fontId="7" fillId="9" borderId="17" xfId="0" applyFont="1" applyFill="1" applyBorder="1" applyAlignment="1">
      <alignment vertical="center" wrapText="1"/>
    </xf>
    <xf numFmtId="0" fontId="7" fillId="9" borderId="18" xfId="0" applyFont="1" applyFill="1" applyBorder="1" applyAlignment="1">
      <alignment vertical="center"/>
    </xf>
    <xf numFmtId="0" fontId="7" fillId="8" borderId="17" xfId="0" applyFont="1" applyFill="1" applyBorder="1"/>
    <xf numFmtId="0" fontId="0" fillId="8" borderId="18" xfId="0" applyFill="1" applyBorder="1"/>
    <xf numFmtId="0" fontId="0" fillId="8" borderId="25" xfId="0" applyFill="1" applyBorder="1"/>
    <xf numFmtId="0" fontId="0" fillId="0" borderId="19" xfId="0" applyBorder="1"/>
    <xf numFmtId="0" fontId="0" fillId="0" borderId="20" xfId="0" applyBorder="1"/>
    <xf numFmtId="2" fontId="0" fillId="0" borderId="21" xfId="1" applyNumberFormat="1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2" fontId="0" fillId="0" borderId="24" xfId="1" applyNumberFormat="1" applyFont="1" applyBorder="1" applyAlignment="1">
      <alignment horizontal="center"/>
    </xf>
    <xf numFmtId="172" fontId="0" fillId="0" borderId="21" xfId="0" applyNumberFormat="1" applyBorder="1" applyAlignment="1">
      <alignment horizontal="center"/>
    </xf>
    <xf numFmtId="172" fontId="0" fillId="0" borderId="24" xfId="0" applyNumberFormat="1" applyBorder="1" applyAlignment="1">
      <alignment horizontal="center"/>
    </xf>
    <xf numFmtId="171" fontId="7" fillId="0" borderId="25" xfId="1" applyNumberFormat="1" applyFont="1" applyBorder="1" applyAlignment="1">
      <alignment horizontal="center" vertical="center"/>
    </xf>
    <xf numFmtId="167" fontId="0" fillId="0" borderId="21" xfId="1" applyNumberFormat="1" applyFont="1" applyBorder="1" applyAlignment="1">
      <alignment horizontal="center"/>
    </xf>
    <xf numFmtId="167" fontId="0" fillId="0" borderId="24" xfId="1" applyNumberFormat="1" applyFont="1" applyBorder="1" applyAlignment="1">
      <alignment horizontal="center"/>
    </xf>
    <xf numFmtId="0" fontId="8" fillId="0" borderId="0" xfId="0" applyFont="1" applyFill="1"/>
    <xf numFmtId="0" fontId="12" fillId="11" borderId="26" xfId="0" applyFont="1" applyFill="1" applyBorder="1"/>
    <xf numFmtId="0" fontId="12" fillId="0" borderId="26" xfId="0" applyFont="1" applyBorder="1"/>
    <xf numFmtId="0" fontId="12" fillId="0" borderId="28" xfId="0" applyFont="1" applyBorder="1"/>
    <xf numFmtId="0" fontId="3" fillId="13" borderId="0" xfId="0" applyFont="1" applyFill="1"/>
    <xf numFmtId="0" fontId="2" fillId="13" borderId="0" xfId="0" applyFont="1" applyFill="1"/>
    <xf numFmtId="0" fontId="14" fillId="0" borderId="0" xfId="0" applyFont="1"/>
    <xf numFmtId="0" fontId="14" fillId="0" borderId="0" xfId="0" applyFont="1" applyAlignment="1">
      <alignment horizontal="left" vertical="top"/>
    </xf>
    <xf numFmtId="9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7" fillId="0" borderId="10" xfId="0" applyFont="1" applyFill="1" applyBorder="1"/>
    <xf numFmtId="0" fontId="7" fillId="0" borderId="1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169" fontId="0" fillId="0" borderId="0" xfId="0" applyNumberFormat="1" applyFont="1" applyFill="1" applyBorder="1" applyAlignment="1">
      <alignment horizontal="right"/>
    </xf>
    <xf numFmtId="0" fontId="0" fillId="0" borderId="1" xfId="0" applyBorder="1"/>
    <xf numFmtId="0" fontId="15" fillId="10" borderId="27" xfId="0" applyFont="1" applyFill="1" applyBorder="1"/>
    <xf numFmtId="3" fontId="18" fillId="14" borderId="31" xfId="7" applyNumberFormat="1" applyAlignment="1">
      <alignment horizontal="right"/>
    </xf>
    <xf numFmtId="3" fontId="19" fillId="14" borderId="31" xfId="7" applyNumberFormat="1" applyFont="1" applyAlignment="1">
      <alignment horizontal="right"/>
    </xf>
    <xf numFmtId="170" fontId="19" fillId="14" borderId="31" xfId="7" applyNumberFormat="1" applyFont="1" applyAlignment="1">
      <alignment horizontal="right"/>
    </xf>
    <xf numFmtId="0" fontId="18" fillId="14" borderId="31" xfId="7" applyNumberFormat="1" applyAlignment="1">
      <alignment horizontal="right"/>
    </xf>
    <xf numFmtId="0" fontId="19" fillId="14" borderId="31" xfId="7" applyNumberFormat="1" applyFont="1" applyAlignment="1">
      <alignment horizontal="right"/>
    </xf>
    <xf numFmtId="9" fontId="18" fillId="14" borderId="31" xfId="7" applyNumberFormat="1" applyAlignment="1">
      <alignment horizontal="right"/>
    </xf>
    <xf numFmtId="167" fontId="18" fillId="14" borderId="31" xfId="7" applyNumberFormat="1" applyAlignment="1">
      <alignment horizontal="right"/>
    </xf>
    <xf numFmtId="9" fontId="19" fillId="14" borderId="31" xfId="7" applyNumberFormat="1" applyFont="1" applyAlignment="1">
      <alignment horizontal="right"/>
    </xf>
    <xf numFmtId="167" fontId="19" fillId="14" borderId="31" xfId="7" applyNumberFormat="1" applyFont="1" applyAlignment="1">
      <alignment horizontal="right"/>
    </xf>
    <xf numFmtId="4" fontId="18" fillId="14" borderId="31" xfId="7" applyNumberFormat="1" applyAlignment="1">
      <alignment horizontal="right"/>
    </xf>
    <xf numFmtId="0" fontId="0" fillId="6" borderId="8" xfId="0" applyNumberFormat="1" applyFont="1" applyFill="1" applyBorder="1" applyAlignment="1">
      <alignment horizontal="right"/>
    </xf>
    <xf numFmtId="0" fontId="0" fillId="6" borderId="32" xfId="0" applyNumberFormat="1" applyFont="1" applyFill="1" applyBorder="1" applyAlignment="1">
      <alignment horizontal="right"/>
    </xf>
    <xf numFmtId="0" fontId="0" fillId="6" borderId="13" xfId="0" applyNumberFormat="1" applyFont="1" applyFill="1" applyBorder="1" applyAlignment="1">
      <alignment horizontal="right"/>
    </xf>
    <xf numFmtId="0" fontId="0" fillId="6" borderId="0" xfId="0" applyNumberFormat="1" applyFont="1" applyFill="1" applyBorder="1" applyAlignment="1">
      <alignment horizontal="right"/>
    </xf>
    <xf numFmtId="0" fontId="0" fillId="6" borderId="15" xfId="0" applyNumberFormat="1" applyFont="1" applyFill="1" applyBorder="1" applyAlignment="1">
      <alignment horizontal="right"/>
    </xf>
    <xf numFmtId="0" fontId="0" fillId="6" borderId="33" xfId="0" applyNumberFormat="1" applyFont="1" applyFill="1" applyBorder="1" applyAlignment="1">
      <alignment horizontal="right"/>
    </xf>
    <xf numFmtId="0" fontId="0" fillId="6" borderId="9" xfId="0" applyNumberFormat="1" applyFont="1" applyFill="1" applyBorder="1" applyAlignment="1">
      <alignment horizontal="right"/>
    </xf>
    <xf numFmtId="0" fontId="0" fillId="6" borderId="14" xfId="0" applyNumberFormat="1" applyFont="1" applyFill="1" applyBorder="1" applyAlignment="1">
      <alignment horizontal="right"/>
    </xf>
    <xf numFmtId="0" fontId="0" fillId="6" borderId="12" xfId="0" applyNumberFormat="1" applyFont="1" applyFill="1" applyBorder="1" applyAlignment="1">
      <alignment horizontal="right"/>
    </xf>
    <xf numFmtId="9" fontId="0" fillId="6" borderId="8" xfId="1" applyFont="1" applyFill="1" applyBorder="1" applyAlignment="1">
      <alignment horizontal="right"/>
    </xf>
    <xf numFmtId="9" fontId="0" fillId="6" borderId="32" xfId="1" applyFont="1" applyFill="1" applyBorder="1" applyAlignment="1">
      <alignment horizontal="right"/>
    </xf>
    <xf numFmtId="9" fontId="0" fillId="6" borderId="9" xfId="1" applyFont="1" applyFill="1" applyBorder="1" applyAlignment="1">
      <alignment horizontal="right"/>
    </xf>
    <xf numFmtId="9" fontId="0" fillId="6" borderId="15" xfId="1" applyFont="1" applyFill="1" applyBorder="1" applyAlignment="1">
      <alignment horizontal="right"/>
    </xf>
    <xf numFmtId="9" fontId="0" fillId="6" borderId="33" xfId="1" applyFont="1" applyFill="1" applyBorder="1" applyAlignment="1">
      <alignment horizontal="right"/>
    </xf>
    <xf numFmtId="9" fontId="0" fillId="6" borderId="12" xfId="1" applyFont="1" applyFill="1" applyBorder="1" applyAlignment="1">
      <alignment horizontal="right"/>
    </xf>
    <xf numFmtId="167" fontId="0" fillId="6" borderId="8" xfId="1" applyNumberFormat="1" applyFont="1" applyFill="1" applyBorder="1" applyAlignment="1">
      <alignment horizontal="right"/>
    </xf>
    <xf numFmtId="167" fontId="0" fillId="6" borderId="32" xfId="1" applyNumberFormat="1" applyFont="1" applyFill="1" applyBorder="1" applyAlignment="1">
      <alignment horizontal="right"/>
    </xf>
    <xf numFmtId="167" fontId="0" fillId="6" borderId="9" xfId="1" applyNumberFormat="1" applyFont="1" applyFill="1" applyBorder="1" applyAlignment="1">
      <alignment horizontal="right"/>
    </xf>
    <xf numFmtId="167" fontId="0" fillId="6" borderId="13" xfId="1" applyNumberFormat="1" applyFont="1" applyFill="1" applyBorder="1" applyAlignment="1">
      <alignment horizontal="right"/>
    </xf>
    <xf numFmtId="167" fontId="0" fillId="6" borderId="0" xfId="1" applyNumberFormat="1" applyFont="1" applyFill="1" applyBorder="1" applyAlignment="1">
      <alignment horizontal="right"/>
    </xf>
    <xf numFmtId="167" fontId="0" fillId="6" borderId="14" xfId="1" applyNumberFormat="1" applyFont="1" applyFill="1" applyBorder="1" applyAlignment="1">
      <alignment horizontal="right"/>
    </xf>
    <xf numFmtId="167" fontId="0" fillId="6" borderId="15" xfId="1" applyNumberFormat="1" applyFont="1" applyFill="1" applyBorder="1" applyAlignment="1">
      <alignment horizontal="right"/>
    </xf>
    <xf numFmtId="167" fontId="0" fillId="6" borderId="33" xfId="1" applyNumberFormat="1" applyFont="1" applyFill="1" applyBorder="1" applyAlignment="1">
      <alignment horizontal="right"/>
    </xf>
    <xf numFmtId="167" fontId="0" fillId="6" borderId="12" xfId="1" applyNumberFormat="1" applyFont="1" applyFill="1" applyBorder="1" applyAlignment="1">
      <alignment horizontal="right"/>
    </xf>
    <xf numFmtId="9" fontId="0" fillId="6" borderId="13" xfId="1" applyFont="1" applyFill="1" applyBorder="1" applyAlignment="1">
      <alignment horizontal="right"/>
    </xf>
    <xf numFmtId="9" fontId="0" fillId="6" borderId="0" xfId="1" applyFont="1" applyFill="1" applyBorder="1" applyAlignment="1">
      <alignment horizontal="right"/>
    </xf>
    <xf numFmtId="9" fontId="0" fillId="6" borderId="14" xfId="1" applyFont="1" applyFill="1" applyBorder="1" applyAlignment="1">
      <alignment horizontal="right"/>
    </xf>
    <xf numFmtId="3" fontId="0" fillId="6" borderId="8" xfId="0" applyNumberFormat="1" applyFont="1" applyFill="1" applyBorder="1" applyAlignment="1">
      <alignment horizontal="right"/>
    </xf>
    <xf numFmtId="3" fontId="0" fillId="6" borderId="32" xfId="0" applyNumberFormat="1" applyFont="1" applyFill="1" applyBorder="1" applyAlignment="1">
      <alignment horizontal="right"/>
    </xf>
    <xf numFmtId="3" fontId="0" fillId="6" borderId="9" xfId="0" applyNumberFormat="1" applyFont="1" applyFill="1" applyBorder="1" applyAlignment="1">
      <alignment horizontal="right"/>
    </xf>
    <xf numFmtId="3" fontId="0" fillId="6" borderId="13" xfId="0" applyNumberFormat="1" applyFont="1" applyFill="1" applyBorder="1" applyAlignment="1">
      <alignment horizontal="right"/>
    </xf>
    <xf numFmtId="3" fontId="0" fillId="6" borderId="0" xfId="0" applyNumberFormat="1" applyFont="1" applyFill="1" applyBorder="1" applyAlignment="1">
      <alignment horizontal="right"/>
    </xf>
    <xf numFmtId="3" fontId="0" fillId="6" borderId="14" xfId="0" applyNumberFormat="1" applyFont="1" applyFill="1" applyBorder="1" applyAlignment="1">
      <alignment horizontal="right"/>
    </xf>
    <xf numFmtId="3" fontId="0" fillId="6" borderId="15" xfId="0" applyNumberFormat="1" applyFont="1" applyFill="1" applyBorder="1" applyAlignment="1">
      <alignment horizontal="right"/>
    </xf>
    <xf numFmtId="3" fontId="0" fillId="6" borderId="33" xfId="0" applyNumberFormat="1" applyFont="1" applyFill="1" applyBorder="1" applyAlignment="1">
      <alignment horizontal="right"/>
    </xf>
    <xf numFmtId="3" fontId="0" fillId="6" borderId="12" xfId="0" applyNumberFormat="1" applyFont="1" applyFill="1" applyBorder="1" applyAlignment="1">
      <alignment horizontal="right"/>
    </xf>
    <xf numFmtId="166" fontId="0" fillId="6" borderId="8" xfId="1" applyNumberFormat="1" applyFont="1" applyFill="1" applyBorder="1" applyAlignment="1">
      <alignment horizontal="right"/>
    </xf>
    <xf numFmtId="166" fontId="0" fillId="6" borderId="32" xfId="1" applyNumberFormat="1" applyFont="1" applyFill="1" applyBorder="1" applyAlignment="1">
      <alignment horizontal="right"/>
    </xf>
    <xf numFmtId="166" fontId="0" fillId="6" borderId="9" xfId="1" applyNumberFormat="1" applyFont="1" applyFill="1" applyBorder="1" applyAlignment="1">
      <alignment horizontal="right"/>
    </xf>
    <xf numFmtId="166" fontId="0" fillId="6" borderId="13" xfId="1" applyNumberFormat="1" applyFont="1" applyFill="1" applyBorder="1" applyAlignment="1">
      <alignment horizontal="right"/>
    </xf>
    <xf numFmtId="166" fontId="0" fillId="6" borderId="0" xfId="1" applyNumberFormat="1" applyFont="1" applyFill="1" applyBorder="1" applyAlignment="1">
      <alignment horizontal="right"/>
    </xf>
    <xf numFmtId="166" fontId="0" fillId="6" borderId="14" xfId="1" applyNumberFormat="1" applyFont="1" applyFill="1" applyBorder="1" applyAlignment="1">
      <alignment horizontal="right"/>
    </xf>
    <xf numFmtId="166" fontId="0" fillId="6" borderId="15" xfId="1" applyNumberFormat="1" applyFont="1" applyFill="1" applyBorder="1" applyAlignment="1">
      <alignment horizontal="right"/>
    </xf>
    <xf numFmtId="166" fontId="0" fillId="6" borderId="33" xfId="1" applyNumberFormat="1" applyFont="1" applyFill="1" applyBorder="1" applyAlignment="1">
      <alignment horizontal="right"/>
    </xf>
    <xf numFmtId="166" fontId="0" fillId="6" borderId="12" xfId="1" applyNumberFormat="1" applyFont="1" applyFill="1" applyBorder="1" applyAlignment="1">
      <alignment horizontal="right"/>
    </xf>
    <xf numFmtId="166" fontId="18" fillId="14" borderId="31" xfId="7" applyNumberFormat="1" applyAlignment="1">
      <alignment horizontal="right"/>
    </xf>
    <xf numFmtId="0" fontId="0" fillId="8" borderId="0" xfId="0" applyFill="1" applyProtection="1">
      <protection hidden="1"/>
    </xf>
    <xf numFmtId="0" fontId="0" fillId="0" borderId="0" xfId="0" applyProtection="1">
      <protection hidden="1"/>
    </xf>
    <xf numFmtId="0" fontId="7" fillId="0" borderId="0" xfId="0" applyFont="1" applyAlignment="1" applyProtection="1">
      <alignment horizontal="right" indent="1"/>
      <protection hidden="1"/>
    </xf>
    <xf numFmtId="0" fontId="7" fillId="15" borderId="34" xfId="0" applyFont="1" applyFill="1" applyBorder="1" applyAlignment="1" applyProtection="1">
      <alignment horizontal="center"/>
      <protection locked="0" hidden="1"/>
    </xf>
    <xf numFmtId="0" fontId="20" fillId="0" borderId="0" xfId="0" applyFont="1" applyAlignment="1" applyProtection="1">
      <alignment horizontal="right"/>
      <protection hidden="1"/>
    </xf>
    <xf numFmtId="14" fontId="20" fillId="0" borderId="0" xfId="0" applyNumberFormat="1" applyFont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3" fillId="0" borderId="35" xfId="0" applyFont="1" applyBorder="1" applyProtection="1">
      <protection hidden="1"/>
    </xf>
    <xf numFmtId="0" fontId="0" fillId="0" borderId="35" xfId="0" applyBorder="1" applyProtection="1">
      <protection hidden="1"/>
    </xf>
    <xf numFmtId="0" fontId="7" fillId="0" borderId="0" xfId="0" applyFont="1" applyAlignment="1" applyProtection="1">
      <alignment horizontal="right"/>
      <protection hidden="1"/>
    </xf>
    <xf numFmtId="0" fontId="0" fillId="12" borderId="0" xfId="0" applyFill="1" applyProtection="1">
      <protection hidden="1"/>
    </xf>
    <xf numFmtId="0" fontId="0" fillId="0" borderId="0" xfId="0" applyAlignment="1" applyProtection="1">
      <alignment horizontal="left" indent="1"/>
      <protection hidden="1"/>
    </xf>
    <xf numFmtId="0" fontId="0" fillId="16" borderId="0" xfId="0" applyFill="1" applyProtection="1">
      <protection hidden="1"/>
    </xf>
    <xf numFmtId="0" fontId="0" fillId="8" borderId="0" xfId="0" applyFill="1"/>
    <xf numFmtId="0" fontId="24" fillId="15" borderId="36" xfId="0" applyFont="1" applyFill="1" applyBorder="1"/>
    <xf numFmtId="0" fontId="0" fillId="15" borderId="20" xfId="0" applyFill="1" applyBorder="1"/>
    <xf numFmtId="0" fontId="0" fillId="15" borderId="21" xfId="0" applyFill="1" applyBorder="1"/>
    <xf numFmtId="0" fontId="0" fillId="15" borderId="37" xfId="0" applyFill="1" applyBorder="1"/>
    <xf numFmtId="0" fontId="0" fillId="15" borderId="0" xfId="0" applyFill="1"/>
    <xf numFmtId="0" fontId="2" fillId="17" borderId="38" xfId="0" applyFont="1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0" fillId="15" borderId="39" xfId="0" applyFill="1" applyBorder="1"/>
    <xf numFmtId="0" fontId="0" fillId="0" borderId="40" xfId="0" applyBorder="1"/>
    <xf numFmtId="0" fontId="25" fillId="0" borderId="41" xfId="0" applyFont="1" applyBorder="1" applyAlignment="1">
      <alignment horizontal="left"/>
    </xf>
    <xf numFmtId="0" fontId="0" fillId="0" borderId="41" xfId="0" applyBorder="1"/>
    <xf numFmtId="0" fontId="0" fillId="0" borderId="42" xfId="0" applyBorder="1"/>
    <xf numFmtId="0" fontId="0" fillId="0" borderId="17" xfId="0" applyBorder="1"/>
    <xf numFmtId="0" fontId="7" fillId="0" borderId="25" xfId="0" applyFont="1" applyBorder="1"/>
    <xf numFmtId="0" fontId="7" fillId="15" borderId="0" xfId="0" applyFont="1" applyFill="1" applyAlignment="1">
      <alignment horizontal="left"/>
    </xf>
    <xf numFmtId="174" fontId="0" fillId="0" borderId="43" xfId="0" applyNumberFormat="1" applyBorder="1"/>
    <xf numFmtId="174" fontId="0" fillId="12" borderId="44" xfId="0" applyNumberFormat="1" applyFill="1" applyBorder="1" applyProtection="1">
      <protection locked="0"/>
    </xf>
    <xf numFmtId="174" fontId="13" fillId="15" borderId="0" xfId="0" applyNumberFormat="1" applyFont="1" applyFill="1"/>
    <xf numFmtId="0" fontId="0" fillId="0" borderId="45" xfId="0" applyBorder="1"/>
    <xf numFmtId="0" fontId="0" fillId="12" borderId="0" xfId="0" applyFill="1"/>
    <xf numFmtId="0" fontId="0" fillId="0" borderId="0" xfId="0" applyAlignment="1">
      <alignment horizontal="left" indent="1"/>
    </xf>
    <xf numFmtId="0" fontId="0" fillId="0" borderId="46" xfId="0" applyBorder="1"/>
    <xf numFmtId="0" fontId="0" fillId="15" borderId="22" xfId="0" applyFill="1" applyBorder="1"/>
    <xf numFmtId="0" fontId="0" fillId="15" borderId="23" xfId="0" applyFill="1" applyBorder="1"/>
    <xf numFmtId="0" fontId="13" fillId="15" borderId="23" xfId="0" applyFont="1" applyFill="1" applyBorder="1"/>
    <xf numFmtId="0" fontId="0" fillId="15" borderId="24" xfId="0" applyFill="1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2" fillId="17" borderId="17" xfId="0" applyFont="1" applyFill="1" applyBorder="1"/>
    <xf numFmtId="0" fontId="2" fillId="17" borderId="25" xfId="0" applyFont="1" applyFill="1" applyBorder="1"/>
    <xf numFmtId="0" fontId="2" fillId="17" borderId="34" xfId="0" applyFont="1" applyFill="1" applyBorder="1" applyAlignment="1">
      <alignment horizontal="center"/>
    </xf>
    <xf numFmtId="0" fontId="2" fillId="17" borderId="36" xfId="0" applyFont="1" applyFill="1" applyBorder="1" applyAlignment="1">
      <alignment horizontal="center"/>
    </xf>
    <xf numFmtId="0" fontId="0" fillId="0" borderId="50" xfId="0" applyBorder="1"/>
    <xf numFmtId="0" fontId="0" fillId="0" borderId="51" xfId="0" applyBorder="1"/>
    <xf numFmtId="3" fontId="0" fillId="0" borderId="52" xfId="0" applyNumberFormat="1" applyBorder="1"/>
    <xf numFmtId="3" fontId="0" fillId="12" borderId="51" xfId="0" applyNumberFormat="1" applyFill="1" applyBorder="1" applyProtection="1">
      <protection locked="0"/>
    </xf>
    <xf numFmtId="0" fontId="7" fillId="15" borderId="13" xfId="0" applyFont="1" applyFill="1" applyBorder="1" applyAlignment="1">
      <alignment horizontal="left"/>
    </xf>
    <xf numFmtId="0" fontId="0" fillId="0" borderId="53" xfId="0" applyBorder="1" applyAlignment="1">
      <alignment horizontal="left"/>
    </xf>
    <xf numFmtId="0" fontId="2" fillId="17" borderId="54" xfId="0" applyFont="1" applyFill="1" applyBorder="1" applyAlignment="1">
      <alignment horizontal="center"/>
    </xf>
    <xf numFmtId="0" fontId="0" fillId="0" borderId="55" xfId="0" applyBorder="1"/>
    <xf numFmtId="0" fontId="0" fillId="0" borderId="56" xfId="0" applyBorder="1"/>
    <xf numFmtId="3" fontId="0" fillId="0" borderId="57" xfId="0" applyNumberFormat="1" applyBorder="1"/>
    <xf numFmtId="3" fontId="0" fillId="12" borderId="56" xfId="0" applyNumberFormat="1" applyFill="1" applyBorder="1" applyProtection="1">
      <protection locked="0"/>
    </xf>
    <xf numFmtId="0" fontId="0" fillId="0" borderId="58" xfId="0" applyBorder="1"/>
    <xf numFmtId="0" fontId="8" fillId="15" borderId="0" xfId="0" applyFont="1" applyFill="1"/>
    <xf numFmtId="0" fontId="8" fillId="15" borderId="13" xfId="0" applyFont="1" applyFill="1" applyBorder="1"/>
    <xf numFmtId="0" fontId="0" fillId="0" borderId="59" xfId="0" applyBorder="1"/>
    <xf numFmtId="0" fontId="0" fillId="0" borderId="60" xfId="0" applyBorder="1"/>
    <xf numFmtId="3" fontId="0" fillId="0" borderId="61" xfId="0" applyNumberFormat="1" applyBorder="1"/>
    <xf numFmtId="3" fontId="0" fillId="12" borderId="60" xfId="0" applyNumberFormat="1" applyFill="1" applyBorder="1" applyProtection="1">
      <protection locked="0"/>
    </xf>
    <xf numFmtId="0" fontId="0" fillId="0" borderId="62" xfId="0" applyBorder="1"/>
    <xf numFmtId="0" fontId="0" fillId="0" borderId="63" xfId="0" applyBorder="1" applyAlignment="1">
      <alignment horizontal="left"/>
    </xf>
    <xf numFmtId="0" fontId="3" fillId="17" borderId="54" xfId="0" applyFont="1" applyFill="1" applyBorder="1"/>
    <xf numFmtId="0" fontId="3" fillId="17" borderId="64" xfId="0" applyFont="1" applyFill="1" applyBorder="1"/>
    <xf numFmtId="0" fontId="0" fillId="0" borderId="65" xfId="0" applyBorder="1"/>
    <xf numFmtId="3" fontId="0" fillId="0" borderId="55" xfId="0" applyNumberFormat="1" applyBorder="1"/>
    <xf numFmtId="3" fontId="0" fillId="12" borderId="65" xfId="0" applyNumberFormat="1" applyFill="1" applyBorder="1" applyProtection="1">
      <protection locked="0"/>
    </xf>
    <xf numFmtId="0" fontId="0" fillId="0" borderId="54" xfId="0" applyBorder="1"/>
    <xf numFmtId="0" fontId="0" fillId="0" borderId="43" xfId="0" applyBorder="1"/>
    <xf numFmtId="0" fontId="0" fillId="0" borderId="44" xfId="0" applyBorder="1"/>
    <xf numFmtId="3" fontId="0" fillId="0" borderId="43" xfId="0" applyNumberFormat="1" applyBorder="1"/>
    <xf numFmtId="3" fontId="0" fillId="12" borderId="44" xfId="0" applyNumberFormat="1" applyFill="1" applyBorder="1" applyProtection="1">
      <protection locked="0"/>
    </xf>
    <xf numFmtId="0" fontId="0" fillId="0" borderId="38" xfId="0" applyBorder="1"/>
    <xf numFmtId="0" fontId="0" fillId="0" borderId="63" xfId="0" applyBorder="1"/>
    <xf numFmtId="0" fontId="0" fillId="16" borderId="0" xfId="0" applyFill="1"/>
    <xf numFmtId="173" fontId="0" fillId="0" borderId="52" xfId="0" applyNumberFormat="1" applyBorder="1" applyProtection="1">
      <protection hidden="1"/>
    </xf>
    <xf numFmtId="169" fontId="0" fillId="16" borderId="51" xfId="0" applyNumberFormat="1" applyFill="1" applyBorder="1" applyProtection="1">
      <protection hidden="1"/>
    </xf>
    <xf numFmtId="173" fontId="0" fillId="0" borderId="57" xfId="0" applyNumberFormat="1" applyBorder="1" applyProtection="1">
      <protection hidden="1"/>
    </xf>
    <xf numFmtId="169" fontId="0" fillId="16" borderId="56" xfId="0" applyNumberFormat="1" applyFill="1" applyBorder="1" applyProtection="1">
      <protection hidden="1"/>
    </xf>
    <xf numFmtId="173" fontId="0" fillId="0" borderId="61" xfId="0" applyNumberFormat="1" applyBorder="1" applyProtection="1">
      <protection hidden="1"/>
    </xf>
    <xf numFmtId="169" fontId="0" fillId="16" borderId="60" xfId="0" applyNumberFormat="1" applyFill="1" applyBorder="1" applyProtection="1">
      <protection hidden="1"/>
    </xf>
    <xf numFmtId="173" fontId="0" fillId="0" borderId="55" xfId="0" quotePrefix="1" applyNumberFormat="1" applyBorder="1" applyAlignment="1" applyProtection="1">
      <alignment horizontal="right"/>
      <protection hidden="1"/>
    </xf>
    <xf numFmtId="169" fontId="0" fillId="16" borderId="65" xfId="0" applyNumberFormat="1" applyFill="1" applyBorder="1" applyProtection="1">
      <protection hidden="1"/>
    </xf>
    <xf numFmtId="173" fontId="0" fillId="0" borderId="43" xfId="0" applyNumberFormat="1" applyBorder="1" applyProtection="1">
      <protection hidden="1"/>
    </xf>
    <xf numFmtId="169" fontId="0" fillId="16" borderId="44" xfId="0" applyNumberFormat="1" applyFill="1" applyBorder="1" applyProtection="1">
      <protection hidden="1"/>
    </xf>
    <xf numFmtId="0" fontId="0" fillId="2" borderId="0" xfId="0" applyFill="1"/>
    <xf numFmtId="0" fontId="7" fillId="8" borderId="43" xfId="0" applyFont="1" applyFill="1" applyBorder="1"/>
    <xf numFmtId="0" fontId="7" fillId="8" borderId="66" xfId="0" applyFont="1" applyFill="1" applyBorder="1"/>
    <xf numFmtId="0" fontId="7" fillId="8" borderId="18" xfId="0" applyFont="1" applyFill="1" applyBorder="1"/>
    <xf numFmtId="0" fontId="7" fillId="8" borderId="66" xfId="0" applyFont="1" applyFill="1" applyBorder="1" applyAlignment="1">
      <alignment horizontal="left"/>
    </xf>
    <xf numFmtId="0" fontId="7" fillId="8" borderId="25" xfId="0" applyFont="1" applyFill="1" applyBorder="1"/>
    <xf numFmtId="0" fontId="0" fillId="0" borderId="43" xfId="0" applyBorder="1" applyAlignment="1">
      <alignment horizontal="left" vertical="top" indent="1"/>
    </xf>
    <xf numFmtId="0" fontId="0" fillId="0" borderId="66" xfId="0" applyBorder="1" applyAlignment="1">
      <alignment horizontal="left" vertical="top" wrapText="1" indent="1"/>
    </xf>
    <xf numFmtId="0" fontId="0" fillId="0" borderId="67" xfId="0" applyBorder="1" applyAlignment="1">
      <alignment horizontal="left" vertical="top" wrapText="1" indent="1"/>
    </xf>
    <xf numFmtId="0" fontId="0" fillId="0" borderId="66" xfId="0" applyBorder="1" applyAlignment="1">
      <alignment horizontal="left" vertical="top" indent="1"/>
    </xf>
    <xf numFmtId="3" fontId="0" fillId="0" borderId="25" xfId="0" applyNumberFormat="1" applyBorder="1" applyAlignment="1">
      <alignment horizontal="center" vertical="center"/>
    </xf>
    <xf numFmtId="0" fontId="0" fillId="0" borderId="50" xfId="0" applyBorder="1" applyAlignment="1">
      <alignment horizontal="left" vertical="top" indent="1"/>
    </xf>
    <xf numFmtId="0" fontId="0" fillId="0" borderId="68" xfId="0" applyBorder="1" applyAlignment="1">
      <alignment horizontal="left" vertical="top" indent="1"/>
    </xf>
    <xf numFmtId="0" fontId="0" fillId="0" borderId="69" xfId="0" applyBorder="1" applyAlignment="1">
      <alignment horizontal="left" vertical="top" indent="1"/>
    </xf>
    <xf numFmtId="0" fontId="0" fillId="0" borderId="70" xfId="0" applyBorder="1" applyAlignment="1">
      <alignment horizontal="center" vertical="center" wrapText="1"/>
    </xf>
    <xf numFmtId="9" fontId="0" fillId="0" borderId="71" xfId="0" applyNumberFormat="1" applyBorder="1" applyAlignment="1">
      <alignment horizontal="center" vertical="center"/>
    </xf>
    <xf numFmtId="0" fontId="0" fillId="0" borderId="59" xfId="0" applyBorder="1" applyAlignment="1">
      <alignment horizontal="left" vertical="top" indent="1"/>
    </xf>
    <xf numFmtId="0" fontId="0" fillId="0" borderId="72" xfId="0" applyBorder="1" applyAlignment="1">
      <alignment horizontal="left" vertical="top" indent="1"/>
    </xf>
    <xf numFmtId="0" fontId="0" fillId="0" borderId="73" xfId="0" applyBorder="1" applyAlignment="1">
      <alignment horizontal="left" vertical="top" indent="1"/>
    </xf>
    <xf numFmtId="0" fontId="0" fillId="0" borderId="74" xfId="0" applyBorder="1" applyAlignment="1">
      <alignment horizontal="center" vertical="center" wrapText="1"/>
    </xf>
    <xf numFmtId="9" fontId="0" fillId="0" borderId="75" xfId="0" applyNumberFormat="1" applyBorder="1" applyAlignment="1">
      <alignment horizontal="center" vertical="center"/>
    </xf>
    <xf numFmtId="0" fontId="0" fillId="0" borderId="69" xfId="0" applyBorder="1" applyAlignment="1">
      <alignment horizontal="left" vertical="top" wrapText="1" indent="1"/>
    </xf>
    <xf numFmtId="9" fontId="0" fillId="0" borderId="71" xfId="0" applyNumberFormat="1" applyBorder="1" applyAlignment="1">
      <alignment horizontal="center" vertical="center" wrapText="1"/>
    </xf>
    <xf numFmtId="0" fontId="0" fillId="0" borderId="73" xfId="0" applyBorder="1" applyAlignment="1">
      <alignment horizontal="left" vertical="top" wrapText="1" indent="1"/>
    </xf>
    <xf numFmtId="9" fontId="0" fillId="0" borderId="75" xfId="0" applyNumberFormat="1" applyBorder="1" applyAlignment="1">
      <alignment horizontal="center" vertical="center" wrapText="1"/>
    </xf>
    <xf numFmtId="167" fontId="0" fillId="0" borderId="71" xfId="1" applyNumberFormat="1" applyFont="1" applyBorder="1" applyAlignment="1">
      <alignment horizontal="center" vertical="center" wrapText="1"/>
    </xf>
    <xf numFmtId="167" fontId="0" fillId="0" borderId="75" xfId="1" applyNumberFormat="1" applyFont="1" applyBorder="1" applyAlignment="1">
      <alignment horizontal="center" vertical="center"/>
    </xf>
    <xf numFmtId="0" fontId="13" fillId="0" borderId="0" xfId="0" applyFont="1"/>
    <xf numFmtId="0" fontId="0" fillId="15" borderId="6" xfId="0" applyFill="1" applyBorder="1"/>
    <xf numFmtId="0" fontId="2" fillId="15" borderId="29" xfId="0" applyFont="1" applyFill="1" applyBorder="1" applyAlignment="1">
      <alignment horizontal="center"/>
    </xf>
    <xf numFmtId="0" fontId="2" fillId="15" borderId="7" xfId="0" applyFont="1" applyFill="1" applyBorder="1" applyAlignment="1">
      <alignment horizontal="center"/>
    </xf>
    <xf numFmtId="0" fontId="0" fillId="0" borderId="3" xfId="0" applyBorder="1"/>
    <xf numFmtId="4" fontId="0" fillId="0" borderId="3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1" xfId="0" quotePrefix="1" applyNumberFormat="1" applyBorder="1" applyAlignment="1">
      <alignment horizontal="right"/>
    </xf>
    <xf numFmtId="0" fontId="2" fillId="15" borderId="17" xfId="0" applyFont="1" applyFill="1" applyBorder="1"/>
    <xf numFmtId="0" fontId="2" fillId="15" borderId="25" xfId="0" applyFont="1" applyFill="1" applyBorder="1"/>
    <xf numFmtId="0" fontId="2" fillId="15" borderId="38" xfId="0" applyFont="1" applyFill="1" applyBorder="1" applyAlignment="1">
      <alignment horizontal="center"/>
    </xf>
    <xf numFmtId="0" fontId="2" fillId="15" borderId="34" xfId="0" applyFont="1" applyFill="1" applyBorder="1" applyAlignment="1">
      <alignment horizontal="center"/>
    </xf>
    <xf numFmtId="0" fontId="2" fillId="15" borderId="36" xfId="0" applyFont="1" applyFill="1" applyBorder="1" applyAlignment="1">
      <alignment horizontal="center"/>
    </xf>
    <xf numFmtId="3" fontId="0" fillId="0" borderId="63" xfId="0" applyNumberFormat="1" applyBorder="1"/>
    <xf numFmtId="0" fontId="2" fillId="15" borderId="54" xfId="0" applyFont="1" applyFill="1" applyBorder="1" applyAlignment="1">
      <alignment horizontal="center"/>
    </xf>
    <xf numFmtId="3" fontId="0" fillId="0" borderId="58" xfId="0" applyNumberFormat="1" applyBorder="1"/>
    <xf numFmtId="3" fontId="0" fillId="0" borderId="62" xfId="0" applyNumberFormat="1" applyBorder="1"/>
    <xf numFmtId="0" fontId="3" fillId="15" borderId="54" xfId="0" applyFont="1" applyFill="1" applyBorder="1"/>
    <xf numFmtId="0" fontId="3" fillId="15" borderId="64" xfId="0" applyFont="1" applyFill="1" applyBorder="1"/>
    <xf numFmtId="3" fontId="0" fillId="0" borderId="54" xfId="0" applyNumberFormat="1" applyBorder="1"/>
    <xf numFmtId="3" fontId="0" fillId="0" borderId="38" xfId="0" applyNumberFormat="1" applyBorder="1"/>
    <xf numFmtId="0" fontId="26" fillId="8" borderId="4" xfId="0" applyFont="1" applyFill="1" applyBorder="1" applyAlignment="1">
      <alignment horizontal="left" vertical="top"/>
    </xf>
    <xf numFmtId="0" fontId="26" fillId="0" borderId="4" xfId="0" applyFont="1" applyBorder="1" applyAlignment="1">
      <alignment horizontal="center" vertical="top"/>
    </xf>
    <xf numFmtId="0" fontId="26" fillId="0" borderId="4" xfId="0" applyFont="1" applyBorder="1" applyAlignment="1">
      <alignment horizontal="center"/>
    </xf>
    <xf numFmtId="0" fontId="26" fillId="8" borderId="5" xfId="0" applyFont="1" applyFill="1" applyBorder="1" applyAlignment="1">
      <alignment horizontal="left" vertical="top"/>
    </xf>
    <xf numFmtId="9" fontId="26" fillId="0" borderId="5" xfId="0" applyNumberFormat="1" applyFont="1" applyBorder="1" applyAlignment="1">
      <alignment horizontal="center" vertical="top"/>
    </xf>
    <xf numFmtId="9" fontId="26" fillId="0" borderId="5" xfId="0" applyNumberFormat="1" applyFont="1" applyBorder="1" applyAlignment="1">
      <alignment horizontal="center"/>
    </xf>
    <xf numFmtId="0" fontId="27" fillId="8" borderId="3" xfId="0" applyFont="1" applyFill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167" fontId="26" fillId="0" borderId="5" xfId="1" applyNumberFormat="1" applyFont="1" applyFill="1" applyBorder="1" applyAlignment="1">
      <alignment horizontal="center" vertical="top"/>
    </xf>
    <xf numFmtId="167" fontId="26" fillId="0" borderId="5" xfId="1" applyNumberFormat="1" applyFont="1" applyBorder="1" applyAlignment="1">
      <alignment horizontal="center"/>
    </xf>
    <xf numFmtId="0" fontId="28" fillId="0" borderId="0" xfId="0" applyFont="1"/>
    <xf numFmtId="0" fontId="13" fillId="12" borderId="0" xfId="8" applyFont="1" applyFill="1" applyAlignment="1">
      <alignment horizontal="left"/>
    </xf>
    <xf numFmtId="0" fontId="0" fillId="0" borderId="39" xfId="0" applyBorder="1"/>
    <xf numFmtId="0" fontId="7" fillId="0" borderId="0" xfId="0" applyFont="1" applyAlignment="1">
      <alignment horizontal="left"/>
    </xf>
    <xf numFmtId="173" fontId="0" fillId="0" borderId="76" xfId="0" applyNumberFormat="1" applyBorder="1" applyProtection="1">
      <protection hidden="1"/>
    </xf>
    <xf numFmtId="0" fontId="7" fillId="0" borderId="13" xfId="0" applyFont="1" applyBorder="1" applyAlignment="1">
      <alignment horizontal="left"/>
    </xf>
    <xf numFmtId="173" fontId="0" fillId="0" borderId="1" xfId="0" applyNumberFormat="1" applyBorder="1" applyProtection="1">
      <protection hidden="1"/>
    </xf>
    <xf numFmtId="0" fontId="8" fillId="0" borderId="13" xfId="0" applyFont="1" applyBorder="1"/>
    <xf numFmtId="173" fontId="0" fillId="0" borderId="77" xfId="0" applyNumberFormat="1" applyBorder="1" applyProtection="1">
      <protection hidden="1"/>
    </xf>
    <xf numFmtId="173" fontId="0" fillId="0" borderId="5" xfId="0" applyNumberFormat="1" applyBorder="1" applyAlignment="1" applyProtection="1">
      <alignment horizontal="right"/>
      <protection hidden="1"/>
    </xf>
    <xf numFmtId="173" fontId="0" fillId="0" borderId="78" xfId="0" applyNumberFormat="1" applyBorder="1" applyProtection="1">
      <protection hidden="1"/>
    </xf>
    <xf numFmtId="167" fontId="0" fillId="0" borderId="70" xfId="1" applyNumberFormat="1" applyFont="1" applyFill="1" applyBorder="1" applyAlignment="1" applyProtection="1">
      <alignment horizontal="center"/>
      <protection hidden="1"/>
    </xf>
    <xf numFmtId="167" fontId="0" fillId="0" borderId="51" xfId="1" applyNumberFormat="1" applyFont="1" applyFill="1" applyBorder="1" applyAlignment="1" applyProtection="1">
      <alignment horizontal="center"/>
      <protection hidden="1"/>
    </xf>
    <xf numFmtId="167" fontId="0" fillId="0" borderId="6" xfId="1" applyNumberFormat="1" applyFont="1" applyFill="1" applyBorder="1" applyAlignment="1" applyProtection="1">
      <alignment horizontal="center"/>
      <protection hidden="1"/>
    </xf>
    <xf numFmtId="167" fontId="0" fillId="0" borderId="56" xfId="1" applyNumberFormat="1" applyFont="1" applyFill="1" applyBorder="1" applyAlignment="1" applyProtection="1">
      <alignment horizontal="center"/>
      <protection hidden="1"/>
    </xf>
    <xf numFmtId="167" fontId="0" fillId="0" borderId="74" xfId="1" applyNumberFormat="1" applyFont="1" applyFill="1" applyBorder="1" applyAlignment="1" applyProtection="1">
      <alignment horizontal="center"/>
      <protection hidden="1"/>
    </xf>
    <xf numFmtId="167" fontId="0" fillId="0" borderId="60" xfId="1" applyNumberFormat="1" applyFont="1" applyFill="1" applyBorder="1" applyAlignment="1" applyProtection="1">
      <alignment horizontal="center"/>
      <protection hidden="1"/>
    </xf>
    <xf numFmtId="167" fontId="0" fillId="0" borderId="66" xfId="1" applyNumberFormat="1" applyFont="1" applyFill="1" applyBorder="1" applyAlignment="1" applyProtection="1">
      <alignment horizontal="center"/>
      <protection hidden="1"/>
    </xf>
    <xf numFmtId="167" fontId="0" fillId="0" borderId="44" xfId="1" applyNumberFormat="1" applyFont="1" applyFill="1" applyBorder="1" applyAlignment="1" applyProtection="1">
      <alignment horizontal="center"/>
      <protection hidden="1"/>
    </xf>
    <xf numFmtId="0" fontId="7" fillId="18" borderId="79" xfId="0" applyFont="1" applyFill="1" applyBorder="1"/>
    <xf numFmtId="0" fontId="7" fillId="19" borderId="79" xfId="0" applyFont="1" applyFill="1" applyBorder="1"/>
    <xf numFmtId="0" fontId="7" fillId="0" borderId="0" xfId="0" applyFont="1" applyAlignment="1">
      <alignment horizontal="left" vertical="top"/>
    </xf>
    <xf numFmtId="0" fontId="0" fillId="18" borderId="3" xfId="0" applyFill="1" applyBorder="1" applyAlignment="1">
      <alignment horizontal="left" vertical="top" wrapText="1"/>
    </xf>
    <xf numFmtId="0" fontId="0" fillId="0" borderId="80" xfId="0" applyBorder="1"/>
    <xf numFmtId="0" fontId="0" fillId="19" borderId="81" xfId="0" applyFill="1" applyBorder="1" applyAlignment="1">
      <alignment horizontal="left" vertical="top" wrapText="1"/>
    </xf>
    <xf numFmtId="0" fontId="0" fillId="18" borderId="81" xfId="0" applyFill="1" applyBorder="1" applyAlignment="1">
      <alignment horizontal="left" vertical="top" wrapText="1"/>
    </xf>
    <xf numFmtId="0" fontId="0" fillId="19" borderId="2" xfId="0" applyFill="1" applyBorder="1" applyAlignment="1">
      <alignment horizontal="left" vertical="top" wrapText="1"/>
    </xf>
    <xf numFmtId="0" fontId="0" fillId="18" borderId="2" xfId="0" applyFill="1" applyBorder="1" applyAlignment="1">
      <alignment horizontal="left" vertical="top" wrapText="1"/>
    </xf>
    <xf numFmtId="0" fontId="0" fillId="19" borderId="30" xfId="0" applyFill="1" applyBorder="1" applyAlignment="1">
      <alignment horizontal="left" vertical="top" wrapText="1"/>
    </xf>
    <xf numFmtId="0" fontId="0" fillId="18" borderId="79" xfId="0" applyFill="1" applyBorder="1" applyAlignment="1">
      <alignment horizontal="left" vertical="top" wrapText="1"/>
    </xf>
    <xf numFmtId="0" fontId="0" fillId="19" borderId="79" xfId="0" applyFill="1" applyBorder="1" applyAlignment="1">
      <alignment horizontal="left" vertical="top" wrapText="1"/>
    </xf>
    <xf numFmtId="173" fontId="0" fillId="0" borderId="0" xfId="0" applyNumberFormat="1"/>
    <xf numFmtId="0" fontId="7" fillId="8" borderId="25" xfId="0" applyFont="1" applyFill="1" applyBorder="1" applyAlignment="1">
      <alignment horizontal="center"/>
    </xf>
    <xf numFmtId="173" fontId="0" fillId="20" borderId="76" xfId="0" applyNumberFormat="1" applyFill="1" applyBorder="1" applyProtection="1">
      <protection hidden="1"/>
    </xf>
    <xf numFmtId="173" fontId="0" fillId="20" borderId="1" xfId="0" applyNumberFormat="1" applyFill="1" applyBorder="1" applyProtection="1">
      <protection hidden="1"/>
    </xf>
    <xf numFmtId="173" fontId="0" fillId="20" borderId="77" xfId="0" applyNumberFormat="1" applyFill="1" applyBorder="1" applyProtection="1">
      <protection hidden="1"/>
    </xf>
    <xf numFmtId="173" fontId="0" fillId="20" borderId="5" xfId="0" applyNumberFormat="1" applyFill="1" applyBorder="1" applyAlignment="1" applyProtection="1">
      <alignment horizontal="right"/>
      <protection hidden="1"/>
    </xf>
    <xf numFmtId="173" fontId="0" fillId="20" borderId="78" xfId="0" applyNumberFormat="1" applyFill="1" applyBorder="1" applyProtection="1">
      <protection hidden="1"/>
    </xf>
    <xf numFmtId="0" fontId="0" fillId="0" borderId="68" xfId="0" applyBorder="1" applyAlignment="1">
      <alignment horizontal="left" vertical="top" wrapText="1" indent="1"/>
    </xf>
    <xf numFmtId="0" fontId="0" fillId="0" borderId="72" xfId="0" applyBorder="1" applyAlignment="1">
      <alignment horizontal="left" vertical="top" wrapText="1" indent="1"/>
    </xf>
  </cellXfs>
  <cellStyles count="9">
    <cellStyle name="Comma 2" xfId="3" xr:uid="{00000000-0005-0000-0000-000000000000}"/>
    <cellStyle name="Entrada" xfId="7" builtinId="20"/>
    <cellStyle name="Normal" xfId="0" builtinId="0"/>
    <cellStyle name="Normal 2" xfId="4" xr:uid="{00000000-0005-0000-0000-000002000000}"/>
    <cellStyle name="Normal 3" xfId="5" xr:uid="{00000000-0005-0000-0000-000003000000}"/>
    <cellStyle name="Normal 3 2" xfId="6" xr:uid="{00000000-0005-0000-0000-000004000000}"/>
    <cellStyle name="Percentagem" xfId="1" builtinId="5"/>
    <cellStyle name="Texto de Aviso" xfId="8" builtinId="11"/>
    <cellStyle name="Vírgula 2" xfId="2" xr:uid="{00000000-0005-0000-0000-000006000000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3" formatCode="0%"/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2</xdr:row>
      <xdr:rowOff>57149</xdr:rowOff>
    </xdr:from>
    <xdr:to>
      <xdr:col>6</xdr:col>
      <xdr:colOff>378216</xdr:colOff>
      <xdr:row>6</xdr:row>
      <xdr:rowOff>114081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FD436AC-465D-438F-9823-060D50AED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47674"/>
          <a:ext cx="2864241" cy="8284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UM/Consultas%20P&#250;blicas/2023%2005%20CR%20Tarifas%20-%20Consulta%20n.2%20do%20Art26/Estudos/RPM/4.Analise%20apos%20reuni&#227;o%20PV%20(1-Ago)/SimplifiedTariffModel_ERSE_v1.15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Log"/>
      <sheetName val="RPM"/>
      <sheetName val="Input"/>
      <sheetName val="Input capacity"/>
      <sheetName val="Distance Matrix_Entry"/>
      <sheetName val="Distance Matrix_Exit"/>
      <sheetName val="Entry Tariff_1"/>
      <sheetName val="Entry Tariff_2"/>
      <sheetName val="Exit Tariff_1"/>
      <sheetName val="Exit Tariff_2"/>
      <sheetName val="CAA"/>
      <sheetName val="1.Price evolution"/>
      <sheetName val="2.Key dimensions"/>
      <sheetName val="3.Tariff"/>
      <sheetName val="Z.Actual Tariffs"/>
      <sheetName val="Annex &gt;"/>
      <sheetName val="A0.Support"/>
      <sheetName val="A1.CWD Entry Av. Distance"/>
      <sheetName val="A1.CWD Exit Av. Dist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4">
          <cell r="B24" t="str">
            <v>Yes</v>
          </cell>
        </row>
        <row r="25">
          <cell r="B25" t="str">
            <v>No</v>
          </cell>
        </row>
      </sheetData>
      <sheetData sheetId="18"/>
      <sheetData sheetId="1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A1:E155" totalsRowShown="0" headerRowDxfId="34" dataDxfId="32" headerRowBorderDxfId="33" tableBorderDxfId="31" totalsRowBorderDxfId="30">
  <autoFilter ref="A1:E155" xr:uid="{00000000-0009-0000-0100-000001000000}"/>
  <tableColumns count="5">
    <tableColumn id="1" xr3:uid="{00000000-0010-0000-0100-000001000000}" name="Point ID" dataDxfId="29"/>
    <tableColumn id="2" xr3:uid="{00000000-0010-0000-0100-000002000000}" name="Point designation" dataDxfId="28"/>
    <tableColumn id="3" xr3:uid="{00000000-0010-0000-0100-000003000000}" name="Designation by TSO" dataDxfId="27"/>
    <tableColumn id="4" xr3:uid="{00000000-0010-0000-0100-000004000000}" name="Entry point?" dataDxfId="26"/>
    <tableColumn id="5" xr3:uid="{00000000-0010-0000-0100-000005000000}" name="Exit point?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2" displayName="Tabela2" ref="A1:I155" totalsRowShown="0" headerRowDxfId="24" dataDxfId="22" headerRowBorderDxfId="23" tableBorderDxfId="21" totalsRowBorderDxfId="20">
  <autoFilter ref="A1:I155" xr:uid="{00000000-0009-0000-0100-000002000000}"/>
  <tableColumns count="9">
    <tableColumn id="1" xr3:uid="{00000000-0010-0000-0200-000001000000}" name="Point ID start" dataDxfId="19"/>
    <tableColumn id="2" xr3:uid="{00000000-0010-0000-0200-000002000000}" name="Point ID end" dataDxfId="18"/>
    <tableColumn id="3" xr3:uid="{00000000-0010-0000-0200-000003000000}" name="Distance [km]" dataDxfId="17"/>
    <tableColumn id="4" xr3:uid="{00000000-0010-0000-0200-000004000000}" name="E/X system" dataDxfId="16"/>
    <tableColumn id="5" xr3:uid="{00000000-0010-0000-0200-000005000000}" name="Trunk?" dataDxfId="15"/>
    <tableColumn id="6" xr3:uid="{00000000-0010-0000-0200-000006000000}" name="Bi-directional?" dataDxfId="14"/>
    <tableColumn id="7" xr3:uid="{00000000-0010-0000-0200-000007000000}" name="Instrumental?" dataDxfId="13"/>
    <tableColumn id="8" xr3:uid="{00000000-0010-0000-0200-000008000000}" name="Lote" dataDxfId="12"/>
    <tableColumn id="9" xr3:uid="{00000000-0010-0000-0200-000009000000}" name="Comments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a3" displayName="Tabela3" ref="A1:C5" totalsRowShown="0" headerRowDxfId="10" dataDxfId="9">
  <autoFilter ref="A1:C5" xr:uid="{00000000-0009-0000-0100-000003000000}"/>
  <tableColumns count="3">
    <tableColumn id="1" xr3:uid="{00000000-0010-0000-0300-000001000000}" name="Parameter" dataDxfId="8"/>
    <tableColumn id="2" xr3:uid="{00000000-0010-0000-0300-000002000000}" name="Assumption for RPM" dataDxfId="7"/>
    <tableColumn id="3" xr3:uid="{00000000-0010-0000-0300-000003000000}" name="Note" dataDxf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RS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213B81"/>
      </a:accent1>
      <a:accent2>
        <a:srgbClr val="E9B209"/>
      </a:accent2>
      <a:accent3>
        <a:srgbClr val="BCBCBC"/>
      </a:accent3>
      <a:accent4>
        <a:srgbClr val="8E2235"/>
      </a:accent4>
      <a:accent5>
        <a:srgbClr val="7DB928"/>
      </a:accent5>
      <a:accent6>
        <a:srgbClr val="2D572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6D1B5-45AD-4B98-B192-B93E76CF3332}">
  <sheetPr>
    <tabColor theme="5"/>
  </sheetPr>
  <dimension ref="A1:U37"/>
  <sheetViews>
    <sheetView showGridLines="0" showRowColHeaders="0" tabSelected="1" zoomScaleNormal="100" workbookViewId="0">
      <selection activeCell="R3" sqref="R3"/>
    </sheetView>
  </sheetViews>
  <sheetFormatPr defaultColWidth="0" defaultRowHeight="14.45" customHeight="1" zeroHeight="1"/>
  <cols>
    <col min="1" max="2" width="3.7109375" style="176" customWidth="1"/>
    <col min="3" max="3" width="9.42578125" style="176" customWidth="1"/>
    <col min="4" max="4" width="10.85546875" style="176" bestFit="1" customWidth="1"/>
    <col min="5" max="10" width="9.140625" style="176" customWidth="1"/>
    <col min="11" max="11" width="17.85546875" style="176" customWidth="1"/>
    <col min="12" max="17" width="9.140625" style="176" customWidth="1"/>
    <col min="18" max="18" width="13.28515625" style="176" customWidth="1"/>
    <col min="19" max="19" width="9.140625" style="176" customWidth="1"/>
    <col min="20" max="20" width="3.7109375" style="176" customWidth="1"/>
    <col min="21" max="21" width="9.140625" style="176" customWidth="1"/>
    <col min="22" max="16384" width="9.140625" style="176" hidden="1"/>
  </cols>
  <sheetData>
    <row r="1" spans="1:21" s="177" customFormat="1" ht="15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</row>
    <row r="2" spans="1:21" s="177" customFormat="1" ht="15.75" thickBot="1">
      <c r="A2" s="176"/>
      <c r="U2" s="176"/>
    </row>
    <row r="3" spans="1:21" s="177" customFormat="1" ht="15.75" thickBot="1">
      <c r="A3" s="176"/>
      <c r="Q3" s="178" t="s">
        <v>650</v>
      </c>
      <c r="R3" s="179" t="s">
        <v>682</v>
      </c>
      <c r="U3" s="176"/>
    </row>
    <row r="4" spans="1:21" s="177" customFormat="1" ht="15">
      <c r="A4" s="176"/>
      <c r="U4" s="176"/>
    </row>
    <row r="5" spans="1:21" s="177" customFormat="1" ht="15">
      <c r="A5" s="176"/>
      <c r="Q5" s="180" t="str">
        <f>+Labels!B19</f>
        <v>Last update:</v>
      </c>
      <c r="R5" s="181">
        <v>46261</v>
      </c>
      <c r="U5" s="176"/>
    </row>
    <row r="6" spans="1:21" s="177" customFormat="1" ht="15">
      <c r="A6" s="176"/>
      <c r="U6" s="176"/>
    </row>
    <row r="7" spans="1:21" s="177" customFormat="1" ht="15">
      <c r="A7" s="176"/>
      <c r="U7" s="176"/>
    </row>
    <row r="8" spans="1:21" s="177" customFormat="1" ht="15">
      <c r="A8" s="176"/>
      <c r="U8" s="176"/>
    </row>
    <row r="9" spans="1:21" s="177" customFormat="1" ht="23.25">
      <c r="A9" s="176"/>
      <c r="C9" s="182" t="str">
        <f>+Labels!B3</f>
        <v>Transmission tariffs for natural gas</v>
      </c>
      <c r="U9" s="176"/>
    </row>
    <row r="10" spans="1:21" s="177" customFormat="1" ht="23.25">
      <c r="A10" s="176"/>
      <c r="C10" s="183" t="str">
        <f>+Labels!B4</f>
        <v>Simplified tariff model</v>
      </c>
      <c r="U10" s="176"/>
    </row>
    <row r="11" spans="1:21" s="177" customFormat="1" ht="15">
      <c r="A11" s="176"/>
      <c r="U11" s="176"/>
    </row>
    <row r="12" spans="1:21" s="177" customFormat="1" ht="15">
      <c r="A12" s="176"/>
      <c r="C12" s="177" t="str">
        <f>+Labels!B5</f>
        <v>This simplified tariff model presents the transmission tariffs for natural gas since gas year 2024-2025 until gas year 2026-2027.</v>
      </c>
      <c r="U12" s="176"/>
    </row>
    <row r="13" spans="1:21" s="177" customFormat="1" ht="15">
      <c r="A13" s="176"/>
      <c r="C13" s="177" t="str">
        <f>+Labels!B6</f>
        <v>All calculated data are for information purposes only.</v>
      </c>
      <c r="U13" s="176"/>
    </row>
    <row r="14" spans="1:21" s="177" customFormat="1" ht="15">
      <c r="A14" s="176"/>
      <c r="C14" s="177" t="str">
        <f>+Labels!B7</f>
        <v>The calculated prices do not include value-added tax (VAT).</v>
      </c>
      <c r="U14" s="176"/>
    </row>
    <row r="15" spans="1:21" s="177" customFormat="1" ht="15">
      <c r="A15" s="176"/>
      <c r="U15" s="176"/>
    </row>
    <row r="16" spans="1:21" s="177" customFormat="1" ht="15">
      <c r="A16" s="176"/>
      <c r="U16" s="176"/>
    </row>
    <row r="17" spans="1:21" s="177" customFormat="1" ht="19.5" thickBot="1">
      <c r="A17" s="176"/>
      <c r="C17" s="184" t="str">
        <f>+Labels!B8</f>
        <v>Description of the simplified tariff model</v>
      </c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5"/>
      <c r="U17" s="176"/>
    </row>
    <row r="18" spans="1:21" s="177" customFormat="1" ht="15.75" thickTop="1">
      <c r="A18" s="176"/>
      <c r="C18" s="177" t="str">
        <f>+Labels!B9</f>
        <v>This model includes two additional worksheets, with the following purposes:</v>
      </c>
      <c r="U18" s="176"/>
    </row>
    <row r="19" spans="1:21" s="177" customFormat="1" ht="15">
      <c r="A19" s="176"/>
      <c r="U19" s="176"/>
    </row>
    <row r="20" spans="1:21" s="177" customFormat="1" ht="15">
      <c r="A20" s="176"/>
      <c r="C20" s="186" t="str">
        <f>+Labels!B10</f>
        <v xml:space="preserve">Input - </v>
      </c>
      <c r="D20" s="177" t="str">
        <f>+Labels!B12</f>
        <v>This worksheet includes the allowed revenues of the transmission system operator and the forecasted capacity demand.</v>
      </c>
      <c r="U20" s="176"/>
    </row>
    <row r="21" spans="1:21" s="177" customFormat="1" ht="15">
      <c r="A21" s="176"/>
      <c r="C21" s="186" t="str">
        <f>+Labels!B11</f>
        <v xml:space="preserve">Output - </v>
      </c>
      <c r="D21" s="177" t="str">
        <f>+Labels!B13</f>
        <v>This worksheet computes the transmission tariffs applicable for the use of the transmission system based on the values from the 'Input' worksheet.</v>
      </c>
      <c r="U21" s="176"/>
    </row>
    <row r="22" spans="1:21" s="177" customFormat="1" ht="15">
      <c r="A22" s="176"/>
      <c r="U22" s="176"/>
    </row>
    <row r="23" spans="1:21" s="177" customFormat="1" ht="15">
      <c r="A23" s="176"/>
      <c r="C23" s="177" t="str">
        <f>+Labels!B14</f>
        <v>The values that can be changed by the user are the yellow cells included in the 'Input' worksheet.</v>
      </c>
      <c r="U23" s="176"/>
    </row>
    <row r="24" spans="1:21" s="177" customFormat="1" ht="15">
      <c r="A24" s="176"/>
      <c r="U24" s="176"/>
    </row>
    <row r="25" spans="1:21" s="177" customFormat="1" ht="15">
      <c r="A25" s="176"/>
      <c r="U25" s="176"/>
    </row>
    <row r="26" spans="1:21" s="177" customFormat="1" ht="19.5" thickBot="1">
      <c r="A26" s="176"/>
      <c r="C26" s="184" t="str">
        <f>+Labels!B15</f>
        <v>Color legend</v>
      </c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U26" s="176"/>
    </row>
    <row r="27" spans="1:21" s="177" customFormat="1" ht="15.75" thickTop="1">
      <c r="A27" s="176"/>
      <c r="U27" s="176"/>
    </row>
    <row r="28" spans="1:21" s="177" customFormat="1" ht="15">
      <c r="A28" s="176"/>
      <c r="C28" s="187"/>
      <c r="D28" s="188" t="str">
        <f>+Labels!B16</f>
        <v>Yellow cells in the worksheet 'Input' correspond to the information used in the tariff approval for gas year 2026-2027.</v>
      </c>
      <c r="U28" s="176"/>
    </row>
    <row r="29" spans="1:21" s="177" customFormat="1" ht="15">
      <c r="A29" s="176"/>
      <c r="D29" s="188" t="str">
        <f>+Labels!B17</f>
        <v>This information can be changed by the user in order to simulate what the transmission tariffs would have been equal to if demand or revenues were different.</v>
      </c>
      <c r="U29" s="176"/>
    </row>
    <row r="30" spans="1:21" s="177" customFormat="1" ht="15">
      <c r="A30" s="176"/>
      <c r="C30" s="189"/>
      <c r="D30" s="188" t="str">
        <f>+Labels!B18</f>
        <v>Green cells in the worksheet 'Output' are computed based on the values entered in the yellow cells in the 'Input' worksheet.</v>
      </c>
      <c r="U30" s="176"/>
    </row>
    <row r="31" spans="1:21" s="177" customFormat="1" ht="15">
      <c r="A31" s="176"/>
      <c r="U31" s="176"/>
    </row>
    <row r="32" spans="1:21" s="177" customFormat="1" ht="15">
      <c r="A32" s="176"/>
      <c r="U32" s="176"/>
    </row>
    <row r="33" spans="1:21" s="177" customFormat="1" ht="15">
      <c r="A33" s="176"/>
      <c r="U33" s="176"/>
    </row>
    <row r="34" spans="1:21" s="177" customFormat="1" ht="15">
      <c r="A34" s="176"/>
      <c r="U34" s="176"/>
    </row>
    <row r="35" spans="1:21" s="177" customFormat="1" ht="15">
      <c r="A35" s="176"/>
      <c r="B35" s="176"/>
      <c r="C35" s="176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</row>
    <row r="36" spans="1:21" ht="15"/>
    <row r="37" spans="1:21" ht="15"/>
  </sheetData>
  <sheetProtection selectLockedCells="1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7A299C-5489-477B-8BB8-70AA327324F7}">
          <x14:formula1>
            <xm:f>Labels!$D$2:$E$2</xm:f>
          </x14:formula1>
          <xm:sqref>R3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J471"/>
  <sheetViews>
    <sheetView showGridLines="0" zoomScaleNormal="100" workbookViewId="0">
      <selection activeCell="F8" sqref="F8"/>
    </sheetView>
  </sheetViews>
  <sheetFormatPr defaultRowHeight="15" zeroHeight="1"/>
  <cols>
    <col min="2" max="2" width="20.28515625" customWidth="1"/>
    <col min="3" max="3" width="67.28515625" style="1" bestFit="1" customWidth="1"/>
    <col min="4" max="5" width="13.42578125" customWidth="1"/>
    <col min="6" max="6" width="13.42578125" style="1" customWidth="1"/>
    <col min="7" max="7" width="13.42578125" customWidth="1"/>
    <col min="9" max="9" width="10.85546875" bestFit="1" customWidth="1"/>
    <col min="10" max="10" width="11" bestFit="1" customWidth="1"/>
  </cols>
  <sheetData>
    <row r="1" spans="2:7"/>
    <row r="2" spans="2:7" s="32" customFormat="1" ht="28.9" customHeight="1">
      <c r="B2" s="31" t="s">
        <v>575</v>
      </c>
      <c r="C2" s="31"/>
      <c r="D2" s="31"/>
      <c r="E2" s="31"/>
      <c r="F2" s="31"/>
      <c r="G2" s="31"/>
    </row>
    <row r="3" spans="2:7"/>
    <row r="4" spans="2:7">
      <c r="B4" s="25" t="s">
        <v>36</v>
      </c>
      <c r="C4" s="26"/>
      <c r="D4" s="5"/>
      <c r="E4" s="5"/>
      <c r="F4" s="5"/>
      <c r="G4" s="5"/>
    </row>
    <row r="5" spans="2:7">
      <c r="B5" s="27"/>
      <c r="C5" s="28"/>
      <c r="D5" s="6" t="s">
        <v>28</v>
      </c>
      <c r="E5" s="6" t="s">
        <v>29</v>
      </c>
      <c r="F5" s="6" t="s">
        <v>30</v>
      </c>
      <c r="G5" s="6" t="s">
        <v>35</v>
      </c>
    </row>
    <row r="6" spans="2:7" s="1" customFormat="1">
      <c r="B6" s="29"/>
      <c r="C6" s="30"/>
      <c r="D6" s="7"/>
      <c r="E6" s="7"/>
      <c r="F6" s="7"/>
      <c r="G6" s="7"/>
    </row>
    <row r="7" spans="2:7">
      <c r="B7" s="15" t="s">
        <v>552</v>
      </c>
      <c r="C7" s="16"/>
      <c r="D7" s="36">
        <f>IF('RPM &amp; Discounts'!$B$3='A0.Support'!$B$8,'A5.Counter-factual'!$B$2*D9,D9)</f>
        <v>70874364.315885276</v>
      </c>
      <c r="E7" s="36">
        <f>IF('RPM &amp; Discounts'!$B$3='A0.Support'!$B$8,'A5.Counter-factual'!$B$2*E9,E9)</f>
        <v>74971438.059899092</v>
      </c>
      <c r="F7" s="36">
        <f>IF('RPM &amp; Discounts'!$B$3='A0.Support'!$B$8,'A5.Counter-factual'!$B$2*F9,F9)</f>
        <v>70657477.91176337</v>
      </c>
      <c r="G7" s="36">
        <f>IF('RPM &amp; Discounts'!$B$3='A0.Support'!$B$8,'A5.Counter-factual'!$B$2*G9,G9)</f>
        <v>83884110.223006934</v>
      </c>
    </row>
    <row r="8" spans="2:7">
      <c r="B8" s="15" t="s">
        <v>553</v>
      </c>
      <c r="C8" s="16"/>
      <c r="D8" s="36">
        <f>D9-D7</f>
        <v>0</v>
      </c>
      <c r="E8" s="36">
        <f t="shared" ref="E8:G8" si="0">E9-E7</f>
        <v>0</v>
      </c>
      <c r="F8" s="36">
        <f t="shared" si="0"/>
        <v>0</v>
      </c>
      <c r="G8" s="36">
        <f t="shared" si="0"/>
        <v>0</v>
      </c>
    </row>
    <row r="9" spans="2:7" s="1" customFormat="1">
      <c r="B9" s="113" t="s">
        <v>31</v>
      </c>
      <c r="C9" s="114"/>
      <c r="D9" s="120">
        <v>70874364.315885276</v>
      </c>
      <c r="E9" s="120">
        <v>74971438.059899092</v>
      </c>
      <c r="F9" s="120">
        <v>70657477.91176337</v>
      </c>
      <c r="G9" s="120">
        <v>83884110.223006934</v>
      </c>
    </row>
    <row r="10" spans="2:7" s="1" customFormat="1"/>
    <row r="11" spans="2:7"/>
    <row r="12" spans="2:7"/>
    <row r="13" spans="2:7" ht="28.9" customHeight="1">
      <c r="B13" s="31" t="s">
        <v>33</v>
      </c>
      <c r="C13" s="4"/>
      <c r="D13" s="4"/>
      <c r="E13" s="4"/>
      <c r="F13" s="4"/>
      <c r="G13" s="4"/>
    </row>
    <row r="14" spans="2:7" s="1" customFormat="1" ht="28.9" customHeight="1">
      <c r="B14"/>
      <c r="C14"/>
      <c r="D14"/>
      <c r="E14"/>
      <c r="F14"/>
      <c r="G14"/>
    </row>
    <row r="15" spans="2:7" s="1" customFormat="1" ht="28.9" customHeight="1">
      <c r="B15" s="33" t="s">
        <v>576</v>
      </c>
      <c r="C15" s="4"/>
      <c r="D15" s="4"/>
      <c r="E15" s="4"/>
      <c r="F15" s="4"/>
      <c r="G15" s="4"/>
    </row>
    <row r="16" spans="2:7">
      <c r="B16" s="1"/>
      <c r="D16" s="1"/>
      <c r="E16" s="1"/>
      <c r="G16" s="1"/>
    </row>
    <row r="17" spans="2:7">
      <c r="B17" s="8" t="s">
        <v>2</v>
      </c>
      <c r="C17" s="8" t="s">
        <v>6</v>
      </c>
      <c r="D17" s="5"/>
      <c r="E17" s="5"/>
      <c r="F17" s="5"/>
      <c r="G17" s="5"/>
    </row>
    <row r="18" spans="2:7">
      <c r="B18" s="24"/>
      <c r="C18" s="24"/>
      <c r="D18" s="22" t="str">
        <f t="shared" ref="D18:G18" si="1">D$5</f>
        <v>2023-24</v>
      </c>
      <c r="E18" s="22" t="str">
        <f t="shared" si="1"/>
        <v>2024-25</v>
      </c>
      <c r="F18" s="22" t="str">
        <f t="shared" si="1"/>
        <v>2025-26</v>
      </c>
      <c r="G18" s="22" t="str">
        <f t="shared" si="1"/>
        <v>2026-27</v>
      </c>
    </row>
    <row r="19" spans="2:7">
      <c r="B19" s="23"/>
      <c r="C19" s="23"/>
      <c r="D19" s="7"/>
      <c r="E19" s="7"/>
      <c r="F19" s="7"/>
      <c r="G19" s="7"/>
    </row>
    <row r="20" spans="2:7">
      <c r="B20" s="9" t="s">
        <v>8</v>
      </c>
      <c r="C20" s="3" t="s">
        <v>9</v>
      </c>
      <c r="D20" s="120">
        <v>3052986</v>
      </c>
      <c r="E20" s="120">
        <v>4884702</v>
      </c>
      <c r="F20" s="120">
        <v>8676558</v>
      </c>
      <c r="G20" s="120">
        <v>7666326.0000000009</v>
      </c>
    </row>
    <row r="21" spans="2:7">
      <c r="B21" s="10"/>
      <c r="C21" s="3" t="s">
        <v>10</v>
      </c>
      <c r="D21" s="120">
        <v>1427387.9999999998</v>
      </c>
      <c r="E21" s="120">
        <v>3513912</v>
      </c>
      <c r="F21" s="120">
        <v>1596384</v>
      </c>
      <c r="G21" s="120">
        <v>207846</v>
      </c>
    </row>
    <row r="22" spans="2:7">
      <c r="B22" s="10"/>
      <c r="C22" s="3" t="s">
        <v>11</v>
      </c>
      <c r="D22" s="120">
        <v>2830358</v>
      </c>
      <c r="E22" s="120">
        <v>9185306</v>
      </c>
      <c r="F22" s="120">
        <v>2512022</v>
      </c>
      <c r="G22" s="120">
        <v>1265424</v>
      </c>
    </row>
    <row r="23" spans="2:7">
      <c r="B23" s="10"/>
      <c r="C23" s="3" t="s">
        <v>12</v>
      </c>
      <c r="D23" s="120">
        <v>10826796.701369863</v>
      </c>
      <c r="E23" s="120">
        <v>5947824.7013698621</v>
      </c>
      <c r="F23" s="120">
        <v>2568168.3524590163</v>
      </c>
      <c r="G23" s="120">
        <v>4962488.1095890403</v>
      </c>
    </row>
    <row r="24" spans="2:7">
      <c r="B24" s="11"/>
      <c r="C24" s="3" t="s">
        <v>13</v>
      </c>
      <c r="D24" s="120">
        <v>1105373.1506849315</v>
      </c>
      <c r="E24" s="120">
        <v>666864.43013698631</v>
      </c>
      <c r="F24" s="120">
        <v>390410.33879781421</v>
      </c>
      <c r="G24" s="120">
        <v>285396.11506849312</v>
      </c>
    </row>
    <row r="25" spans="2:7">
      <c r="B25" s="9" t="s">
        <v>14</v>
      </c>
      <c r="C25" s="3" t="s">
        <v>9</v>
      </c>
      <c r="D25" s="120">
        <v>200000000</v>
      </c>
      <c r="E25" s="120">
        <v>200000000</v>
      </c>
      <c r="F25" s="120">
        <v>182000000</v>
      </c>
      <c r="G25" s="120">
        <v>180500000</v>
      </c>
    </row>
    <row r="26" spans="2:7">
      <c r="B26" s="12"/>
      <c r="C26" s="3" t="s">
        <v>10</v>
      </c>
      <c r="D26" s="120">
        <v>0</v>
      </c>
      <c r="E26" s="120">
        <v>0</v>
      </c>
      <c r="F26" s="120">
        <v>0</v>
      </c>
      <c r="G26" s="120">
        <v>1250000</v>
      </c>
    </row>
    <row r="27" spans="2:7">
      <c r="B27" s="12"/>
      <c r="C27" s="3" t="s">
        <v>11</v>
      </c>
      <c r="D27" s="120">
        <v>0</v>
      </c>
      <c r="E27" s="120">
        <v>0</v>
      </c>
      <c r="F27" s="120">
        <v>0</v>
      </c>
      <c r="G27" s="120">
        <v>0</v>
      </c>
    </row>
    <row r="28" spans="2:7">
      <c r="B28" s="12"/>
      <c r="C28" s="3" t="s">
        <v>12</v>
      </c>
      <c r="D28" s="120">
        <v>0</v>
      </c>
      <c r="E28" s="120">
        <v>0</v>
      </c>
      <c r="F28" s="120">
        <v>16422.295081967215</v>
      </c>
      <c r="G28" s="120">
        <v>40397.589041095889</v>
      </c>
    </row>
    <row r="29" spans="2:7">
      <c r="B29" s="13"/>
      <c r="C29" s="3" t="s">
        <v>13</v>
      </c>
      <c r="D29" s="120">
        <v>0</v>
      </c>
      <c r="E29" s="120">
        <v>0</v>
      </c>
      <c r="F29" s="120">
        <v>180266.40163934426</v>
      </c>
      <c r="G29" s="120">
        <v>333351.3232876712</v>
      </c>
    </row>
    <row r="30" spans="2:7">
      <c r="B30" s="9" t="s">
        <v>15</v>
      </c>
      <c r="C30" s="3" t="s">
        <v>12</v>
      </c>
      <c r="D30" s="120">
        <v>4185610.9808219173</v>
      </c>
      <c r="E30" s="120">
        <v>4369884.2958904114</v>
      </c>
      <c r="F30" s="120">
        <v>4951057.1361363269</v>
      </c>
      <c r="G30" s="120">
        <v>5171351.98630137</v>
      </c>
    </row>
    <row r="31" spans="2:7">
      <c r="B31" s="13"/>
      <c r="C31" s="3" t="s">
        <v>13</v>
      </c>
      <c r="D31" s="120">
        <v>4367877.2109589046</v>
      </c>
      <c r="E31" s="120">
        <v>2787181.2931506848</v>
      </c>
      <c r="F31" s="120">
        <v>1918358.1253384296</v>
      </c>
      <c r="G31" s="120">
        <v>2527776.5780821918</v>
      </c>
    </row>
    <row r="32" spans="2:7">
      <c r="B32" s="14" t="s">
        <v>26</v>
      </c>
      <c r="C32" s="3" t="s">
        <v>27</v>
      </c>
      <c r="D32" s="121">
        <v>1</v>
      </c>
      <c r="E32" s="121">
        <v>1</v>
      </c>
      <c r="F32" s="121">
        <v>1</v>
      </c>
      <c r="G32" s="121">
        <v>1</v>
      </c>
    </row>
    <row r="33" spans="1:8" s="1" customFormat="1">
      <c r="A33"/>
      <c r="B33"/>
      <c r="C33"/>
      <c r="D33" s="58">
        <v>0</v>
      </c>
      <c r="E33" s="58">
        <v>0</v>
      </c>
      <c r="F33" s="58">
        <v>0</v>
      </c>
      <c r="G33" s="58">
        <v>0</v>
      </c>
      <c r="H33"/>
    </row>
    <row r="34" spans="1:8" s="1" customFormat="1"/>
    <row r="35" spans="1:8" s="1" customFormat="1" ht="28.9" customHeight="1">
      <c r="B35" s="33" t="s">
        <v>577</v>
      </c>
      <c r="C35" s="4"/>
      <c r="D35" s="4"/>
      <c r="E35" s="4"/>
      <c r="F35" s="4"/>
      <c r="G35" s="4"/>
    </row>
    <row r="36" spans="1:8" s="1" customFormat="1"/>
    <row r="37" spans="1:8" s="1" customFormat="1">
      <c r="B37" s="8" t="s">
        <v>2</v>
      </c>
      <c r="C37" s="8" t="s">
        <v>6</v>
      </c>
      <c r="D37" s="5"/>
      <c r="E37" s="5"/>
      <c r="F37" s="5"/>
      <c r="G37" s="5"/>
    </row>
    <row r="38" spans="1:8" s="1" customFormat="1">
      <c r="B38" s="24"/>
      <c r="C38" s="24"/>
      <c r="D38" s="22" t="str">
        <f t="shared" ref="D38:G38" si="2">D$5</f>
        <v>2023-24</v>
      </c>
      <c r="E38" s="22" t="str">
        <f t="shared" si="2"/>
        <v>2024-25</v>
      </c>
      <c r="F38" s="22" t="str">
        <f t="shared" si="2"/>
        <v>2025-26</v>
      </c>
      <c r="G38" s="22" t="str">
        <f t="shared" si="2"/>
        <v>2026-27</v>
      </c>
    </row>
    <row r="39" spans="1:8" s="1" customFormat="1">
      <c r="B39" s="23"/>
      <c r="C39" s="23"/>
      <c r="D39" s="7"/>
      <c r="E39" s="7"/>
      <c r="F39" s="7"/>
      <c r="G39" s="7"/>
    </row>
    <row r="40" spans="1:8" s="1" customFormat="1">
      <c r="B40" s="9" t="s">
        <v>8</v>
      </c>
      <c r="C40" s="3" t="s">
        <v>12</v>
      </c>
      <c r="D40" s="121">
        <v>0</v>
      </c>
      <c r="E40" s="59">
        <f t="shared" ref="E40:F40" si="3">D40</f>
        <v>0</v>
      </c>
      <c r="F40" s="59">
        <f t="shared" si="3"/>
        <v>0</v>
      </c>
      <c r="G40" s="59">
        <v>0</v>
      </c>
    </row>
    <row r="41" spans="1:8" s="1" customFormat="1">
      <c r="B41" s="11"/>
      <c r="C41" s="3" t="s">
        <v>13</v>
      </c>
      <c r="D41" s="121">
        <v>0</v>
      </c>
      <c r="E41" s="59">
        <f t="shared" ref="E41:F41" si="4">D41</f>
        <v>0</v>
      </c>
      <c r="F41" s="59">
        <f t="shared" si="4"/>
        <v>0</v>
      </c>
      <c r="G41" s="59">
        <v>0</v>
      </c>
    </row>
    <row r="42" spans="1:8" s="1" customFormat="1">
      <c r="B42" s="14" t="s">
        <v>14</v>
      </c>
      <c r="C42" s="3" t="s">
        <v>13</v>
      </c>
      <c r="D42" s="121">
        <v>0</v>
      </c>
      <c r="E42" s="59">
        <f t="shared" ref="E42:F42" si="5">D42</f>
        <v>0</v>
      </c>
      <c r="F42" s="59">
        <f t="shared" si="5"/>
        <v>0</v>
      </c>
      <c r="G42" s="59">
        <v>0</v>
      </c>
    </row>
    <row r="43" spans="1:8" s="1" customFormat="1">
      <c r="B43" s="14" t="s">
        <v>15</v>
      </c>
      <c r="C43" s="3" t="s">
        <v>13</v>
      </c>
      <c r="D43" s="121">
        <v>0</v>
      </c>
      <c r="E43" s="59">
        <f t="shared" ref="E43:F43" si="6">D43</f>
        <v>0</v>
      </c>
      <c r="F43" s="59">
        <f t="shared" si="6"/>
        <v>0</v>
      </c>
      <c r="G43" s="59">
        <v>0</v>
      </c>
    </row>
    <row r="44" spans="1:8" s="1" customFormat="1"/>
    <row r="45" spans="1:8" s="1" customFormat="1"/>
    <row r="46" spans="1:8" s="1" customFormat="1" ht="28.9" customHeight="1">
      <c r="B46" s="33" t="s">
        <v>578</v>
      </c>
      <c r="C46" s="4"/>
      <c r="D46" s="4"/>
      <c r="E46" s="4"/>
      <c r="F46" s="4"/>
      <c r="G46" s="4"/>
    </row>
    <row r="47" spans="1:8" s="1" customFormat="1"/>
    <row r="48" spans="1:8" s="1" customFormat="1">
      <c r="B48" s="25" t="s">
        <v>2</v>
      </c>
      <c r="C48" s="26"/>
      <c r="D48" s="5"/>
      <c r="E48" s="5"/>
      <c r="F48" s="5"/>
      <c r="G48" s="5"/>
    </row>
    <row r="49" spans="1:8" s="1" customFormat="1">
      <c r="B49" s="27"/>
      <c r="C49" s="28"/>
      <c r="D49" s="22" t="str">
        <f t="shared" ref="D49:G49" si="7">D$5</f>
        <v>2023-24</v>
      </c>
      <c r="E49" s="22" t="str">
        <f t="shared" si="7"/>
        <v>2024-25</v>
      </c>
      <c r="F49" s="22" t="str">
        <f t="shared" si="7"/>
        <v>2025-26</v>
      </c>
      <c r="G49" s="22" t="str">
        <f t="shared" si="7"/>
        <v>2026-27</v>
      </c>
    </row>
    <row r="50" spans="1:8" s="1" customFormat="1">
      <c r="B50" s="29"/>
      <c r="C50" s="30"/>
      <c r="D50" s="7"/>
      <c r="E50" s="7"/>
      <c r="F50" s="7"/>
      <c r="G50" s="7"/>
    </row>
    <row r="51" spans="1:8" s="1" customFormat="1">
      <c r="B51" s="15" t="str">
        <f>B20</f>
        <v>VIP</v>
      </c>
      <c r="C51" s="16"/>
      <c r="D51" s="120">
        <v>2859125.3037153566</v>
      </c>
      <c r="E51" s="120">
        <v>1473682.983318727</v>
      </c>
      <c r="F51" s="120">
        <v>1291639.2129830557</v>
      </c>
      <c r="G51" s="120">
        <v>1788504.9925086156</v>
      </c>
    </row>
    <row r="52" spans="1:8" s="1" customFormat="1">
      <c r="B52" s="15" t="str">
        <f>B25</f>
        <v>LNG terminal</v>
      </c>
      <c r="C52" s="16"/>
      <c r="D52" s="120">
        <v>54632601.441167839</v>
      </c>
      <c r="E52" s="120">
        <v>52862568.743175067</v>
      </c>
      <c r="F52" s="120">
        <v>44923508.409191839</v>
      </c>
      <c r="G52" s="120">
        <v>43532464.854092479</v>
      </c>
    </row>
    <row r="53" spans="1:8" s="1" customFormat="1">
      <c r="B53" s="15" t="s">
        <v>15</v>
      </c>
      <c r="C53" s="16"/>
      <c r="D53" s="120">
        <v>3338730.9539999999</v>
      </c>
      <c r="E53" s="120">
        <v>2215643.4720000001</v>
      </c>
      <c r="F53" s="120">
        <v>2404252.5719999997</v>
      </c>
      <c r="G53" s="120">
        <v>1793166.7919999999</v>
      </c>
    </row>
    <row r="54" spans="1:8" s="1" customFormat="1">
      <c r="B54" s="15" t="str">
        <f>B32</f>
        <v>Gas producers</v>
      </c>
      <c r="C54" s="16"/>
      <c r="D54" s="122">
        <v>1E-3</v>
      </c>
      <c r="E54" s="122">
        <v>1E-3</v>
      </c>
      <c r="F54" s="122">
        <v>1E-3</v>
      </c>
      <c r="G54" s="122">
        <v>1E-3</v>
      </c>
    </row>
    <row r="55" spans="1:8" s="1" customFormat="1">
      <c r="A55"/>
      <c r="B55" s="20" t="s">
        <v>32</v>
      </c>
      <c r="C55" s="21"/>
      <c r="D55" s="19">
        <f t="shared" ref="D55:G55" si="8">SUM(D51:D54)</f>
        <v>60830457.699883193</v>
      </c>
      <c r="E55" s="19">
        <f t="shared" si="8"/>
        <v>56551895.199493796</v>
      </c>
      <c r="F55" s="19">
        <f t="shared" si="8"/>
        <v>48619400.195174895</v>
      </c>
      <c r="G55" s="19">
        <f t="shared" si="8"/>
        <v>47114136.639601097</v>
      </c>
      <c r="H55"/>
    </row>
    <row r="56" spans="1:8" s="1" customFormat="1">
      <c r="D56" s="58">
        <v>0</v>
      </c>
      <c r="E56" s="58">
        <v>0</v>
      </c>
      <c r="F56" s="58">
        <v>0</v>
      </c>
      <c r="G56" s="58">
        <v>0</v>
      </c>
    </row>
    <row r="57" spans="1:8" s="1" customFormat="1"/>
    <row r="58" spans="1:8" s="1" customFormat="1" ht="28.9" customHeight="1">
      <c r="A58"/>
      <c r="B58" s="31" t="s">
        <v>34</v>
      </c>
      <c r="C58" s="4"/>
      <c r="D58" s="4"/>
      <c r="E58" s="4"/>
      <c r="F58" s="4"/>
      <c r="G58" s="4"/>
      <c r="H58"/>
    </row>
    <row r="59" spans="1:8" s="1" customFormat="1" ht="14.45" customHeight="1"/>
    <row r="60" spans="1:8" s="1" customFormat="1" ht="28.9" customHeight="1">
      <c r="B60" s="33" t="s">
        <v>579</v>
      </c>
      <c r="C60" s="4"/>
      <c r="D60" s="4"/>
      <c r="E60" s="4"/>
      <c r="F60" s="4"/>
      <c r="G60" s="4"/>
    </row>
    <row r="61" spans="1:8" s="1" customFormat="1">
      <c r="A61"/>
      <c r="H61"/>
    </row>
    <row r="62" spans="1:8" s="1" customFormat="1">
      <c r="A62"/>
      <c r="B62" s="8" t="s">
        <v>1</v>
      </c>
      <c r="C62" s="8" t="s">
        <v>6</v>
      </c>
      <c r="D62" s="5"/>
      <c r="E62" s="5"/>
      <c r="F62" s="5"/>
      <c r="G62" s="5"/>
      <c r="H62"/>
    </row>
    <row r="63" spans="1:8" s="1" customFormat="1">
      <c r="A63"/>
      <c r="B63" s="24"/>
      <c r="C63" s="24"/>
      <c r="D63" s="22" t="str">
        <f t="shared" ref="D63:G63" si="9">D$5</f>
        <v>2023-24</v>
      </c>
      <c r="E63" s="22" t="str">
        <f t="shared" si="9"/>
        <v>2024-25</v>
      </c>
      <c r="F63" s="22" t="str">
        <f t="shared" si="9"/>
        <v>2025-26</v>
      </c>
      <c r="G63" s="22" t="str">
        <f t="shared" si="9"/>
        <v>2026-27</v>
      </c>
      <c r="H63"/>
    </row>
    <row r="64" spans="1:8" s="1" customFormat="1">
      <c r="A64"/>
      <c r="B64" s="23"/>
      <c r="C64" s="23"/>
      <c r="D64" s="7"/>
      <c r="E64" s="7"/>
      <c r="F64" s="7"/>
      <c r="G64" s="7"/>
      <c r="H64"/>
    </row>
    <row r="65" spans="2:7">
      <c r="B65" s="9" t="s">
        <v>8</v>
      </c>
      <c r="C65" s="3" t="s">
        <v>9</v>
      </c>
      <c r="D65" s="120">
        <v>1994814</v>
      </c>
      <c r="E65" s="120">
        <v>0</v>
      </c>
      <c r="F65" s="120">
        <v>0</v>
      </c>
      <c r="G65" s="120">
        <v>0</v>
      </c>
    </row>
    <row r="66" spans="2:7">
      <c r="B66" s="12"/>
      <c r="C66" s="3" t="s">
        <v>10</v>
      </c>
      <c r="D66" s="120">
        <v>0</v>
      </c>
      <c r="E66" s="120">
        <v>0</v>
      </c>
      <c r="F66" s="120">
        <v>0</v>
      </c>
      <c r="G66" s="120">
        <v>0</v>
      </c>
    </row>
    <row r="67" spans="2:7">
      <c r="B67" s="12"/>
      <c r="C67" s="3" t="s">
        <v>11</v>
      </c>
      <c r="D67" s="120">
        <v>3844403.9999999995</v>
      </c>
      <c r="E67" s="120">
        <v>2561584.0000000005</v>
      </c>
      <c r="F67" s="120">
        <v>13013032</v>
      </c>
      <c r="G67" s="120">
        <v>10591008</v>
      </c>
    </row>
    <row r="68" spans="2:7">
      <c r="B68" s="12"/>
      <c r="C68" s="3" t="s">
        <v>12</v>
      </c>
      <c r="D68" s="120">
        <v>7164681.5342465742</v>
      </c>
      <c r="E68" s="120">
        <v>25198760.186301369</v>
      </c>
      <c r="F68" s="120">
        <v>31102189</v>
      </c>
      <c r="G68" s="120">
        <v>7155685</v>
      </c>
    </row>
    <row r="69" spans="2:7">
      <c r="B69" s="13"/>
      <c r="C69" s="3" t="s">
        <v>13</v>
      </c>
      <c r="D69" s="120">
        <v>747673.69315068494</v>
      </c>
      <c r="E69" s="120">
        <v>395278.85205479449</v>
      </c>
      <c r="F69" s="120">
        <v>111340</v>
      </c>
      <c r="G69" s="120">
        <v>21505</v>
      </c>
    </row>
    <row r="70" spans="2:7">
      <c r="B70" s="9" t="s">
        <v>14</v>
      </c>
      <c r="C70" s="3" t="s">
        <v>9</v>
      </c>
      <c r="D70" s="120">
        <v>0</v>
      </c>
      <c r="E70" s="120">
        <v>0</v>
      </c>
      <c r="F70" s="120">
        <v>0</v>
      </c>
      <c r="G70" s="120">
        <v>0</v>
      </c>
    </row>
    <row r="71" spans="2:7">
      <c r="B71" s="12"/>
      <c r="C71" s="3" t="s">
        <v>10</v>
      </c>
      <c r="D71" s="120">
        <v>0</v>
      </c>
      <c r="E71" s="120">
        <v>0</v>
      </c>
      <c r="F71" s="120">
        <v>0</v>
      </c>
      <c r="G71" s="120">
        <v>0</v>
      </c>
    </row>
    <row r="72" spans="2:7">
      <c r="B72" s="12"/>
      <c r="C72" s="3" t="s">
        <v>11</v>
      </c>
      <c r="D72" s="120">
        <v>0</v>
      </c>
      <c r="E72" s="120">
        <v>0</v>
      </c>
      <c r="F72" s="120">
        <v>0</v>
      </c>
      <c r="G72" s="120">
        <v>0</v>
      </c>
    </row>
    <row r="73" spans="2:7">
      <c r="B73" s="12"/>
      <c r="C73" s="3" t="s">
        <v>12</v>
      </c>
      <c r="D73" s="120">
        <v>0</v>
      </c>
      <c r="E73" s="120">
        <v>0</v>
      </c>
      <c r="F73" s="120">
        <v>0</v>
      </c>
      <c r="G73" s="120">
        <v>0</v>
      </c>
    </row>
    <row r="74" spans="2:7">
      <c r="B74" s="13"/>
      <c r="C74" s="3" t="s">
        <v>13</v>
      </c>
      <c r="D74" s="120">
        <v>0</v>
      </c>
      <c r="E74" s="120">
        <v>0</v>
      </c>
      <c r="F74" s="120">
        <v>0</v>
      </c>
      <c r="G74" s="120">
        <v>0</v>
      </c>
    </row>
    <row r="75" spans="2:7">
      <c r="B75" s="9" t="s">
        <v>15</v>
      </c>
      <c r="C75" s="3" t="s">
        <v>12</v>
      </c>
      <c r="D75" s="120">
        <v>8951694.2465753425</v>
      </c>
      <c r="E75" s="120">
        <v>6555128.6712328773</v>
      </c>
      <c r="F75" s="120">
        <v>6593617.2301879274</v>
      </c>
      <c r="G75" s="120">
        <v>4476108.8335881513</v>
      </c>
    </row>
    <row r="76" spans="2:7">
      <c r="B76" s="13"/>
      <c r="C76" s="3" t="s">
        <v>13</v>
      </c>
      <c r="D76" s="120">
        <v>2674277.9479452055</v>
      </c>
      <c r="E76" s="120">
        <v>515312</v>
      </c>
      <c r="F76" s="120">
        <v>683624.83242554544</v>
      </c>
      <c r="G76" s="120">
        <v>1118291.5145007165</v>
      </c>
    </row>
    <row r="77" spans="2:7">
      <c r="B77" s="14" t="s">
        <v>17</v>
      </c>
      <c r="C77" s="3" t="s">
        <v>18</v>
      </c>
      <c r="D77" s="120">
        <v>175449767.87513986</v>
      </c>
      <c r="E77" s="120">
        <v>165852149.48415494</v>
      </c>
      <c r="F77" s="120">
        <v>157646327.37832683</v>
      </c>
      <c r="G77" s="120">
        <v>152491321.29236305</v>
      </c>
    </row>
    <row r="78" spans="2:7">
      <c r="B78" s="9" t="s">
        <v>19</v>
      </c>
      <c r="C78" s="3" t="s">
        <v>20</v>
      </c>
      <c r="D78" s="120">
        <v>132905216.57454209</v>
      </c>
      <c r="E78" s="120">
        <v>146529209.96653783</v>
      </c>
      <c r="F78" s="120">
        <v>110137542.48308744</v>
      </c>
      <c r="G78" s="120">
        <v>65545994.761697069</v>
      </c>
    </row>
    <row r="79" spans="2:7">
      <c r="B79" s="12"/>
      <c r="C79" s="3" t="s">
        <v>21</v>
      </c>
      <c r="D79" s="120">
        <v>2812532.9945013379</v>
      </c>
      <c r="E79" s="120">
        <v>0</v>
      </c>
      <c r="F79" s="120">
        <v>0</v>
      </c>
      <c r="G79" s="120">
        <v>0</v>
      </c>
    </row>
    <row r="80" spans="2:7">
      <c r="B80" s="12"/>
      <c r="C80" s="3" t="s">
        <v>22</v>
      </c>
      <c r="D80" s="120">
        <v>1161559.1052387906</v>
      </c>
      <c r="E80" s="120">
        <v>342023</v>
      </c>
      <c r="F80" s="120">
        <v>732895.5</v>
      </c>
      <c r="G80" s="120">
        <v>24407845.206212893</v>
      </c>
    </row>
    <row r="81" spans="2:9">
      <c r="B81" s="12"/>
      <c r="C81" s="3" t="s">
        <v>23</v>
      </c>
      <c r="D81" s="120">
        <v>181571.81352116147</v>
      </c>
      <c r="E81" s="120">
        <v>342023</v>
      </c>
      <c r="F81" s="120">
        <v>732895.5</v>
      </c>
      <c r="G81" s="120">
        <v>24407845.206212893</v>
      </c>
    </row>
    <row r="82" spans="2:9">
      <c r="B82" s="12"/>
      <c r="C82" s="3" t="s">
        <v>24</v>
      </c>
      <c r="D82" s="121">
        <f>0</f>
        <v>0</v>
      </c>
      <c r="E82" s="121">
        <f>0</f>
        <v>0</v>
      </c>
      <c r="F82" s="121">
        <f>0</f>
        <v>0</v>
      </c>
      <c r="G82" s="121">
        <f>0</f>
        <v>0</v>
      </c>
    </row>
    <row r="83" spans="2:9">
      <c r="B83" s="13"/>
      <c r="C83" s="3" t="s">
        <v>25</v>
      </c>
      <c r="D83" s="121">
        <f>0</f>
        <v>0</v>
      </c>
      <c r="E83" s="121">
        <f>0</f>
        <v>0</v>
      </c>
      <c r="F83" s="121">
        <f>0</f>
        <v>0</v>
      </c>
      <c r="G83" s="121">
        <f>0</f>
        <v>0</v>
      </c>
    </row>
    <row r="84" spans="2:9">
      <c r="D84" s="58">
        <v>0</v>
      </c>
      <c r="E84" s="58">
        <v>0</v>
      </c>
      <c r="F84" s="58">
        <v>0</v>
      </c>
      <c r="G84" s="58">
        <v>0</v>
      </c>
    </row>
    <row r="85" spans="2:9" s="1" customFormat="1"/>
    <row r="86" spans="2:9" s="1" customFormat="1" ht="28.9" customHeight="1">
      <c r="B86" s="33" t="s">
        <v>580</v>
      </c>
      <c r="C86" s="4"/>
      <c r="D86" s="4"/>
      <c r="E86" s="4"/>
      <c r="F86" s="4"/>
      <c r="G86" s="4"/>
    </row>
    <row r="87" spans="2:9" s="1" customFormat="1"/>
    <row r="88" spans="2:9" s="1" customFormat="1">
      <c r="B88" s="8" t="s">
        <v>1</v>
      </c>
      <c r="C88" s="8" t="s">
        <v>6</v>
      </c>
      <c r="D88" s="5"/>
      <c r="E88" s="5"/>
      <c r="F88" s="5"/>
      <c r="G88" s="5"/>
    </row>
    <row r="89" spans="2:9" s="1" customFormat="1">
      <c r="B89" s="24"/>
      <c r="C89" s="24"/>
      <c r="D89" s="22" t="str">
        <f t="shared" ref="D89:G89" si="10">D$5</f>
        <v>2023-24</v>
      </c>
      <c r="E89" s="22" t="str">
        <f t="shared" si="10"/>
        <v>2024-25</v>
      </c>
      <c r="F89" s="22" t="str">
        <f t="shared" si="10"/>
        <v>2025-26</v>
      </c>
      <c r="G89" s="22" t="str">
        <f t="shared" si="10"/>
        <v>2026-27</v>
      </c>
    </row>
    <row r="90" spans="2:9" s="1" customFormat="1">
      <c r="B90" s="23"/>
      <c r="C90" s="23"/>
      <c r="D90" s="7"/>
      <c r="E90" s="7"/>
      <c r="F90" s="7"/>
      <c r="G90" s="7"/>
    </row>
    <row r="91" spans="2:9" s="1" customFormat="1">
      <c r="B91" s="9" t="s">
        <v>8</v>
      </c>
      <c r="C91" s="3" t="s">
        <v>12</v>
      </c>
      <c r="D91" s="121">
        <v>0</v>
      </c>
      <c r="E91" s="59">
        <f t="shared" ref="E91:F91" si="11">D91</f>
        <v>0</v>
      </c>
      <c r="F91" s="59">
        <f t="shared" si="11"/>
        <v>0</v>
      </c>
      <c r="G91" s="59">
        <v>0</v>
      </c>
      <c r="I91"/>
    </row>
    <row r="92" spans="2:9" s="1" customFormat="1">
      <c r="B92" s="11"/>
      <c r="C92" s="3" t="s">
        <v>13</v>
      </c>
      <c r="D92" s="121">
        <v>0</v>
      </c>
      <c r="E92" s="59">
        <f t="shared" ref="E92:F92" si="12">D92</f>
        <v>0</v>
      </c>
      <c r="F92" s="59">
        <f t="shared" si="12"/>
        <v>0</v>
      </c>
      <c r="G92" s="59">
        <v>0</v>
      </c>
    </row>
    <row r="93" spans="2:9" s="1" customFormat="1">
      <c r="B93" s="9" t="s">
        <v>14</v>
      </c>
      <c r="C93" s="3" t="s">
        <v>12</v>
      </c>
      <c r="D93" s="121">
        <v>1</v>
      </c>
      <c r="E93" s="59">
        <f t="shared" ref="E93:F93" si="13">D93</f>
        <v>1</v>
      </c>
      <c r="F93" s="59">
        <f t="shared" si="13"/>
        <v>1</v>
      </c>
      <c r="G93" s="59">
        <v>1</v>
      </c>
    </row>
    <row r="94" spans="2:9" s="1" customFormat="1">
      <c r="B94" s="11"/>
      <c r="C94" s="3" t="s">
        <v>13</v>
      </c>
      <c r="D94" s="121">
        <v>0</v>
      </c>
      <c r="E94" s="59">
        <f t="shared" ref="E94:F94" si="14">D94</f>
        <v>0</v>
      </c>
      <c r="F94" s="59">
        <f t="shared" si="14"/>
        <v>0</v>
      </c>
      <c r="G94" s="59">
        <v>0</v>
      </c>
    </row>
    <row r="95" spans="2:9" s="1" customFormat="1">
      <c r="B95" s="14" t="s">
        <v>15</v>
      </c>
      <c r="C95" s="3" t="s">
        <v>13</v>
      </c>
      <c r="D95" s="121">
        <v>0</v>
      </c>
      <c r="E95" s="59">
        <f t="shared" ref="E95:F95" si="15">D95</f>
        <v>0</v>
      </c>
      <c r="F95" s="59">
        <f t="shared" si="15"/>
        <v>0</v>
      </c>
      <c r="G95" s="59">
        <v>0</v>
      </c>
    </row>
    <row r="96" spans="2:9"/>
    <row r="97" spans="1:7" s="1" customFormat="1"/>
    <row r="98" spans="1:7" s="1" customFormat="1" ht="28.9" customHeight="1">
      <c r="B98" s="33" t="s">
        <v>581</v>
      </c>
      <c r="C98" s="4"/>
      <c r="D98" s="4"/>
      <c r="E98" s="4"/>
      <c r="F98" s="4"/>
      <c r="G98" s="4"/>
    </row>
    <row r="99" spans="1:7" s="1" customFormat="1"/>
    <row r="100" spans="1:7" s="1" customFormat="1">
      <c r="B100" s="25" t="s">
        <v>1</v>
      </c>
      <c r="C100" s="26"/>
      <c r="D100" s="5"/>
      <c r="E100" s="5"/>
      <c r="F100" s="5"/>
      <c r="G100" s="5"/>
    </row>
    <row r="101" spans="1:7" s="1" customFormat="1">
      <c r="B101" s="27"/>
      <c r="C101" s="28"/>
      <c r="D101" s="22" t="str">
        <f t="shared" ref="D101:G101" si="16">D$5</f>
        <v>2023-24</v>
      </c>
      <c r="E101" s="22" t="str">
        <f t="shared" si="16"/>
        <v>2024-25</v>
      </c>
      <c r="F101" s="22" t="str">
        <f t="shared" si="16"/>
        <v>2025-26</v>
      </c>
      <c r="G101" s="22" t="str">
        <f t="shared" si="16"/>
        <v>2026-27</v>
      </c>
    </row>
    <row r="102" spans="1:7" s="1" customFormat="1">
      <c r="B102" s="29"/>
      <c r="C102" s="30"/>
      <c r="D102" s="7"/>
      <c r="E102" s="7"/>
      <c r="F102" s="7"/>
      <c r="G102" s="7"/>
    </row>
    <row r="103" spans="1:7" s="1" customFormat="1">
      <c r="B103" s="15" t="str">
        <f>B65</f>
        <v>VIP</v>
      </c>
      <c r="C103" s="16"/>
      <c r="D103" s="120">
        <v>1869802.9859999998</v>
      </c>
      <c r="E103" s="120">
        <v>3369300.2760000001</v>
      </c>
      <c r="F103" s="120">
        <v>6458468.352</v>
      </c>
      <c r="G103" s="120">
        <v>2598115.8540000003</v>
      </c>
    </row>
    <row r="104" spans="1:7" s="1" customFormat="1">
      <c r="B104" s="15" t="str">
        <f>B70</f>
        <v>LNG terminal</v>
      </c>
      <c r="C104" s="16"/>
      <c r="D104" s="122">
        <v>1E-3</v>
      </c>
      <c r="E104" s="122">
        <f>+D104</f>
        <v>1E-3</v>
      </c>
      <c r="F104" s="122">
        <f>+E104</f>
        <v>1E-3</v>
      </c>
      <c r="G104" s="122">
        <v>1E-3</v>
      </c>
    </row>
    <row r="105" spans="1:7" s="1" customFormat="1">
      <c r="B105" s="15" t="s">
        <v>15</v>
      </c>
      <c r="C105" s="16"/>
      <c r="D105" s="120">
        <v>3338730.9539999999</v>
      </c>
      <c r="E105" s="120">
        <v>2215643.4720000001</v>
      </c>
      <c r="F105" s="120">
        <v>2404252.5719999997</v>
      </c>
      <c r="G105" s="120">
        <v>1793166.7919999999</v>
      </c>
    </row>
    <row r="106" spans="1:7" s="1" customFormat="1">
      <c r="B106" s="15" t="s">
        <v>285</v>
      </c>
      <c r="C106" s="16"/>
      <c r="D106" s="120">
        <v>55564894.214883201</v>
      </c>
      <c r="E106" s="120">
        <v>50915141.594493806</v>
      </c>
      <c r="F106" s="120">
        <v>39718829.046174884</v>
      </c>
      <c r="G106" s="120">
        <v>42679552.6376011</v>
      </c>
    </row>
    <row r="107" spans="1:7" s="1" customFormat="1">
      <c r="B107" s="20" t="s">
        <v>32</v>
      </c>
      <c r="C107" s="21"/>
      <c r="D107" s="19">
        <f>SUM(D103:D106)</f>
        <v>60773428.1558832</v>
      </c>
      <c r="E107" s="19">
        <f>SUM(E103:E106)</f>
        <v>56500085.343493804</v>
      </c>
      <c r="F107" s="19">
        <f>SUM(F103:F106)</f>
        <v>48581549.971174881</v>
      </c>
      <c r="G107" s="19">
        <f>SUM(G103:G106)</f>
        <v>47070835.2846011</v>
      </c>
    </row>
    <row r="108" spans="1:7" s="1" customFormat="1">
      <c r="D108" s="58">
        <v>0</v>
      </c>
      <c r="E108" s="58">
        <v>0</v>
      </c>
      <c r="F108" s="58">
        <v>0</v>
      </c>
      <c r="G108" s="58">
        <v>0</v>
      </c>
    </row>
    <row r="109" spans="1:7"/>
    <row r="110" spans="1:7" ht="28.9" customHeight="1">
      <c r="A110" s="1"/>
      <c r="B110" s="31" t="s">
        <v>42</v>
      </c>
      <c r="C110" s="4"/>
      <c r="D110" s="4"/>
      <c r="E110" s="4"/>
      <c r="F110" s="4"/>
      <c r="G110" s="4"/>
    </row>
    <row r="111" spans="1:7">
      <c r="A111" s="1"/>
      <c r="B111" s="1"/>
      <c r="D111" s="1"/>
      <c r="E111" s="1"/>
      <c r="G111" s="1"/>
    </row>
    <row r="112" spans="1:7">
      <c r="B112" s="25" t="s">
        <v>38</v>
      </c>
      <c r="C112" s="26"/>
      <c r="D112" s="5"/>
      <c r="E112" s="5"/>
      <c r="F112" s="5"/>
      <c r="G112" s="5"/>
    </row>
    <row r="113" spans="2:9">
      <c r="B113" s="27"/>
      <c r="C113" s="28"/>
      <c r="D113" s="22" t="str">
        <f t="shared" ref="D113:G113" si="17">D$5</f>
        <v>2023-24</v>
      </c>
      <c r="E113" s="22" t="str">
        <f t="shared" si="17"/>
        <v>2024-25</v>
      </c>
      <c r="F113" s="22" t="str">
        <f t="shared" si="17"/>
        <v>2025-26</v>
      </c>
      <c r="G113" s="22" t="str">
        <f t="shared" si="17"/>
        <v>2026-27</v>
      </c>
    </row>
    <row r="114" spans="2:9">
      <c r="B114" s="29"/>
      <c r="C114" s="30"/>
      <c r="D114" s="7"/>
      <c r="E114" s="7"/>
      <c r="F114" s="7"/>
      <c r="G114" s="7"/>
    </row>
    <row r="115" spans="2:9">
      <c r="B115" s="9" t="s">
        <v>8</v>
      </c>
      <c r="C115" s="3" t="s">
        <v>9</v>
      </c>
      <c r="D115" s="124">
        <v>1</v>
      </c>
      <c r="E115" s="60">
        <f t="shared" ref="E115:F127" si="18">D115</f>
        <v>1</v>
      </c>
      <c r="F115" s="60">
        <f t="shared" si="18"/>
        <v>1</v>
      </c>
      <c r="G115" s="60">
        <v>1</v>
      </c>
      <c r="I115" s="55"/>
    </row>
    <row r="116" spans="2:9">
      <c r="B116" s="10"/>
      <c r="C116" s="3" t="s">
        <v>10</v>
      </c>
      <c r="D116" s="124">
        <v>1.3</v>
      </c>
      <c r="E116" s="129">
        <v>1.18</v>
      </c>
      <c r="F116" s="60">
        <f t="shared" si="18"/>
        <v>1.18</v>
      </c>
      <c r="G116" s="60">
        <v>1.18</v>
      </c>
    </row>
    <row r="117" spans="2:9">
      <c r="B117" s="10"/>
      <c r="C117" s="3" t="s">
        <v>11</v>
      </c>
      <c r="D117" s="124">
        <v>1.5</v>
      </c>
      <c r="E117" s="129">
        <v>1.35</v>
      </c>
      <c r="F117" s="60">
        <f t="shared" si="18"/>
        <v>1.35</v>
      </c>
      <c r="G117" s="60">
        <v>1.35</v>
      </c>
    </row>
    <row r="118" spans="2:9">
      <c r="B118" s="10"/>
      <c r="C118" s="3" t="s">
        <v>12</v>
      </c>
      <c r="D118" s="124">
        <v>2</v>
      </c>
      <c r="E118" s="129">
        <v>1.94</v>
      </c>
      <c r="F118" s="60">
        <f t="shared" si="18"/>
        <v>1.94</v>
      </c>
      <c r="G118" s="60">
        <v>1.94</v>
      </c>
    </row>
    <row r="119" spans="2:9">
      <c r="B119" s="11"/>
      <c r="C119" s="3" t="s">
        <v>13</v>
      </c>
      <c r="D119" s="124">
        <v>2.2000000000000002</v>
      </c>
      <c r="E119" s="129">
        <v>2.13</v>
      </c>
      <c r="F119" s="60">
        <f t="shared" si="18"/>
        <v>2.13</v>
      </c>
      <c r="G119" s="60">
        <v>2.13</v>
      </c>
    </row>
    <row r="120" spans="2:9">
      <c r="B120" s="9" t="s">
        <v>14</v>
      </c>
      <c r="C120" s="3" t="s">
        <v>9</v>
      </c>
      <c r="D120" s="124">
        <v>1</v>
      </c>
      <c r="E120" s="60">
        <f t="shared" ref="E120" si="19">D120</f>
        <v>1</v>
      </c>
      <c r="F120" s="60">
        <f t="shared" si="18"/>
        <v>1</v>
      </c>
      <c r="G120" s="60">
        <v>1</v>
      </c>
    </row>
    <row r="121" spans="2:9">
      <c r="B121" s="12"/>
      <c r="C121" s="3" t="s">
        <v>10</v>
      </c>
      <c r="D121" s="124">
        <v>1.3</v>
      </c>
      <c r="E121" s="129">
        <v>1.18</v>
      </c>
      <c r="F121" s="60">
        <f t="shared" si="18"/>
        <v>1.18</v>
      </c>
      <c r="G121" s="60">
        <v>1.18</v>
      </c>
    </row>
    <row r="122" spans="2:9">
      <c r="B122" s="12"/>
      <c r="C122" s="3" t="s">
        <v>11</v>
      </c>
      <c r="D122" s="124">
        <v>1.5</v>
      </c>
      <c r="E122" s="129">
        <v>1.35</v>
      </c>
      <c r="F122" s="60">
        <f t="shared" si="18"/>
        <v>1.35</v>
      </c>
      <c r="G122" s="60">
        <v>1.35</v>
      </c>
    </row>
    <row r="123" spans="2:9">
      <c r="B123" s="12"/>
      <c r="C123" s="3" t="s">
        <v>12</v>
      </c>
      <c r="D123" s="124">
        <v>2</v>
      </c>
      <c r="E123" s="129">
        <v>1.94</v>
      </c>
      <c r="F123" s="60">
        <f t="shared" si="18"/>
        <v>1.94</v>
      </c>
      <c r="G123" s="60">
        <v>1.94</v>
      </c>
    </row>
    <row r="124" spans="2:9">
      <c r="B124" s="13"/>
      <c r="C124" s="3" t="s">
        <v>13</v>
      </c>
      <c r="D124" s="124">
        <v>2.2000000000000002</v>
      </c>
      <c r="E124" s="129">
        <v>2.13</v>
      </c>
      <c r="F124" s="60">
        <f t="shared" si="18"/>
        <v>2.13</v>
      </c>
      <c r="G124" s="60">
        <v>2.13</v>
      </c>
    </row>
    <row r="125" spans="2:9">
      <c r="B125" s="9" t="s">
        <v>15</v>
      </c>
      <c r="C125" s="3" t="s">
        <v>12</v>
      </c>
      <c r="D125" s="124">
        <v>1</v>
      </c>
      <c r="E125" s="129">
        <v>1</v>
      </c>
      <c r="F125" s="60">
        <f t="shared" si="18"/>
        <v>1</v>
      </c>
      <c r="G125" s="60">
        <v>1</v>
      </c>
    </row>
    <row r="126" spans="2:9">
      <c r="B126" s="13"/>
      <c r="C126" s="3" t="s">
        <v>13</v>
      </c>
      <c r="D126" s="124">
        <v>1.1000000000000001</v>
      </c>
      <c r="E126" s="129">
        <v>1.1000000000000001</v>
      </c>
      <c r="F126" s="60">
        <f t="shared" si="18"/>
        <v>1.1000000000000001</v>
      </c>
      <c r="G126" s="60">
        <v>1.1000000000000001</v>
      </c>
    </row>
    <row r="127" spans="2:9" s="1" customFormat="1">
      <c r="B127" s="14" t="s">
        <v>26</v>
      </c>
      <c r="C127" s="3" t="s">
        <v>27</v>
      </c>
      <c r="D127" s="124">
        <v>1</v>
      </c>
      <c r="E127" s="60">
        <f t="shared" ref="E127" si="20">D127</f>
        <v>1</v>
      </c>
      <c r="F127" s="60">
        <f t="shared" si="18"/>
        <v>1</v>
      </c>
      <c r="G127" s="60">
        <v>1</v>
      </c>
    </row>
    <row r="128" spans="2:9"/>
    <row r="129" spans="2:7"/>
    <row r="130" spans="2:7">
      <c r="B130" s="25" t="s">
        <v>39</v>
      </c>
      <c r="C130" s="26"/>
      <c r="D130" s="5"/>
      <c r="E130" s="5"/>
      <c r="F130" s="5"/>
      <c r="G130" s="5"/>
    </row>
    <row r="131" spans="2:7">
      <c r="B131" s="27"/>
      <c r="C131" s="28"/>
      <c r="D131" s="22" t="str">
        <f t="shared" ref="D131:G131" si="21">D$5</f>
        <v>2023-24</v>
      </c>
      <c r="E131" s="22" t="str">
        <f t="shared" si="21"/>
        <v>2024-25</v>
      </c>
      <c r="F131" s="22" t="str">
        <f t="shared" si="21"/>
        <v>2025-26</v>
      </c>
      <c r="G131" s="22" t="str">
        <f t="shared" si="21"/>
        <v>2026-27</v>
      </c>
    </row>
    <row r="132" spans="2:7">
      <c r="B132" s="29"/>
      <c r="C132" s="30"/>
      <c r="D132" s="7"/>
      <c r="E132" s="7"/>
      <c r="F132" s="7"/>
      <c r="G132" s="7"/>
    </row>
    <row r="133" spans="2:7">
      <c r="B133" s="9" t="s">
        <v>8</v>
      </c>
      <c r="C133" s="3" t="s">
        <v>9</v>
      </c>
      <c r="D133" s="123">
        <v>1</v>
      </c>
      <c r="E133" s="130">
        <f>E115</f>
        <v>1</v>
      </c>
      <c r="F133" s="131">
        <f t="shared" ref="F133" si="22">E133</f>
        <v>1</v>
      </c>
      <c r="G133" s="136">
        <v>1</v>
      </c>
    </row>
    <row r="134" spans="2:7">
      <c r="B134" s="12"/>
      <c r="C134" s="3" t="s">
        <v>10</v>
      </c>
      <c r="D134" s="123">
        <v>1.3</v>
      </c>
      <c r="E134" s="132">
        <f t="shared" ref="E134:E144" si="23">E116</f>
        <v>1.18</v>
      </c>
      <c r="F134" s="133">
        <f t="shared" ref="F134" si="24">E134</f>
        <v>1.18</v>
      </c>
      <c r="G134" s="137">
        <v>1.18</v>
      </c>
    </row>
    <row r="135" spans="2:7">
      <c r="B135" s="12"/>
      <c r="C135" s="3" t="s">
        <v>11</v>
      </c>
      <c r="D135" s="123">
        <v>1.5</v>
      </c>
      <c r="E135" s="132">
        <f t="shared" si="23"/>
        <v>1.35</v>
      </c>
      <c r="F135" s="133">
        <f t="shared" ref="F135" si="25">E135</f>
        <v>1.35</v>
      </c>
      <c r="G135" s="137">
        <v>1.35</v>
      </c>
    </row>
    <row r="136" spans="2:7">
      <c r="B136" s="12"/>
      <c r="C136" s="3" t="s">
        <v>12</v>
      </c>
      <c r="D136" s="123">
        <v>2</v>
      </c>
      <c r="E136" s="132">
        <f t="shared" si="23"/>
        <v>1.94</v>
      </c>
      <c r="F136" s="133">
        <f t="shared" ref="F136" si="26">E136</f>
        <v>1.94</v>
      </c>
      <c r="G136" s="137">
        <v>1.94</v>
      </c>
    </row>
    <row r="137" spans="2:7">
      <c r="B137" s="13"/>
      <c r="C137" s="3" t="s">
        <v>13</v>
      </c>
      <c r="D137" s="123">
        <v>2.2000000000000002</v>
      </c>
      <c r="E137" s="132">
        <f t="shared" si="23"/>
        <v>2.13</v>
      </c>
      <c r="F137" s="133">
        <f t="shared" ref="F137" si="27">E137</f>
        <v>2.13</v>
      </c>
      <c r="G137" s="137">
        <v>2.13</v>
      </c>
    </row>
    <row r="138" spans="2:7">
      <c r="B138" s="9" t="s">
        <v>14</v>
      </c>
      <c r="C138" s="3" t="s">
        <v>9</v>
      </c>
      <c r="D138" s="123">
        <v>1</v>
      </c>
      <c r="E138" s="132">
        <f t="shared" si="23"/>
        <v>1</v>
      </c>
      <c r="F138" s="133">
        <f t="shared" ref="F138" si="28">E138</f>
        <v>1</v>
      </c>
      <c r="G138" s="137">
        <v>1</v>
      </c>
    </row>
    <row r="139" spans="2:7">
      <c r="B139" s="12"/>
      <c r="C139" s="3" t="s">
        <v>10</v>
      </c>
      <c r="D139" s="123">
        <v>1.3</v>
      </c>
      <c r="E139" s="132">
        <f t="shared" si="23"/>
        <v>1.18</v>
      </c>
      <c r="F139" s="133">
        <f t="shared" ref="F139" si="29">E139</f>
        <v>1.18</v>
      </c>
      <c r="G139" s="137">
        <v>1.18</v>
      </c>
    </row>
    <row r="140" spans="2:7">
      <c r="B140" s="12"/>
      <c r="C140" s="3" t="s">
        <v>11</v>
      </c>
      <c r="D140" s="123">
        <v>1.5</v>
      </c>
      <c r="E140" s="132">
        <f t="shared" si="23"/>
        <v>1.35</v>
      </c>
      <c r="F140" s="133">
        <f t="shared" ref="F140" si="30">E140</f>
        <v>1.35</v>
      </c>
      <c r="G140" s="137">
        <v>1.35</v>
      </c>
    </row>
    <row r="141" spans="2:7">
      <c r="B141" s="12"/>
      <c r="C141" s="3" t="s">
        <v>12</v>
      </c>
      <c r="D141" s="123">
        <v>2</v>
      </c>
      <c r="E141" s="132">
        <f t="shared" si="23"/>
        <v>1.94</v>
      </c>
      <c r="F141" s="133">
        <f t="shared" ref="F141" si="31">E141</f>
        <v>1.94</v>
      </c>
      <c r="G141" s="137">
        <v>1.94</v>
      </c>
    </row>
    <row r="142" spans="2:7">
      <c r="B142" s="13"/>
      <c r="C142" s="3" t="s">
        <v>13</v>
      </c>
      <c r="D142" s="123">
        <v>2.2000000000000002</v>
      </c>
      <c r="E142" s="132">
        <f t="shared" si="23"/>
        <v>2.13</v>
      </c>
      <c r="F142" s="133">
        <f t="shared" ref="F142" si="32">E142</f>
        <v>2.13</v>
      </c>
      <c r="G142" s="137">
        <v>2.13</v>
      </c>
    </row>
    <row r="143" spans="2:7">
      <c r="B143" s="9" t="s">
        <v>15</v>
      </c>
      <c r="C143" s="3" t="s">
        <v>12</v>
      </c>
      <c r="D143" s="123">
        <v>1</v>
      </c>
      <c r="E143" s="132">
        <f t="shared" si="23"/>
        <v>1</v>
      </c>
      <c r="F143" s="133">
        <f t="shared" ref="F143" si="33">E143</f>
        <v>1</v>
      </c>
      <c r="G143" s="137">
        <v>1</v>
      </c>
    </row>
    <row r="144" spans="2:7">
      <c r="B144" s="13"/>
      <c r="C144" s="3" t="s">
        <v>13</v>
      </c>
      <c r="D144" s="123">
        <v>1.1000000000000001</v>
      </c>
      <c r="E144" s="134">
        <f t="shared" si="23"/>
        <v>1.1000000000000001</v>
      </c>
      <c r="F144" s="135">
        <f t="shared" ref="F144" si="34">E144</f>
        <v>1.1000000000000001</v>
      </c>
      <c r="G144" s="138">
        <v>1.1000000000000001</v>
      </c>
    </row>
    <row r="145" spans="2:7">
      <c r="B145" s="9" t="s">
        <v>19</v>
      </c>
      <c r="C145" s="3" t="s">
        <v>21</v>
      </c>
      <c r="D145" s="123">
        <v>1.5</v>
      </c>
      <c r="E145" s="130">
        <f t="shared" ref="E145:E149" si="35">D145</f>
        <v>1.5</v>
      </c>
      <c r="F145" s="131">
        <f t="shared" ref="F145" si="36">E145</f>
        <v>1.5</v>
      </c>
      <c r="G145" s="136">
        <v>1.5</v>
      </c>
    </row>
    <row r="146" spans="2:7">
      <c r="B146" s="12"/>
      <c r="C146" s="3" t="s">
        <v>22</v>
      </c>
      <c r="D146" s="123">
        <v>3</v>
      </c>
      <c r="E146" s="132">
        <f t="shared" si="35"/>
        <v>3</v>
      </c>
      <c r="F146" s="133">
        <f t="shared" ref="F146" si="37">E146</f>
        <v>3</v>
      </c>
      <c r="G146" s="137">
        <v>3</v>
      </c>
    </row>
    <row r="147" spans="2:7">
      <c r="B147" s="12"/>
      <c r="C147" s="3" t="s">
        <v>23</v>
      </c>
      <c r="D147" s="123">
        <v>1.5</v>
      </c>
      <c r="E147" s="132">
        <f t="shared" si="35"/>
        <v>1.5</v>
      </c>
      <c r="F147" s="133">
        <f t="shared" ref="F147" si="38">E147</f>
        <v>1.5</v>
      </c>
      <c r="G147" s="137">
        <v>1.5</v>
      </c>
    </row>
    <row r="148" spans="2:7">
      <c r="B148" s="12"/>
      <c r="C148" s="3" t="s">
        <v>24</v>
      </c>
      <c r="D148" s="123">
        <v>10</v>
      </c>
      <c r="E148" s="132">
        <f t="shared" si="35"/>
        <v>10</v>
      </c>
      <c r="F148" s="133">
        <f t="shared" ref="F148" si="39">E148</f>
        <v>10</v>
      </c>
      <c r="G148" s="137">
        <v>10</v>
      </c>
    </row>
    <row r="149" spans="2:7">
      <c r="B149" s="13"/>
      <c r="C149" s="3" t="s">
        <v>25</v>
      </c>
      <c r="D149" s="123">
        <v>6</v>
      </c>
      <c r="E149" s="134">
        <f t="shared" si="35"/>
        <v>6</v>
      </c>
      <c r="F149" s="135">
        <f t="shared" ref="F149" si="40">E149</f>
        <v>6</v>
      </c>
      <c r="G149" s="138">
        <v>6</v>
      </c>
    </row>
    <row r="150" spans="2:7"/>
    <row r="151" spans="2:7"/>
    <row r="152" spans="2:7">
      <c r="B152" s="25" t="s">
        <v>237</v>
      </c>
      <c r="C152" s="26"/>
      <c r="D152" s="5"/>
      <c r="E152" s="5"/>
      <c r="F152" s="5"/>
      <c r="G152" s="5"/>
    </row>
    <row r="153" spans="2:7">
      <c r="B153" s="27"/>
      <c r="C153" s="28"/>
      <c r="D153" s="22" t="str">
        <f t="shared" ref="D153:G153" si="41">D$5</f>
        <v>2023-24</v>
      </c>
      <c r="E153" s="22" t="str">
        <f t="shared" si="41"/>
        <v>2024-25</v>
      </c>
      <c r="F153" s="22" t="str">
        <f t="shared" si="41"/>
        <v>2025-26</v>
      </c>
      <c r="G153" s="22" t="str">
        <f t="shared" si="41"/>
        <v>2026-27</v>
      </c>
    </row>
    <row r="154" spans="2:7">
      <c r="B154" s="29"/>
      <c r="C154" s="30"/>
      <c r="D154" s="7"/>
      <c r="E154" s="7"/>
      <c r="F154" s="7"/>
      <c r="G154" s="7"/>
    </row>
    <row r="155" spans="2:7">
      <c r="B155" s="9" t="s">
        <v>15</v>
      </c>
      <c r="C155" s="3" t="s">
        <v>12</v>
      </c>
      <c r="D155" s="125">
        <v>1</v>
      </c>
      <c r="E155" s="139">
        <f t="shared" ref="E155:F155" si="42">D155</f>
        <v>1</v>
      </c>
      <c r="F155" s="140">
        <f t="shared" si="42"/>
        <v>1</v>
      </c>
      <c r="G155" s="141">
        <v>1</v>
      </c>
    </row>
    <row r="156" spans="2:7">
      <c r="B156" s="13"/>
      <c r="C156" s="3" t="s">
        <v>13</v>
      </c>
      <c r="D156" s="125">
        <v>1</v>
      </c>
      <c r="E156" s="142">
        <f t="shared" ref="E156:F156" si="43">D156</f>
        <v>1</v>
      </c>
      <c r="F156" s="143">
        <f t="shared" si="43"/>
        <v>1</v>
      </c>
      <c r="G156" s="144">
        <v>1</v>
      </c>
    </row>
    <row r="157" spans="2:7">
      <c r="B157" s="1"/>
      <c r="D157" s="1"/>
      <c r="E157" s="1"/>
      <c r="G157" s="1"/>
    </row>
    <row r="158" spans="2:7">
      <c r="B158" s="1"/>
      <c r="D158" s="1"/>
      <c r="E158" s="1"/>
      <c r="G158" s="1"/>
    </row>
    <row r="159" spans="2:7" s="1" customFormat="1">
      <c r="B159" s="25" t="s">
        <v>40</v>
      </c>
      <c r="C159" s="26"/>
      <c r="D159" s="5"/>
      <c r="E159" s="5"/>
      <c r="F159" s="5"/>
      <c r="G159" s="5"/>
    </row>
    <row r="160" spans="2:7" s="1" customFormat="1">
      <c r="B160" s="27"/>
      <c r="C160" s="28"/>
      <c r="D160" s="22" t="str">
        <f t="shared" ref="D160:G160" si="44">D$5</f>
        <v>2023-24</v>
      </c>
      <c r="E160" s="22" t="str">
        <f t="shared" si="44"/>
        <v>2024-25</v>
      </c>
      <c r="F160" s="22" t="str">
        <f t="shared" si="44"/>
        <v>2025-26</v>
      </c>
      <c r="G160" s="22" t="str">
        <f t="shared" si="44"/>
        <v>2026-27</v>
      </c>
    </row>
    <row r="161" spans="2:7" s="1" customFormat="1">
      <c r="B161" s="29"/>
      <c r="C161" s="30"/>
      <c r="D161" s="7"/>
      <c r="E161" s="7"/>
      <c r="F161" s="7"/>
      <c r="G161" s="7"/>
    </row>
    <row r="162" spans="2:7" s="1" customFormat="1">
      <c r="B162" s="9" t="s">
        <v>8</v>
      </c>
      <c r="C162" s="3" t="s">
        <v>12</v>
      </c>
      <c r="D162" s="128">
        <v>4.5999999999999999E-2</v>
      </c>
      <c r="E162" s="61">
        <f t="shared" ref="E162:F162" si="45">D162</f>
        <v>4.5999999999999999E-2</v>
      </c>
      <c r="F162" s="61">
        <f t="shared" si="45"/>
        <v>4.5999999999999999E-2</v>
      </c>
      <c r="G162" s="61">
        <v>4.5999999999999999E-2</v>
      </c>
    </row>
    <row r="163" spans="2:7" s="1" customFormat="1">
      <c r="B163" s="11"/>
      <c r="C163" s="3" t="s">
        <v>13</v>
      </c>
      <c r="D163" s="128">
        <v>4.5999999999999999E-2</v>
      </c>
      <c r="E163" s="61">
        <f t="shared" ref="E163:F163" si="46">D163</f>
        <v>4.5999999999999999E-2</v>
      </c>
      <c r="F163" s="61">
        <f t="shared" si="46"/>
        <v>4.5999999999999999E-2</v>
      </c>
      <c r="G163" s="61">
        <v>4.5999999999999999E-2</v>
      </c>
    </row>
    <row r="164" spans="2:7" s="1" customFormat="1">
      <c r="B164" s="14" t="s">
        <v>14</v>
      </c>
      <c r="C164" s="3" t="s">
        <v>13</v>
      </c>
      <c r="D164" s="128">
        <v>0.153</v>
      </c>
      <c r="E164" s="128">
        <v>0.13500000000000001</v>
      </c>
      <c r="F164" s="128">
        <v>7.5999999999999998E-2</v>
      </c>
      <c r="G164" s="61">
        <v>7.5999999999999998E-2</v>
      </c>
    </row>
    <row r="165" spans="2:7" s="1" customFormat="1">
      <c r="B165" s="14" t="s">
        <v>15</v>
      </c>
      <c r="C165" s="3" t="s">
        <v>13</v>
      </c>
      <c r="D165" s="128">
        <v>0</v>
      </c>
      <c r="E165" s="61">
        <f t="shared" ref="E165:F165" si="47">D165</f>
        <v>0</v>
      </c>
      <c r="F165" s="61">
        <f t="shared" si="47"/>
        <v>0</v>
      </c>
      <c r="G165" s="61">
        <v>0</v>
      </c>
    </row>
    <row r="166" spans="2:7" s="1" customFormat="1"/>
    <row r="167" spans="2:7" s="1" customFormat="1"/>
    <row r="168" spans="2:7">
      <c r="B168" s="25" t="s">
        <v>238</v>
      </c>
      <c r="C168" s="26"/>
      <c r="D168" s="5"/>
      <c r="E168" s="5"/>
      <c r="F168" s="5"/>
      <c r="G168" s="5"/>
    </row>
    <row r="169" spans="2:7">
      <c r="B169" s="27"/>
      <c r="C169" s="28"/>
      <c r="D169" s="22" t="str">
        <f t="shared" ref="D169:G169" si="48">D$5</f>
        <v>2023-24</v>
      </c>
      <c r="E169" s="22" t="str">
        <f t="shared" si="48"/>
        <v>2024-25</v>
      </c>
      <c r="F169" s="22" t="str">
        <f t="shared" si="48"/>
        <v>2025-26</v>
      </c>
      <c r="G169" s="22" t="str">
        <f t="shared" si="48"/>
        <v>2026-27</v>
      </c>
    </row>
    <row r="170" spans="2:7">
      <c r="B170" s="29"/>
      <c r="C170" s="30"/>
      <c r="D170" s="7"/>
      <c r="E170" s="7"/>
      <c r="F170" s="7"/>
      <c r="G170" s="7"/>
    </row>
    <row r="171" spans="2:7">
      <c r="B171" s="9" t="s">
        <v>15</v>
      </c>
      <c r="C171" s="3" t="s">
        <v>12</v>
      </c>
      <c r="D171" s="127">
        <v>1</v>
      </c>
      <c r="E171" s="139">
        <f t="shared" ref="E171:F171" si="49">D171</f>
        <v>1</v>
      </c>
      <c r="F171" s="140">
        <f t="shared" si="49"/>
        <v>1</v>
      </c>
      <c r="G171" s="141">
        <v>1</v>
      </c>
    </row>
    <row r="172" spans="2:7">
      <c r="B172" s="13"/>
      <c r="C172" s="3" t="s">
        <v>13</v>
      </c>
      <c r="D172" s="127">
        <v>1</v>
      </c>
      <c r="E172" s="142">
        <f t="shared" ref="E172:F172" si="50">D172</f>
        <v>1</v>
      </c>
      <c r="F172" s="143">
        <f t="shared" si="50"/>
        <v>1</v>
      </c>
      <c r="G172" s="144">
        <v>1</v>
      </c>
    </row>
    <row r="173" spans="2:7"/>
    <row r="174" spans="2:7"/>
    <row r="175" spans="2:7">
      <c r="B175" s="25" t="s">
        <v>41</v>
      </c>
      <c r="C175" s="26"/>
      <c r="D175" s="5"/>
      <c r="E175" s="5"/>
      <c r="F175" s="5"/>
      <c r="G175" s="5"/>
    </row>
    <row r="176" spans="2:7">
      <c r="B176" s="27"/>
      <c r="C176" s="28"/>
      <c r="D176" s="22" t="str">
        <f t="shared" ref="D176:G176" si="51">D$5</f>
        <v>2023-24</v>
      </c>
      <c r="E176" s="22" t="str">
        <f t="shared" si="51"/>
        <v>2024-25</v>
      </c>
      <c r="F176" s="22" t="str">
        <f t="shared" si="51"/>
        <v>2025-26</v>
      </c>
      <c r="G176" s="22" t="str">
        <f t="shared" si="51"/>
        <v>2026-27</v>
      </c>
    </row>
    <row r="177" spans="2:9">
      <c r="B177" s="29"/>
      <c r="C177" s="30"/>
      <c r="D177" s="7"/>
      <c r="E177" s="7"/>
      <c r="F177" s="7"/>
      <c r="G177" s="7"/>
    </row>
    <row r="178" spans="2:9">
      <c r="B178" s="9" t="s">
        <v>8</v>
      </c>
      <c r="C178" s="3" t="s">
        <v>12</v>
      </c>
      <c r="D178" s="128">
        <v>4.5999999999999999E-2</v>
      </c>
      <c r="E178" s="145">
        <f t="shared" ref="E178:F178" si="52">D178</f>
        <v>4.5999999999999999E-2</v>
      </c>
      <c r="F178" s="146">
        <f t="shared" si="52"/>
        <v>4.5999999999999999E-2</v>
      </c>
      <c r="G178" s="147">
        <v>4.5999999999999999E-2</v>
      </c>
    </row>
    <row r="179" spans="2:9">
      <c r="B179" s="11"/>
      <c r="C179" s="3" t="s">
        <v>13</v>
      </c>
      <c r="D179" s="128">
        <v>4.5999999999999999E-2</v>
      </c>
      <c r="E179" s="148">
        <f t="shared" ref="E179:F179" si="53">D179</f>
        <v>4.5999999999999999E-2</v>
      </c>
      <c r="F179" s="149">
        <f t="shared" si="53"/>
        <v>4.5999999999999999E-2</v>
      </c>
      <c r="G179" s="150">
        <v>4.5999999999999999E-2</v>
      </c>
    </row>
    <row r="180" spans="2:9">
      <c r="B180" s="9" t="s">
        <v>14</v>
      </c>
      <c r="C180" s="3" t="s">
        <v>12</v>
      </c>
      <c r="D180" s="128">
        <v>0</v>
      </c>
      <c r="E180" s="148">
        <f t="shared" ref="E180:F180" si="54">D180</f>
        <v>0</v>
      </c>
      <c r="F180" s="149">
        <f t="shared" si="54"/>
        <v>0</v>
      </c>
      <c r="G180" s="150">
        <v>0</v>
      </c>
    </row>
    <row r="181" spans="2:9">
      <c r="B181" s="11"/>
      <c r="C181" s="3" t="s">
        <v>13</v>
      </c>
      <c r="D181" s="128">
        <v>0</v>
      </c>
      <c r="E181" s="148">
        <f t="shared" ref="E181:F181" si="55">D181</f>
        <v>0</v>
      </c>
      <c r="F181" s="149">
        <f t="shared" si="55"/>
        <v>0</v>
      </c>
      <c r="G181" s="150">
        <v>0</v>
      </c>
      <c r="I181" s="55"/>
    </row>
    <row r="182" spans="2:9">
      <c r="B182" s="14" t="s">
        <v>15</v>
      </c>
      <c r="C182" s="3" t="s">
        <v>13</v>
      </c>
      <c r="D182" s="128">
        <v>0</v>
      </c>
      <c r="E182" s="151">
        <f t="shared" ref="E182:F182" si="56">D182</f>
        <v>0</v>
      </c>
      <c r="F182" s="152">
        <f t="shared" si="56"/>
        <v>0</v>
      </c>
      <c r="G182" s="153">
        <v>0</v>
      </c>
    </row>
    <row r="183" spans="2:9"/>
    <row r="184" spans="2:9"/>
    <row r="185" spans="2:9" ht="28.9" customHeight="1">
      <c r="B185" s="31" t="s">
        <v>43</v>
      </c>
      <c r="C185" s="4"/>
      <c r="D185" s="4"/>
      <c r="E185" s="4"/>
      <c r="F185" s="4"/>
      <c r="G185" s="4"/>
    </row>
    <row r="186" spans="2:9">
      <c r="B186" s="1"/>
      <c r="D186" s="1"/>
      <c r="E186" s="1"/>
      <c r="G186" s="1"/>
    </row>
    <row r="187" spans="2:9">
      <c r="B187" s="25" t="s">
        <v>37</v>
      </c>
      <c r="C187" s="26"/>
      <c r="D187" s="5"/>
      <c r="E187" s="5"/>
      <c r="F187" s="5"/>
      <c r="G187" s="5"/>
    </row>
    <row r="188" spans="2:9">
      <c r="B188" s="27"/>
      <c r="C188" s="28"/>
      <c r="D188" s="22" t="str">
        <f t="shared" ref="D188:G188" si="57">D$5</f>
        <v>2023-24</v>
      </c>
      <c r="E188" s="22" t="str">
        <f t="shared" si="57"/>
        <v>2024-25</v>
      </c>
      <c r="F188" s="22" t="str">
        <f t="shared" si="57"/>
        <v>2025-26</v>
      </c>
      <c r="G188" s="22" t="str">
        <f t="shared" si="57"/>
        <v>2026-27</v>
      </c>
    </row>
    <row r="189" spans="2:9">
      <c r="B189" s="29"/>
      <c r="C189" s="30"/>
      <c r="D189" s="7"/>
      <c r="E189" s="7"/>
      <c r="F189" s="7"/>
      <c r="G189" s="7"/>
    </row>
    <row r="190" spans="2:9">
      <c r="B190" s="15" t="s">
        <v>7</v>
      </c>
      <c r="C190" s="16"/>
      <c r="D190" s="125">
        <f>IF(OR('RPM &amp; Discounts'!$B$3='A0.Support'!$B$3,'RPM &amp; Discounts'!$B$3='A0.Support'!$B$8),0.5,0.28)</f>
        <v>0.28000000000000003</v>
      </c>
      <c r="E190" s="139">
        <f t="shared" ref="E190:F190" si="58">D190</f>
        <v>0.28000000000000003</v>
      </c>
      <c r="F190" s="140">
        <f t="shared" si="58"/>
        <v>0.28000000000000003</v>
      </c>
      <c r="G190" s="141">
        <v>0.28000000000000003</v>
      </c>
    </row>
    <row r="191" spans="2:9">
      <c r="B191" s="17" t="s">
        <v>16</v>
      </c>
      <c r="C191" s="18"/>
      <c r="D191" s="125">
        <f>1-D190</f>
        <v>0.72</v>
      </c>
      <c r="E191" s="142">
        <f t="shared" ref="E191:F191" si="59">D191</f>
        <v>0.72</v>
      </c>
      <c r="F191" s="143">
        <f t="shared" si="59"/>
        <v>0.72</v>
      </c>
      <c r="G191" s="144">
        <v>0.72</v>
      </c>
    </row>
    <row r="192" spans="2:9"/>
    <row r="193" spans="2:7"/>
    <row r="194" spans="2:7">
      <c r="B194" s="25" t="s">
        <v>44</v>
      </c>
      <c r="C194" s="26"/>
      <c r="D194" s="5"/>
      <c r="E194" s="5"/>
      <c r="F194" s="5"/>
      <c r="G194" s="5"/>
    </row>
    <row r="195" spans="2:7">
      <c r="B195" s="27"/>
      <c r="C195" s="28"/>
      <c r="D195" s="22" t="str">
        <f t="shared" ref="D195:G195" si="60">D$5</f>
        <v>2023-24</v>
      </c>
      <c r="E195" s="22" t="str">
        <f t="shared" si="60"/>
        <v>2024-25</v>
      </c>
      <c r="F195" s="22" t="str">
        <f t="shared" si="60"/>
        <v>2025-26</v>
      </c>
      <c r="G195" s="22" t="str">
        <f t="shared" si="60"/>
        <v>2026-27</v>
      </c>
    </row>
    <row r="196" spans="2:7">
      <c r="B196" s="29"/>
      <c r="C196" s="30"/>
      <c r="D196" s="7"/>
      <c r="E196" s="7"/>
      <c r="F196" s="7"/>
      <c r="G196" s="7"/>
    </row>
    <row r="197" spans="2:7">
      <c r="B197" s="15" t="s">
        <v>48</v>
      </c>
      <c r="C197" s="16"/>
      <c r="D197" s="125">
        <f>IF('RPM &amp; Discounts'!$B$3='A0.Support'!$B$8,'A5.Counter-factual'!$B$4,1+(20+24)/28)</f>
        <v>2.5714285714285712</v>
      </c>
      <c r="E197" s="139">
        <f t="shared" ref="E197:F197" si="61">D197</f>
        <v>2.5714285714285712</v>
      </c>
      <c r="F197" s="140">
        <f t="shared" si="61"/>
        <v>2.5714285714285712</v>
      </c>
      <c r="G197" s="141">
        <v>2.5714285714285712</v>
      </c>
    </row>
    <row r="198" spans="2:7">
      <c r="B198" s="17" t="s">
        <v>49</v>
      </c>
      <c r="C198" s="18"/>
      <c r="D198" s="125">
        <v>1</v>
      </c>
      <c r="E198" s="142">
        <f t="shared" ref="E198:F198" si="62">D198</f>
        <v>1</v>
      </c>
      <c r="F198" s="143">
        <f t="shared" si="62"/>
        <v>1</v>
      </c>
      <c r="G198" s="144">
        <v>1</v>
      </c>
    </row>
    <row r="199" spans="2:7"/>
    <row r="200" spans="2:7"/>
    <row r="201" spans="2:7">
      <c r="B201" s="25" t="s">
        <v>47</v>
      </c>
      <c r="C201" s="26"/>
      <c r="D201" s="5"/>
      <c r="E201" s="5"/>
      <c r="F201" s="5"/>
      <c r="G201" s="5"/>
    </row>
    <row r="202" spans="2:7">
      <c r="B202" s="27"/>
      <c r="C202" s="28"/>
      <c r="D202" s="22" t="str">
        <f t="shared" ref="D202:G202" si="63">D$5</f>
        <v>2023-24</v>
      </c>
      <c r="E202" s="22" t="str">
        <f t="shared" si="63"/>
        <v>2024-25</v>
      </c>
      <c r="F202" s="22" t="str">
        <f t="shared" si="63"/>
        <v>2025-26</v>
      </c>
      <c r="G202" s="22" t="str">
        <f t="shared" si="63"/>
        <v>2026-27</v>
      </c>
    </row>
    <row r="203" spans="2:7">
      <c r="B203" s="29"/>
      <c r="C203" s="30"/>
      <c r="D203" s="7"/>
      <c r="E203" s="7"/>
      <c r="F203" s="7"/>
      <c r="G203" s="7"/>
    </row>
    <row r="204" spans="2:7">
      <c r="B204" s="15" t="s">
        <v>8</v>
      </c>
      <c r="C204" s="16"/>
      <c r="D204" s="127">
        <v>0.90419775503312938</v>
      </c>
      <c r="E204" s="139">
        <f t="shared" ref="E204:F204" si="64">D204</f>
        <v>0.90419775503312938</v>
      </c>
      <c r="F204" s="140">
        <f t="shared" si="64"/>
        <v>0.90419775503312938</v>
      </c>
      <c r="G204" s="141">
        <v>0.90419775503312938</v>
      </c>
    </row>
    <row r="205" spans="2:7">
      <c r="B205" s="15" t="s">
        <v>14</v>
      </c>
      <c r="C205" s="16"/>
      <c r="D205" s="127">
        <v>0.8940959594036697</v>
      </c>
      <c r="E205" s="154">
        <f t="shared" ref="E205:F205" si="65">D205</f>
        <v>0.8940959594036697</v>
      </c>
      <c r="F205" s="155">
        <f t="shared" si="65"/>
        <v>0.8940959594036697</v>
      </c>
      <c r="G205" s="156">
        <v>0.8940959594036697</v>
      </c>
    </row>
    <row r="206" spans="2:7">
      <c r="B206" s="15" t="s">
        <v>15</v>
      </c>
      <c r="C206" s="16"/>
      <c r="D206" s="127">
        <v>0.49262302658066282</v>
      </c>
      <c r="E206" s="154">
        <f t="shared" ref="E206:F206" si="66">D206</f>
        <v>0.49262302658066282</v>
      </c>
      <c r="F206" s="155">
        <f t="shared" si="66"/>
        <v>0.49262302658066282</v>
      </c>
      <c r="G206" s="156">
        <v>0.49262302658066282</v>
      </c>
    </row>
    <row r="207" spans="2:7" s="1" customFormat="1">
      <c r="B207" s="15" t="s">
        <v>26</v>
      </c>
      <c r="C207" s="16"/>
      <c r="D207" s="127">
        <f>D206</f>
        <v>0.49262302658066282</v>
      </c>
      <c r="E207" s="142">
        <f t="shared" ref="E207:F207" si="67">D207</f>
        <v>0.49262302658066282</v>
      </c>
      <c r="F207" s="143">
        <f t="shared" si="67"/>
        <v>0.49262302658066282</v>
      </c>
      <c r="G207" s="144">
        <v>0.49262302658066282</v>
      </c>
    </row>
    <row r="208" spans="2:7"/>
    <row r="209" spans="1:7"/>
    <row r="210" spans="1:7">
      <c r="B210" s="25" t="s">
        <v>50</v>
      </c>
      <c r="C210" s="26"/>
      <c r="D210" s="5"/>
      <c r="E210" s="5"/>
      <c r="F210" s="5"/>
      <c r="G210" s="5"/>
    </row>
    <row r="211" spans="1:7">
      <c r="B211" s="27"/>
      <c r="C211" s="28"/>
      <c r="D211" s="22" t="str">
        <f t="shared" ref="D211:G211" si="68">D$5</f>
        <v>2023-24</v>
      </c>
      <c r="E211" s="22" t="str">
        <f t="shared" si="68"/>
        <v>2024-25</v>
      </c>
      <c r="F211" s="22" t="str">
        <f t="shared" si="68"/>
        <v>2025-26</v>
      </c>
      <c r="G211" s="22" t="str">
        <f t="shared" si="68"/>
        <v>2026-27</v>
      </c>
    </row>
    <row r="212" spans="1:7">
      <c r="B212" s="29"/>
      <c r="C212" s="30"/>
      <c r="D212" s="7"/>
      <c r="E212" s="7"/>
      <c r="F212" s="7"/>
      <c r="G212" s="7"/>
    </row>
    <row r="213" spans="1:7">
      <c r="B213" s="15" t="s">
        <v>8</v>
      </c>
      <c r="C213" s="16"/>
      <c r="D213" s="127">
        <v>6.6988626720183478E-2</v>
      </c>
      <c r="E213" s="139">
        <f t="shared" ref="E213:F213" si="69">D213</f>
        <v>6.6988626720183478E-2</v>
      </c>
      <c r="F213" s="140">
        <f t="shared" si="69"/>
        <v>6.6988626720183478E-2</v>
      </c>
      <c r="G213" s="141">
        <v>6.6988626720183478E-2</v>
      </c>
    </row>
    <row r="214" spans="1:7">
      <c r="B214" s="15" t="s">
        <v>14</v>
      </c>
      <c r="C214" s="16"/>
      <c r="D214" s="127">
        <v>0</v>
      </c>
      <c r="E214" s="154">
        <f t="shared" ref="E214:F214" si="70">D214</f>
        <v>0</v>
      </c>
      <c r="F214" s="155">
        <f t="shared" si="70"/>
        <v>0</v>
      </c>
      <c r="G214" s="156">
        <v>0</v>
      </c>
    </row>
    <row r="215" spans="1:7">
      <c r="B215" s="15" t="s">
        <v>15</v>
      </c>
      <c r="C215" s="16"/>
      <c r="D215" s="127">
        <v>0.28108548364299851</v>
      </c>
      <c r="E215" s="154">
        <f t="shared" ref="E215:F215" si="71">D215</f>
        <v>0.28108548364299851</v>
      </c>
      <c r="F215" s="155">
        <f t="shared" si="71"/>
        <v>0.28108548364299851</v>
      </c>
      <c r="G215" s="156">
        <v>0.28108548364299851</v>
      </c>
    </row>
    <row r="216" spans="1:7">
      <c r="B216" s="15" t="s">
        <v>46</v>
      </c>
      <c r="C216" s="16"/>
      <c r="D216" s="127">
        <v>0.58863487865516284</v>
      </c>
      <c r="E216" s="142">
        <f t="shared" ref="E216:F216" si="72">D216</f>
        <v>0.58863487865516284</v>
      </c>
      <c r="F216" s="143">
        <f t="shared" si="72"/>
        <v>0.58863487865516284</v>
      </c>
      <c r="G216" s="144">
        <v>0.58863487865516284</v>
      </c>
    </row>
    <row r="217" spans="1:7"/>
    <row r="218" spans="1:7" s="1" customFormat="1"/>
    <row r="219" spans="1:7" s="1" customFormat="1">
      <c r="A219" s="83"/>
      <c r="B219" s="25" t="s">
        <v>289</v>
      </c>
      <c r="C219" s="26"/>
      <c r="D219" s="5"/>
      <c r="E219" s="5"/>
      <c r="F219" s="5"/>
      <c r="G219" s="5"/>
    </row>
    <row r="220" spans="1:7" s="1" customFormat="1">
      <c r="A220" s="83"/>
      <c r="B220" s="27"/>
      <c r="C220" s="28"/>
      <c r="D220" s="22" t="str">
        <f t="shared" ref="D220:G220" si="73">D$5</f>
        <v>2023-24</v>
      </c>
      <c r="E220" s="22" t="str">
        <f t="shared" si="73"/>
        <v>2024-25</v>
      </c>
      <c r="F220" s="22" t="str">
        <f t="shared" si="73"/>
        <v>2025-26</v>
      </c>
      <c r="G220" s="22" t="str">
        <f t="shared" si="73"/>
        <v>2026-27</v>
      </c>
    </row>
    <row r="221" spans="1:7" s="1" customFormat="1">
      <c r="A221" s="83"/>
      <c r="B221" s="29"/>
      <c r="C221" s="30"/>
      <c r="D221" s="7"/>
      <c r="E221" s="7"/>
      <c r="F221" s="7"/>
      <c r="G221" s="7"/>
    </row>
    <row r="222" spans="1:7" s="1" customFormat="1">
      <c r="A222" s="83"/>
      <c r="B222" s="15" t="s">
        <v>8</v>
      </c>
      <c r="C222" s="16"/>
      <c r="D222" s="126">
        <v>0.30096563478759114</v>
      </c>
      <c r="E222" s="145">
        <f t="shared" ref="E222:E224" si="74">D222</f>
        <v>0.30096563478759114</v>
      </c>
      <c r="F222" s="146">
        <f t="shared" ref="F222:F224" si="75">E222</f>
        <v>0.30096563478759114</v>
      </c>
      <c r="G222" s="147">
        <v>0.30096563478759114</v>
      </c>
    </row>
    <row r="223" spans="1:7" s="1" customFormat="1">
      <c r="A223" s="83"/>
      <c r="B223" s="15" t="s">
        <v>14</v>
      </c>
      <c r="C223" s="16"/>
      <c r="D223" s="126">
        <v>0.98663788917465756</v>
      </c>
      <c r="E223" s="148">
        <f t="shared" si="74"/>
        <v>0.98663788917465756</v>
      </c>
      <c r="F223" s="149">
        <f t="shared" si="75"/>
        <v>0.98663788917465756</v>
      </c>
      <c r="G223" s="150">
        <v>0.98663788917465756</v>
      </c>
    </row>
    <row r="224" spans="1:7" s="1" customFormat="1">
      <c r="A224" s="83"/>
      <c r="B224" s="15" t="s">
        <v>15</v>
      </c>
      <c r="C224" s="16"/>
      <c r="D224" s="126">
        <v>0.13127867462419943</v>
      </c>
      <c r="E224" s="148">
        <f t="shared" si="74"/>
        <v>0.13127867462419943</v>
      </c>
      <c r="F224" s="149">
        <f t="shared" si="75"/>
        <v>0.13127867462419943</v>
      </c>
      <c r="G224" s="150">
        <v>0.13127867462419943</v>
      </c>
    </row>
    <row r="225" spans="1:7" s="1" customFormat="1">
      <c r="A225" s="83"/>
      <c r="B225" s="15" t="s">
        <v>26</v>
      </c>
      <c r="C225" s="16"/>
      <c r="D225" s="61">
        <f>D224</f>
        <v>0.13127867462419943</v>
      </c>
      <c r="E225" s="151">
        <f t="shared" ref="E225:F225" si="76">E224</f>
        <v>0.13127867462419943</v>
      </c>
      <c r="F225" s="152">
        <f t="shared" si="76"/>
        <v>0.13127867462419943</v>
      </c>
      <c r="G225" s="153">
        <v>0.13127867462419943</v>
      </c>
    </row>
    <row r="226" spans="1:7" s="1" customFormat="1">
      <c r="A226" s="83"/>
    </row>
    <row r="227" spans="1:7" s="1" customFormat="1">
      <c r="A227" s="83"/>
    </row>
    <row r="228" spans="1:7" s="1" customFormat="1">
      <c r="A228" s="83"/>
      <c r="B228" s="25" t="s">
        <v>290</v>
      </c>
      <c r="C228" s="26"/>
      <c r="D228" s="5"/>
      <c r="E228" s="5"/>
      <c r="F228" s="5"/>
      <c r="G228" s="5"/>
    </row>
    <row r="229" spans="1:7" s="1" customFormat="1">
      <c r="A229" s="83"/>
      <c r="B229" s="27"/>
      <c r="C229" s="28"/>
      <c r="D229" s="22" t="str">
        <f t="shared" ref="D229:G229" si="77">D$5</f>
        <v>2023-24</v>
      </c>
      <c r="E229" s="22" t="str">
        <f t="shared" si="77"/>
        <v>2024-25</v>
      </c>
      <c r="F229" s="22" t="str">
        <f t="shared" si="77"/>
        <v>2025-26</v>
      </c>
      <c r="G229" s="22" t="str">
        <f t="shared" si="77"/>
        <v>2026-27</v>
      </c>
    </row>
    <row r="230" spans="1:7" s="1" customFormat="1">
      <c r="A230" s="83"/>
      <c r="B230" s="29"/>
      <c r="C230" s="30"/>
      <c r="D230" s="7"/>
      <c r="E230" s="7"/>
      <c r="F230" s="7"/>
      <c r="G230" s="7"/>
    </row>
    <row r="231" spans="1:7" s="1" customFormat="1">
      <c r="A231" s="83"/>
      <c r="B231" s="15" t="s">
        <v>8</v>
      </c>
      <c r="C231" s="16"/>
      <c r="D231" s="126">
        <v>0.14452116455577699</v>
      </c>
      <c r="E231" s="145">
        <f t="shared" ref="E231:E234" si="78">D231</f>
        <v>0.14452116455577699</v>
      </c>
      <c r="F231" s="146">
        <f t="shared" ref="F231:F234" si="79">E231</f>
        <v>0.14452116455577699</v>
      </c>
      <c r="G231" s="147">
        <v>0.14452116455577699</v>
      </c>
    </row>
    <row r="232" spans="1:7" s="1" customFormat="1">
      <c r="A232" s="83"/>
      <c r="B232" s="15" t="s">
        <v>14</v>
      </c>
      <c r="C232" s="16"/>
      <c r="D232" s="126">
        <v>0</v>
      </c>
      <c r="E232" s="148">
        <f t="shared" si="78"/>
        <v>0</v>
      </c>
      <c r="F232" s="149">
        <f t="shared" si="79"/>
        <v>0</v>
      </c>
      <c r="G232" s="150">
        <v>0</v>
      </c>
    </row>
    <row r="233" spans="1:7" s="1" customFormat="1">
      <c r="A233" s="83"/>
      <c r="B233" s="15" t="s">
        <v>15</v>
      </c>
      <c r="C233" s="16"/>
      <c r="D233" s="126">
        <v>0.52817585734383188</v>
      </c>
      <c r="E233" s="148">
        <f t="shared" si="78"/>
        <v>0.52817585734383188</v>
      </c>
      <c r="F233" s="149">
        <f t="shared" si="79"/>
        <v>0.52817585734383188</v>
      </c>
      <c r="G233" s="150">
        <v>0.52817585734383188</v>
      </c>
    </row>
    <row r="234" spans="1:7" s="1" customFormat="1">
      <c r="A234" s="83"/>
      <c r="B234" s="15" t="s">
        <v>46</v>
      </c>
      <c r="C234" s="16"/>
      <c r="D234" s="126">
        <v>0.46838876692920056</v>
      </c>
      <c r="E234" s="151">
        <f t="shared" si="78"/>
        <v>0.46838876692920056</v>
      </c>
      <c r="F234" s="152">
        <f t="shared" si="79"/>
        <v>0.46838876692920056</v>
      </c>
      <c r="G234" s="153">
        <v>0.46838876692920056</v>
      </c>
    </row>
    <row r="235" spans="1:7" s="1" customFormat="1"/>
    <row r="236" spans="1:7" s="1" customFormat="1"/>
    <row r="237" spans="1:7" s="1" customFormat="1">
      <c r="B237" s="25" t="s">
        <v>582</v>
      </c>
      <c r="C237" s="26"/>
      <c r="D237" s="5"/>
      <c r="E237" s="5"/>
      <c r="F237" s="5"/>
      <c r="G237" s="5"/>
    </row>
    <row r="238" spans="1:7" s="1" customFormat="1">
      <c r="B238" s="27"/>
      <c r="C238" s="28"/>
      <c r="D238" s="22" t="str">
        <f t="shared" ref="D238:G238" si="80">D$5</f>
        <v>2023-24</v>
      </c>
      <c r="E238" s="22" t="str">
        <f t="shared" si="80"/>
        <v>2024-25</v>
      </c>
      <c r="F238" s="22" t="str">
        <f t="shared" si="80"/>
        <v>2025-26</v>
      </c>
      <c r="G238" s="22" t="str">
        <f t="shared" si="80"/>
        <v>2026-27</v>
      </c>
    </row>
    <row r="239" spans="1:7" s="1" customFormat="1">
      <c r="B239" s="29"/>
      <c r="C239" s="30"/>
      <c r="D239" s="7"/>
      <c r="E239" s="7"/>
      <c r="F239" s="7"/>
      <c r="G239" s="7"/>
    </row>
    <row r="240" spans="1:7" s="1" customFormat="1">
      <c r="B240" s="15" t="s">
        <v>8</v>
      </c>
      <c r="C240" s="16"/>
      <c r="D240" s="120">
        <v>144</v>
      </c>
      <c r="E240" s="157">
        <f t="shared" ref="E240:F240" si="81">D240</f>
        <v>144</v>
      </c>
      <c r="F240" s="158">
        <f t="shared" si="81"/>
        <v>144</v>
      </c>
      <c r="G240" s="159">
        <v>144</v>
      </c>
    </row>
    <row r="241" spans="2:7" s="1" customFormat="1">
      <c r="B241" s="15" t="s">
        <v>14</v>
      </c>
      <c r="C241" s="16"/>
      <c r="D241" s="120">
        <v>200</v>
      </c>
      <c r="E241" s="160">
        <f t="shared" ref="E241:F241" si="82">D241</f>
        <v>200</v>
      </c>
      <c r="F241" s="161">
        <f t="shared" si="82"/>
        <v>200</v>
      </c>
      <c r="G241" s="162">
        <v>200</v>
      </c>
    </row>
    <row r="242" spans="2:7" s="1" customFormat="1">
      <c r="B242" s="15" t="s">
        <v>15</v>
      </c>
      <c r="C242" s="16"/>
      <c r="D242" s="120">
        <v>85.68</v>
      </c>
      <c r="E242" s="160">
        <f t="shared" ref="E242:F242" si="83">D242</f>
        <v>85.68</v>
      </c>
      <c r="F242" s="161">
        <f t="shared" si="83"/>
        <v>85.68</v>
      </c>
      <c r="G242" s="162">
        <v>85.68</v>
      </c>
    </row>
    <row r="243" spans="2:7" s="1" customFormat="1">
      <c r="B243" s="15" t="s">
        <v>26</v>
      </c>
      <c r="C243" s="16"/>
      <c r="D243" s="121">
        <f>1/10^6</f>
        <v>9.9999999999999995E-7</v>
      </c>
      <c r="E243" s="163">
        <f t="shared" ref="E243:F243" si="84">D243</f>
        <v>9.9999999999999995E-7</v>
      </c>
      <c r="F243" s="164">
        <f t="shared" si="84"/>
        <v>9.9999999999999995E-7</v>
      </c>
      <c r="G243" s="165">
        <v>9.9999999999999995E-7</v>
      </c>
    </row>
    <row r="244" spans="2:7" s="1" customFormat="1"/>
    <row r="245" spans="2:7" s="1" customFormat="1"/>
    <row r="246" spans="2:7" s="1" customFormat="1">
      <c r="B246" s="25" t="s">
        <v>583</v>
      </c>
      <c r="C246" s="26"/>
      <c r="D246" s="5"/>
      <c r="E246" s="5"/>
      <c r="F246" s="5"/>
      <c r="G246" s="5"/>
    </row>
    <row r="247" spans="2:7" s="1" customFormat="1">
      <c r="B247" s="27"/>
      <c r="C247" s="28"/>
      <c r="D247" s="22" t="str">
        <f t="shared" ref="D247:G247" si="85">D$5</f>
        <v>2023-24</v>
      </c>
      <c r="E247" s="22" t="str">
        <f t="shared" si="85"/>
        <v>2024-25</v>
      </c>
      <c r="F247" s="22" t="str">
        <f t="shared" si="85"/>
        <v>2025-26</v>
      </c>
      <c r="G247" s="22" t="str">
        <f t="shared" si="85"/>
        <v>2026-27</v>
      </c>
    </row>
    <row r="248" spans="2:7" s="1" customFormat="1">
      <c r="B248" s="29"/>
      <c r="C248" s="30"/>
      <c r="D248" s="7"/>
      <c r="E248" s="7"/>
      <c r="F248" s="7"/>
      <c r="G248" s="7"/>
    </row>
    <row r="249" spans="2:7" s="1" customFormat="1">
      <c r="B249" s="15" t="s">
        <v>8</v>
      </c>
      <c r="C249" s="16"/>
      <c r="D249" s="120">
        <v>80</v>
      </c>
      <c r="E249" s="157">
        <f t="shared" ref="E249:F249" si="86">D249</f>
        <v>80</v>
      </c>
      <c r="F249" s="158">
        <f t="shared" si="86"/>
        <v>80</v>
      </c>
      <c r="G249" s="159">
        <v>80</v>
      </c>
    </row>
    <row r="250" spans="2:7" s="1" customFormat="1">
      <c r="B250" s="15" t="s">
        <v>14</v>
      </c>
      <c r="C250" s="16"/>
      <c r="D250" s="121">
        <v>5</v>
      </c>
      <c r="E250" s="160">
        <f t="shared" ref="E250:F250" si="87">D250</f>
        <v>5</v>
      </c>
      <c r="F250" s="161">
        <f t="shared" si="87"/>
        <v>5</v>
      </c>
      <c r="G250" s="162">
        <v>5</v>
      </c>
    </row>
    <row r="251" spans="2:7" s="1" customFormat="1">
      <c r="B251" s="15" t="s">
        <v>15</v>
      </c>
      <c r="C251" s="16"/>
      <c r="D251" s="120">
        <v>24</v>
      </c>
      <c r="E251" s="160">
        <f t="shared" ref="E251:F251" si="88">D251</f>
        <v>24</v>
      </c>
      <c r="F251" s="161">
        <f t="shared" si="88"/>
        <v>24</v>
      </c>
      <c r="G251" s="162">
        <v>24</v>
      </c>
    </row>
    <row r="252" spans="2:7" s="1" customFormat="1">
      <c r="B252" s="15" t="s">
        <v>46</v>
      </c>
      <c r="C252" s="16"/>
      <c r="D252" s="120">
        <v>653.89922000000001</v>
      </c>
      <c r="E252" s="163">
        <f t="shared" ref="E252:F252" si="89">D252</f>
        <v>653.89922000000001</v>
      </c>
      <c r="F252" s="164">
        <f t="shared" si="89"/>
        <v>653.89922000000001</v>
      </c>
      <c r="G252" s="165">
        <v>653.89922000000001</v>
      </c>
    </row>
    <row r="253" spans="2:7" s="1" customFormat="1"/>
    <row r="254" spans="2:7" s="1" customFormat="1"/>
    <row r="255" spans="2:7">
      <c r="B255" s="25" t="s">
        <v>584</v>
      </c>
      <c r="C255" s="26"/>
      <c r="D255" s="5"/>
      <c r="E255" s="5"/>
      <c r="F255" s="5"/>
      <c r="G255" s="5"/>
    </row>
    <row r="256" spans="2:7">
      <c r="B256" s="27"/>
      <c r="C256" s="28"/>
      <c r="D256" s="22" t="str">
        <f t="shared" ref="D256:G256" si="90">D$5</f>
        <v>2023-24</v>
      </c>
      <c r="E256" s="22" t="str">
        <f t="shared" si="90"/>
        <v>2024-25</v>
      </c>
      <c r="F256" s="22" t="str">
        <f t="shared" si="90"/>
        <v>2025-26</v>
      </c>
      <c r="G256" s="22" t="str">
        <f t="shared" si="90"/>
        <v>2026-27</v>
      </c>
    </row>
    <row r="257" spans="2:10">
      <c r="B257" s="29"/>
      <c r="C257" s="30"/>
      <c r="D257" s="7"/>
      <c r="E257" s="7"/>
      <c r="F257" s="7"/>
      <c r="G257" s="7"/>
    </row>
    <row r="258" spans="2:10">
      <c r="B258" s="15" t="s">
        <v>51</v>
      </c>
      <c r="C258" s="16"/>
      <c r="D258" s="121">
        <v>134</v>
      </c>
      <c r="E258" s="157">
        <f t="shared" ref="E258:F258" si="91">D258</f>
        <v>134</v>
      </c>
      <c r="F258" s="158">
        <f t="shared" si="91"/>
        <v>134</v>
      </c>
      <c r="G258" s="159">
        <v>134</v>
      </c>
    </row>
    <row r="259" spans="2:10">
      <c r="B259" s="15" t="s">
        <v>52</v>
      </c>
      <c r="C259" s="16"/>
      <c r="D259" s="121">
        <v>10</v>
      </c>
      <c r="E259" s="160">
        <f t="shared" ref="E259:F259" si="92">D259</f>
        <v>10</v>
      </c>
      <c r="F259" s="161">
        <f t="shared" si="92"/>
        <v>10</v>
      </c>
      <c r="G259" s="162">
        <v>10</v>
      </c>
    </row>
    <row r="260" spans="2:10">
      <c r="B260" s="15" t="s">
        <v>53</v>
      </c>
      <c r="C260" s="16"/>
      <c r="D260" s="121">
        <v>55</v>
      </c>
      <c r="E260" s="160">
        <f t="shared" ref="E260:F260" si="93">D260</f>
        <v>55</v>
      </c>
      <c r="F260" s="161">
        <f t="shared" si="93"/>
        <v>55</v>
      </c>
      <c r="G260" s="162">
        <v>55</v>
      </c>
    </row>
    <row r="261" spans="2:10">
      <c r="B261" s="15" t="s">
        <v>54</v>
      </c>
      <c r="C261" s="16"/>
      <c r="D261" s="121">
        <v>25</v>
      </c>
      <c r="E261" s="163">
        <f t="shared" ref="E261:F261" si="94">D261</f>
        <v>25</v>
      </c>
      <c r="F261" s="164">
        <f t="shared" si="94"/>
        <v>25</v>
      </c>
      <c r="G261" s="165">
        <v>25</v>
      </c>
    </row>
    <row r="262" spans="2:10"/>
    <row r="263" spans="2:10"/>
    <row r="264" spans="2:10">
      <c r="B264" s="25" t="s">
        <v>255</v>
      </c>
      <c r="C264" s="26"/>
      <c r="D264" s="5"/>
      <c r="E264" s="5"/>
      <c r="F264" s="5"/>
      <c r="G264" s="5"/>
    </row>
    <row r="265" spans="2:10">
      <c r="B265" s="27"/>
      <c r="C265" s="28"/>
      <c r="D265" s="22" t="str">
        <f t="shared" ref="D265:G265" si="95">D$5</f>
        <v>2023-24</v>
      </c>
      <c r="E265" s="22" t="str">
        <f t="shared" si="95"/>
        <v>2024-25</v>
      </c>
      <c r="F265" s="22" t="str">
        <f t="shared" si="95"/>
        <v>2025-26</v>
      </c>
      <c r="G265" s="22" t="str">
        <f t="shared" si="95"/>
        <v>2026-27</v>
      </c>
    </row>
    <row r="266" spans="2:10">
      <c r="B266" s="29"/>
      <c r="C266" s="30"/>
      <c r="D266" s="7"/>
      <c r="E266" s="7"/>
      <c r="F266" s="7"/>
      <c r="G266" s="7"/>
    </row>
    <row r="267" spans="2:10">
      <c r="B267" s="15" t="s">
        <v>55</v>
      </c>
      <c r="C267" s="16" t="s">
        <v>56</v>
      </c>
      <c r="D267" s="175">
        <v>2.4601808979450922E-3</v>
      </c>
      <c r="E267" s="166">
        <f t="shared" ref="E267:F267" si="96">D267</f>
        <v>2.4601808979450922E-3</v>
      </c>
      <c r="F267" s="167">
        <f t="shared" si="96"/>
        <v>2.4601808979450922E-3</v>
      </c>
      <c r="G267" s="168">
        <v>2.4601808979450922E-3</v>
      </c>
    </row>
    <row r="268" spans="2:10">
      <c r="B268" s="15" t="s">
        <v>57</v>
      </c>
      <c r="C268" s="16" t="s">
        <v>58</v>
      </c>
      <c r="D268" s="175">
        <v>8.6031500348787079E-3</v>
      </c>
      <c r="E268" s="169">
        <f t="shared" ref="E268:F268" si="97">D268</f>
        <v>8.6031500348787079E-3</v>
      </c>
      <c r="F268" s="170">
        <f t="shared" si="97"/>
        <v>8.6031500348787079E-3</v>
      </c>
      <c r="G268" s="171">
        <v>8.6031500348787079E-3</v>
      </c>
      <c r="I268" s="1"/>
      <c r="J268" s="1"/>
    </row>
    <row r="269" spans="2:10">
      <c r="B269" s="15" t="s">
        <v>59</v>
      </c>
      <c r="C269" s="16" t="s">
        <v>60</v>
      </c>
      <c r="D269" s="175">
        <v>2.9631921650186532E-3</v>
      </c>
      <c r="E269" s="169">
        <f t="shared" ref="E269:F269" si="98">D269</f>
        <v>2.9631921650186532E-3</v>
      </c>
      <c r="F269" s="170">
        <f t="shared" si="98"/>
        <v>2.9631921650186532E-3</v>
      </c>
      <c r="G269" s="171">
        <v>2.9631921650186532E-3</v>
      </c>
      <c r="I269" s="1"/>
      <c r="J269" s="1"/>
    </row>
    <row r="270" spans="2:10">
      <c r="B270" s="15" t="s">
        <v>61</v>
      </c>
      <c r="C270" s="16" t="s">
        <v>58</v>
      </c>
      <c r="D270" s="175">
        <v>4.9034880706046247E-3</v>
      </c>
      <c r="E270" s="169">
        <f t="shared" ref="E270:F270" si="99">D270</f>
        <v>4.9034880706046247E-3</v>
      </c>
      <c r="F270" s="170">
        <f t="shared" si="99"/>
        <v>4.9034880706046247E-3</v>
      </c>
      <c r="G270" s="171">
        <v>4.9034880706046247E-3</v>
      </c>
      <c r="I270" s="1"/>
      <c r="J270" s="1"/>
    </row>
    <row r="271" spans="2:10">
      <c r="B271" s="15" t="s">
        <v>62</v>
      </c>
      <c r="C271" s="16" t="s">
        <v>63</v>
      </c>
      <c r="D271" s="175">
        <v>1.2719654363333628E-3</v>
      </c>
      <c r="E271" s="169">
        <f t="shared" ref="E271:F271" si="100">D271</f>
        <v>1.2719654363333628E-3</v>
      </c>
      <c r="F271" s="170">
        <f t="shared" si="100"/>
        <v>1.2719654363333628E-3</v>
      </c>
      <c r="G271" s="171">
        <v>1.2719654363333628E-3</v>
      </c>
      <c r="I271" s="1"/>
      <c r="J271" s="1"/>
    </row>
    <row r="272" spans="2:10">
      <c r="B272" s="15" t="s">
        <v>64</v>
      </c>
      <c r="C272" s="16" t="s">
        <v>65</v>
      </c>
      <c r="D272" s="175">
        <v>2.7846987747568936E-3</v>
      </c>
      <c r="E272" s="169">
        <f t="shared" ref="E272:F272" si="101">D272</f>
        <v>2.7846987747568936E-3</v>
      </c>
      <c r="F272" s="170">
        <f t="shared" si="101"/>
        <v>2.7846987747568936E-3</v>
      </c>
      <c r="G272" s="171">
        <v>2.7846987747568936E-3</v>
      </c>
      <c r="I272" s="1"/>
      <c r="J272" s="1"/>
    </row>
    <row r="273" spans="2:10">
      <c r="B273" s="15" t="s">
        <v>66</v>
      </c>
      <c r="C273" s="16" t="s">
        <v>67</v>
      </c>
      <c r="D273" s="175">
        <v>6.4016614411236414E-3</v>
      </c>
      <c r="E273" s="169">
        <f t="shared" ref="E273:F273" si="102">D273</f>
        <v>6.4016614411236414E-3</v>
      </c>
      <c r="F273" s="170">
        <f t="shared" si="102"/>
        <v>6.4016614411236414E-3</v>
      </c>
      <c r="G273" s="171">
        <v>6.4016614411236414E-3</v>
      </c>
      <c r="I273" s="1"/>
      <c r="J273" s="1"/>
    </row>
    <row r="274" spans="2:10">
      <c r="B274" s="15" t="s">
        <v>68</v>
      </c>
      <c r="C274" s="16" t="s">
        <v>69</v>
      </c>
      <c r="D274" s="175">
        <v>7.5760263221205876E-3</v>
      </c>
      <c r="E274" s="169">
        <f t="shared" ref="E274:F274" si="103">D274</f>
        <v>7.5760263221205876E-3</v>
      </c>
      <c r="F274" s="170">
        <f t="shared" si="103"/>
        <v>7.5760263221205876E-3</v>
      </c>
      <c r="G274" s="171">
        <v>7.5760263221205876E-3</v>
      </c>
      <c r="I274" s="1"/>
      <c r="J274" s="1"/>
    </row>
    <row r="275" spans="2:10">
      <c r="B275" s="15" t="s">
        <v>70</v>
      </c>
      <c r="C275" s="16" t="s">
        <v>71</v>
      </c>
      <c r="D275" s="175">
        <v>5.4039216222358461E-3</v>
      </c>
      <c r="E275" s="169">
        <f t="shared" ref="E275:F275" si="104">D275</f>
        <v>5.4039216222358461E-3</v>
      </c>
      <c r="F275" s="170">
        <f t="shared" si="104"/>
        <v>5.4039216222358461E-3</v>
      </c>
      <c r="G275" s="171">
        <v>5.4039216222358461E-3</v>
      </c>
      <c r="I275" s="1"/>
      <c r="J275" s="1"/>
    </row>
    <row r="276" spans="2:10">
      <c r="B276" s="15" t="s">
        <v>72</v>
      </c>
      <c r="C276" s="16" t="s">
        <v>73</v>
      </c>
      <c r="D276" s="175">
        <v>3.9969718483747488E-2</v>
      </c>
      <c r="E276" s="169">
        <f t="shared" ref="E276:F276" si="105">D276</f>
        <v>3.9969718483747488E-2</v>
      </c>
      <c r="F276" s="170">
        <f t="shared" si="105"/>
        <v>3.9969718483747488E-2</v>
      </c>
      <c r="G276" s="171">
        <v>3.9969718483747488E-2</v>
      </c>
      <c r="I276" s="1"/>
      <c r="J276" s="1"/>
    </row>
    <row r="277" spans="2:10">
      <c r="B277" s="15" t="s">
        <v>74</v>
      </c>
      <c r="C277" s="16" t="s">
        <v>75</v>
      </c>
      <c r="D277" s="175">
        <v>0</v>
      </c>
      <c r="E277" s="169">
        <f t="shared" ref="E277:F277" si="106">D277</f>
        <v>0</v>
      </c>
      <c r="F277" s="170">
        <f t="shared" si="106"/>
        <v>0</v>
      </c>
      <c r="G277" s="171">
        <v>0</v>
      </c>
      <c r="I277" s="1"/>
      <c r="J277" s="1"/>
    </row>
    <row r="278" spans="2:10">
      <c r="B278" s="15" t="s">
        <v>76</v>
      </c>
      <c r="C278" s="16" t="s">
        <v>77</v>
      </c>
      <c r="D278" s="175">
        <v>2.126627612964799E-3</v>
      </c>
      <c r="E278" s="169">
        <f t="shared" ref="E278:F278" si="107">D278</f>
        <v>2.126627612964799E-3</v>
      </c>
      <c r="F278" s="170">
        <f t="shared" si="107"/>
        <v>2.126627612964799E-3</v>
      </c>
      <c r="G278" s="171">
        <v>2.126627612964799E-3</v>
      </c>
      <c r="I278" s="1"/>
      <c r="J278" s="1"/>
    </row>
    <row r="279" spans="2:10">
      <c r="B279" s="15" t="s">
        <v>78</v>
      </c>
      <c r="C279" s="16" t="s">
        <v>79</v>
      </c>
      <c r="D279" s="175">
        <v>8.712480226563948E-3</v>
      </c>
      <c r="E279" s="169">
        <f t="shared" ref="E279:F279" si="108">D279</f>
        <v>8.712480226563948E-3</v>
      </c>
      <c r="F279" s="170">
        <f t="shared" si="108"/>
        <v>8.712480226563948E-3</v>
      </c>
      <c r="G279" s="171">
        <v>8.712480226563948E-3</v>
      </c>
      <c r="I279" s="1"/>
      <c r="J279" s="1"/>
    </row>
    <row r="280" spans="2:10">
      <c r="B280" s="15" t="s">
        <v>80</v>
      </c>
      <c r="C280" s="16" t="s">
        <v>81</v>
      </c>
      <c r="D280" s="175">
        <v>5.3454291345044385E-3</v>
      </c>
      <c r="E280" s="169">
        <f t="shared" ref="E280:F280" si="109">D280</f>
        <v>5.3454291345044385E-3</v>
      </c>
      <c r="F280" s="170">
        <f t="shared" si="109"/>
        <v>5.3454291345044385E-3</v>
      </c>
      <c r="G280" s="171">
        <v>5.3454291345044385E-3</v>
      </c>
      <c r="I280" s="1"/>
      <c r="J280" s="1"/>
    </row>
    <row r="281" spans="2:10">
      <c r="B281" s="15" t="s">
        <v>82</v>
      </c>
      <c r="C281" s="16" t="s">
        <v>75</v>
      </c>
      <c r="D281" s="175">
        <v>0.1231492953012138</v>
      </c>
      <c r="E281" s="169">
        <f t="shared" ref="E281:F281" si="110">D281</f>
        <v>0.1231492953012138</v>
      </c>
      <c r="F281" s="170">
        <f t="shared" si="110"/>
        <v>0.1231492953012138</v>
      </c>
      <c r="G281" s="171">
        <v>0.1231492953012138</v>
      </c>
      <c r="I281" s="1"/>
      <c r="J281" s="1"/>
    </row>
    <row r="282" spans="2:10">
      <c r="B282" s="15" t="s">
        <v>83</v>
      </c>
      <c r="C282" s="16" t="s">
        <v>79</v>
      </c>
      <c r="D282" s="175">
        <v>2.0858234085987305E-3</v>
      </c>
      <c r="E282" s="169">
        <f t="shared" ref="E282:F282" si="111">D282</f>
        <v>2.0858234085987305E-3</v>
      </c>
      <c r="F282" s="170">
        <f t="shared" si="111"/>
        <v>2.0858234085987305E-3</v>
      </c>
      <c r="G282" s="171">
        <v>2.0858234085987305E-3</v>
      </c>
      <c r="I282" s="1"/>
      <c r="J282" s="1"/>
    </row>
    <row r="283" spans="2:10">
      <c r="B283" s="15" t="s">
        <v>84</v>
      </c>
      <c r="C283" s="16" t="s">
        <v>85</v>
      </c>
      <c r="D283" s="175">
        <v>1.5020389125963501E-3</v>
      </c>
      <c r="E283" s="169">
        <f t="shared" ref="E283:F283" si="112">D283</f>
        <v>1.5020389125963501E-3</v>
      </c>
      <c r="F283" s="170">
        <f t="shared" si="112"/>
        <v>1.5020389125963501E-3</v>
      </c>
      <c r="G283" s="171">
        <v>1.5020389125963501E-3</v>
      </c>
      <c r="I283" s="1"/>
      <c r="J283" s="1"/>
    </row>
    <row r="284" spans="2:10">
      <c r="B284" s="15" t="s">
        <v>86</v>
      </c>
      <c r="C284" s="16" t="s">
        <v>87</v>
      </c>
      <c r="D284" s="175">
        <v>1.4686585287042211E-4</v>
      </c>
      <c r="E284" s="169">
        <f t="shared" ref="E284:F284" si="113">D284</f>
        <v>1.4686585287042211E-4</v>
      </c>
      <c r="F284" s="170">
        <f t="shared" si="113"/>
        <v>1.4686585287042211E-4</v>
      </c>
      <c r="G284" s="171">
        <v>1.4686585287042211E-4</v>
      </c>
      <c r="I284" s="1"/>
      <c r="J284" s="1"/>
    </row>
    <row r="285" spans="2:10">
      <c r="B285" s="15" t="s">
        <v>88</v>
      </c>
      <c r="C285" s="16" t="s">
        <v>89</v>
      </c>
      <c r="D285" s="175">
        <v>0</v>
      </c>
      <c r="E285" s="169">
        <f t="shared" ref="E285:F285" si="114">D285</f>
        <v>0</v>
      </c>
      <c r="F285" s="170">
        <f t="shared" si="114"/>
        <v>0</v>
      </c>
      <c r="G285" s="171">
        <v>0</v>
      </c>
      <c r="I285" s="1"/>
      <c r="J285" s="1"/>
    </row>
    <row r="286" spans="2:10">
      <c r="B286" s="15" t="s">
        <v>90</v>
      </c>
      <c r="C286" s="16" t="s">
        <v>89</v>
      </c>
      <c r="D286" s="175">
        <v>4.8379687305773978E-3</v>
      </c>
      <c r="E286" s="169">
        <f t="shared" ref="E286:F286" si="115">D286</f>
        <v>4.8379687305773978E-3</v>
      </c>
      <c r="F286" s="170">
        <f t="shared" si="115"/>
        <v>4.8379687305773978E-3</v>
      </c>
      <c r="G286" s="171">
        <v>4.8379687305773978E-3</v>
      </c>
      <c r="I286" s="1"/>
      <c r="J286" s="1"/>
    </row>
    <row r="287" spans="2:10">
      <c r="B287" s="15" t="s">
        <v>91</v>
      </c>
      <c r="C287" s="16" t="s">
        <v>92</v>
      </c>
      <c r="D287" s="175">
        <v>2.7449813352213156E-3</v>
      </c>
      <c r="E287" s="169">
        <f t="shared" ref="E287:F287" si="116">D287</f>
        <v>2.7449813352213156E-3</v>
      </c>
      <c r="F287" s="170">
        <f t="shared" si="116"/>
        <v>2.7449813352213156E-3</v>
      </c>
      <c r="G287" s="171">
        <v>2.7449813352213156E-3</v>
      </c>
      <c r="I287" s="1"/>
      <c r="J287" s="1"/>
    </row>
    <row r="288" spans="2:10">
      <c r="B288" s="15" t="s">
        <v>93</v>
      </c>
      <c r="C288" s="16" t="s">
        <v>94</v>
      </c>
      <c r="D288" s="175">
        <v>4.981334045877122E-3</v>
      </c>
      <c r="E288" s="169">
        <f t="shared" ref="E288:F288" si="117">D288</f>
        <v>4.981334045877122E-3</v>
      </c>
      <c r="F288" s="170">
        <f t="shared" si="117"/>
        <v>4.981334045877122E-3</v>
      </c>
      <c r="G288" s="171">
        <v>4.981334045877122E-3</v>
      </c>
      <c r="I288" s="1"/>
      <c r="J288" s="1"/>
    </row>
    <row r="289" spans="2:10">
      <c r="B289" s="15" t="s">
        <v>95</v>
      </c>
      <c r="C289" s="16" t="s">
        <v>96</v>
      </c>
      <c r="D289" s="175">
        <v>5.0668079966865922E-3</v>
      </c>
      <c r="E289" s="169">
        <f t="shared" ref="E289:F289" si="118">D289</f>
        <v>5.0668079966865922E-3</v>
      </c>
      <c r="F289" s="170">
        <f t="shared" si="118"/>
        <v>5.0668079966865922E-3</v>
      </c>
      <c r="G289" s="171">
        <v>5.0668079966865922E-3</v>
      </c>
      <c r="I289" s="1"/>
      <c r="J289" s="1"/>
    </row>
    <row r="290" spans="2:10">
      <c r="B290" s="15" t="s">
        <v>97</v>
      </c>
      <c r="C290" s="16" t="s">
        <v>98</v>
      </c>
      <c r="D290" s="175">
        <v>1.3005031177782757E-2</v>
      </c>
      <c r="E290" s="169">
        <f t="shared" ref="E290:F290" si="119">D290</f>
        <v>1.3005031177782757E-2</v>
      </c>
      <c r="F290" s="170">
        <f t="shared" si="119"/>
        <v>1.3005031177782757E-2</v>
      </c>
      <c r="G290" s="171">
        <v>1.3005031177782757E-2</v>
      </c>
      <c r="I290" s="1"/>
      <c r="J290" s="1"/>
    </row>
    <row r="291" spans="2:10">
      <c r="B291" s="15" t="s">
        <v>99</v>
      </c>
      <c r="C291" s="16" t="s">
        <v>100</v>
      </c>
      <c r="D291" s="175">
        <v>0</v>
      </c>
      <c r="E291" s="169">
        <f t="shared" ref="E291:F291" si="120">D291</f>
        <v>0</v>
      </c>
      <c r="F291" s="170">
        <f t="shared" si="120"/>
        <v>0</v>
      </c>
      <c r="G291" s="171">
        <v>0</v>
      </c>
      <c r="I291" s="1"/>
      <c r="J291" s="1"/>
    </row>
    <row r="292" spans="2:10">
      <c r="B292" s="15" t="s">
        <v>101</v>
      </c>
      <c r="C292" s="16" t="s">
        <v>102</v>
      </c>
      <c r="D292" s="175">
        <v>2.8918314124732308E-2</v>
      </c>
      <c r="E292" s="169">
        <f t="shared" ref="E292:F292" si="121">D292</f>
        <v>2.8918314124732308E-2</v>
      </c>
      <c r="F292" s="170">
        <f t="shared" si="121"/>
        <v>2.8918314124732308E-2</v>
      </c>
      <c r="G292" s="171">
        <v>2.8918314124732308E-2</v>
      </c>
      <c r="I292" s="1"/>
      <c r="J292" s="1"/>
    </row>
    <row r="293" spans="2:10">
      <c r="B293" s="15" t="s">
        <v>103</v>
      </c>
      <c r="C293" s="16" t="s">
        <v>102</v>
      </c>
      <c r="D293" s="175">
        <v>0</v>
      </c>
      <c r="E293" s="169">
        <f t="shared" ref="E293:F293" si="122">D293</f>
        <v>0</v>
      </c>
      <c r="F293" s="170">
        <f t="shared" si="122"/>
        <v>0</v>
      </c>
      <c r="G293" s="171">
        <v>0</v>
      </c>
      <c r="I293" s="1"/>
      <c r="J293" s="1"/>
    </row>
    <row r="294" spans="2:10">
      <c r="B294" s="15" t="s">
        <v>104</v>
      </c>
      <c r="C294" s="16" t="s">
        <v>105</v>
      </c>
      <c r="D294" s="175">
        <v>0.10621961193774626</v>
      </c>
      <c r="E294" s="169">
        <f t="shared" ref="E294:F294" si="123">D294</f>
        <v>0.10621961193774626</v>
      </c>
      <c r="F294" s="170">
        <f t="shared" si="123"/>
        <v>0.10621961193774626</v>
      </c>
      <c r="G294" s="171">
        <v>0.10621961193774626</v>
      </c>
      <c r="I294" s="1"/>
      <c r="J294" s="1"/>
    </row>
    <row r="295" spans="2:10">
      <c r="B295" s="15" t="s">
        <v>106</v>
      </c>
      <c r="C295" s="16" t="s">
        <v>107</v>
      </c>
      <c r="D295" s="175">
        <v>3.809005560079624E-3</v>
      </c>
      <c r="E295" s="169">
        <f t="shared" ref="E295:F295" si="124">D295</f>
        <v>3.809005560079624E-3</v>
      </c>
      <c r="F295" s="170">
        <f t="shared" si="124"/>
        <v>3.809005560079624E-3</v>
      </c>
      <c r="G295" s="171">
        <v>3.809005560079624E-3</v>
      </c>
      <c r="I295" s="1"/>
      <c r="J295" s="1"/>
    </row>
    <row r="296" spans="2:10">
      <c r="B296" s="15" t="s">
        <v>108</v>
      </c>
      <c r="C296" s="16" t="s">
        <v>105</v>
      </c>
      <c r="D296" s="175">
        <v>0</v>
      </c>
      <c r="E296" s="169">
        <f t="shared" ref="E296:F296" si="125">D296</f>
        <v>0</v>
      </c>
      <c r="F296" s="170">
        <f t="shared" si="125"/>
        <v>0</v>
      </c>
      <c r="G296" s="171">
        <v>0</v>
      </c>
      <c r="I296" s="1"/>
      <c r="J296" s="1"/>
    </row>
    <row r="297" spans="2:10">
      <c r="B297" s="15" t="s">
        <v>109</v>
      </c>
      <c r="C297" s="16" t="s">
        <v>110</v>
      </c>
      <c r="D297" s="175">
        <v>1.4085049611417698E-4</v>
      </c>
      <c r="E297" s="169">
        <f t="shared" ref="E297:F297" si="126">D297</f>
        <v>1.4085049611417698E-4</v>
      </c>
      <c r="F297" s="170">
        <f t="shared" si="126"/>
        <v>1.4085049611417698E-4</v>
      </c>
      <c r="G297" s="171">
        <v>1.4085049611417698E-4</v>
      </c>
      <c r="I297" s="1"/>
      <c r="J297" s="1"/>
    </row>
    <row r="298" spans="2:10">
      <c r="B298" s="15" t="s">
        <v>111</v>
      </c>
      <c r="C298" s="16" t="s">
        <v>112</v>
      </c>
      <c r="D298" s="175">
        <v>4.9703065792147906E-3</v>
      </c>
      <c r="E298" s="169">
        <f t="shared" ref="E298:F298" si="127">D298</f>
        <v>4.9703065792147906E-3</v>
      </c>
      <c r="F298" s="170">
        <f t="shared" si="127"/>
        <v>4.9703065792147906E-3</v>
      </c>
      <c r="G298" s="171">
        <v>4.9703065792147906E-3</v>
      </c>
      <c r="I298" s="1"/>
      <c r="J298" s="1"/>
    </row>
    <row r="299" spans="2:10">
      <c r="B299" s="15" t="s">
        <v>113</v>
      </c>
      <c r="C299" s="16" t="s">
        <v>114</v>
      </c>
      <c r="D299" s="175">
        <v>1.4164886614097861E-3</v>
      </c>
      <c r="E299" s="169">
        <f t="shared" ref="E299:F299" si="128">D299</f>
        <v>1.4164886614097861E-3</v>
      </c>
      <c r="F299" s="170">
        <f t="shared" si="128"/>
        <v>1.4164886614097861E-3</v>
      </c>
      <c r="G299" s="171">
        <v>1.4164886614097861E-3</v>
      </c>
      <c r="I299" s="1"/>
      <c r="J299" s="1"/>
    </row>
    <row r="300" spans="2:10">
      <c r="B300" s="15" t="s">
        <v>115</v>
      </c>
      <c r="C300" s="16" t="s">
        <v>116</v>
      </c>
      <c r="D300" s="175">
        <v>0</v>
      </c>
      <c r="E300" s="169">
        <f t="shared" ref="E300:F300" si="129">D300</f>
        <v>0</v>
      </c>
      <c r="F300" s="170">
        <f t="shared" si="129"/>
        <v>0</v>
      </c>
      <c r="G300" s="171">
        <v>0</v>
      </c>
      <c r="I300" s="1"/>
      <c r="J300" s="1"/>
    </row>
    <row r="301" spans="2:10">
      <c r="B301" s="15" t="s">
        <v>117</v>
      </c>
      <c r="C301" s="16" t="s">
        <v>118</v>
      </c>
      <c r="D301" s="175">
        <v>3.3723735589048539E-3</v>
      </c>
      <c r="E301" s="169">
        <f t="shared" ref="E301:F301" si="130">D301</f>
        <v>3.3723735589048539E-3</v>
      </c>
      <c r="F301" s="170">
        <f t="shared" si="130"/>
        <v>3.3723735589048539E-3</v>
      </c>
      <c r="G301" s="171">
        <v>3.3723735589048539E-3</v>
      </c>
      <c r="I301" s="1"/>
      <c r="J301" s="1"/>
    </row>
    <row r="302" spans="2:10">
      <c r="B302" s="15" t="s">
        <v>119</v>
      </c>
      <c r="C302" s="16" t="s">
        <v>120</v>
      </c>
      <c r="D302" s="175">
        <v>0</v>
      </c>
      <c r="E302" s="169">
        <f t="shared" ref="E302:F302" si="131">D302</f>
        <v>0</v>
      </c>
      <c r="F302" s="170">
        <f t="shared" si="131"/>
        <v>0</v>
      </c>
      <c r="G302" s="171">
        <v>0</v>
      </c>
      <c r="I302" s="1"/>
      <c r="J302" s="1"/>
    </row>
    <row r="303" spans="2:10">
      <c r="B303" s="15" t="s">
        <v>121</v>
      </c>
      <c r="C303" s="16" t="s">
        <v>122</v>
      </c>
      <c r="D303" s="175">
        <v>1.5161874771162671E-3</v>
      </c>
      <c r="E303" s="169">
        <f t="shared" ref="E303:F303" si="132">D303</f>
        <v>1.5161874771162671E-3</v>
      </c>
      <c r="F303" s="170">
        <f t="shared" si="132"/>
        <v>1.5161874771162671E-3</v>
      </c>
      <c r="G303" s="171">
        <v>1.5161874771162671E-3</v>
      </c>
      <c r="I303" s="1"/>
      <c r="J303" s="1"/>
    </row>
    <row r="304" spans="2:10">
      <c r="B304" s="15" t="s">
        <v>123</v>
      </c>
      <c r="C304" s="16" t="s">
        <v>124</v>
      </c>
      <c r="D304" s="175">
        <v>4.3120673503758552E-3</v>
      </c>
      <c r="E304" s="169">
        <f t="shared" ref="E304:F304" si="133">D304</f>
        <v>4.3120673503758552E-3</v>
      </c>
      <c r="F304" s="170">
        <f t="shared" si="133"/>
        <v>4.3120673503758552E-3</v>
      </c>
      <c r="G304" s="171">
        <v>4.3120673503758552E-3</v>
      </c>
      <c r="I304" s="1"/>
      <c r="J304" s="1"/>
    </row>
    <row r="305" spans="2:10">
      <c r="B305" s="15" t="s">
        <v>125</v>
      </c>
      <c r="C305" s="16" t="s">
        <v>126</v>
      </c>
      <c r="D305" s="175">
        <v>8.9787396722065087E-3</v>
      </c>
      <c r="E305" s="169">
        <f t="shared" ref="E305:F305" si="134">D305</f>
        <v>8.9787396722065087E-3</v>
      </c>
      <c r="F305" s="170">
        <f t="shared" si="134"/>
        <v>8.9787396722065087E-3</v>
      </c>
      <c r="G305" s="171">
        <v>8.9787396722065087E-3</v>
      </c>
      <c r="I305" s="1"/>
      <c r="J305" s="1"/>
    </row>
    <row r="306" spans="2:10">
      <c r="B306" s="15" t="s">
        <v>127</v>
      </c>
      <c r="C306" s="16" t="s">
        <v>128</v>
      </c>
      <c r="D306" s="175">
        <v>2.3080977490193733E-3</v>
      </c>
      <c r="E306" s="169">
        <f t="shared" ref="E306:F306" si="135">D306</f>
        <v>2.3080977490193733E-3</v>
      </c>
      <c r="F306" s="170">
        <f t="shared" si="135"/>
        <v>2.3080977490193733E-3</v>
      </c>
      <c r="G306" s="171">
        <v>2.3080977490193733E-3</v>
      </c>
      <c r="I306" s="1"/>
      <c r="J306" s="1"/>
    </row>
    <row r="307" spans="2:10">
      <c r="B307" s="15" t="s">
        <v>129</v>
      </c>
      <c r="C307" s="16" t="s">
        <v>130</v>
      </c>
      <c r="D307" s="175">
        <v>8.5653617575801762E-3</v>
      </c>
      <c r="E307" s="169">
        <f t="shared" ref="E307:F307" si="136">D307</f>
        <v>8.5653617575801762E-3</v>
      </c>
      <c r="F307" s="170">
        <f t="shared" si="136"/>
        <v>8.5653617575801762E-3</v>
      </c>
      <c r="G307" s="171">
        <v>8.5653617575801762E-3</v>
      </c>
      <c r="I307" s="1"/>
      <c r="J307" s="1"/>
    </row>
    <row r="308" spans="2:10">
      <c r="B308" s="15" t="s">
        <v>131</v>
      </c>
      <c r="C308" s="16" t="s">
        <v>130</v>
      </c>
      <c r="D308" s="175">
        <v>6.3974267701949646E-3</v>
      </c>
      <c r="E308" s="169">
        <f t="shared" ref="E308:F308" si="137">D308</f>
        <v>6.3974267701949646E-3</v>
      </c>
      <c r="F308" s="170">
        <f t="shared" si="137"/>
        <v>6.3974267701949646E-3</v>
      </c>
      <c r="G308" s="171">
        <v>6.3974267701949646E-3</v>
      </c>
      <c r="I308" s="1"/>
      <c r="J308" s="1"/>
    </row>
    <row r="309" spans="2:10">
      <c r="B309" s="15" t="s">
        <v>132</v>
      </c>
      <c r="C309" s="16" t="s">
        <v>133</v>
      </c>
      <c r="D309" s="175">
        <v>2.034467068297898E-4</v>
      </c>
      <c r="E309" s="169">
        <f t="shared" ref="E309:F309" si="138">D309</f>
        <v>2.034467068297898E-4</v>
      </c>
      <c r="F309" s="170">
        <f t="shared" si="138"/>
        <v>2.034467068297898E-4</v>
      </c>
      <c r="G309" s="171">
        <v>2.034467068297898E-4</v>
      </c>
      <c r="I309" s="1"/>
      <c r="J309" s="1"/>
    </row>
    <row r="310" spans="2:10">
      <c r="B310" s="15" t="s">
        <v>134</v>
      </c>
      <c r="C310" s="16" t="s">
        <v>135</v>
      </c>
      <c r="D310" s="175">
        <v>8.5999907868325749E-3</v>
      </c>
      <c r="E310" s="169">
        <f t="shared" ref="E310:F310" si="139">D310</f>
        <v>8.5999907868325749E-3</v>
      </c>
      <c r="F310" s="170">
        <f t="shared" si="139"/>
        <v>8.5999907868325749E-3</v>
      </c>
      <c r="G310" s="171">
        <v>8.5999907868325749E-3</v>
      </c>
      <c r="I310" s="1"/>
      <c r="J310" s="1"/>
    </row>
    <row r="311" spans="2:10">
      <c r="B311" s="15" t="s">
        <v>136</v>
      </c>
      <c r="C311" s="16" t="s">
        <v>135</v>
      </c>
      <c r="D311" s="175">
        <v>6.6833088168707939E-3</v>
      </c>
      <c r="E311" s="169">
        <f t="shared" ref="E311:F311" si="140">D311</f>
        <v>6.6833088168707939E-3</v>
      </c>
      <c r="F311" s="170">
        <f t="shared" si="140"/>
        <v>6.6833088168707939E-3</v>
      </c>
      <c r="G311" s="171">
        <v>6.6833088168707939E-3</v>
      </c>
      <c r="I311" s="1"/>
      <c r="J311" s="1"/>
    </row>
    <row r="312" spans="2:10">
      <c r="B312" s="15" t="s">
        <v>137</v>
      </c>
      <c r="C312" s="16" t="s">
        <v>138</v>
      </c>
      <c r="D312" s="175">
        <v>1.1047141848759726E-2</v>
      </c>
      <c r="E312" s="169">
        <f t="shared" ref="E312:F312" si="141">D312</f>
        <v>1.1047141848759726E-2</v>
      </c>
      <c r="F312" s="170">
        <f t="shared" si="141"/>
        <v>1.1047141848759726E-2</v>
      </c>
      <c r="G312" s="171">
        <v>1.1047141848759726E-2</v>
      </c>
      <c r="I312" s="1"/>
      <c r="J312" s="1"/>
    </row>
    <row r="313" spans="2:10">
      <c r="B313" s="15" t="s">
        <v>139</v>
      </c>
      <c r="C313" s="16" t="s">
        <v>140</v>
      </c>
      <c r="D313" s="175">
        <v>2.4945593732564951E-3</v>
      </c>
      <c r="E313" s="169">
        <f t="shared" ref="E313:F313" si="142">D313</f>
        <v>2.4945593732564951E-3</v>
      </c>
      <c r="F313" s="170">
        <f t="shared" si="142"/>
        <v>2.4945593732564951E-3</v>
      </c>
      <c r="G313" s="171">
        <v>2.4945593732564951E-3</v>
      </c>
      <c r="I313" s="1"/>
      <c r="J313" s="1"/>
    </row>
    <row r="314" spans="2:10">
      <c r="B314" s="15" t="s">
        <v>141</v>
      </c>
      <c r="C314" s="16" t="s">
        <v>142</v>
      </c>
      <c r="D314" s="175">
        <v>5.3815449900239789E-3</v>
      </c>
      <c r="E314" s="169">
        <f t="shared" ref="E314:F314" si="143">D314</f>
        <v>5.3815449900239789E-3</v>
      </c>
      <c r="F314" s="170">
        <f t="shared" si="143"/>
        <v>5.3815449900239789E-3</v>
      </c>
      <c r="G314" s="171">
        <v>5.3815449900239789E-3</v>
      </c>
      <c r="I314" s="1"/>
      <c r="J314" s="1"/>
    </row>
    <row r="315" spans="2:10">
      <c r="B315" s="15" t="s">
        <v>143</v>
      </c>
      <c r="C315" s="16" t="s">
        <v>144</v>
      </c>
      <c r="D315" s="175">
        <v>4.7131351271357466E-3</v>
      </c>
      <c r="E315" s="169">
        <f t="shared" ref="E315:F315" si="144">D315</f>
        <v>4.7131351271357466E-3</v>
      </c>
      <c r="F315" s="170">
        <f t="shared" si="144"/>
        <v>4.7131351271357466E-3</v>
      </c>
      <c r="G315" s="171">
        <v>4.7131351271357466E-3</v>
      </c>
      <c r="I315" s="1"/>
      <c r="J315" s="1"/>
    </row>
    <row r="316" spans="2:10">
      <c r="B316" s="15" t="s">
        <v>145</v>
      </c>
      <c r="C316" s="16" t="s">
        <v>146</v>
      </c>
      <c r="D316" s="175">
        <v>0.12539399156121336</v>
      </c>
      <c r="E316" s="169">
        <f t="shared" ref="E316:F316" si="145">D316</f>
        <v>0.12539399156121336</v>
      </c>
      <c r="F316" s="170">
        <f t="shared" si="145"/>
        <v>0.12539399156121336</v>
      </c>
      <c r="G316" s="171">
        <v>0.12539399156121336</v>
      </c>
      <c r="I316" s="1"/>
      <c r="J316" s="1"/>
    </row>
    <row r="317" spans="2:10">
      <c r="B317" s="15" t="s">
        <v>147</v>
      </c>
      <c r="C317" s="16" t="s">
        <v>148</v>
      </c>
      <c r="D317" s="175">
        <v>1.5411293486277332E-2</v>
      </c>
      <c r="E317" s="169">
        <f t="shared" ref="E317:F317" si="146">D317</f>
        <v>1.5411293486277332E-2</v>
      </c>
      <c r="F317" s="170">
        <f t="shared" si="146"/>
        <v>1.5411293486277332E-2</v>
      </c>
      <c r="G317" s="171">
        <v>1.5411293486277332E-2</v>
      </c>
      <c r="I317" s="1"/>
      <c r="J317" s="1"/>
    </row>
    <row r="318" spans="2:10">
      <c r="B318" s="15" t="s">
        <v>149</v>
      </c>
      <c r="C318" s="16" t="s">
        <v>150</v>
      </c>
      <c r="D318" s="175">
        <v>1.3129754455003476E-2</v>
      </c>
      <c r="E318" s="169">
        <f t="shared" ref="E318:F318" si="147">D318</f>
        <v>1.3129754455003476E-2</v>
      </c>
      <c r="F318" s="170">
        <f t="shared" si="147"/>
        <v>1.3129754455003476E-2</v>
      </c>
      <c r="G318" s="171">
        <v>1.3129754455003476E-2</v>
      </c>
      <c r="I318" s="1"/>
      <c r="J318" s="1"/>
    </row>
    <row r="319" spans="2:10">
      <c r="B319" s="15" t="s">
        <v>151</v>
      </c>
      <c r="C319" s="16" t="s">
        <v>152</v>
      </c>
      <c r="D319" s="175">
        <v>3.6943769258569618E-2</v>
      </c>
      <c r="E319" s="169">
        <f t="shared" ref="E319:F319" si="148">D319</f>
        <v>3.6943769258569618E-2</v>
      </c>
      <c r="F319" s="170">
        <f t="shared" si="148"/>
        <v>3.6943769258569618E-2</v>
      </c>
      <c r="G319" s="171">
        <v>3.6943769258569618E-2</v>
      </c>
      <c r="I319" s="1"/>
      <c r="J319" s="1"/>
    </row>
    <row r="320" spans="2:10">
      <c r="B320" s="15" t="s">
        <v>153</v>
      </c>
      <c r="C320" s="16" t="s">
        <v>154</v>
      </c>
      <c r="D320" s="175">
        <v>2.5691099971075045E-2</v>
      </c>
      <c r="E320" s="169">
        <f t="shared" ref="E320:F320" si="149">D320</f>
        <v>2.5691099971075045E-2</v>
      </c>
      <c r="F320" s="170">
        <f t="shared" si="149"/>
        <v>2.5691099971075045E-2</v>
      </c>
      <c r="G320" s="171">
        <v>2.5691099971075045E-2</v>
      </c>
      <c r="I320" s="1"/>
      <c r="J320" s="1"/>
    </row>
    <row r="321" spans="2:10">
      <c r="B321" s="15" t="s">
        <v>155</v>
      </c>
      <c r="C321" s="16" t="s">
        <v>156</v>
      </c>
      <c r="D321" s="175">
        <v>2.3622578188525301E-2</v>
      </c>
      <c r="E321" s="169">
        <f t="shared" ref="E321:F321" si="150">D321</f>
        <v>2.3622578188525301E-2</v>
      </c>
      <c r="F321" s="170">
        <f t="shared" si="150"/>
        <v>2.3622578188525301E-2</v>
      </c>
      <c r="G321" s="171">
        <v>2.3622578188525301E-2</v>
      </c>
      <c r="I321" s="1"/>
      <c r="J321" s="1"/>
    </row>
    <row r="322" spans="2:10">
      <c r="B322" s="15" t="s">
        <v>157</v>
      </c>
      <c r="C322" s="16" t="s">
        <v>158</v>
      </c>
      <c r="D322" s="175">
        <v>2.9635674803870581E-3</v>
      </c>
      <c r="E322" s="169">
        <f t="shared" ref="E322:F322" si="151">D322</f>
        <v>2.9635674803870581E-3</v>
      </c>
      <c r="F322" s="170">
        <f t="shared" si="151"/>
        <v>2.9635674803870581E-3</v>
      </c>
      <c r="G322" s="171">
        <v>2.9635674803870581E-3</v>
      </c>
      <c r="I322" s="1"/>
      <c r="J322" s="1"/>
    </row>
    <row r="323" spans="2:10">
      <c r="B323" s="15" t="s">
        <v>159</v>
      </c>
      <c r="C323" s="16" t="s">
        <v>160</v>
      </c>
      <c r="D323" s="175">
        <v>1.2669250746660284E-2</v>
      </c>
      <c r="E323" s="169">
        <f t="shared" ref="E323:F323" si="152">D323</f>
        <v>1.2669250746660284E-2</v>
      </c>
      <c r="F323" s="170">
        <f t="shared" si="152"/>
        <v>1.2669250746660284E-2</v>
      </c>
      <c r="G323" s="171">
        <v>1.2669250746660284E-2</v>
      </c>
      <c r="I323" s="1"/>
      <c r="J323" s="1"/>
    </row>
    <row r="324" spans="2:10">
      <c r="B324" s="15" t="s">
        <v>161</v>
      </c>
      <c r="C324" s="16" t="s">
        <v>162</v>
      </c>
      <c r="D324" s="175">
        <v>1.7011907330647301E-2</v>
      </c>
      <c r="E324" s="169">
        <f t="shared" ref="E324:F324" si="153">D324</f>
        <v>1.7011907330647301E-2</v>
      </c>
      <c r="F324" s="170">
        <f t="shared" si="153"/>
        <v>1.7011907330647301E-2</v>
      </c>
      <c r="G324" s="171">
        <v>1.7011907330647301E-2</v>
      </c>
      <c r="I324" s="1"/>
      <c r="J324" s="1"/>
    </row>
    <row r="325" spans="2:10">
      <c r="B325" s="15" t="s">
        <v>163</v>
      </c>
      <c r="C325" s="16" t="s">
        <v>164</v>
      </c>
      <c r="D325" s="175">
        <v>1.7971728955378273E-4</v>
      </c>
      <c r="E325" s="169">
        <f t="shared" ref="E325:F325" si="154">D325</f>
        <v>1.7971728955378273E-4</v>
      </c>
      <c r="F325" s="170">
        <f t="shared" si="154"/>
        <v>1.7971728955378273E-4</v>
      </c>
      <c r="G325" s="171">
        <v>1.7971728955378273E-4</v>
      </c>
      <c r="I325" s="1"/>
      <c r="J325" s="1"/>
    </row>
    <row r="326" spans="2:10">
      <c r="B326" s="15" t="s">
        <v>165</v>
      </c>
      <c r="C326" s="16" t="s">
        <v>166</v>
      </c>
      <c r="D326" s="175">
        <v>6.0914199835176964E-4</v>
      </c>
      <c r="E326" s="169">
        <f t="shared" ref="E326:F326" si="155">D326</f>
        <v>6.0914199835176964E-4</v>
      </c>
      <c r="F326" s="170">
        <f t="shared" si="155"/>
        <v>6.0914199835176964E-4</v>
      </c>
      <c r="G326" s="171">
        <v>6.0914199835176964E-4</v>
      </c>
      <c r="I326" s="1"/>
      <c r="J326" s="1"/>
    </row>
    <row r="327" spans="2:10">
      <c r="B327" s="15" t="s">
        <v>167</v>
      </c>
      <c r="C327" s="16" t="s">
        <v>168</v>
      </c>
      <c r="D327" s="175">
        <v>5.4776453149729535E-4</v>
      </c>
      <c r="E327" s="169">
        <f t="shared" ref="E327:F327" si="156">D327</f>
        <v>5.4776453149729535E-4</v>
      </c>
      <c r="F327" s="170">
        <f t="shared" si="156"/>
        <v>5.4776453149729535E-4</v>
      </c>
      <c r="G327" s="171">
        <v>5.4776453149729535E-4</v>
      </c>
      <c r="I327" s="1"/>
      <c r="J327" s="1"/>
    </row>
    <row r="328" spans="2:10">
      <c r="B328" s="15" t="s">
        <v>169</v>
      </c>
      <c r="C328" s="16" t="s">
        <v>170</v>
      </c>
      <c r="D328" s="175">
        <v>1.9153456822764719E-4</v>
      </c>
      <c r="E328" s="169">
        <f t="shared" ref="E328:F328" si="157">D328</f>
        <v>1.9153456822764719E-4</v>
      </c>
      <c r="F328" s="170">
        <f t="shared" si="157"/>
        <v>1.9153456822764719E-4</v>
      </c>
      <c r="G328" s="171">
        <v>1.9153456822764719E-4</v>
      </c>
      <c r="I328" s="1"/>
      <c r="J328" s="1"/>
    </row>
    <row r="329" spans="2:10">
      <c r="B329" s="15" t="s">
        <v>171</v>
      </c>
      <c r="C329" s="16" t="s">
        <v>172</v>
      </c>
      <c r="D329" s="175">
        <v>6.769101373308938E-4</v>
      </c>
      <c r="E329" s="169">
        <f t="shared" ref="E329:F329" si="158">D329</f>
        <v>6.769101373308938E-4</v>
      </c>
      <c r="F329" s="170">
        <f t="shared" si="158"/>
        <v>6.769101373308938E-4</v>
      </c>
      <c r="G329" s="171">
        <v>6.769101373308938E-4</v>
      </c>
      <c r="I329" s="1"/>
      <c r="J329" s="1"/>
    </row>
    <row r="330" spans="2:10">
      <c r="B330" s="15" t="s">
        <v>173</v>
      </c>
      <c r="C330" s="16" t="s">
        <v>174</v>
      </c>
      <c r="D330" s="175">
        <v>9.7953249705184889E-2</v>
      </c>
      <c r="E330" s="169">
        <f t="shared" ref="E330:F330" si="159">D330</f>
        <v>9.7953249705184889E-2</v>
      </c>
      <c r="F330" s="170">
        <f t="shared" si="159"/>
        <v>9.7953249705184889E-2</v>
      </c>
      <c r="G330" s="171">
        <v>9.7953249705184889E-2</v>
      </c>
      <c r="I330" s="1"/>
      <c r="J330" s="1"/>
    </row>
    <row r="331" spans="2:10">
      <c r="B331" s="15" t="s">
        <v>175</v>
      </c>
      <c r="C331" s="16" t="s">
        <v>176</v>
      </c>
      <c r="D331" s="175">
        <v>1.5506288486844631E-3</v>
      </c>
      <c r="E331" s="169">
        <f t="shared" ref="E331:F331" si="160">D331</f>
        <v>1.5506288486844631E-3</v>
      </c>
      <c r="F331" s="170">
        <f t="shared" si="160"/>
        <v>1.5506288486844631E-3</v>
      </c>
      <c r="G331" s="171">
        <v>1.5506288486844631E-3</v>
      </c>
      <c r="I331" s="1"/>
      <c r="J331" s="1"/>
    </row>
    <row r="332" spans="2:10">
      <c r="B332" s="15" t="s">
        <v>177</v>
      </c>
      <c r="C332" s="16" t="s">
        <v>178</v>
      </c>
      <c r="D332" s="175">
        <v>8.3783876835131187E-3</v>
      </c>
      <c r="E332" s="169">
        <f t="shared" ref="E332:F332" si="161">D332</f>
        <v>8.3783876835131187E-3</v>
      </c>
      <c r="F332" s="170">
        <f t="shared" si="161"/>
        <v>8.3783876835131187E-3</v>
      </c>
      <c r="G332" s="171">
        <v>8.3783876835131187E-3</v>
      </c>
      <c r="I332" s="1"/>
      <c r="J332" s="1"/>
    </row>
    <row r="333" spans="2:10">
      <c r="B333" s="15" t="s">
        <v>179</v>
      </c>
      <c r="C333" s="16" t="s">
        <v>180</v>
      </c>
      <c r="D333" s="175">
        <v>1.6676705338870086E-3</v>
      </c>
      <c r="E333" s="169">
        <f t="shared" ref="E333:F333" si="162">D333</f>
        <v>1.6676705338870086E-3</v>
      </c>
      <c r="F333" s="170">
        <f t="shared" si="162"/>
        <v>1.6676705338870086E-3</v>
      </c>
      <c r="G333" s="171">
        <v>1.6676705338870086E-3</v>
      </c>
      <c r="I333" s="1"/>
      <c r="J333" s="1"/>
    </row>
    <row r="334" spans="2:10">
      <c r="B334" s="15" t="s">
        <v>181</v>
      </c>
      <c r="C334" s="16" t="s">
        <v>182</v>
      </c>
      <c r="D334" s="175">
        <v>4.777586261883667E-3</v>
      </c>
      <c r="E334" s="169">
        <f t="shared" ref="E334:F334" si="163">D334</f>
        <v>4.777586261883667E-3</v>
      </c>
      <c r="F334" s="170">
        <f t="shared" si="163"/>
        <v>4.777586261883667E-3</v>
      </c>
      <c r="G334" s="171">
        <v>4.777586261883667E-3</v>
      </c>
      <c r="I334" s="1"/>
      <c r="J334" s="1"/>
    </row>
    <row r="335" spans="2:10">
      <c r="B335" s="15" t="s">
        <v>183</v>
      </c>
      <c r="C335" s="16" t="s">
        <v>184</v>
      </c>
      <c r="D335" s="175">
        <v>1.4546543162490752E-3</v>
      </c>
      <c r="E335" s="169">
        <f t="shared" ref="E335:F335" si="164">D335</f>
        <v>1.4546543162490752E-3</v>
      </c>
      <c r="F335" s="170">
        <f t="shared" si="164"/>
        <v>1.4546543162490752E-3</v>
      </c>
      <c r="G335" s="171">
        <v>1.4546543162490752E-3</v>
      </c>
      <c r="I335" s="1"/>
      <c r="J335" s="1"/>
    </row>
    <row r="336" spans="2:10">
      <c r="B336" s="15" t="s">
        <v>185</v>
      </c>
      <c r="C336" s="16" t="s">
        <v>186</v>
      </c>
      <c r="D336" s="175">
        <v>5.5238761258882361E-3</v>
      </c>
      <c r="E336" s="169">
        <f t="shared" ref="E336:F336" si="165">D336</f>
        <v>5.5238761258882361E-3</v>
      </c>
      <c r="F336" s="170">
        <f t="shared" si="165"/>
        <v>5.5238761258882361E-3</v>
      </c>
      <c r="G336" s="171">
        <v>5.5238761258882361E-3</v>
      </c>
      <c r="I336" s="1"/>
      <c r="J336" s="1"/>
    </row>
    <row r="337" spans="2:10">
      <c r="B337" s="15" t="s">
        <v>187</v>
      </c>
      <c r="C337" s="16" t="s">
        <v>188</v>
      </c>
      <c r="D337" s="175">
        <v>8.5621602350007908E-4</v>
      </c>
      <c r="E337" s="169">
        <f t="shared" ref="E337:F337" si="166">D337</f>
        <v>8.5621602350007908E-4</v>
      </c>
      <c r="F337" s="170">
        <f t="shared" si="166"/>
        <v>8.5621602350007908E-4</v>
      </c>
      <c r="G337" s="171">
        <v>8.5621602350007908E-4</v>
      </c>
      <c r="I337" s="1"/>
      <c r="J337" s="1"/>
    </row>
    <row r="338" spans="2:10">
      <c r="B338" s="15" t="s">
        <v>189</v>
      </c>
      <c r="C338" s="16" t="s">
        <v>190</v>
      </c>
      <c r="D338" s="175">
        <v>2.383407252296608E-4</v>
      </c>
      <c r="E338" s="169">
        <f t="shared" ref="E338:F338" si="167">D338</f>
        <v>2.383407252296608E-4</v>
      </c>
      <c r="F338" s="170">
        <f t="shared" si="167"/>
        <v>2.383407252296608E-4</v>
      </c>
      <c r="G338" s="171">
        <v>2.383407252296608E-4</v>
      </c>
      <c r="I338" s="1"/>
      <c r="J338" s="1"/>
    </row>
    <row r="339" spans="2:10">
      <c r="B339" s="15" t="s">
        <v>191</v>
      </c>
      <c r="C339" s="16" t="s">
        <v>192</v>
      </c>
      <c r="D339" s="175">
        <v>1.3234970612842744E-3</v>
      </c>
      <c r="E339" s="169">
        <f t="shared" ref="E339:F339" si="168">D339</f>
        <v>1.3234970612842744E-3</v>
      </c>
      <c r="F339" s="170">
        <f t="shared" si="168"/>
        <v>1.3234970612842744E-3</v>
      </c>
      <c r="G339" s="171">
        <v>1.3234970612842744E-3</v>
      </c>
      <c r="I339" s="1"/>
      <c r="J339" s="1"/>
    </row>
    <row r="340" spans="2:10">
      <c r="B340" s="15" t="s">
        <v>193</v>
      </c>
      <c r="C340" s="16" t="s">
        <v>194</v>
      </c>
      <c r="D340" s="175">
        <v>1.3484885280408512E-3</v>
      </c>
      <c r="E340" s="169">
        <f t="shared" ref="E340:F340" si="169">D340</f>
        <v>1.3484885280408512E-3</v>
      </c>
      <c r="F340" s="170">
        <f t="shared" si="169"/>
        <v>1.3484885280408512E-3</v>
      </c>
      <c r="G340" s="171">
        <v>1.3484885280408512E-3</v>
      </c>
      <c r="I340" s="1"/>
      <c r="J340" s="1"/>
    </row>
    <row r="341" spans="2:10">
      <c r="B341" s="15" t="s">
        <v>195</v>
      </c>
      <c r="C341" s="16" t="s">
        <v>196</v>
      </c>
      <c r="D341" s="175">
        <v>9.3088212900290564E-4</v>
      </c>
      <c r="E341" s="169">
        <f t="shared" ref="E341:F341" si="170">D341</f>
        <v>9.3088212900290564E-4</v>
      </c>
      <c r="F341" s="170">
        <f t="shared" si="170"/>
        <v>9.3088212900290564E-4</v>
      </c>
      <c r="G341" s="171">
        <v>9.3088212900290564E-4</v>
      </c>
      <c r="I341" s="1"/>
      <c r="J341" s="1"/>
    </row>
    <row r="342" spans="2:10">
      <c r="B342" s="15" t="s">
        <v>197</v>
      </c>
      <c r="C342" s="16" t="s">
        <v>198</v>
      </c>
      <c r="D342" s="175">
        <v>5.5042060948908261E-4</v>
      </c>
      <c r="E342" s="169">
        <f t="shared" ref="E342:F342" si="171">D342</f>
        <v>5.5042060948908261E-4</v>
      </c>
      <c r="F342" s="170">
        <f t="shared" si="171"/>
        <v>5.5042060948908261E-4</v>
      </c>
      <c r="G342" s="171">
        <v>5.5042060948908261E-4</v>
      </c>
      <c r="I342" s="1"/>
      <c r="J342" s="1"/>
    </row>
    <row r="343" spans="2:10">
      <c r="B343" s="15" t="s">
        <v>199</v>
      </c>
      <c r="C343" s="16" t="s">
        <v>200</v>
      </c>
      <c r="D343" s="175">
        <v>6.6931412546540571E-4</v>
      </c>
      <c r="E343" s="169">
        <f t="shared" ref="E343:F343" si="172">D343</f>
        <v>6.6931412546540571E-4</v>
      </c>
      <c r="F343" s="170">
        <f t="shared" si="172"/>
        <v>6.6931412546540571E-4</v>
      </c>
      <c r="G343" s="171">
        <v>6.6931412546540571E-4</v>
      </c>
      <c r="I343" s="1"/>
      <c r="J343" s="1"/>
    </row>
    <row r="344" spans="2:10">
      <c r="B344" s="15" t="s">
        <v>201</v>
      </c>
      <c r="C344" s="16" t="s">
        <v>202</v>
      </c>
      <c r="D344" s="175">
        <v>2.2072884535003323E-3</v>
      </c>
      <c r="E344" s="169">
        <f t="shared" ref="E344:F344" si="173">D344</f>
        <v>2.2072884535003323E-3</v>
      </c>
      <c r="F344" s="170">
        <f t="shared" si="173"/>
        <v>2.2072884535003323E-3</v>
      </c>
      <c r="G344" s="171">
        <v>2.2072884535003323E-3</v>
      </c>
      <c r="I344" s="1"/>
      <c r="J344" s="1"/>
    </row>
    <row r="345" spans="2:10">
      <c r="B345" s="15" t="s">
        <v>203</v>
      </c>
      <c r="C345" s="16" t="s">
        <v>204</v>
      </c>
      <c r="D345" s="175">
        <v>2.7643853459850759E-3</v>
      </c>
      <c r="E345" s="169">
        <f t="shared" ref="E345:F345" si="174">D345</f>
        <v>2.7643853459850759E-3</v>
      </c>
      <c r="F345" s="170">
        <f t="shared" si="174"/>
        <v>2.7643853459850759E-3</v>
      </c>
      <c r="G345" s="171">
        <v>2.7643853459850759E-3</v>
      </c>
      <c r="I345" s="1"/>
      <c r="J345" s="1"/>
    </row>
    <row r="346" spans="2:10">
      <c r="B346" s="15" t="s">
        <v>205</v>
      </c>
      <c r="C346" s="16" t="s">
        <v>206</v>
      </c>
      <c r="D346" s="175">
        <v>1.9925277411596404E-2</v>
      </c>
      <c r="E346" s="169">
        <f t="shared" ref="E346:F346" si="175">D346</f>
        <v>1.9925277411596404E-2</v>
      </c>
      <c r="F346" s="170">
        <f t="shared" si="175"/>
        <v>1.9925277411596404E-2</v>
      </c>
      <c r="G346" s="171">
        <v>1.9925277411596404E-2</v>
      </c>
      <c r="I346" s="1"/>
      <c r="J346" s="1"/>
    </row>
    <row r="347" spans="2:10">
      <c r="B347" s="15" t="s">
        <v>207</v>
      </c>
      <c r="C347" s="16" t="s">
        <v>208</v>
      </c>
      <c r="D347" s="175">
        <v>4.2923293707993859E-2</v>
      </c>
      <c r="E347" s="169">
        <f t="shared" ref="E347:F347" si="176">D347</f>
        <v>4.2923293707993859E-2</v>
      </c>
      <c r="F347" s="170">
        <f t="shared" si="176"/>
        <v>4.2923293707993859E-2</v>
      </c>
      <c r="G347" s="171">
        <v>4.2923293707993859E-2</v>
      </c>
      <c r="I347" s="1"/>
      <c r="J347" s="1"/>
    </row>
    <row r="348" spans="2:10">
      <c r="B348" s="15" t="s">
        <v>209</v>
      </c>
      <c r="C348" s="16" t="s">
        <v>208</v>
      </c>
      <c r="D348" s="175">
        <v>1.8099892967171429E-2</v>
      </c>
      <c r="E348" s="169">
        <f t="shared" ref="E348:F348" si="177">D348</f>
        <v>1.8099892967171429E-2</v>
      </c>
      <c r="F348" s="170">
        <f t="shared" si="177"/>
        <v>1.8099892967171429E-2</v>
      </c>
      <c r="G348" s="171">
        <v>1.8099892967171429E-2</v>
      </c>
      <c r="I348" s="1"/>
      <c r="J348" s="1"/>
    </row>
    <row r="349" spans="2:10">
      <c r="B349" s="15" t="s">
        <v>210</v>
      </c>
      <c r="C349" s="16" t="s">
        <v>211</v>
      </c>
      <c r="D349" s="175">
        <v>4.4695523597825426E-4</v>
      </c>
      <c r="E349" s="169">
        <f t="shared" ref="E349:F349" si="178">D349</f>
        <v>4.4695523597825426E-4</v>
      </c>
      <c r="F349" s="170">
        <f t="shared" si="178"/>
        <v>4.4695523597825426E-4</v>
      </c>
      <c r="G349" s="171">
        <v>4.4695523597825426E-4</v>
      </c>
      <c r="I349" s="1"/>
      <c r="J349" s="1"/>
    </row>
    <row r="350" spans="2:10">
      <c r="B350" s="15" t="s">
        <v>212</v>
      </c>
      <c r="C350" s="16" t="s">
        <v>208</v>
      </c>
      <c r="D350" s="175">
        <v>3.5145689007196085E-2</v>
      </c>
      <c r="E350" s="169">
        <f t="shared" ref="E350:F350" si="179">D350</f>
        <v>3.5145689007196085E-2</v>
      </c>
      <c r="F350" s="170">
        <f t="shared" si="179"/>
        <v>3.5145689007196085E-2</v>
      </c>
      <c r="G350" s="171">
        <v>3.5145689007196085E-2</v>
      </c>
      <c r="I350" s="1"/>
      <c r="J350" s="1"/>
    </row>
    <row r="351" spans="2:10">
      <c r="B351" s="15" t="s">
        <v>213</v>
      </c>
      <c r="C351" s="16" t="s">
        <v>214</v>
      </c>
      <c r="D351" s="175">
        <v>1.3107786132917677E-4</v>
      </c>
      <c r="E351" s="172">
        <f t="shared" ref="E351:F351" si="180">D351</f>
        <v>1.3107786132917677E-4</v>
      </c>
      <c r="F351" s="173">
        <f t="shared" si="180"/>
        <v>1.3107786132917677E-4</v>
      </c>
      <c r="G351" s="174">
        <v>1.3107786132917699E-4</v>
      </c>
      <c r="I351" s="1"/>
      <c r="J351" s="1"/>
    </row>
    <row r="352" spans="2:10">
      <c r="D352" s="58">
        <f>1-SUM(D267:D351)</f>
        <v>0</v>
      </c>
      <c r="E352" s="58">
        <f t="shared" ref="E352:G352" si="181">1-SUM(E267:E351)</f>
        <v>0</v>
      </c>
      <c r="F352" s="58">
        <f t="shared" si="181"/>
        <v>0</v>
      </c>
      <c r="G352" s="58">
        <f t="shared" si="181"/>
        <v>0</v>
      </c>
    </row>
    <row r="353" spans="2:7"/>
    <row r="354" spans="2:7" s="1" customFormat="1" ht="28.9" customHeight="1">
      <c r="B354" s="31" t="s">
        <v>256</v>
      </c>
      <c r="C354" s="4"/>
      <c r="D354" s="4"/>
      <c r="E354" s="4"/>
      <c r="F354" s="4"/>
      <c r="G354" s="4"/>
    </row>
    <row r="355" spans="2:7" s="1" customFormat="1" ht="14.45" customHeight="1">
      <c r="B355" s="35"/>
    </row>
    <row r="356" spans="2:7" s="1" customFormat="1" ht="28.9" customHeight="1">
      <c r="B356" s="33" t="s">
        <v>585</v>
      </c>
      <c r="C356" s="4"/>
      <c r="D356" s="4"/>
      <c r="E356" s="4"/>
      <c r="F356" s="4"/>
      <c r="G356" s="4"/>
    </row>
    <row r="357" spans="2:7" s="1" customFormat="1"/>
    <row r="358" spans="2:7" s="1" customFormat="1">
      <c r="B358" s="8" t="s">
        <v>2</v>
      </c>
      <c r="C358" s="8" t="s">
        <v>6</v>
      </c>
      <c r="D358" s="5"/>
      <c r="E358" s="5"/>
      <c r="F358" s="5"/>
      <c r="G358" s="5"/>
    </row>
    <row r="359" spans="2:7" s="1" customFormat="1">
      <c r="B359" s="24"/>
      <c r="C359" s="24"/>
      <c r="D359" s="22" t="str">
        <f>D5</f>
        <v>2023-24</v>
      </c>
      <c r="E359" s="22" t="str">
        <f>E5</f>
        <v>2024-25</v>
      </c>
      <c r="F359" s="22" t="str">
        <f>F5</f>
        <v>2025-26</v>
      </c>
      <c r="G359" s="22" t="str">
        <f>G5</f>
        <v>2026-27</v>
      </c>
    </row>
    <row r="360" spans="2:7" s="1" customFormat="1">
      <c r="B360" s="23"/>
      <c r="C360" s="23"/>
      <c r="D360" s="7"/>
      <c r="E360" s="7"/>
      <c r="F360" s="7"/>
      <c r="G360" s="7"/>
    </row>
    <row r="361" spans="2:7" s="1" customFormat="1">
      <c r="B361" s="9" t="s">
        <v>8</v>
      </c>
      <c r="C361" s="3" t="s">
        <v>9</v>
      </c>
      <c r="D361" s="59">
        <f t="shared" ref="D361:G373" si="182">D20</f>
        <v>3052986</v>
      </c>
      <c r="E361" s="59">
        <f t="shared" si="182"/>
        <v>4884702</v>
      </c>
      <c r="F361" s="59">
        <f t="shared" si="182"/>
        <v>8676558</v>
      </c>
      <c r="G361" s="59">
        <f t="shared" si="182"/>
        <v>7666326.0000000009</v>
      </c>
    </row>
    <row r="362" spans="2:7" s="1" customFormat="1">
      <c r="B362" s="10"/>
      <c r="C362" s="3" t="s">
        <v>10</v>
      </c>
      <c r="D362" s="59">
        <f t="shared" si="182"/>
        <v>1427387.9999999998</v>
      </c>
      <c r="E362" s="59">
        <f t="shared" si="182"/>
        <v>3513912</v>
      </c>
      <c r="F362" s="59">
        <f t="shared" si="182"/>
        <v>1596384</v>
      </c>
      <c r="G362" s="59">
        <f t="shared" si="182"/>
        <v>207846</v>
      </c>
    </row>
    <row r="363" spans="2:7" s="1" customFormat="1">
      <c r="B363" s="10"/>
      <c r="C363" s="3" t="s">
        <v>11</v>
      </c>
      <c r="D363" s="59">
        <f t="shared" si="182"/>
        <v>2830358</v>
      </c>
      <c r="E363" s="59">
        <f t="shared" si="182"/>
        <v>9185306</v>
      </c>
      <c r="F363" s="59">
        <f t="shared" si="182"/>
        <v>2512022</v>
      </c>
      <c r="G363" s="59">
        <f t="shared" si="182"/>
        <v>1265424</v>
      </c>
    </row>
    <row r="364" spans="2:7" s="1" customFormat="1">
      <c r="B364" s="10"/>
      <c r="C364" s="3" t="s">
        <v>12</v>
      </c>
      <c r="D364" s="59">
        <f t="shared" si="182"/>
        <v>10826796.701369863</v>
      </c>
      <c r="E364" s="59">
        <f t="shared" si="182"/>
        <v>5947824.7013698621</v>
      </c>
      <c r="F364" s="59">
        <f t="shared" si="182"/>
        <v>2568168.3524590163</v>
      </c>
      <c r="G364" s="59">
        <f t="shared" si="182"/>
        <v>4962488.1095890403</v>
      </c>
    </row>
    <row r="365" spans="2:7" s="1" customFormat="1">
      <c r="B365" s="11"/>
      <c r="C365" s="3" t="s">
        <v>13</v>
      </c>
      <c r="D365" s="59">
        <f t="shared" si="182"/>
        <v>1105373.1506849315</v>
      </c>
      <c r="E365" s="59">
        <f t="shared" si="182"/>
        <v>666864.43013698631</v>
      </c>
      <c r="F365" s="59">
        <f t="shared" si="182"/>
        <v>390410.33879781421</v>
      </c>
      <c r="G365" s="59">
        <f t="shared" si="182"/>
        <v>285396.11506849312</v>
      </c>
    </row>
    <row r="366" spans="2:7" s="1" customFormat="1">
      <c r="B366" s="9" t="s">
        <v>14</v>
      </c>
      <c r="C366" s="3" t="s">
        <v>9</v>
      </c>
      <c r="D366" s="59">
        <f t="shared" si="182"/>
        <v>200000000</v>
      </c>
      <c r="E366" s="59">
        <f t="shared" si="182"/>
        <v>200000000</v>
      </c>
      <c r="F366" s="59">
        <f t="shared" si="182"/>
        <v>182000000</v>
      </c>
      <c r="G366" s="59">
        <f t="shared" si="182"/>
        <v>180500000</v>
      </c>
    </row>
    <row r="367" spans="2:7" s="1" customFormat="1">
      <c r="B367" s="12"/>
      <c r="C367" s="3" t="s">
        <v>10</v>
      </c>
      <c r="D367" s="59">
        <f t="shared" si="182"/>
        <v>0</v>
      </c>
      <c r="E367" s="59">
        <f t="shared" si="182"/>
        <v>0</v>
      </c>
      <c r="F367" s="59">
        <f t="shared" si="182"/>
        <v>0</v>
      </c>
      <c r="G367" s="59">
        <f t="shared" si="182"/>
        <v>1250000</v>
      </c>
    </row>
    <row r="368" spans="2:7" s="1" customFormat="1">
      <c r="B368" s="12"/>
      <c r="C368" s="3" t="s">
        <v>11</v>
      </c>
      <c r="D368" s="59">
        <f t="shared" si="182"/>
        <v>0</v>
      </c>
      <c r="E368" s="59">
        <f t="shared" si="182"/>
        <v>0</v>
      </c>
      <c r="F368" s="59">
        <f t="shared" si="182"/>
        <v>0</v>
      </c>
      <c r="G368" s="59">
        <f t="shared" si="182"/>
        <v>0</v>
      </c>
    </row>
    <row r="369" spans="2:7" s="1" customFormat="1">
      <c r="B369" s="12"/>
      <c r="C369" s="3" t="s">
        <v>12</v>
      </c>
      <c r="D369" s="59">
        <f t="shared" si="182"/>
        <v>0</v>
      </c>
      <c r="E369" s="59">
        <f t="shared" si="182"/>
        <v>0</v>
      </c>
      <c r="F369" s="59">
        <f t="shared" si="182"/>
        <v>16422.295081967215</v>
      </c>
      <c r="G369" s="59">
        <f t="shared" si="182"/>
        <v>40397.589041095889</v>
      </c>
    </row>
    <row r="370" spans="2:7" s="1" customFormat="1">
      <c r="B370" s="13"/>
      <c r="C370" s="3" t="s">
        <v>13</v>
      </c>
      <c r="D370" s="59">
        <f t="shared" si="182"/>
        <v>0</v>
      </c>
      <c r="E370" s="59">
        <f t="shared" si="182"/>
        <v>0</v>
      </c>
      <c r="F370" s="59">
        <f t="shared" si="182"/>
        <v>180266.40163934426</v>
      </c>
      <c r="G370" s="59">
        <f t="shared" si="182"/>
        <v>333351.3232876712</v>
      </c>
    </row>
    <row r="371" spans="2:7" s="1" customFormat="1">
      <c r="B371" s="9" t="s">
        <v>15</v>
      </c>
      <c r="C371" s="3" t="s">
        <v>12</v>
      </c>
      <c r="D371" s="59">
        <f t="shared" si="182"/>
        <v>4185610.9808219173</v>
      </c>
      <c r="E371" s="59">
        <f t="shared" si="182"/>
        <v>4369884.2958904114</v>
      </c>
      <c r="F371" s="59">
        <f t="shared" si="182"/>
        <v>4951057.1361363269</v>
      </c>
      <c r="G371" s="59">
        <f t="shared" si="182"/>
        <v>5171351.98630137</v>
      </c>
    </row>
    <row r="372" spans="2:7" s="1" customFormat="1">
      <c r="B372" s="13"/>
      <c r="C372" s="3" t="s">
        <v>13</v>
      </c>
      <c r="D372" s="59">
        <f t="shared" si="182"/>
        <v>4367877.2109589046</v>
      </c>
      <c r="E372" s="59">
        <f t="shared" si="182"/>
        <v>2787181.2931506848</v>
      </c>
      <c r="F372" s="59">
        <f t="shared" si="182"/>
        <v>1918358.1253384296</v>
      </c>
      <c r="G372" s="59">
        <f t="shared" si="182"/>
        <v>2527776.5780821918</v>
      </c>
    </row>
    <row r="373" spans="2:7" s="1" customFormat="1">
      <c r="B373" s="14" t="s">
        <v>26</v>
      </c>
      <c r="C373" s="3" t="s">
        <v>27</v>
      </c>
      <c r="D373" s="59">
        <f t="shared" si="182"/>
        <v>1</v>
      </c>
      <c r="E373" s="59">
        <f t="shared" si="182"/>
        <v>1</v>
      </c>
      <c r="F373" s="59">
        <f t="shared" si="182"/>
        <v>1</v>
      </c>
      <c r="G373" s="59">
        <f t="shared" si="182"/>
        <v>1</v>
      </c>
    </row>
    <row r="374" spans="2:7" s="1" customFormat="1"/>
    <row r="375" spans="2:7" s="1" customFormat="1"/>
    <row r="376" spans="2:7" s="1" customFormat="1" ht="28.9" customHeight="1">
      <c r="B376" s="33" t="s">
        <v>586</v>
      </c>
      <c r="C376" s="4"/>
      <c r="D376" s="4"/>
      <c r="E376" s="4"/>
      <c r="F376" s="4"/>
      <c r="G376" s="4"/>
    </row>
    <row r="377" spans="2:7" s="1" customFormat="1"/>
    <row r="378" spans="2:7" s="1" customFormat="1">
      <c r="B378" s="8" t="s">
        <v>2</v>
      </c>
      <c r="C378" s="8" t="s">
        <v>6</v>
      </c>
      <c r="D378" s="5"/>
      <c r="E378" s="5"/>
      <c r="F378" s="5"/>
      <c r="G378" s="5"/>
    </row>
    <row r="379" spans="2:7" s="1" customFormat="1">
      <c r="B379" s="24"/>
      <c r="C379" s="24"/>
      <c r="D379" s="22" t="str">
        <f>D359</f>
        <v>2023-24</v>
      </c>
      <c r="E379" s="22" t="str">
        <f t="shared" ref="E379:G379" si="183">E359</f>
        <v>2024-25</v>
      </c>
      <c r="F379" s="22" t="str">
        <f t="shared" si="183"/>
        <v>2025-26</v>
      </c>
      <c r="G379" s="22" t="str">
        <f t="shared" si="183"/>
        <v>2026-27</v>
      </c>
    </row>
    <row r="380" spans="2:7" s="1" customFormat="1">
      <c r="B380" s="23"/>
      <c r="C380" s="23"/>
      <c r="D380" s="7"/>
      <c r="E380" s="7"/>
      <c r="F380" s="7"/>
      <c r="G380" s="7"/>
    </row>
    <row r="381" spans="2:7" s="1" customFormat="1">
      <c r="B381" s="9" t="s">
        <v>8</v>
      </c>
      <c r="C381" s="3" t="s">
        <v>12</v>
      </c>
      <c r="D381" s="59">
        <f t="shared" ref="D381:G384" si="184">D40</f>
        <v>0</v>
      </c>
      <c r="E381" s="59">
        <f t="shared" si="184"/>
        <v>0</v>
      </c>
      <c r="F381" s="59">
        <f t="shared" si="184"/>
        <v>0</v>
      </c>
      <c r="G381" s="59">
        <f>G40</f>
        <v>0</v>
      </c>
    </row>
    <row r="382" spans="2:7" s="1" customFormat="1">
      <c r="B382" s="11"/>
      <c r="C382" s="3" t="s">
        <v>13</v>
      </c>
      <c r="D382" s="59">
        <f t="shared" si="184"/>
        <v>0</v>
      </c>
      <c r="E382" s="59">
        <f t="shared" si="184"/>
        <v>0</v>
      </c>
      <c r="F382" s="59">
        <f t="shared" si="184"/>
        <v>0</v>
      </c>
      <c r="G382" s="59">
        <f>G41</f>
        <v>0</v>
      </c>
    </row>
    <row r="383" spans="2:7" s="1" customFormat="1">
      <c r="B383" s="14" t="s">
        <v>14</v>
      </c>
      <c r="C383" s="3" t="s">
        <v>13</v>
      </c>
      <c r="D383" s="59">
        <f t="shared" si="184"/>
        <v>0</v>
      </c>
      <c r="E383" s="59">
        <f t="shared" si="184"/>
        <v>0</v>
      </c>
      <c r="F383" s="59">
        <f t="shared" si="184"/>
        <v>0</v>
      </c>
      <c r="G383" s="59">
        <f t="shared" si="184"/>
        <v>0</v>
      </c>
    </row>
    <row r="384" spans="2:7" s="1" customFormat="1">
      <c r="B384" s="14" t="s">
        <v>15</v>
      </c>
      <c r="C384" s="3" t="s">
        <v>13</v>
      </c>
      <c r="D384" s="59">
        <f t="shared" si="184"/>
        <v>0</v>
      </c>
      <c r="E384" s="59">
        <f t="shared" si="184"/>
        <v>0</v>
      </c>
      <c r="F384" s="59">
        <f t="shared" si="184"/>
        <v>0</v>
      </c>
      <c r="G384" s="59">
        <f t="shared" si="184"/>
        <v>0</v>
      </c>
    </row>
    <row r="385" spans="2:7"/>
    <row r="386" spans="2:7"/>
    <row r="387" spans="2:7" s="1" customFormat="1" ht="28.9" customHeight="1">
      <c r="B387" s="33" t="s">
        <v>587</v>
      </c>
      <c r="C387" s="4"/>
      <c r="D387" s="4"/>
      <c r="E387" s="4"/>
      <c r="F387" s="4"/>
      <c r="G387" s="4"/>
    </row>
    <row r="388" spans="2:7" s="1" customFormat="1"/>
    <row r="389" spans="2:7" s="1" customFormat="1">
      <c r="B389" s="8" t="s">
        <v>1</v>
      </c>
      <c r="C389" s="8" t="s">
        <v>6</v>
      </c>
      <c r="D389" s="5"/>
      <c r="E389" s="5"/>
      <c r="F389" s="5"/>
      <c r="G389" s="5"/>
    </row>
    <row r="390" spans="2:7" s="1" customFormat="1">
      <c r="B390" s="24"/>
      <c r="C390" s="24"/>
      <c r="D390" s="22" t="str">
        <f>D359</f>
        <v>2023-24</v>
      </c>
      <c r="E390" s="22" t="str">
        <f t="shared" ref="E390:G390" si="185">E359</f>
        <v>2024-25</v>
      </c>
      <c r="F390" s="22" t="str">
        <f t="shared" si="185"/>
        <v>2025-26</v>
      </c>
      <c r="G390" s="22" t="str">
        <f t="shared" si="185"/>
        <v>2026-27</v>
      </c>
    </row>
    <row r="391" spans="2:7" s="1" customFormat="1">
      <c r="B391" s="23"/>
      <c r="C391" s="23"/>
      <c r="D391" s="7"/>
      <c r="E391" s="7"/>
      <c r="F391" s="7"/>
      <c r="G391" s="7"/>
    </row>
    <row r="392" spans="2:7" s="1" customFormat="1">
      <c r="B392" s="9" t="s">
        <v>8</v>
      </c>
      <c r="C392" s="3" t="s">
        <v>9</v>
      </c>
      <c r="D392" s="59">
        <f t="shared" ref="D392:G410" si="186">D65</f>
        <v>1994814</v>
      </c>
      <c r="E392" s="59">
        <f t="shared" si="186"/>
        <v>0</v>
      </c>
      <c r="F392" s="59">
        <f t="shared" si="186"/>
        <v>0</v>
      </c>
      <c r="G392" s="59">
        <f t="shared" si="186"/>
        <v>0</v>
      </c>
    </row>
    <row r="393" spans="2:7" s="1" customFormat="1">
      <c r="B393" s="12"/>
      <c r="C393" s="3" t="s">
        <v>10</v>
      </c>
      <c r="D393" s="59">
        <f t="shared" si="186"/>
        <v>0</v>
      </c>
      <c r="E393" s="59">
        <f t="shared" si="186"/>
        <v>0</v>
      </c>
      <c r="F393" s="59">
        <f t="shared" si="186"/>
        <v>0</v>
      </c>
      <c r="G393" s="59">
        <f t="shared" si="186"/>
        <v>0</v>
      </c>
    </row>
    <row r="394" spans="2:7" s="1" customFormat="1">
      <c r="B394" s="12"/>
      <c r="C394" s="3" t="s">
        <v>11</v>
      </c>
      <c r="D394" s="59">
        <f t="shared" si="186"/>
        <v>3844403.9999999995</v>
      </c>
      <c r="E394" s="59">
        <f t="shared" si="186"/>
        <v>2561584.0000000005</v>
      </c>
      <c r="F394" s="59">
        <f t="shared" si="186"/>
        <v>13013032</v>
      </c>
      <c r="G394" s="59">
        <f t="shared" si="186"/>
        <v>10591008</v>
      </c>
    </row>
    <row r="395" spans="2:7" s="1" customFormat="1">
      <c r="B395" s="12"/>
      <c r="C395" s="3" t="s">
        <v>12</v>
      </c>
      <c r="D395" s="59">
        <f t="shared" si="186"/>
        <v>7164681.5342465742</v>
      </c>
      <c r="E395" s="59">
        <f t="shared" si="186"/>
        <v>25198760.186301369</v>
      </c>
      <c r="F395" s="59">
        <f t="shared" si="186"/>
        <v>31102189</v>
      </c>
      <c r="G395" s="59">
        <f>G68</f>
        <v>7155685</v>
      </c>
    </row>
    <row r="396" spans="2:7" s="1" customFormat="1">
      <c r="B396" s="13"/>
      <c r="C396" s="3" t="s">
        <v>13</v>
      </c>
      <c r="D396" s="59">
        <f t="shared" si="186"/>
        <v>747673.69315068494</v>
      </c>
      <c r="E396" s="59">
        <f t="shared" si="186"/>
        <v>395278.85205479449</v>
      </c>
      <c r="F396" s="59">
        <f t="shared" si="186"/>
        <v>111340</v>
      </c>
      <c r="G396" s="59">
        <f t="shared" si="186"/>
        <v>21505</v>
      </c>
    </row>
    <row r="397" spans="2:7" s="1" customFormat="1">
      <c r="B397" s="9" t="s">
        <v>14</v>
      </c>
      <c r="C397" s="3" t="s">
        <v>9</v>
      </c>
      <c r="D397" s="59">
        <f t="shared" si="186"/>
        <v>0</v>
      </c>
      <c r="E397" s="59">
        <f t="shared" si="186"/>
        <v>0</v>
      </c>
      <c r="F397" s="59">
        <f t="shared" si="186"/>
        <v>0</v>
      </c>
      <c r="G397" s="59">
        <f t="shared" si="186"/>
        <v>0</v>
      </c>
    </row>
    <row r="398" spans="2:7" s="1" customFormat="1">
      <c r="B398" s="12"/>
      <c r="C398" s="3" t="s">
        <v>10</v>
      </c>
      <c r="D398" s="59">
        <f t="shared" si="186"/>
        <v>0</v>
      </c>
      <c r="E398" s="59">
        <f t="shared" si="186"/>
        <v>0</v>
      </c>
      <c r="F398" s="59">
        <f t="shared" si="186"/>
        <v>0</v>
      </c>
      <c r="G398" s="59">
        <f t="shared" si="186"/>
        <v>0</v>
      </c>
    </row>
    <row r="399" spans="2:7" s="1" customFormat="1">
      <c r="B399" s="12"/>
      <c r="C399" s="3" t="s">
        <v>11</v>
      </c>
      <c r="D399" s="59">
        <f t="shared" si="186"/>
        <v>0</v>
      </c>
      <c r="E399" s="59">
        <f t="shared" si="186"/>
        <v>0</v>
      </c>
      <c r="F399" s="59">
        <f t="shared" si="186"/>
        <v>0</v>
      </c>
      <c r="G399" s="59">
        <f t="shared" si="186"/>
        <v>0</v>
      </c>
    </row>
    <row r="400" spans="2:7" s="1" customFormat="1">
      <c r="B400" s="12"/>
      <c r="C400" s="3" t="s">
        <v>12</v>
      </c>
      <c r="D400" s="59">
        <f t="shared" si="186"/>
        <v>0</v>
      </c>
      <c r="E400" s="59">
        <f t="shared" si="186"/>
        <v>0</v>
      </c>
      <c r="F400" s="59">
        <f t="shared" si="186"/>
        <v>0</v>
      </c>
      <c r="G400" s="59">
        <f t="shared" si="186"/>
        <v>0</v>
      </c>
    </row>
    <row r="401" spans="2:7" s="1" customFormat="1">
      <c r="B401" s="13"/>
      <c r="C401" s="3" t="s">
        <v>13</v>
      </c>
      <c r="D401" s="59">
        <f t="shared" si="186"/>
        <v>0</v>
      </c>
      <c r="E401" s="59">
        <f t="shared" si="186"/>
        <v>0</v>
      </c>
      <c r="F401" s="59">
        <f t="shared" si="186"/>
        <v>0</v>
      </c>
      <c r="G401" s="59">
        <f t="shared" si="186"/>
        <v>0</v>
      </c>
    </row>
    <row r="402" spans="2:7" s="1" customFormat="1">
      <c r="B402" s="9" t="s">
        <v>15</v>
      </c>
      <c r="C402" s="3" t="s">
        <v>12</v>
      </c>
      <c r="D402" s="59">
        <f t="shared" si="186"/>
        <v>8951694.2465753425</v>
      </c>
      <c r="E402" s="59">
        <f t="shared" si="186"/>
        <v>6555128.6712328773</v>
      </c>
      <c r="F402" s="59">
        <f t="shared" si="186"/>
        <v>6593617.2301879274</v>
      </c>
      <c r="G402" s="59">
        <f t="shared" si="186"/>
        <v>4476108.8335881513</v>
      </c>
    </row>
    <row r="403" spans="2:7" s="1" customFormat="1">
      <c r="B403" s="13"/>
      <c r="C403" s="3" t="s">
        <v>13</v>
      </c>
      <c r="D403" s="59">
        <f t="shared" si="186"/>
        <v>2674277.9479452055</v>
      </c>
      <c r="E403" s="59">
        <f t="shared" si="186"/>
        <v>515312</v>
      </c>
      <c r="F403" s="59">
        <f t="shared" si="186"/>
        <v>683624.83242554544</v>
      </c>
      <c r="G403" s="59">
        <f t="shared" si="186"/>
        <v>1118291.5145007165</v>
      </c>
    </row>
    <row r="404" spans="2:7" s="1" customFormat="1">
      <c r="B404" s="14" t="s">
        <v>17</v>
      </c>
      <c r="C404" s="3" t="s">
        <v>18</v>
      </c>
      <c r="D404" s="59">
        <f t="shared" si="186"/>
        <v>175449767.87513986</v>
      </c>
      <c r="E404" s="59">
        <f t="shared" si="186"/>
        <v>165852149.48415494</v>
      </c>
      <c r="F404" s="59">
        <f t="shared" si="186"/>
        <v>157646327.37832683</v>
      </c>
      <c r="G404" s="59">
        <f t="shared" si="186"/>
        <v>152491321.29236305</v>
      </c>
    </row>
    <row r="405" spans="2:7" s="1" customFormat="1">
      <c r="B405" s="9" t="s">
        <v>19</v>
      </c>
      <c r="C405" s="3" t="s">
        <v>20</v>
      </c>
      <c r="D405" s="59">
        <f t="shared" si="186"/>
        <v>132905216.57454209</v>
      </c>
      <c r="E405" s="59">
        <f t="shared" si="186"/>
        <v>146529209.96653783</v>
      </c>
      <c r="F405" s="59">
        <f t="shared" si="186"/>
        <v>110137542.48308744</v>
      </c>
      <c r="G405" s="59">
        <f t="shared" si="186"/>
        <v>65545994.761697069</v>
      </c>
    </row>
    <row r="406" spans="2:7" s="1" customFormat="1">
      <c r="B406" s="12"/>
      <c r="C406" s="3" t="s">
        <v>21</v>
      </c>
      <c r="D406" s="59">
        <f t="shared" si="186"/>
        <v>2812532.9945013379</v>
      </c>
      <c r="E406" s="59">
        <f t="shared" si="186"/>
        <v>0</v>
      </c>
      <c r="F406" s="59">
        <f t="shared" si="186"/>
        <v>0</v>
      </c>
      <c r="G406" s="59">
        <f t="shared" si="186"/>
        <v>0</v>
      </c>
    </row>
    <row r="407" spans="2:7" s="1" customFormat="1">
      <c r="B407" s="12"/>
      <c r="C407" s="3" t="s">
        <v>22</v>
      </c>
      <c r="D407" s="59">
        <f t="shared" si="186"/>
        <v>1161559.1052387906</v>
      </c>
      <c r="E407" s="59">
        <f t="shared" si="186"/>
        <v>342023</v>
      </c>
      <c r="F407" s="59">
        <f t="shared" si="186"/>
        <v>732895.5</v>
      </c>
      <c r="G407" s="59">
        <f t="shared" si="186"/>
        <v>24407845.206212893</v>
      </c>
    </row>
    <row r="408" spans="2:7" s="1" customFormat="1">
      <c r="B408" s="12"/>
      <c r="C408" s="3" t="s">
        <v>23</v>
      </c>
      <c r="D408" s="59">
        <f t="shared" si="186"/>
        <v>181571.81352116147</v>
      </c>
      <c r="E408" s="59">
        <f t="shared" si="186"/>
        <v>342023</v>
      </c>
      <c r="F408" s="59">
        <f t="shared" si="186"/>
        <v>732895.5</v>
      </c>
      <c r="G408" s="59">
        <f t="shared" si="186"/>
        <v>24407845.206212893</v>
      </c>
    </row>
    <row r="409" spans="2:7" s="1" customFormat="1">
      <c r="B409" s="12"/>
      <c r="C409" s="3" t="s">
        <v>24</v>
      </c>
      <c r="D409" s="59">
        <f t="shared" si="186"/>
        <v>0</v>
      </c>
      <c r="E409" s="59">
        <f t="shared" si="186"/>
        <v>0</v>
      </c>
      <c r="F409" s="59">
        <f t="shared" si="186"/>
        <v>0</v>
      </c>
      <c r="G409" s="59">
        <f t="shared" si="186"/>
        <v>0</v>
      </c>
    </row>
    <row r="410" spans="2:7" s="1" customFormat="1">
      <c r="B410" s="13"/>
      <c r="C410" s="3" t="s">
        <v>25</v>
      </c>
      <c r="D410" s="59">
        <f t="shared" si="186"/>
        <v>0</v>
      </c>
      <c r="E410" s="59">
        <f t="shared" si="186"/>
        <v>0</v>
      </c>
      <c r="F410" s="59">
        <f t="shared" si="186"/>
        <v>0</v>
      </c>
      <c r="G410" s="59">
        <f t="shared" si="186"/>
        <v>0</v>
      </c>
    </row>
    <row r="411" spans="2:7" s="1" customFormat="1"/>
    <row r="412" spans="2:7" s="1" customFormat="1"/>
    <row r="413" spans="2:7" s="1" customFormat="1" ht="28.9" customHeight="1">
      <c r="B413" s="33" t="s">
        <v>588</v>
      </c>
      <c r="C413" s="4"/>
      <c r="D413" s="4"/>
      <c r="E413" s="4"/>
      <c r="F413" s="4"/>
      <c r="G413" s="4"/>
    </row>
    <row r="414" spans="2:7" s="1" customFormat="1"/>
    <row r="415" spans="2:7" s="1" customFormat="1">
      <c r="B415" s="8" t="s">
        <v>1</v>
      </c>
      <c r="C415" s="8" t="s">
        <v>6</v>
      </c>
      <c r="D415" s="5"/>
      <c r="E415" s="5"/>
      <c r="F415" s="5"/>
      <c r="G415" s="5"/>
    </row>
    <row r="416" spans="2:7" s="1" customFormat="1">
      <c r="B416" s="24"/>
      <c r="C416" s="24"/>
      <c r="D416" s="22" t="str">
        <f>D359</f>
        <v>2023-24</v>
      </c>
      <c r="E416" s="22" t="str">
        <f t="shared" ref="E416:G416" si="187">E359</f>
        <v>2024-25</v>
      </c>
      <c r="F416" s="22" t="str">
        <f t="shared" si="187"/>
        <v>2025-26</v>
      </c>
      <c r="G416" s="22" t="str">
        <f t="shared" si="187"/>
        <v>2026-27</v>
      </c>
    </row>
    <row r="417" spans="2:7" s="1" customFormat="1">
      <c r="B417" s="23"/>
      <c r="C417" s="23"/>
      <c r="D417" s="7"/>
      <c r="E417" s="7"/>
      <c r="F417" s="7"/>
      <c r="G417" s="7"/>
    </row>
    <row r="418" spans="2:7" s="1" customFormat="1">
      <c r="B418" s="9" t="s">
        <v>8</v>
      </c>
      <c r="C418" s="3" t="s">
        <v>12</v>
      </c>
      <c r="D418" s="157">
        <f>D91</f>
        <v>0</v>
      </c>
      <c r="E418" s="158">
        <f t="shared" ref="E418:G418" si="188">E91</f>
        <v>0</v>
      </c>
      <c r="F418" s="158">
        <f t="shared" si="188"/>
        <v>0</v>
      </c>
      <c r="G418" s="159">
        <f t="shared" si="188"/>
        <v>0</v>
      </c>
    </row>
    <row r="419" spans="2:7" s="1" customFormat="1">
      <c r="B419" s="11"/>
      <c r="C419" s="3" t="s">
        <v>13</v>
      </c>
      <c r="D419" s="160">
        <f t="shared" ref="D419:G422" si="189">D92</f>
        <v>0</v>
      </c>
      <c r="E419" s="161">
        <f t="shared" si="189"/>
        <v>0</v>
      </c>
      <c r="F419" s="161">
        <f t="shared" si="189"/>
        <v>0</v>
      </c>
      <c r="G419" s="162">
        <f t="shared" si="189"/>
        <v>0</v>
      </c>
    </row>
    <row r="420" spans="2:7" s="1" customFormat="1">
      <c r="B420" s="9" t="s">
        <v>14</v>
      </c>
      <c r="C420" s="3" t="s">
        <v>12</v>
      </c>
      <c r="D420" s="160">
        <f t="shared" si="189"/>
        <v>1</v>
      </c>
      <c r="E420" s="161">
        <f t="shared" si="189"/>
        <v>1</v>
      </c>
      <c r="F420" s="161">
        <f t="shared" si="189"/>
        <v>1</v>
      </c>
      <c r="G420" s="162">
        <f t="shared" si="189"/>
        <v>1</v>
      </c>
    </row>
    <row r="421" spans="2:7" s="1" customFormat="1">
      <c r="B421" s="11"/>
      <c r="C421" s="3" t="s">
        <v>13</v>
      </c>
      <c r="D421" s="160">
        <f t="shared" si="189"/>
        <v>0</v>
      </c>
      <c r="E421" s="161">
        <f t="shared" si="189"/>
        <v>0</v>
      </c>
      <c r="F421" s="161">
        <f t="shared" si="189"/>
        <v>0</v>
      </c>
      <c r="G421" s="162">
        <f t="shared" si="189"/>
        <v>0</v>
      </c>
    </row>
    <row r="422" spans="2:7" s="1" customFormat="1">
      <c r="B422" s="14" t="s">
        <v>15</v>
      </c>
      <c r="C422" s="3" t="s">
        <v>13</v>
      </c>
      <c r="D422" s="163">
        <f t="shared" si="189"/>
        <v>0</v>
      </c>
      <c r="E422" s="164">
        <f t="shared" si="189"/>
        <v>0</v>
      </c>
      <c r="F422" s="164">
        <f t="shared" si="189"/>
        <v>0</v>
      </c>
      <c r="G422" s="165">
        <f t="shared" si="189"/>
        <v>0</v>
      </c>
    </row>
    <row r="423" spans="2:7"/>
    <row r="424" spans="2:7"/>
    <row r="425" spans="2:7"/>
    <row r="426" spans="2:7"/>
    <row r="427" spans="2:7"/>
    <row r="428" spans="2:7"/>
    <row r="429" spans="2:7"/>
    <row r="430" spans="2:7">
      <c r="C430"/>
      <c r="F430"/>
    </row>
    <row r="431" spans="2:7">
      <c r="C431"/>
      <c r="F431"/>
    </row>
    <row r="432" spans="2:7">
      <c r="C432"/>
      <c r="F432"/>
    </row>
    <row r="433" spans="3:6">
      <c r="C433"/>
      <c r="F433"/>
    </row>
    <row r="434" spans="3:6">
      <c r="C434"/>
      <c r="F434"/>
    </row>
    <row r="435" spans="3:6">
      <c r="C435"/>
      <c r="F435"/>
    </row>
    <row r="436" spans="3:6">
      <c r="C436"/>
      <c r="F436"/>
    </row>
    <row r="437" spans="3:6">
      <c r="C437"/>
      <c r="F437"/>
    </row>
    <row r="438" spans="3:6">
      <c r="C438"/>
      <c r="F438"/>
    </row>
    <row r="439" spans="3:6">
      <c r="C439"/>
      <c r="F439"/>
    </row>
    <row r="440" spans="3:6">
      <c r="C440"/>
      <c r="F440"/>
    </row>
    <row r="441" spans="3:6">
      <c r="C441"/>
      <c r="F441"/>
    </row>
    <row r="442" spans="3:6">
      <c r="C442"/>
      <c r="F442"/>
    </row>
    <row r="443" spans="3:6">
      <c r="C443"/>
      <c r="F443"/>
    </row>
    <row r="444" spans="3:6">
      <c r="C444"/>
      <c r="F444"/>
    </row>
    <row r="445" spans="3:6">
      <c r="C445"/>
      <c r="F445"/>
    </row>
    <row r="446" spans="3:6">
      <c r="C446"/>
      <c r="F446"/>
    </row>
    <row r="447" spans="3:6">
      <c r="C447"/>
      <c r="F447"/>
    </row>
    <row r="448" spans="3:6">
      <c r="C448"/>
      <c r="F448"/>
    </row>
    <row r="449" spans="3:6">
      <c r="C449"/>
      <c r="F449"/>
    </row>
    <row r="450" spans="3:6">
      <c r="C450"/>
      <c r="F450"/>
    </row>
    <row r="451" spans="3:6">
      <c r="C451"/>
      <c r="F451"/>
    </row>
    <row r="452" spans="3:6">
      <c r="C452"/>
      <c r="F452"/>
    </row>
    <row r="453" spans="3:6">
      <c r="C453"/>
      <c r="F453"/>
    </row>
    <row r="454" spans="3:6">
      <c r="C454"/>
      <c r="F454"/>
    </row>
    <row r="455" spans="3:6">
      <c r="C455"/>
      <c r="F455"/>
    </row>
    <row r="456" spans="3:6">
      <c r="C456"/>
      <c r="F456"/>
    </row>
    <row r="457" spans="3:6">
      <c r="C457"/>
      <c r="F457"/>
    </row>
    <row r="458" spans="3:6">
      <c r="C458"/>
      <c r="F458"/>
    </row>
    <row r="459" spans="3:6">
      <c r="C459"/>
      <c r="F459"/>
    </row>
    <row r="460" spans="3:6">
      <c r="C460"/>
      <c r="F460"/>
    </row>
    <row r="461" spans="3:6">
      <c r="C461"/>
      <c r="F461"/>
    </row>
    <row r="462" spans="3:6">
      <c r="C462"/>
      <c r="F462"/>
    </row>
    <row r="463" spans="3:6">
      <c r="C463"/>
      <c r="F463"/>
    </row>
    <row r="464" spans="3:6">
      <c r="C464"/>
      <c r="F464"/>
    </row>
    <row r="465" spans="3:6">
      <c r="C465"/>
      <c r="F465"/>
    </row>
    <row r="466" spans="3:6">
      <c r="C466"/>
      <c r="F466"/>
    </row>
    <row r="467" spans="3:6"/>
    <row r="468" spans="3:6"/>
    <row r="469" spans="3:6"/>
    <row r="470" spans="3:6"/>
    <row r="471" spans="3:6"/>
  </sheetData>
  <conditionalFormatting sqref="D33:G33">
    <cfRule type="cellIs" dxfId="61" priority="28" operator="equal">
      <formula>0</formula>
    </cfRule>
    <cfRule type="cellIs" dxfId="60" priority="29" operator="lessThan">
      <formula>0</formula>
    </cfRule>
    <cfRule type="cellIs" dxfId="59" priority="30" operator="greaterThan">
      <formula>0</formula>
    </cfRule>
  </conditionalFormatting>
  <conditionalFormatting sqref="D56:G56">
    <cfRule type="cellIs" dxfId="58" priority="49" operator="equal">
      <formula>0</formula>
    </cfRule>
    <cfRule type="cellIs" dxfId="57" priority="50" operator="lessThan">
      <formula>0</formula>
    </cfRule>
    <cfRule type="cellIs" dxfId="56" priority="51" operator="greaterThan">
      <formula>0</formula>
    </cfRule>
  </conditionalFormatting>
  <conditionalFormatting sqref="D84:G84">
    <cfRule type="cellIs" dxfId="55" priority="16" operator="equal">
      <formula>0</formula>
    </cfRule>
    <cfRule type="cellIs" dxfId="54" priority="17" operator="lessThan">
      <formula>0</formula>
    </cfRule>
    <cfRule type="cellIs" dxfId="53" priority="18" operator="greaterThan">
      <formula>0</formula>
    </cfRule>
  </conditionalFormatting>
  <conditionalFormatting sqref="D108:G108">
    <cfRule type="cellIs" dxfId="52" priority="13" operator="equal">
      <formula>0</formula>
    </cfRule>
    <cfRule type="cellIs" dxfId="51" priority="14" operator="lessThan">
      <formula>0</formula>
    </cfRule>
    <cfRule type="cellIs" dxfId="50" priority="15" operator="greaterThan">
      <formula>0</formula>
    </cfRule>
  </conditionalFormatting>
  <conditionalFormatting sqref="D352:G352">
    <cfRule type="cellIs" dxfId="49" priority="19" operator="equal">
      <formula>0</formula>
    </cfRule>
    <cfRule type="cellIs" dxfId="48" priority="20" operator="lessThan">
      <formula>0</formula>
    </cfRule>
    <cfRule type="cellIs" dxfId="47" priority="21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B2:G107"/>
  <sheetViews>
    <sheetView showGridLines="0" topLeftCell="A121" workbookViewId="0">
      <selection activeCell="F8" sqref="F8"/>
    </sheetView>
  </sheetViews>
  <sheetFormatPr defaultRowHeight="14.45" customHeight="1"/>
  <cols>
    <col min="2" max="2" width="30.85546875" customWidth="1"/>
    <col min="3" max="3" width="27.5703125" customWidth="1"/>
    <col min="4" max="7" width="11.7109375" customWidth="1"/>
    <col min="9" max="9" width="11" bestFit="1" customWidth="1"/>
  </cols>
  <sheetData>
    <row r="2" spans="2:7" ht="28.9" customHeight="1">
      <c r="B2" s="31" t="s">
        <v>589</v>
      </c>
      <c r="C2" s="4"/>
      <c r="D2" s="4"/>
      <c r="E2" s="4"/>
      <c r="F2" s="4"/>
      <c r="G2" s="4"/>
    </row>
    <row r="3" spans="2:7" ht="14.45" customHeight="1">
      <c r="B3" s="35" t="s">
        <v>270</v>
      </c>
      <c r="C3" s="1"/>
      <c r="D3" s="1"/>
      <c r="E3" s="1"/>
      <c r="F3" s="1"/>
      <c r="G3" s="1"/>
    </row>
    <row r="4" spans="2:7" ht="14.45" customHeight="1">
      <c r="B4" s="8" t="s">
        <v>2</v>
      </c>
      <c r="C4" s="8" t="s">
        <v>215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34" t="s">
        <v>0</v>
      </c>
      <c r="C7" s="3" t="s">
        <v>217</v>
      </c>
      <c r="D7" s="36">
        <f>(SUMPRODUCT('Input data'!D$361:D$365,'Input data'!D115:D119)+'Input data'!D$381*'Input data'!D118+'Input data'!D$382*'Input data'!D119)*'Input data'!D258/SUM('Input data'!D258:D259)</f>
        <v>30931240.224923894</v>
      </c>
      <c r="E7" s="36">
        <f>(SUMPRODUCT('Input data'!E$361:E$365,'Input data'!E115:E119)+'Input data'!E$381*'Input data'!E118+'Input data'!E$382*'Input data'!E119)*'Input data'!E258/SUM('Input data'!E258:E259)</f>
        <v>32002254.47123478</v>
      </c>
      <c r="F7" s="36">
        <f>(SUMPRODUCT('Input data'!F$361:F$365,'Input data'!F115:F119)+'Input data'!F$381*'Input data'!F118+'Input data'!F$382*'Input data'!F119)*'Input data'!F258/SUM('Input data'!F258:F259)</f>
        <v>18392748.289478596</v>
      </c>
      <c r="G7" s="36">
        <f>(SUMPRODUCT('Input data'!G$361:G$365,'Input data'!G115:G119)+'Input data'!G$381*'Input data'!G118+'Input data'!G$382*'Input data'!G119)*'Input data'!G258/SUM('Input data'!G258:G259)</f>
        <v>18476205.994802892</v>
      </c>
    </row>
    <row r="8" spans="2:7" ht="14.45" customHeight="1">
      <c r="B8" s="34" t="s">
        <v>216</v>
      </c>
      <c r="C8" s="3" t="s">
        <v>217</v>
      </c>
      <c r="D8" s="36">
        <f>(SUMPRODUCT('Input data'!D$361:D$365,'Input data'!D115:D119)+'Input data'!D$381*'Input data'!D118+'Input data'!D$382*'Input data'!D119)*'Input data'!D259/SUM('Input data'!D258:D259)</f>
        <v>2308301.5093226787</v>
      </c>
      <c r="E8" s="36">
        <f>(SUMPRODUCT('Input data'!E$361:E$365,'Input data'!E115:E119)+'Input data'!E$381*'Input data'!E118+'Input data'!E$382*'Input data'!E119)*'Input data'!E259/SUM('Input data'!E258:E259)</f>
        <v>2388227.9456145358</v>
      </c>
      <c r="F8" s="36">
        <f>(SUMPRODUCT('Input data'!F$361:F$365,'Input data'!F115:F119)+'Input data'!F$381*'Input data'!F118+'Input data'!F$382*'Input data'!F119)*'Input data'!F259/SUM('Input data'!F258:F259)</f>
        <v>1372593.1559312386</v>
      </c>
      <c r="G8" s="36">
        <f>(SUMPRODUCT('Input data'!G$361:G$365,'Input data'!G115:G119)+'Input data'!G$381*'Input data'!G118+'Input data'!G$382*'Input data'!G119)*'Input data'!G259/SUM('Input data'!G258:G259)</f>
        <v>1378821.3428957383</v>
      </c>
    </row>
    <row r="9" spans="2:7" ht="14.45" customHeight="1">
      <c r="B9" s="34" t="s">
        <v>218</v>
      </c>
      <c r="C9" s="3" t="s">
        <v>14</v>
      </c>
      <c r="D9" s="36">
        <f>SUMPRODUCT('Input data'!D$366:D$370,'Input data'!D120:D124)+'Input data'!D$383*'Input data'!D124</f>
        <v>200000000</v>
      </c>
      <c r="E9" s="36">
        <f>SUMPRODUCT('Input data'!E$366:E$370,'Input data'!E120:E124)+'Input data'!E$383*'Input data'!E124</f>
        <v>200000000</v>
      </c>
      <c r="F9" s="36">
        <f>SUMPRODUCT('Input data'!F$366:F$370,'Input data'!F120:F124)+'Input data'!F$383*'Input data'!F124</f>
        <v>182415826.68795082</v>
      </c>
      <c r="G9" s="36">
        <f>SUMPRODUCT('Input data'!G$366:G$370,'Input data'!G120:G124)+'Input data'!G$383*'Input data'!G124</f>
        <v>182763409.64134246</v>
      </c>
    </row>
    <row r="10" spans="2:7" ht="14.45" customHeight="1">
      <c r="B10" s="34" t="s">
        <v>219</v>
      </c>
      <c r="C10" s="3" t="s">
        <v>15</v>
      </c>
      <c r="D10" s="36">
        <f>SUMPRODUCT('Input data'!D$371:D$372,'Input data'!D125:D126)+'Input data'!D$384*'Input data'!D126</f>
        <v>8990275.9128767122</v>
      </c>
      <c r="E10" s="36">
        <f>SUMPRODUCT('Input data'!E$371:E$372,'Input data'!E125:E126)+'Input data'!E$384*'Input data'!E126</f>
        <v>7435783.7183561651</v>
      </c>
      <c r="F10" s="36">
        <f>SUMPRODUCT('Input data'!F$371:F$372,'Input data'!F125:F126)+'Input data'!F$384*'Input data'!F126</f>
        <v>7061251.0740085999</v>
      </c>
      <c r="G10" s="36">
        <f>SUMPRODUCT('Input data'!G$371:G$372,'Input data'!G125:G126)+'Input data'!G$384*'Input data'!G126</f>
        <v>7951906.2221917808</v>
      </c>
    </row>
    <row r="11" spans="2:7" ht="14.45" customHeight="1">
      <c r="B11" s="34" t="s">
        <v>26</v>
      </c>
      <c r="C11" s="3" t="s">
        <v>220</v>
      </c>
      <c r="D11" s="36">
        <f>'Input data'!D$373</f>
        <v>1</v>
      </c>
      <c r="E11" s="36">
        <f>'Input data'!E$373</f>
        <v>1</v>
      </c>
      <c r="F11" s="36">
        <f>'Input data'!F$373</f>
        <v>1</v>
      </c>
      <c r="G11" s="36">
        <f>'Input data'!G$373</f>
        <v>1</v>
      </c>
    </row>
    <row r="14" spans="2:7" ht="28.9" customHeight="1">
      <c r="B14" s="31" t="s">
        <v>590</v>
      </c>
      <c r="C14" s="4"/>
      <c r="D14" s="4"/>
      <c r="E14" s="4"/>
      <c r="F14" s="4"/>
      <c r="G14" s="4"/>
    </row>
    <row r="15" spans="2:7" ht="14.45" customHeight="1">
      <c r="B15" s="35" t="s">
        <v>270</v>
      </c>
      <c r="C15" s="1"/>
      <c r="D15" s="1"/>
      <c r="E15" s="1"/>
      <c r="F15" s="1"/>
      <c r="G15" s="1"/>
    </row>
    <row r="16" spans="2:7" ht="14.45" customHeight="1">
      <c r="B16" s="8" t="s">
        <v>1</v>
      </c>
      <c r="C16" s="8" t="s">
        <v>215</v>
      </c>
      <c r="D16" s="5"/>
      <c r="E16" s="5"/>
      <c r="F16" s="5"/>
      <c r="G16" s="5"/>
    </row>
    <row r="17" spans="2:7" ht="14.45" customHeight="1">
      <c r="B17" s="24"/>
      <c r="C17" s="24"/>
      <c r="D17" s="22" t="str">
        <f>'Input data'!D$5</f>
        <v>2023-24</v>
      </c>
      <c r="E17" s="22" t="str">
        <f>'Input data'!E$5</f>
        <v>2024-25</v>
      </c>
      <c r="F17" s="22" t="str">
        <f>'Input data'!F$5</f>
        <v>2025-26</v>
      </c>
      <c r="G17" s="22" t="str">
        <f>'Input data'!G$5</f>
        <v>2026-27</v>
      </c>
    </row>
    <row r="18" spans="2:7" ht="14.45" customHeight="1">
      <c r="B18" s="23"/>
      <c r="C18" s="23"/>
      <c r="D18" s="7"/>
      <c r="E18" s="7"/>
      <c r="F18" s="7"/>
      <c r="G18" s="7"/>
    </row>
    <row r="19" spans="2:7" ht="14.45" customHeight="1">
      <c r="B19" s="34" t="s">
        <v>0</v>
      </c>
      <c r="C19" s="3" t="s">
        <v>217</v>
      </c>
      <c r="D19" s="36">
        <f>(SUMPRODUCT('Input data'!D$392:D$396,'Input data'!D133:D137)+'Input data'!D$418*'Input data'!D136+'Input data'!D$419*'Input data'!D137)*'Input data'!D260/SUM('Input data'!D260:D261)</f>
        <v>16318269.820479449</v>
      </c>
      <c r="E19" s="36">
        <f>(SUMPRODUCT('Input data'!E$392:E$396,'Input data'!E133:E137)+'Input data'!E$418*'Input data'!E136+'Input data'!E$419*'Input data'!E137)*'Input data'!E260/SUM('Input data'!E260:E261)</f>
        <v>36565153.017457187</v>
      </c>
      <c r="F19" s="36">
        <f>(SUMPRODUCT('Input data'!F$392:F$396,'Input data'!F133:F137)+'Input data'!F$418*'Input data'!F136+'Input data'!F$419*'Input data'!F137)*'Input data'!F260/SUM('Input data'!F260:F261)</f>
        <v>53723308.416250005</v>
      </c>
      <c r="G19" s="36">
        <f>(SUMPRODUCT('Input data'!G$392:G$396,'Input data'!G133:G137)+'Input data'!G$418*'Input data'!G136+'Input data'!G$419*'Input data'!G137)*'Input data'!G260/SUM('Input data'!G260:G261)</f>
        <v>19405165.553125001</v>
      </c>
    </row>
    <row r="20" spans="2:7" ht="14.45" customHeight="1">
      <c r="B20" s="34" t="s">
        <v>216</v>
      </c>
      <c r="C20" s="3" t="s">
        <v>217</v>
      </c>
      <c r="D20" s="36">
        <f>(SUMPRODUCT('Input data'!D$392:D$396,'Input data'!D133:D137)+'Input data'!D$418*'Input data'!D136+'Input data'!D$419*'Input data'!D137)*'Input data'!D261/SUM('Input data'!D260:D261)</f>
        <v>7417395.3729452044</v>
      </c>
      <c r="E20" s="36">
        <f>(SUMPRODUCT('Input data'!E$392:E$396,'Input data'!E133:E137)+'Input data'!E$418*'Input data'!E136+'Input data'!E$419*'Input data'!E137)*'Input data'!E261/SUM('Input data'!E260:E261)</f>
        <v>16620524.098844176</v>
      </c>
      <c r="F20" s="36">
        <f>(SUMPRODUCT('Input data'!F$392:F$396,'Input data'!F133:F137)+'Input data'!F$418*'Input data'!F136+'Input data'!F$419*'Input data'!F137)*'Input data'!F261/SUM('Input data'!F260:F261)</f>
        <v>24419685.643750001</v>
      </c>
      <c r="G20" s="36">
        <f>(SUMPRODUCT('Input data'!G$392:G$396,'Input data'!G133:G137)+'Input data'!G$418*'Input data'!G136+'Input data'!G$419*'Input data'!G137)*'Input data'!G261/SUM('Input data'!G260:G261)</f>
        <v>8820529.796875</v>
      </c>
    </row>
    <row r="21" spans="2:7" ht="14.45" customHeight="1">
      <c r="B21" s="34" t="s">
        <v>218</v>
      </c>
      <c r="C21" s="3" t="s">
        <v>14</v>
      </c>
      <c r="D21" s="36">
        <f>SUMPRODUCT('Input data'!D$397:D$401,'Input data'!D138:D142)+'Input data'!D$420*'Input data'!D141+'Input data'!D$421*'Input data'!D142</f>
        <v>2</v>
      </c>
      <c r="E21" s="36">
        <f>SUMPRODUCT('Input data'!E$397:E$401,'Input data'!E138:E142)+'Input data'!E$420*'Input data'!E141+'Input data'!E$421*'Input data'!E142</f>
        <v>1.94</v>
      </c>
      <c r="F21" s="36">
        <f>SUMPRODUCT('Input data'!F$397:F$401,'Input data'!F138:F142)+'Input data'!F$420*'Input data'!F141+'Input data'!F$421*'Input data'!F142</f>
        <v>1.94</v>
      </c>
      <c r="G21" s="36">
        <f>SUMPRODUCT('Input data'!G$397:G$401,'Input data'!G138:G142)+'Input data'!G$420*'Input data'!G141+'Input data'!G$421*'Input data'!G142</f>
        <v>1.94</v>
      </c>
    </row>
    <row r="22" spans="2:7" ht="14.45" customHeight="1">
      <c r="B22" s="34" t="s">
        <v>219</v>
      </c>
      <c r="C22" s="3" t="s">
        <v>15</v>
      </c>
      <c r="D22" s="36">
        <f>SUMPRODUCT('Input data'!D$402:D$403,'Input data'!D143:D144)+'Input data'!D$422*'Input data'!D144</f>
        <v>11893399.989315068</v>
      </c>
      <c r="E22" s="36">
        <f>SUMPRODUCT('Input data'!E$402:E$403,'Input data'!E143:E144)+'Input data'!E$422*'Input data'!E144</f>
        <v>7121971.8712328775</v>
      </c>
      <c r="F22" s="36">
        <f>SUMPRODUCT('Input data'!F$402:F$403,'Input data'!F143:F144)+'Input data'!F$422*'Input data'!F144</f>
        <v>7345604.5458560269</v>
      </c>
      <c r="G22" s="36">
        <f>SUMPRODUCT('Input data'!G$402:G$403,'Input data'!G143:G144)+'Input data'!G$422*'Input data'!G144</f>
        <v>5706229.4995389394</v>
      </c>
    </row>
    <row r="23" spans="2:7" ht="14.45" customHeight="1">
      <c r="B23" s="34" t="s">
        <v>55</v>
      </c>
      <c r="C23" s="3" t="s">
        <v>221</v>
      </c>
      <c r="D23" s="36">
        <f>(SUM('Input data'!D$404:D$405)+SUMPRODUCT('Input data'!D$406:D$410,'Input data'!D$145:D$149))*'Input data'!D267</f>
        <v>778231.03827960521</v>
      </c>
      <c r="E23" s="36">
        <f>(SUM('Input data'!E$404:E$405)+SUMPRODUCT('Input data'!E$406:E$410,'Input data'!E$145:E$149))*'Input data'!E267</f>
        <v>772301.12642537442</v>
      </c>
      <c r="F23" s="36">
        <f>(SUM('Input data'!F$404:F$405)+SUMPRODUCT('Input data'!F$406:F$410,'Input data'!F$145:F$149))*'Input data'!F267</f>
        <v>666910.5112026704</v>
      </c>
      <c r="G23" s="36">
        <f>(SUM('Input data'!G$404:G$405)+SUMPRODUCT('Input data'!G$406:G$410,'Input data'!G$145:G$149))*'Input data'!G267</f>
        <v>806625.95540888084</v>
      </c>
    </row>
    <row r="24" spans="2:7" ht="14.45" customHeight="1">
      <c r="B24" s="34" t="s">
        <v>57</v>
      </c>
      <c r="C24" s="3" t="s">
        <v>221</v>
      </c>
      <c r="D24" s="36">
        <f>(SUM('Input data'!D$404:D$405)+SUMPRODUCT('Input data'!D$406:D$410,'Input data'!D$145:D$149))*'Input data'!D268</f>
        <v>2721441.4963189051</v>
      </c>
      <c r="E24" s="36">
        <f>(SUM('Input data'!E$404:E$405)+SUMPRODUCT('Input data'!E$406:E$410,'Input data'!E$145:E$149))*'Input data'!E268</f>
        <v>2700704.8417833927</v>
      </c>
      <c r="F24" s="36">
        <f>(SUM('Input data'!F$404:F$405)+SUMPRODUCT('Input data'!F$406:F$410,'Input data'!F$145:F$149))*'Input data'!F268</f>
        <v>2332158.2540969248</v>
      </c>
      <c r="G24" s="36">
        <f>(SUM('Input data'!G$404:G$405)+SUMPRODUCT('Input data'!G$406:G$410,'Input data'!G$145:G$149))*'Input data'!G268</f>
        <v>2820737.3377324976</v>
      </c>
    </row>
    <row r="25" spans="2:7" ht="14.45" customHeight="1">
      <c r="B25" s="34" t="s">
        <v>59</v>
      </c>
      <c r="C25" s="3" t="s">
        <v>221</v>
      </c>
      <c r="D25" s="36">
        <f>(SUM('Input data'!D$404:D$405)+SUMPRODUCT('Input data'!D$406:D$410,'Input data'!D$145:D$149))*'Input data'!D269</f>
        <v>937349.00434786058</v>
      </c>
      <c r="E25" s="36">
        <f>(SUM('Input data'!E$404:E$405)+SUMPRODUCT('Input data'!E$406:E$410,'Input data'!E$145:E$149))*'Input data'!E269</f>
        <v>930206.65625452122</v>
      </c>
      <c r="F25" s="36">
        <f>(SUM('Input data'!F$404:F$405)+SUMPRODUCT('Input data'!F$406:F$410,'Input data'!F$145:F$149))*'Input data'!F269</f>
        <v>803267.76100691583</v>
      </c>
      <c r="G25" s="36">
        <f>(SUM('Input data'!G$404:G$405)+SUMPRODUCT('Input data'!G$406:G$410,'Input data'!G$145:G$149))*'Input data'!G269</f>
        <v>971549.57717325829</v>
      </c>
    </row>
    <row r="26" spans="2:7" ht="14.45" customHeight="1">
      <c r="B26" s="34" t="s">
        <v>61</v>
      </c>
      <c r="C26" s="3" t="s">
        <v>221</v>
      </c>
      <c r="D26" s="36">
        <f>(SUM('Input data'!D$404:D$405)+SUMPRODUCT('Input data'!D$406:D$410,'Input data'!D$145:D$149))*'Input data'!D270</f>
        <v>1551124.3972204293</v>
      </c>
      <c r="E26" s="36">
        <f>(SUM('Input data'!E$404:E$405)+SUMPRODUCT('Input data'!E$406:E$410,'Input data'!E$145:E$149))*'Input data'!E270</f>
        <v>1539305.245197403</v>
      </c>
      <c r="F26" s="36">
        <f>(SUM('Input data'!F$404:F$405)+SUMPRODUCT('Input data'!F$406:F$410,'Input data'!F$145:F$149))*'Input data'!F270</f>
        <v>1329246.8609014102</v>
      </c>
      <c r="G26" s="36">
        <f>(SUM('Input data'!G$404:G$405)+SUMPRODUCT('Input data'!G$406:G$410,'Input data'!G$145:G$149))*'Input data'!G270</f>
        <v>1607719.4783079652</v>
      </c>
    </row>
    <row r="27" spans="2:7" ht="14.45" customHeight="1">
      <c r="B27" s="34" t="s">
        <v>62</v>
      </c>
      <c r="C27" s="3" t="s">
        <v>221</v>
      </c>
      <c r="D27" s="36">
        <f>(SUM('Input data'!D$404:D$405)+SUMPRODUCT('Input data'!D$406:D$410,'Input data'!D$145:D$149))*'Input data'!D271</f>
        <v>402361.86818631936</v>
      </c>
      <c r="E27" s="36">
        <f>(SUM('Input data'!E$404:E$405)+SUMPRODUCT('Input data'!E$406:E$410,'Input data'!E$145:E$149))*'Input data'!E271</f>
        <v>399295.97863104916</v>
      </c>
      <c r="F27" s="36">
        <f>(SUM('Input data'!F$404:F$405)+SUMPRODUCT('Input data'!F$406:F$410,'Input data'!F$145:F$149))*'Input data'!F271</f>
        <v>344806.80672130937</v>
      </c>
      <c r="G27" s="36">
        <f>(SUM('Input data'!G$404:G$405)+SUMPRODUCT('Input data'!G$406:G$410,'Input data'!G$145:G$149))*'Input data'!G271</f>
        <v>417042.6395012078</v>
      </c>
    </row>
    <row r="28" spans="2:7" ht="14.45" customHeight="1">
      <c r="B28" s="34" t="s">
        <v>64</v>
      </c>
      <c r="C28" s="3" t="s">
        <v>221</v>
      </c>
      <c r="D28" s="36">
        <f>(SUM('Input data'!D$404:D$405)+SUMPRODUCT('Input data'!D$406:D$410,'Input data'!D$145:D$149))*'Input data'!D272</f>
        <v>880886.04402429983</v>
      </c>
      <c r="E28" s="36">
        <f>(SUM('Input data'!E$404:E$405)+SUMPRODUCT('Input data'!E$406:E$410,'Input data'!E$145:E$149))*'Input data'!E272</f>
        <v>874173.92854991101</v>
      </c>
      <c r="F28" s="36">
        <f>(SUM('Input data'!F$404:F$405)+SUMPRODUCT('Input data'!F$406:F$410,'Input data'!F$145:F$149))*'Input data'!F272</f>
        <v>754881.43370667647</v>
      </c>
      <c r="G28" s="36">
        <f>(SUM('Input data'!G$404:G$405)+SUMPRODUCT('Input data'!G$406:G$410,'Input data'!G$145:G$149))*'Input data'!G272</f>
        <v>913026.48174790898</v>
      </c>
    </row>
    <row r="29" spans="2:7" ht="14.45" customHeight="1">
      <c r="B29" s="34" t="s">
        <v>66</v>
      </c>
      <c r="C29" s="3" t="s">
        <v>221</v>
      </c>
      <c r="D29" s="36">
        <f>(SUM('Input data'!D$404:D$405)+SUMPRODUCT('Input data'!D$406:D$410,'Input data'!D$145:D$149))*'Input data'!D273</f>
        <v>2025042.8064868895</v>
      </c>
      <c r="E29" s="36">
        <f>(SUM('Input data'!E$404:E$405)+SUMPRODUCT('Input data'!E$406:E$410,'Input data'!E$145:E$149))*'Input data'!E273</f>
        <v>2009612.5232511326</v>
      </c>
      <c r="F29" s="36">
        <f>(SUM('Input data'!F$404:F$405)+SUMPRODUCT('Input data'!F$406:F$410,'Input data'!F$145:F$149))*'Input data'!F273</f>
        <v>1735374.5441289404</v>
      </c>
      <c r="G29" s="36">
        <f>(SUM('Input data'!G$404:G$405)+SUMPRODUCT('Input data'!G$406:G$410,'Input data'!G$145:G$149))*'Input data'!G273</f>
        <v>2098929.5057382393</v>
      </c>
    </row>
    <row r="30" spans="2:7" ht="14.45" customHeight="1">
      <c r="B30" s="34" t="s">
        <v>68</v>
      </c>
      <c r="C30" s="3" t="s">
        <v>221</v>
      </c>
      <c r="D30" s="36">
        <f>(SUM('Input data'!D$404:D$405)+SUMPRODUCT('Input data'!D$406:D$410,'Input data'!D$145:D$149))*'Input data'!D274</f>
        <v>2396530.6110709882</v>
      </c>
      <c r="E30" s="36">
        <f>(SUM('Input data'!E$404:E$405)+SUMPRODUCT('Input data'!E$406:E$410,'Input data'!E$145:E$149))*'Input data'!E274</f>
        <v>2378269.6903667292</v>
      </c>
      <c r="F30" s="36">
        <f>(SUM('Input data'!F$404:F$405)+SUMPRODUCT('Input data'!F$406:F$410,'Input data'!F$145:F$149))*'Input data'!F274</f>
        <v>2053723.6069065251</v>
      </c>
      <c r="G30" s="36">
        <f>(SUM('Input data'!G$404:G$405)+SUMPRODUCT('Input data'!G$406:G$410,'Input data'!G$145:G$149))*'Input data'!G274</f>
        <v>2483971.5954983965</v>
      </c>
    </row>
    <row r="31" spans="2:7" ht="14.45" customHeight="1">
      <c r="B31" s="34" t="s">
        <v>70</v>
      </c>
      <c r="C31" s="3" t="s">
        <v>221</v>
      </c>
      <c r="D31" s="36">
        <f>(SUM('Input data'!D$404:D$405)+SUMPRODUCT('Input data'!D$406:D$410,'Input data'!D$145:D$149))*'Input data'!D275</f>
        <v>1709426.9524517185</v>
      </c>
      <c r="E31" s="36">
        <f>(SUM('Input data'!E$404:E$405)+SUMPRODUCT('Input data'!E$406:E$410,'Input data'!E$145:E$149))*'Input data'!E275</f>
        <v>1696401.5774015356</v>
      </c>
      <c r="F31" s="36">
        <f>(SUM('Input data'!F$404:F$405)+SUMPRODUCT('Input data'!F$406:F$410,'Input data'!F$145:F$149))*'Input data'!F275</f>
        <v>1464905.3387068885</v>
      </c>
      <c r="G31" s="36">
        <f>(SUM('Input data'!G$404:G$405)+SUMPRODUCT('Input data'!G$406:G$410,'Input data'!G$145:G$149))*'Input data'!G275</f>
        <v>1771797.9377579836</v>
      </c>
    </row>
    <row r="32" spans="2:7" ht="14.45" customHeight="1">
      <c r="B32" s="34" t="s">
        <v>72</v>
      </c>
      <c r="C32" s="3" t="s">
        <v>221</v>
      </c>
      <c r="D32" s="36">
        <f>(SUM('Input data'!D$404:D$405)+SUMPRODUCT('Input data'!D$406:D$410,'Input data'!D$145:D$149))*'Input data'!D276</f>
        <v>12643653.782261247</v>
      </c>
      <c r="E32" s="36">
        <f>(SUM('Input data'!E$404:E$405)+SUMPRODUCT('Input data'!E$406:E$410,'Input data'!E$145:E$149))*'Input data'!E276</f>
        <v>12547312.530426873</v>
      </c>
      <c r="F32" s="36">
        <f>(SUM('Input data'!F$404:F$405)+SUMPRODUCT('Input data'!F$406:F$410,'Input data'!F$145:F$149))*'Input data'!F276</f>
        <v>10835067.213507725</v>
      </c>
      <c r="G32" s="36">
        <f>(SUM('Input data'!G$404:G$405)+SUMPRODUCT('Input data'!G$406:G$410,'Input data'!G$145:G$149))*'Input data'!G276</f>
        <v>13104976.299225125</v>
      </c>
    </row>
    <row r="33" spans="2:7" ht="14.45" customHeight="1">
      <c r="B33" s="34" t="s">
        <v>74</v>
      </c>
      <c r="C33" s="3" t="s">
        <v>221</v>
      </c>
      <c r="D33" s="36">
        <f>(SUM('Input data'!D$404:D$405)+SUMPRODUCT('Input data'!D$406:D$410,'Input data'!D$145:D$149))*'Input data'!D277</f>
        <v>0</v>
      </c>
      <c r="E33" s="36">
        <f>(SUM('Input data'!E$404:E$405)+SUMPRODUCT('Input data'!E$406:E$410,'Input data'!E$145:E$149))*'Input data'!E277</f>
        <v>0</v>
      </c>
      <c r="F33" s="36">
        <f>(SUM('Input data'!F$404:F$405)+SUMPRODUCT('Input data'!F$406:F$410,'Input data'!F$145:F$149))*'Input data'!F277</f>
        <v>0</v>
      </c>
      <c r="G33" s="36">
        <f>(SUM('Input data'!G$404:G$405)+SUMPRODUCT('Input data'!G$406:G$410,'Input data'!G$145:G$149))*'Input data'!G277</f>
        <v>0</v>
      </c>
    </row>
    <row r="34" spans="2:7" ht="14.45" customHeight="1">
      <c r="B34" s="34" t="s">
        <v>76</v>
      </c>
      <c r="C34" s="3" t="s">
        <v>221</v>
      </c>
      <c r="D34" s="36">
        <f>(SUM('Input data'!D$404:D$405)+SUMPRODUCT('Input data'!D$406:D$410,'Input data'!D$145:D$149))*'Input data'!D278</f>
        <v>672717.85446917627</v>
      </c>
      <c r="E34" s="36">
        <f>(SUM('Input data'!E$404:E$405)+SUMPRODUCT('Input data'!E$406:E$410,'Input data'!E$145:E$149))*'Input data'!E278</f>
        <v>667591.92478563637</v>
      </c>
      <c r="F34" s="36">
        <f>(SUM('Input data'!F$404:F$405)+SUMPRODUCT('Input data'!F$406:F$410,'Input data'!F$145:F$149))*'Input data'!F278</f>
        <v>576490.25308858522</v>
      </c>
      <c r="G34" s="36">
        <f>(SUM('Input data'!G$404:G$405)+SUMPRODUCT('Input data'!G$406:G$410,'Input data'!G$145:G$149))*'Input data'!G278</f>
        <v>697262.96612555999</v>
      </c>
    </row>
    <row r="35" spans="2:7" ht="14.45" customHeight="1">
      <c r="B35" s="34" t="s">
        <v>78</v>
      </c>
      <c r="C35" s="3" t="s">
        <v>221</v>
      </c>
      <c r="D35" s="36">
        <f>(SUM('Input data'!D$404:D$405)+SUMPRODUCT('Input data'!D$406:D$410,'Input data'!D$145:D$149))*'Input data'!D279</f>
        <v>2756026.0053936564</v>
      </c>
      <c r="E35" s="36">
        <f>(SUM('Input data'!E$404:E$405)+SUMPRODUCT('Input data'!E$406:E$410,'Input data'!E$145:E$149))*'Input data'!E279</f>
        <v>2735025.8261717111</v>
      </c>
      <c r="F35" s="36">
        <f>(SUM('Input data'!F$404:F$405)+SUMPRODUCT('Input data'!F$406:F$410,'Input data'!F$145:F$149))*'Input data'!F279</f>
        <v>2361795.6901438399</v>
      </c>
      <c r="G35" s="36">
        <f>(SUM('Input data'!G$404:G$405)+SUMPRODUCT('Input data'!G$406:G$410,'Input data'!G$145:G$149))*'Input data'!G279</f>
        <v>2856583.7140688081</v>
      </c>
    </row>
    <row r="36" spans="2:7" ht="14.45" customHeight="1">
      <c r="B36" s="34" t="s">
        <v>80</v>
      </c>
      <c r="C36" s="3" t="s">
        <v>221</v>
      </c>
      <c r="D36" s="36">
        <f>(SUM('Input data'!D$404:D$405)+SUMPRODUCT('Input data'!D$406:D$410,'Input data'!D$145:D$149))*'Input data'!D280</f>
        <v>1690923.9759036149</v>
      </c>
      <c r="E36" s="36">
        <f>(SUM('Input data'!E$404:E$405)+SUMPRODUCT('Input data'!E$406:E$410,'Input data'!E$145:E$149))*'Input data'!E280</f>
        <v>1678039.5885737543</v>
      </c>
      <c r="F36" s="36">
        <f>(SUM('Input data'!F$404:F$405)+SUMPRODUCT('Input data'!F$406:F$410,'Input data'!F$145:F$149))*'Input data'!F280</f>
        <v>1449049.0840196612</v>
      </c>
      <c r="G36" s="36">
        <f>(SUM('Input data'!G$404:G$405)+SUMPRODUCT('Input data'!G$406:G$410,'Input data'!G$145:G$149))*'Input data'!G280</f>
        <v>1752619.8525854673</v>
      </c>
    </row>
    <row r="37" spans="2:7" ht="14.45" customHeight="1">
      <c r="B37" s="34" t="s">
        <v>82</v>
      </c>
      <c r="C37" s="3" t="s">
        <v>221</v>
      </c>
      <c r="D37" s="36">
        <f>(SUM('Input data'!D$404:D$405)+SUMPRODUCT('Input data'!D$406:D$410,'Input data'!D$145:D$149))*'Input data'!D281</f>
        <v>38955917.439126588</v>
      </c>
      <c r="E37" s="36">
        <f>(SUM('Input data'!E$404:E$405)+SUMPRODUCT('Input data'!E$406:E$410,'Input data'!E$145:E$149))*'Input data'!E281</f>
        <v>38659083.793008611</v>
      </c>
      <c r="F37" s="36">
        <f>(SUM('Input data'!F$404:F$405)+SUMPRODUCT('Input data'!F$406:F$410,'Input data'!F$145:F$149))*'Input data'!F281</f>
        <v>33383544.906060047</v>
      </c>
      <c r="G37" s="36">
        <f>(SUM('Input data'!G$404:G$405)+SUMPRODUCT('Input data'!G$406:G$410,'Input data'!G$145:G$149))*'Input data'!G281</f>
        <v>40377282.03777355</v>
      </c>
    </row>
    <row r="38" spans="2:7" ht="14.45" customHeight="1">
      <c r="B38" s="34" t="s">
        <v>83</v>
      </c>
      <c r="C38" s="3" t="s">
        <v>221</v>
      </c>
      <c r="D38" s="36">
        <f>(SUM('Input data'!D$404:D$405)+SUMPRODUCT('Input data'!D$406:D$410,'Input data'!D$145:D$149))*'Input data'!D282</f>
        <v>659810.22708433529</v>
      </c>
      <c r="E38" s="36">
        <f>(SUM('Input data'!E$404:E$405)+SUMPRODUCT('Input data'!E$406:E$410,'Input data'!E$145:E$149))*'Input data'!E282</f>
        <v>654782.65006070549</v>
      </c>
      <c r="F38" s="36">
        <f>(SUM('Input data'!F$404:F$405)+SUMPRODUCT('Input data'!F$406:F$410,'Input data'!F$145:F$149))*'Input data'!F282</f>
        <v>565428.97185689898</v>
      </c>
      <c r="G38" s="36">
        <f>(SUM('Input data'!G$404:G$405)+SUMPRODUCT('Input data'!G$406:G$410,'Input data'!G$145:G$149))*'Input data'!G282</f>
        <v>683884.38475417753</v>
      </c>
    </row>
    <row r="39" spans="2:7" ht="14.45" customHeight="1">
      <c r="B39" s="34" t="s">
        <v>84</v>
      </c>
      <c r="C39" s="3" t="s">
        <v>221</v>
      </c>
      <c r="D39" s="36">
        <f>(SUM('Input data'!D$404:D$405)+SUMPRODUCT('Input data'!D$406:D$410,'Input data'!D$145:D$149))*'Input data'!D283</f>
        <v>475141.19935757492</v>
      </c>
      <c r="E39" s="36">
        <f>(SUM('Input data'!E$404:E$405)+SUMPRODUCT('Input data'!E$406:E$410,'Input data'!E$145:E$149))*'Input data'!E283</f>
        <v>471520.75081220135</v>
      </c>
      <c r="F39" s="36">
        <f>(SUM('Input data'!F$404:F$405)+SUMPRODUCT('Input data'!F$406:F$410,'Input data'!F$145:F$149))*'Input data'!F283</f>
        <v>407175.56171688158</v>
      </c>
      <c r="G39" s="36">
        <f>(SUM('Input data'!G$404:G$405)+SUMPRODUCT('Input data'!G$406:G$410,'Input data'!G$145:G$149))*'Input data'!G283</f>
        <v>492477.43283688737</v>
      </c>
    </row>
    <row r="40" spans="2:7" ht="14.45" customHeight="1">
      <c r="B40" s="34" t="s">
        <v>86</v>
      </c>
      <c r="C40" s="3" t="s">
        <v>221</v>
      </c>
      <c r="D40" s="36">
        <f>(SUM('Input data'!D$404:D$405)+SUMPRODUCT('Input data'!D$406:D$410,'Input data'!D$145:D$149))*'Input data'!D284</f>
        <v>46458.19551831967</v>
      </c>
      <c r="E40" s="36">
        <f>(SUM('Input data'!E$404:E$405)+SUMPRODUCT('Input data'!E$406:E$410,'Input data'!E$145:E$149))*'Input data'!E284</f>
        <v>46104.19652473124</v>
      </c>
      <c r="F40" s="36">
        <f>(SUM('Input data'!F$404:F$405)+SUMPRODUCT('Input data'!F$406:F$410,'Input data'!F$145:F$149))*'Input data'!F284</f>
        <v>39812.6743841645</v>
      </c>
      <c r="G40" s="36">
        <f>(SUM('Input data'!G$404:G$405)+SUMPRODUCT('Input data'!G$406:G$410,'Input data'!G$145:G$149))*'Input data'!G284</f>
        <v>48153.291893085967</v>
      </c>
    </row>
    <row r="41" spans="2:7" ht="14.45" customHeight="1">
      <c r="B41" s="34" t="s">
        <v>88</v>
      </c>
      <c r="C41" s="3" t="s">
        <v>221</v>
      </c>
      <c r="D41" s="36">
        <f>(SUM('Input data'!D$404:D$405)+SUMPRODUCT('Input data'!D$406:D$410,'Input data'!D$145:D$149))*'Input data'!D285</f>
        <v>0</v>
      </c>
      <c r="E41" s="36">
        <f>(SUM('Input data'!E$404:E$405)+SUMPRODUCT('Input data'!E$406:E$410,'Input data'!E$145:E$149))*'Input data'!E285</f>
        <v>0</v>
      </c>
      <c r="F41" s="36">
        <f>(SUM('Input data'!F$404:F$405)+SUMPRODUCT('Input data'!F$406:F$410,'Input data'!F$145:F$149))*'Input data'!F285</f>
        <v>0</v>
      </c>
      <c r="G41" s="36">
        <f>(SUM('Input data'!G$404:G$405)+SUMPRODUCT('Input data'!G$406:G$410,'Input data'!G$145:G$149))*'Input data'!G285</f>
        <v>0</v>
      </c>
    </row>
    <row r="42" spans="2:7" ht="14.45" customHeight="1">
      <c r="B42" s="34" t="s">
        <v>90</v>
      </c>
      <c r="C42" s="3" t="s">
        <v>221</v>
      </c>
      <c r="D42" s="36">
        <f>(SUM('Input data'!D$404:D$405)+SUMPRODUCT('Input data'!D$406:D$410,'Input data'!D$145:D$149))*'Input data'!D286</f>
        <v>1530398.6107307556</v>
      </c>
      <c r="E42" s="36">
        <f>(SUM('Input data'!E$404:E$405)+SUMPRODUCT('Input data'!E$406:E$410,'Input data'!E$145:E$149))*'Input data'!E286</f>
        <v>1518737.3836438321</v>
      </c>
      <c r="F42" s="36">
        <f>(SUM('Input data'!F$404:F$405)+SUMPRODUCT('Input data'!F$406:F$410,'Input data'!F$145:F$149))*'Input data'!F286</f>
        <v>1311485.7537455433</v>
      </c>
      <c r="G42" s="36">
        <f>(SUM('Input data'!G$404:G$405)+SUMPRODUCT('Input data'!G$406:G$410,'Input data'!G$145:G$149))*'Input data'!G286</f>
        <v>1586237.4806665054</v>
      </c>
    </row>
    <row r="43" spans="2:7" ht="14.45" customHeight="1">
      <c r="B43" s="34" t="s">
        <v>91</v>
      </c>
      <c r="C43" s="3" t="s">
        <v>221</v>
      </c>
      <c r="D43" s="36">
        <f>(SUM('Input data'!D$404:D$405)+SUMPRODUCT('Input data'!D$406:D$410,'Input data'!D$145:D$149))*'Input data'!D287</f>
        <v>868322.19384832378</v>
      </c>
      <c r="E43" s="36">
        <f>(SUM('Input data'!E$404:E$405)+SUMPRODUCT('Input data'!E$406:E$410,'Input data'!E$145:E$149))*'Input data'!E287</f>
        <v>861705.8115436862</v>
      </c>
      <c r="F43" s="36">
        <f>(SUM('Input data'!F$404:F$405)+SUMPRODUCT('Input data'!F$406:F$410,'Input data'!F$145:F$149))*'Input data'!F287</f>
        <v>744114.75474967051</v>
      </c>
      <c r="G43" s="36">
        <f>(SUM('Input data'!G$404:G$405)+SUMPRODUCT('Input data'!G$406:G$410,'Input data'!G$145:G$149))*'Input data'!G287</f>
        <v>900004.22080826038</v>
      </c>
    </row>
    <row r="44" spans="2:7" ht="14.45" customHeight="1">
      <c r="B44" s="34" t="s">
        <v>93</v>
      </c>
      <c r="C44" s="3" t="s">
        <v>221</v>
      </c>
      <c r="D44" s="36">
        <f>(SUM('Input data'!D$404:D$405)+SUMPRODUCT('Input data'!D$406:D$410,'Input data'!D$145:D$149))*'Input data'!D288</f>
        <v>1575749.4783324753</v>
      </c>
      <c r="E44" s="36">
        <f>(SUM('Input data'!E$404:E$405)+SUMPRODUCT('Input data'!E$406:E$410,'Input data'!E$145:E$149))*'Input data'!E288</f>
        <v>1563742.6897937937</v>
      </c>
      <c r="F44" s="36">
        <f>(SUM('Input data'!F$404:F$405)+SUMPRODUCT('Input data'!F$406:F$410,'Input data'!F$145:F$149))*'Input data'!F288</f>
        <v>1350349.4957553819</v>
      </c>
      <c r="G44" s="36">
        <f>(SUM('Input data'!G$404:G$405)+SUMPRODUCT('Input data'!G$406:G$410,'Input data'!G$145:G$149))*'Input data'!G288</f>
        <v>1633243.0421366913</v>
      </c>
    </row>
    <row r="45" spans="2:7" ht="14.45" customHeight="1">
      <c r="B45" s="34" t="s">
        <v>95</v>
      </c>
      <c r="C45" s="3" t="s">
        <v>221</v>
      </c>
      <c r="D45" s="36">
        <f>(SUM('Input data'!D$404:D$405)+SUMPRODUCT('Input data'!D$406:D$410,'Input data'!D$145:D$149))*'Input data'!D289</f>
        <v>1602787.5231932716</v>
      </c>
      <c r="E45" s="36">
        <f>(SUM('Input data'!E$404:E$405)+SUMPRODUCT('Input data'!E$406:E$410,'Input data'!E$145:E$149))*'Input data'!E289</f>
        <v>1590574.7120021272</v>
      </c>
      <c r="F45" s="36">
        <f>(SUM('Input data'!F$404:F$405)+SUMPRODUCT('Input data'!F$406:F$410,'Input data'!F$145:F$149))*'Input data'!F289</f>
        <v>1373519.9367081057</v>
      </c>
      <c r="G45" s="36">
        <f>(SUM('Input data'!G$404:G$405)+SUMPRODUCT('Input data'!G$406:G$410,'Input data'!G$145:G$149))*'Input data'!G289</f>
        <v>1661267.6102860696</v>
      </c>
    </row>
    <row r="46" spans="2:7" ht="14.45" customHeight="1">
      <c r="B46" s="34" t="s">
        <v>97</v>
      </c>
      <c r="C46" s="3" t="s">
        <v>221</v>
      </c>
      <c r="D46" s="36">
        <f>(SUM('Input data'!D$404:D$405)+SUMPRODUCT('Input data'!D$406:D$410,'Input data'!D$145:D$149))*'Input data'!D290</f>
        <v>4113892.1632950576</v>
      </c>
      <c r="E46" s="36">
        <f>(SUM('Input data'!E$404:E$405)+SUMPRODUCT('Input data'!E$406:E$410,'Input data'!E$145:E$149))*'Input data'!E290</f>
        <v>4082545.4080177564</v>
      </c>
      <c r="F46" s="36">
        <f>(SUM('Input data'!F$404:F$405)+SUMPRODUCT('Input data'!F$406:F$410,'Input data'!F$145:F$149))*'Input data'!F290</f>
        <v>3525428.5561790178</v>
      </c>
      <c r="G46" s="36">
        <f>(SUM('Input data'!G$404:G$405)+SUMPRODUCT('Input data'!G$406:G$410,'Input data'!G$145:G$149))*'Input data'!G290</f>
        <v>4263993.6387049481</v>
      </c>
    </row>
    <row r="47" spans="2:7" ht="14.45" customHeight="1">
      <c r="B47" s="34" t="s">
        <v>99</v>
      </c>
      <c r="C47" s="3" t="s">
        <v>221</v>
      </c>
      <c r="D47" s="36">
        <f>(SUM('Input data'!D$404:D$405)+SUMPRODUCT('Input data'!D$406:D$410,'Input data'!D$145:D$149))*'Input data'!D291</f>
        <v>0</v>
      </c>
      <c r="E47" s="36">
        <f>(SUM('Input data'!E$404:E$405)+SUMPRODUCT('Input data'!E$406:E$410,'Input data'!E$145:E$149))*'Input data'!E291</f>
        <v>0</v>
      </c>
      <c r="F47" s="36">
        <f>(SUM('Input data'!F$404:F$405)+SUMPRODUCT('Input data'!F$406:F$410,'Input data'!F$145:F$149))*'Input data'!F291</f>
        <v>0</v>
      </c>
      <c r="G47" s="36">
        <f>(SUM('Input data'!G$404:G$405)+SUMPRODUCT('Input data'!G$406:G$410,'Input data'!G$145:G$149))*'Input data'!G291</f>
        <v>0</v>
      </c>
    </row>
    <row r="48" spans="2:7" ht="14.45" customHeight="1">
      <c r="B48" s="34" t="s">
        <v>101</v>
      </c>
      <c r="C48" s="3" t="s">
        <v>221</v>
      </c>
      <c r="D48" s="36">
        <f>(SUM('Input data'!D$404:D$405)+SUMPRODUCT('Input data'!D$406:D$410,'Input data'!D$145:D$149))*'Input data'!D292</f>
        <v>9147753.9905232135</v>
      </c>
      <c r="E48" s="36">
        <f>(SUM('Input data'!E$404:E$405)+SUMPRODUCT('Input data'!E$406:E$410,'Input data'!E$145:E$149))*'Input data'!E292</f>
        <v>9078050.557789525</v>
      </c>
      <c r="F48" s="36">
        <f>(SUM('Input data'!F$404:F$405)+SUMPRODUCT('Input data'!F$406:F$410,'Input data'!F$145:F$149))*'Input data'!F292</f>
        <v>7839231.5264920266</v>
      </c>
      <c r="G48" s="36">
        <f>(SUM('Input data'!G$404:G$405)+SUMPRODUCT('Input data'!G$406:G$410,'Input data'!G$145:G$149))*'Input data'!G292</f>
        <v>9481523.4030798264</v>
      </c>
    </row>
    <row r="49" spans="2:7" ht="14.45" customHeight="1">
      <c r="B49" s="34" t="s">
        <v>103</v>
      </c>
      <c r="C49" s="3" t="s">
        <v>221</v>
      </c>
      <c r="D49" s="36">
        <f>(SUM('Input data'!D$404:D$405)+SUMPRODUCT('Input data'!D$406:D$410,'Input data'!D$145:D$149))*'Input data'!D293</f>
        <v>0</v>
      </c>
      <c r="E49" s="36">
        <f>(SUM('Input data'!E$404:E$405)+SUMPRODUCT('Input data'!E$406:E$410,'Input data'!E$145:E$149))*'Input data'!E293</f>
        <v>0</v>
      </c>
      <c r="F49" s="36">
        <f>(SUM('Input data'!F$404:F$405)+SUMPRODUCT('Input data'!F$406:F$410,'Input data'!F$145:F$149))*'Input data'!F293</f>
        <v>0</v>
      </c>
      <c r="G49" s="36">
        <f>(SUM('Input data'!G$404:G$405)+SUMPRODUCT('Input data'!G$406:G$410,'Input data'!G$145:G$149))*'Input data'!G293</f>
        <v>0</v>
      </c>
    </row>
    <row r="50" spans="2:7" ht="14.45" customHeight="1">
      <c r="B50" s="34" t="s">
        <v>104</v>
      </c>
      <c r="C50" s="3" t="s">
        <v>221</v>
      </c>
      <c r="D50" s="36">
        <f>(SUM('Input data'!D$404:D$405)+SUMPRODUCT('Input data'!D$406:D$410,'Input data'!D$145:D$149))*'Input data'!D294</f>
        <v>33600536.835732296</v>
      </c>
      <c r="E50" s="36">
        <f>(SUM('Input data'!E$404:E$405)+SUMPRODUCT('Input data'!E$406:E$410,'Input data'!E$145:E$149))*'Input data'!E294</f>
        <v>33344509.75394024</v>
      </c>
      <c r="F50" s="36">
        <f>(SUM('Input data'!F$404:F$405)+SUMPRODUCT('Input data'!F$406:F$410,'Input data'!F$145:F$149))*'Input data'!F294</f>
        <v>28794214.18007151</v>
      </c>
      <c r="G50" s="36">
        <f>(SUM('Input data'!G$404:G$405)+SUMPRODUCT('Input data'!G$406:G$410,'Input data'!G$145:G$149))*'Input data'!G294</f>
        <v>34826502.406392306</v>
      </c>
    </row>
    <row r="51" spans="2:7" ht="14.45" customHeight="1">
      <c r="B51" s="34" t="s">
        <v>106</v>
      </c>
      <c r="C51" s="3" t="s">
        <v>221</v>
      </c>
      <c r="D51" s="36">
        <f>(SUM('Input data'!D$404:D$405)+SUMPRODUCT('Input data'!D$406:D$410,'Input data'!D$145:D$149))*'Input data'!D295</f>
        <v>1204905.8483095798</v>
      </c>
      <c r="E51" s="36">
        <f>(SUM('Input data'!E$404:E$405)+SUMPRODUCT('Input data'!E$406:E$410,'Input data'!E$145:E$149))*'Input data'!E295</f>
        <v>1195724.7888019583</v>
      </c>
      <c r="F51" s="36">
        <f>(SUM('Input data'!F$404:F$405)+SUMPRODUCT('Input data'!F$406:F$410,'Input data'!F$145:F$149))*'Input data'!F295</f>
        <v>1032552.4628568233</v>
      </c>
      <c r="G51" s="36">
        <f>(SUM('Input data'!G$404:G$405)+SUMPRODUCT('Input data'!G$406:G$410,'Input data'!G$145:G$149))*'Input data'!G295</f>
        <v>1248868.6306048778</v>
      </c>
    </row>
    <row r="52" spans="2:7" ht="14.45" customHeight="1">
      <c r="B52" s="34" t="s">
        <v>108</v>
      </c>
      <c r="C52" s="3" t="s">
        <v>221</v>
      </c>
      <c r="D52" s="36">
        <f>(SUM('Input data'!D$404:D$405)+SUMPRODUCT('Input data'!D$406:D$410,'Input data'!D$145:D$149))*'Input data'!D296</f>
        <v>0</v>
      </c>
      <c r="E52" s="36">
        <f>(SUM('Input data'!E$404:E$405)+SUMPRODUCT('Input data'!E$406:E$410,'Input data'!E$145:E$149))*'Input data'!E296</f>
        <v>0</v>
      </c>
      <c r="F52" s="36">
        <f>(SUM('Input data'!F$404:F$405)+SUMPRODUCT('Input data'!F$406:F$410,'Input data'!F$145:F$149))*'Input data'!F296</f>
        <v>0</v>
      </c>
      <c r="G52" s="36">
        <f>(SUM('Input data'!G$404:G$405)+SUMPRODUCT('Input data'!G$406:G$410,'Input data'!G$145:G$149))*'Input data'!G296</f>
        <v>0</v>
      </c>
    </row>
    <row r="53" spans="2:7" ht="14.45" customHeight="1">
      <c r="B53" s="34" t="s">
        <v>109</v>
      </c>
      <c r="C53" s="3" t="s">
        <v>221</v>
      </c>
      <c r="D53" s="36">
        <f>(SUM('Input data'!D$404:D$405)+SUMPRODUCT('Input data'!D$406:D$410,'Input data'!D$145:D$149))*'Input data'!D297</f>
        <v>44555.352789175216</v>
      </c>
      <c r="E53" s="36">
        <f>(SUM('Input data'!E$404:E$405)+SUMPRODUCT('Input data'!E$406:E$410,'Input data'!E$145:E$149))*'Input data'!E297</f>
        <v>44215.852946997191</v>
      </c>
      <c r="F53" s="36">
        <f>(SUM('Input data'!F$404:F$405)+SUMPRODUCT('Input data'!F$406:F$410,'Input data'!F$145:F$149))*'Input data'!F297</f>
        <v>38182.020047841215</v>
      </c>
      <c r="G53" s="36">
        <f>(SUM('Input data'!G$404:G$405)+SUMPRODUCT('Input data'!G$406:G$410,'Input data'!G$145:G$149))*'Input data'!G297</f>
        <v>46181.021116297023</v>
      </c>
    </row>
    <row r="54" spans="2:7" ht="14.45" customHeight="1">
      <c r="B54" s="34" t="s">
        <v>111</v>
      </c>
      <c r="C54" s="3" t="s">
        <v>221</v>
      </c>
      <c r="D54" s="36">
        <f>(SUM('Input data'!D$404:D$405)+SUMPRODUCT('Input data'!D$406:D$410,'Input data'!D$145:D$149))*'Input data'!D298</f>
        <v>1572261.1507719336</v>
      </c>
      <c r="E54" s="36">
        <f>(SUM('Input data'!E$404:E$405)+SUMPRODUCT('Input data'!E$406:E$410,'Input data'!E$145:E$149))*'Input data'!E298</f>
        <v>1560280.9423539811</v>
      </c>
      <c r="F54" s="36">
        <f>(SUM('Input data'!F$404:F$405)+SUMPRODUCT('Input data'!F$406:F$410,'Input data'!F$145:F$149))*'Input data'!F298</f>
        <v>1347360.1491446556</v>
      </c>
      <c r="G54" s="36">
        <f>(SUM('Input data'!G$404:G$405)+SUMPRODUCT('Input data'!G$406:G$410,'Input data'!G$145:G$149))*'Input data'!G298</f>
        <v>1629627.4377558623</v>
      </c>
    </row>
    <row r="55" spans="2:7" ht="14.45" customHeight="1">
      <c r="B55" s="34" t="s">
        <v>113</v>
      </c>
      <c r="C55" s="3" t="s">
        <v>221</v>
      </c>
      <c r="D55" s="36">
        <f>(SUM('Input data'!D$404:D$405)+SUMPRODUCT('Input data'!D$406:D$410,'Input data'!D$145:D$149))*'Input data'!D299</f>
        <v>448079.01833600411</v>
      </c>
      <c r="E55" s="36">
        <f>(SUM('Input data'!E$404:E$405)+SUMPRODUCT('Input data'!E$406:E$410,'Input data'!E$145:E$149))*'Input data'!E299</f>
        <v>444664.77635416714</v>
      </c>
      <c r="F55" s="36">
        <f>(SUM('Input data'!F$404:F$405)+SUMPRODUCT('Input data'!F$406:F$410,'Input data'!F$145:F$149))*'Input data'!F299</f>
        <v>383984.4371129942</v>
      </c>
      <c r="G55" s="36">
        <f>(SUM('Input data'!G$404:G$405)+SUMPRODUCT('Input data'!G$406:G$410,'Input data'!G$145:G$149))*'Input data'!G299</f>
        <v>464427.847883004</v>
      </c>
    </row>
    <row r="56" spans="2:7" ht="14.45" customHeight="1">
      <c r="B56" s="34" t="s">
        <v>115</v>
      </c>
      <c r="C56" s="3" t="s">
        <v>221</v>
      </c>
      <c r="D56" s="36">
        <f>(SUM('Input data'!D$404:D$405)+SUMPRODUCT('Input data'!D$406:D$410,'Input data'!D$145:D$149))*'Input data'!D300</f>
        <v>0</v>
      </c>
      <c r="E56" s="36">
        <f>(SUM('Input data'!E$404:E$405)+SUMPRODUCT('Input data'!E$406:E$410,'Input data'!E$145:E$149))*'Input data'!E300</f>
        <v>0</v>
      </c>
      <c r="F56" s="36">
        <f>(SUM('Input data'!F$404:F$405)+SUMPRODUCT('Input data'!F$406:F$410,'Input data'!F$145:F$149))*'Input data'!F300</f>
        <v>0</v>
      </c>
      <c r="G56" s="36">
        <f>(SUM('Input data'!G$404:G$405)+SUMPRODUCT('Input data'!G$406:G$410,'Input data'!G$145:G$149))*'Input data'!G300</f>
        <v>0</v>
      </c>
    </row>
    <row r="57" spans="2:7" ht="14.45" customHeight="1">
      <c r="B57" s="34" t="s">
        <v>117</v>
      </c>
      <c r="C57" s="3" t="s">
        <v>221</v>
      </c>
      <c r="D57" s="36">
        <f>(SUM('Input data'!D$404:D$405)+SUMPRODUCT('Input data'!D$406:D$410,'Input data'!D$145:D$149))*'Input data'!D301</f>
        <v>1066785.6897862097</v>
      </c>
      <c r="E57" s="36">
        <f>(SUM('Input data'!E$404:E$405)+SUMPRODUCT('Input data'!E$406:E$410,'Input data'!E$145:E$149))*'Input data'!E301</f>
        <v>1058657.068854087</v>
      </c>
      <c r="F57" s="36">
        <f>(SUM('Input data'!F$404:F$405)+SUMPRODUCT('Input data'!F$406:F$410,'Input data'!F$145:F$149))*'Input data'!F301</f>
        <v>914189.43054723344</v>
      </c>
      <c r="G57" s="36">
        <f>(SUM('Input data'!G$404:G$405)+SUMPRODUCT('Input data'!G$406:G$410,'Input data'!G$145:G$149))*'Input data'!G301</f>
        <v>1105708.9526300305</v>
      </c>
    </row>
    <row r="58" spans="2:7" ht="14.45" customHeight="1">
      <c r="B58" s="34" t="s">
        <v>119</v>
      </c>
      <c r="C58" s="3" t="s">
        <v>221</v>
      </c>
      <c r="D58" s="36">
        <f>(SUM('Input data'!D$404:D$405)+SUMPRODUCT('Input data'!D$406:D$410,'Input data'!D$145:D$149))*'Input data'!D302</f>
        <v>0</v>
      </c>
      <c r="E58" s="36">
        <f>(SUM('Input data'!E$404:E$405)+SUMPRODUCT('Input data'!E$406:E$410,'Input data'!E$145:E$149))*'Input data'!E302</f>
        <v>0</v>
      </c>
      <c r="F58" s="36">
        <f>(SUM('Input data'!F$404:F$405)+SUMPRODUCT('Input data'!F$406:F$410,'Input data'!F$145:F$149))*'Input data'!F302</f>
        <v>0</v>
      </c>
      <c r="G58" s="36">
        <f>(SUM('Input data'!G$404:G$405)+SUMPRODUCT('Input data'!G$406:G$410,'Input data'!G$145:G$149))*'Input data'!G302</f>
        <v>0</v>
      </c>
    </row>
    <row r="59" spans="2:7" ht="14.45" customHeight="1">
      <c r="B59" s="34" t="s">
        <v>121</v>
      </c>
      <c r="C59" s="3" t="s">
        <v>221</v>
      </c>
      <c r="D59" s="36">
        <f>(SUM('Input data'!D$404:D$405)+SUMPRODUCT('Input data'!D$406:D$410,'Input data'!D$145:D$149))*'Input data'!D303</f>
        <v>479616.82635951531</v>
      </c>
      <c r="E59" s="36">
        <f>(SUM('Input data'!E$404:E$405)+SUMPRODUCT('Input data'!E$406:E$410,'Input data'!E$145:E$149))*'Input data'!E303</f>
        <v>475962.27473638149</v>
      </c>
      <c r="F59" s="36">
        <f>(SUM('Input data'!F$404:F$405)+SUMPRODUCT('Input data'!F$406:F$410,'Input data'!F$145:F$149))*'Input data'!F303</f>
        <v>411010.98146371538</v>
      </c>
      <c r="G59" s="36">
        <f>(SUM('Input data'!G$404:G$405)+SUMPRODUCT('Input data'!G$406:G$410,'Input data'!G$145:G$149))*'Input data'!G303</f>
        <v>497116.35974794289</v>
      </c>
    </row>
    <row r="60" spans="2:7" ht="14.45" customHeight="1">
      <c r="B60" s="34" t="s">
        <v>123</v>
      </c>
      <c r="C60" s="3" t="s">
        <v>221</v>
      </c>
      <c r="D60" s="36">
        <f>(SUM('Input data'!D$404:D$405)+SUMPRODUCT('Input data'!D$406:D$410,'Input data'!D$145:D$149))*'Input data'!D304</f>
        <v>1364039.7964302399</v>
      </c>
      <c r="E60" s="36">
        <f>(SUM('Input data'!E$404:E$405)+SUMPRODUCT('Input data'!E$406:E$410,'Input data'!E$145:E$149))*'Input data'!E304</f>
        <v>1353646.1789045555</v>
      </c>
      <c r="F60" s="36">
        <f>(SUM('Input data'!F$404:F$405)+SUMPRODUCT('Input data'!F$406:F$410,'Input data'!F$145:F$149))*'Input data'!F304</f>
        <v>1168923.4085922446</v>
      </c>
      <c r="G60" s="36">
        <f>(SUM('Input data'!G$404:G$405)+SUMPRODUCT('Input data'!G$406:G$410,'Input data'!G$145:G$149))*'Input data'!G304</f>
        <v>1413808.8175506168</v>
      </c>
    </row>
    <row r="61" spans="2:7" ht="14.45" customHeight="1">
      <c r="B61" s="34" t="s">
        <v>125</v>
      </c>
      <c r="C61" s="3" t="s">
        <v>221</v>
      </c>
      <c r="D61" s="36">
        <f>(SUM('Input data'!D$404:D$405)+SUMPRODUCT('Input data'!D$406:D$410,'Input data'!D$145:D$149))*'Input data'!D305</f>
        <v>2840252.0738942451</v>
      </c>
      <c r="E61" s="36">
        <f>(SUM('Input data'!E$404:E$405)+SUMPRODUCT('Input data'!E$406:E$410,'Input data'!E$145:E$149))*'Input data'!E305</f>
        <v>2818610.1146128187</v>
      </c>
      <c r="F61" s="36">
        <f>(SUM('Input data'!F$404:F$405)+SUMPRODUCT('Input data'!F$406:F$410,'Input data'!F$145:F$149))*'Input data'!F305</f>
        <v>2433973.8064581072</v>
      </c>
      <c r="G61" s="36">
        <f>(SUM('Input data'!G$404:G$405)+SUMPRODUCT('Input data'!G$406:G$410,'Input data'!G$145:G$149))*'Input data'!G305</f>
        <v>2943882.8959734645</v>
      </c>
    </row>
    <row r="62" spans="2:7" ht="14.45" customHeight="1">
      <c r="B62" s="34" t="s">
        <v>127</v>
      </c>
      <c r="C62" s="3" t="s">
        <v>221</v>
      </c>
      <c r="D62" s="36">
        <f>(SUM('Input data'!D$404:D$405)+SUMPRODUCT('Input data'!D$406:D$410,'Input data'!D$145:D$149))*'Input data'!D306</f>
        <v>730122.45122726576</v>
      </c>
      <c r="E62" s="36">
        <f>(SUM('Input data'!E$404:E$405)+SUMPRODUCT('Input data'!E$406:E$410,'Input data'!E$145:E$149))*'Input data'!E306</f>
        <v>724559.11390761356</v>
      </c>
      <c r="F62" s="36">
        <f>(SUM('Input data'!F$404:F$405)+SUMPRODUCT('Input data'!F$406:F$410,'Input data'!F$145:F$149))*'Input data'!F306</f>
        <v>625683.52229300095</v>
      </c>
      <c r="G62" s="36">
        <f>(SUM('Input data'!G$404:G$405)+SUMPRODUCT('Input data'!G$406:G$410,'Input data'!G$145:G$149))*'Input data'!G306</f>
        <v>756762.05499153154</v>
      </c>
    </row>
    <row r="63" spans="2:7" ht="14.45" customHeight="1">
      <c r="B63" s="34" t="s">
        <v>129</v>
      </c>
      <c r="C63" s="3" t="s">
        <v>221</v>
      </c>
      <c r="D63" s="36">
        <f>(SUM('Input data'!D$404:D$405)+SUMPRODUCT('Input data'!D$406:D$410,'Input data'!D$145:D$149))*'Input data'!D307</f>
        <v>2709487.8996133143</v>
      </c>
      <c r="E63" s="36">
        <f>(SUM('Input data'!E$404:E$405)+SUMPRODUCT('Input data'!E$406:E$410,'Input data'!E$145:E$149))*'Input data'!E307</f>
        <v>2688842.3282797285</v>
      </c>
      <c r="F63" s="36">
        <f>(SUM('Input data'!F$404:F$405)+SUMPRODUCT('Input data'!F$406:F$410,'Input data'!F$145:F$149))*'Input data'!F307</f>
        <v>2321914.5361037962</v>
      </c>
      <c r="G63" s="36">
        <f>(SUM('Input data'!G$404:G$405)+SUMPRODUCT('Input data'!G$406:G$410,'Input data'!G$145:G$149))*'Input data'!G307</f>
        <v>2808347.5962689151</v>
      </c>
    </row>
    <row r="64" spans="2:7" ht="14.45" customHeight="1">
      <c r="B64" s="34" t="s">
        <v>131</v>
      </c>
      <c r="C64" s="3" t="s">
        <v>221</v>
      </c>
      <c r="D64" s="36">
        <f>(SUM('Input data'!D$404:D$405)+SUMPRODUCT('Input data'!D$406:D$410,'Input data'!D$145:D$149))*'Input data'!D308</f>
        <v>2023703.2495639212</v>
      </c>
      <c r="E64" s="36">
        <f>(SUM('Input data'!E$404:E$405)+SUMPRODUCT('Input data'!E$406:E$410,'Input data'!E$145:E$149))*'Input data'!E308</f>
        <v>2008283.1733927585</v>
      </c>
      <c r="F64" s="36">
        <f>(SUM('Input data'!F$404:F$405)+SUMPRODUCT('Input data'!F$406:F$410,'Input data'!F$145:F$149))*'Input data'!F308</f>
        <v>1734226.6014893656</v>
      </c>
      <c r="G64" s="36">
        <f>(SUM('Input data'!G$404:G$405)+SUMPRODUCT('Input data'!G$406:G$410,'Input data'!G$145:G$149))*'Input data'!G308</f>
        <v>2097541.0730882096</v>
      </c>
    </row>
    <row r="65" spans="2:7" ht="14.45" customHeight="1">
      <c r="B65" s="34" t="s">
        <v>132</v>
      </c>
      <c r="C65" s="3" t="s">
        <v>221</v>
      </c>
      <c r="D65" s="36">
        <f>(SUM('Input data'!D$404:D$405)+SUMPRODUCT('Input data'!D$406:D$410,'Input data'!D$145:D$149))*'Input data'!D309</f>
        <v>64356.463389728931</v>
      </c>
      <c r="E65" s="36">
        <f>(SUM('Input data'!E$404:E$405)+SUMPRODUCT('Input data'!E$406:E$410,'Input data'!E$145:E$149))*'Input data'!E309</f>
        <v>63866.08439380148</v>
      </c>
      <c r="F65" s="36">
        <f>(SUM('Input data'!F$404:F$405)+SUMPRODUCT('Input data'!F$406:F$410,'Input data'!F$145:F$149))*'Input data'!F309</f>
        <v>55150.719757105908</v>
      </c>
      <c r="G65" s="36">
        <f>(SUM('Input data'!G$404:G$405)+SUMPRODUCT('Input data'!G$406:G$410,'Input data'!G$145:G$149))*'Input data'!G309</f>
        <v>66704.604693273359</v>
      </c>
    </row>
    <row r="66" spans="2:7" ht="14.45" customHeight="1">
      <c r="B66" s="34" t="s">
        <v>134</v>
      </c>
      <c r="C66" s="3" t="s">
        <v>221</v>
      </c>
      <c r="D66" s="36">
        <f>(SUM('Input data'!D$404:D$405)+SUMPRODUCT('Input data'!D$406:D$410,'Input data'!D$145:D$149))*'Input data'!D310</f>
        <v>2720442.128797119</v>
      </c>
      <c r="E66" s="36">
        <f>(SUM('Input data'!E$404:E$405)+SUMPRODUCT('Input data'!E$406:E$410,'Input data'!E$145:E$149))*'Input data'!E310</f>
        <v>2699713.0891741747</v>
      </c>
      <c r="F66" s="36">
        <f>(SUM('Input data'!F$404:F$405)+SUMPRODUCT('Input data'!F$406:F$410,'Input data'!F$145:F$149))*'Input data'!F310</f>
        <v>2331301.8391352356</v>
      </c>
      <c r="G66" s="36">
        <f>(SUM('Input data'!G$404:G$405)+SUMPRODUCT('Input data'!G$406:G$410,'Input data'!G$145:G$149))*'Input data'!G310</f>
        <v>2819701.5068000183</v>
      </c>
    </row>
    <row r="67" spans="2:7" ht="14.45" customHeight="1">
      <c r="B67" s="34" t="s">
        <v>136</v>
      </c>
      <c r="C67" s="3" t="s">
        <v>221</v>
      </c>
      <c r="D67" s="36">
        <f>(SUM('Input data'!D$404:D$405)+SUMPRODUCT('Input data'!D$406:D$410,'Input data'!D$145:D$149))*'Input data'!D311</f>
        <v>2114136.5515198307</v>
      </c>
      <c r="E67" s="36">
        <f>(SUM('Input data'!E$404:E$405)+SUMPRODUCT('Input data'!E$406:E$410,'Input data'!E$145:E$149))*'Input data'!E311</f>
        <v>2098027.3978345264</v>
      </c>
      <c r="F67" s="36">
        <f>(SUM('Input data'!F$404:F$405)+SUMPRODUCT('Input data'!F$406:F$410,'Input data'!F$145:F$149))*'Input data'!F311</f>
        <v>1811724.0497670483</v>
      </c>
      <c r="G67" s="36">
        <f>(SUM('Input data'!G$404:G$405)+SUMPRODUCT('Input data'!G$406:G$410,'Input data'!G$145:G$149))*'Input data'!G311</f>
        <v>2191273.9685946945</v>
      </c>
    </row>
    <row r="68" spans="2:7" ht="14.45" customHeight="1">
      <c r="B68" s="34" t="s">
        <v>137</v>
      </c>
      <c r="C68" s="3" t="s">
        <v>221</v>
      </c>
      <c r="D68" s="36">
        <f>(SUM('Input data'!D$404:D$405)+SUMPRODUCT('Input data'!D$406:D$410,'Input data'!D$145:D$149))*'Input data'!D312</f>
        <v>3494551.4283780269</v>
      </c>
      <c r="E68" s="36">
        <f>(SUM('Input data'!E$404:E$405)+SUMPRODUCT('Input data'!E$406:E$410,'Input data'!E$145:E$149))*'Input data'!E312</f>
        <v>3467923.883444625</v>
      </c>
      <c r="F68" s="36">
        <f>(SUM('Input data'!F$404:F$405)+SUMPRODUCT('Input data'!F$406:F$410,'Input data'!F$145:F$149))*'Input data'!F312</f>
        <v>2994680.1976385373</v>
      </c>
      <c r="G68" s="36">
        <f>(SUM('Input data'!G$404:G$405)+SUMPRODUCT('Input data'!G$406:G$410,'Input data'!G$145:G$149))*'Input data'!G312</f>
        <v>3622055.3357422757</v>
      </c>
    </row>
    <row r="69" spans="2:7" ht="14.45" customHeight="1">
      <c r="B69" s="34" t="s">
        <v>139</v>
      </c>
      <c r="C69" s="3" t="s">
        <v>221</v>
      </c>
      <c r="D69" s="36">
        <f>(SUM('Input data'!D$404:D$405)+SUMPRODUCT('Input data'!D$406:D$410,'Input data'!D$145:D$149))*'Input data'!D313</f>
        <v>789106.00953005673</v>
      </c>
      <c r="E69" s="36">
        <f>(SUM('Input data'!E$404:E$405)+SUMPRODUCT('Input data'!E$406:E$410,'Input data'!E$145:E$149))*'Input data'!E313</f>
        <v>783093.23331066896</v>
      </c>
      <c r="F69" s="36">
        <f>(SUM('Input data'!F$404:F$405)+SUMPRODUCT('Input data'!F$406:F$410,'Input data'!F$145:F$149))*'Input data'!F313</f>
        <v>676229.89359582961</v>
      </c>
      <c r="G69" s="36">
        <f>(SUM('Input data'!G$404:G$405)+SUMPRODUCT('Input data'!G$406:G$410,'Input data'!G$145:G$149))*'Input data'!G313</f>
        <v>817897.71616302838</v>
      </c>
    </row>
    <row r="70" spans="2:7" ht="14.45" customHeight="1">
      <c r="B70" s="34" t="s">
        <v>141</v>
      </c>
      <c r="C70" s="3" t="s">
        <v>221</v>
      </c>
      <c r="D70" s="36">
        <f>(SUM('Input data'!D$404:D$405)+SUMPRODUCT('Input data'!D$406:D$410,'Input data'!D$145:D$149))*'Input data'!D314</f>
        <v>1702348.5340581818</v>
      </c>
      <c r="E70" s="36">
        <f>(SUM('Input data'!E$404:E$405)+SUMPRODUCT('Input data'!E$406:E$410,'Input data'!E$145:E$149))*'Input data'!E314</f>
        <v>1689377.0946583087</v>
      </c>
      <c r="F70" s="36">
        <f>(SUM('Input data'!F$404:F$405)+SUMPRODUCT('Input data'!F$406:F$410,'Input data'!F$145:F$149))*'Input data'!F314</f>
        <v>1458839.4387399897</v>
      </c>
      <c r="G70" s="36">
        <f>(SUM('Input data'!G$404:G$405)+SUMPRODUCT('Input data'!G$406:G$410,'Input data'!G$145:G$149))*'Input data'!G314</f>
        <v>1764461.252739493</v>
      </c>
    </row>
    <row r="71" spans="2:7" ht="14.45" customHeight="1">
      <c r="B71" s="34" t="s">
        <v>143</v>
      </c>
      <c r="C71" s="3" t="s">
        <v>221</v>
      </c>
      <c r="D71" s="36">
        <f>(SUM('Input data'!D$404:D$405)+SUMPRODUCT('Input data'!D$406:D$410,'Input data'!D$145:D$149))*'Input data'!D315</f>
        <v>1490909.8947181541</v>
      </c>
      <c r="E71" s="36">
        <f>(SUM('Input data'!E$404:E$405)+SUMPRODUCT('Input data'!E$406:E$410,'Input data'!E$145:E$149))*'Input data'!E315</f>
        <v>1479549.5610596258</v>
      </c>
      <c r="F71" s="36">
        <f>(SUM('Input data'!F$404:F$405)+SUMPRODUCT('Input data'!F$406:F$410,'Input data'!F$145:F$149))*'Input data'!F315</f>
        <v>1277645.6233892427</v>
      </c>
      <c r="G71" s="36">
        <f>(SUM('Input data'!G$404:G$405)+SUMPRODUCT('Input data'!G$406:G$410,'Input data'!G$145:G$149))*'Input data'!G315</f>
        <v>1545307.9601067116</v>
      </c>
    </row>
    <row r="72" spans="2:7" ht="14.45" customHeight="1">
      <c r="B72" s="34" t="s">
        <v>145</v>
      </c>
      <c r="C72" s="3" t="s">
        <v>221</v>
      </c>
      <c r="D72" s="36">
        <f>(SUM('Input data'!D$404:D$405)+SUMPRODUCT('Input data'!D$406:D$410,'Input data'!D$145:D$149))*'Input data'!D316</f>
        <v>39665984.045407832</v>
      </c>
      <c r="E72" s="36">
        <f>(SUM('Input data'!E$404:E$405)+SUMPRODUCT('Input data'!E$406:E$410,'Input data'!E$145:E$149))*'Input data'!E316</f>
        <v>39363739.88213136</v>
      </c>
      <c r="F72" s="36">
        <f>(SUM('Input data'!F$404:F$405)+SUMPRODUCT('Input data'!F$406:F$410,'Input data'!F$145:F$149))*'Input data'!F316</f>
        <v>33992041.432271369</v>
      </c>
      <c r="G72" s="36">
        <f>(SUM('Input data'!G$404:G$405)+SUMPRODUCT('Input data'!G$406:G$410,'Input data'!G$145:G$149))*'Input data'!G316</f>
        <v>41113256.480481103</v>
      </c>
    </row>
    <row r="73" spans="2:7" ht="14.45" customHeight="1">
      <c r="B73" s="34" t="s">
        <v>147</v>
      </c>
      <c r="C73" s="3" t="s">
        <v>221</v>
      </c>
      <c r="D73" s="36">
        <f>(SUM('Input data'!D$404:D$405)+SUMPRODUCT('Input data'!D$406:D$410,'Input data'!D$145:D$149))*'Input data'!D317</f>
        <v>4875067.0900156731</v>
      </c>
      <c r="E73" s="36">
        <f>(SUM('Input data'!E$404:E$405)+SUMPRODUCT('Input data'!E$406:E$410,'Input data'!E$145:E$149))*'Input data'!E317</f>
        <v>4837920.3858811762</v>
      </c>
      <c r="F73" s="36">
        <f>(SUM('Input data'!F$404:F$405)+SUMPRODUCT('Input data'!F$406:F$410,'Input data'!F$145:F$149))*'Input data'!F317</f>
        <v>4177722.7137290742</v>
      </c>
      <c r="G73" s="36">
        <f>(SUM('Input data'!G$404:G$405)+SUMPRODUCT('Input data'!G$406:G$410,'Input data'!G$145:G$149))*'Input data'!G317</f>
        <v>5052941.1649519121</v>
      </c>
    </row>
    <row r="74" spans="2:7" ht="14.45" customHeight="1">
      <c r="B74" s="34" t="s">
        <v>149</v>
      </c>
      <c r="C74" s="3" t="s">
        <v>221</v>
      </c>
      <c r="D74" s="36">
        <f>(SUM('Input data'!D$404:D$405)+SUMPRODUCT('Input data'!D$406:D$410,'Input data'!D$145:D$149))*'Input data'!D318</f>
        <v>4153345.9797238368</v>
      </c>
      <c r="E74" s="36">
        <f>(SUM('Input data'!E$404:E$405)+SUMPRODUCT('Input data'!E$406:E$410,'Input data'!E$145:E$149))*'Input data'!E318</f>
        <v>4121698.5969436122</v>
      </c>
      <c r="F74" s="36">
        <f>(SUM('Input data'!F$404:F$405)+SUMPRODUCT('Input data'!F$406:F$410,'Input data'!F$145:F$149))*'Input data'!F318</f>
        <v>3559238.7790937712</v>
      </c>
      <c r="G74" s="36">
        <f>(SUM('Input data'!G$404:G$405)+SUMPRODUCT('Input data'!G$406:G$410,'Input data'!G$145:G$149))*'Input data'!G318</f>
        <v>4304886.9863176867</v>
      </c>
    </row>
    <row r="75" spans="2:7" ht="14.45" customHeight="1">
      <c r="B75" s="34" t="s">
        <v>151</v>
      </c>
      <c r="C75" s="3" t="s">
        <v>221</v>
      </c>
      <c r="D75" s="36">
        <f>(SUM('Input data'!D$404:D$405)+SUMPRODUCT('Input data'!D$406:D$410,'Input data'!D$145:D$149))*'Input data'!D319</f>
        <v>11686452.785676606</v>
      </c>
      <c r="E75" s="36">
        <f>(SUM('Input data'!E$404:E$405)+SUMPRODUCT('Input data'!E$406:E$410,'Input data'!E$145:E$149))*'Input data'!E319</f>
        <v>11597405.148793746</v>
      </c>
      <c r="F75" s="36">
        <f>(SUM('Input data'!F$404:F$405)+SUMPRODUCT('Input data'!F$406:F$410,'Input data'!F$145:F$149))*'Input data'!F319</f>
        <v>10014787.149418822</v>
      </c>
      <c r="G75" s="36">
        <f>(SUM('Input data'!G$404:G$405)+SUMPRODUCT('Input data'!G$406:G$410,'Input data'!G$145:G$149))*'Input data'!G319</f>
        <v>12112850.400346475</v>
      </c>
    </row>
    <row r="76" spans="2:7" ht="14.45" customHeight="1">
      <c r="B76" s="34" t="s">
        <v>153</v>
      </c>
      <c r="C76" s="3" t="s">
        <v>221</v>
      </c>
      <c r="D76" s="36">
        <f>(SUM('Input data'!D$404:D$405)+SUMPRODUCT('Input data'!D$406:D$410,'Input data'!D$145:D$149))*'Input data'!D320</f>
        <v>8126886.6942812502</v>
      </c>
      <c r="E76" s="36">
        <f>(SUM('Input data'!E$404:E$405)+SUMPRODUCT('Input data'!E$406:E$410,'Input data'!E$145:E$149))*'Input data'!E320</f>
        <v>8064961.9966324084</v>
      </c>
      <c r="F76" s="36">
        <f>(SUM('Input data'!F$404:F$405)+SUMPRODUCT('Input data'!F$406:F$410,'Input data'!F$145:F$149))*'Input data'!F320</f>
        <v>6964392.1832657726</v>
      </c>
      <c r="G76" s="36">
        <f>(SUM('Input data'!G$404:G$405)+SUMPRODUCT('Input data'!G$406:G$410,'Input data'!G$145:G$149))*'Input data'!G320</f>
        <v>8423408.2448907755</v>
      </c>
    </row>
    <row r="77" spans="2:7" ht="14.45" customHeight="1">
      <c r="B77" s="34" t="s">
        <v>155</v>
      </c>
      <c r="C77" s="3" t="s">
        <v>221</v>
      </c>
      <c r="D77" s="36">
        <f>(SUM('Input data'!D$404:D$405)+SUMPRODUCT('Input data'!D$406:D$410,'Input data'!D$145:D$149))*'Input data'!D321</f>
        <v>7472549.5047346326</v>
      </c>
      <c r="E77" s="36">
        <f>(SUM('Input data'!E$404:E$405)+SUMPRODUCT('Input data'!E$406:E$410,'Input data'!E$145:E$149))*'Input data'!E321</f>
        <v>7415610.6810307996</v>
      </c>
      <c r="F77" s="36">
        <f>(SUM('Input data'!F$404:F$405)+SUMPRODUCT('Input data'!F$406:F$410,'Input data'!F$145:F$149))*'Input data'!F321</f>
        <v>6403653.3690645993</v>
      </c>
      <c r="G77" s="36">
        <f>(SUM('Input data'!G$404:G$405)+SUMPRODUCT('Input data'!G$406:G$410,'Input data'!G$145:G$149))*'Input data'!G321</f>
        <v>7745196.5895905765</v>
      </c>
    </row>
    <row r="78" spans="2:7" ht="14.45" customHeight="1">
      <c r="B78" s="34" t="s">
        <v>157</v>
      </c>
      <c r="C78" s="3" t="s">
        <v>221</v>
      </c>
      <c r="D78" s="36">
        <f>(SUM('Input data'!D$404:D$405)+SUMPRODUCT('Input data'!D$406:D$410,'Input data'!D$145:D$149))*'Input data'!D322</f>
        <v>937467.72816572292</v>
      </c>
      <c r="E78" s="36">
        <f>(SUM('Input data'!E$404:E$405)+SUMPRODUCT('Input data'!E$406:E$410,'Input data'!E$145:E$149))*'Input data'!E322</f>
        <v>930324.47542872338</v>
      </c>
      <c r="F78" s="36">
        <f>(SUM('Input data'!F$404:F$405)+SUMPRODUCT('Input data'!F$406:F$410,'Input data'!F$145:F$149))*'Input data'!F322</f>
        <v>803369.50220993639</v>
      </c>
      <c r="G78" s="36">
        <f>(SUM('Input data'!G$404:G$405)+SUMPRODUCT('Input data'!G$406:G$410,'Input data'!G$145:G$149))*'Input data'!G322</f>
        <v>971672.63280622906</v>
      </c>
    </row>
    <row r="79" spans="2:7" ht="14.45" customHeight="1">
      <c r="B79" s="34" t="s">
        <v>159</v>
      </c>
      <c r="C79" s="3" t="s">
        <v>221</v>
      </c>
      <c r="D79" s="36">
        <f>(SUM('Input data'!D$404:D$405)+SUMPRODUCT('Input data'!D$406:D$410,'Input data'!D$145:D$149))*'Input data'!D323</f>
        <v>4007674.4645214905</v>
      </c>
      <c r="E79" s="36">
        <f>(SUM('Input data'!E$404:E$405)+SUMPRODUCT('Input data'!E$406:E$410,'Input data'!E$145:E$149))*'Input data'!E323</f>
        <v>3977137.0596300066</v>
      </c>
      <c r="F79" s="36">
        <f>(SUM('Input data'!F$404:F$405)+SUMPRODUCT('Input data'!F$406:F$410,'Input data'!F$145:F$149))*'Input data'!F323</f>
        <v>3434404.559057998</v>
      </c>
      <c r="G79" s="36">
        <f>(SUM('Input data'!G$404:G$405)+SUMPRODUCT('Input data'!G$406:G$410,'Input data'!G$145:G$149))*'Input data'!G323</f>
        <v>4153900.4291820209</v>
      </c>
    </row>
    <row r="80" spans="2:7" ht="14.45" customHeight="1">
      <c r="B80" s="34" t="s">
        <v>161</v>
      </c>
      <c r="C80" s="3" t="s">
        <v>221</v>
      </c>
      <c r="D80" s="36">
        <f>(SUM('Input data'!D$404:D$405)+SUMPRODUCT('Input data'!D$406:D$410,'Input data'!D$145:D$149))*'Input data'!D324</f>
        <v>5381390.5782718407</v>
      </c>
      <c r="E80" s="36">
        <f>(SUM('Input data'!E$404:E$405)+SUMPRODUCT('Input data'!E$406:E$410,'Input data'!E$145:E$149))*'Input data'!E324</f>
        <v>5340385.824911085</v>
      </c>
      <c r="F80" s="36">
        <f>(SUM('Input data'!F$404:F$405)+SUMPRODUCT('Input data'!F$406:F$410,'Input data'!F$145:F$149))*'Input data'!F324</f>
        <v>4611620.1552052135</v>
      </c>
      <c r="G80" s="36">
        <f>(SUM('Input data'!G$404:G$405)+SUMPRODUCT('Input data'!G$406:G$410,'Input data'!G$145:G$149))*'Input data'!G324</f>
        <v>5577738.6188846771</v>
      </c>
    </row>
    <row r="81" spans="2:7" ht="14.45" customHeight="1">
      <c r="B81" s="34" t="s">
        <v>163</v>
      </c>
      <c r="C81" s="3" t="s">
        <v>221</v>
      </c>
      <c r="D81" s="36">
        <f>(SUM('Input data'!D$404:D$405)+SUMPRODUCT('Input data'!D$406:D$410,'Input data'!D$145:D$149))*'Input data'!D325</f>
        <v>56850.117388952385</v>
      </c>
      <c r="E81" s="36">
        <f>(SUM('Input data'!E$404:E$405)+SUMPRODUCT('Input data'!E$406:E$410,'Input data'!E$145:E$149))*'Input data'!E325</f>
        <v>56416.934736967174</v>
      </c>
      <c r="F81" s="36">
        <f>(SUM('Input data'!F$404:F$405)+SUMPRODUCT('Input data'!F$406:F$410,'Input data'!F$145:F$149))*'Input data'!F325</f>
        <v>48718.104245253999</v>
      </c>
      <c r="G81" s="36">
        <f>(SUM('Input data'!G$404:G$405)+SUMPRODUCT('Input data'!G$406:G$410,'Input data'!G$145:G$149))*'Input data'!G325</f>
        <v>58924.37849220707</v>
      </c>
    </row>
    <row r="82" spans="2:7" ht="14.45" customHeight="1">
      <c r="B82" s="34" t="s">
        <v>165</v>
      </c>
      <c r="C82" s="3" t="s">
        <v>221</v>
      </c>
      <c r="D82" s="36">
        <f>(SUM('Input data'!D$404:D$405)+SUMPRODUCT('Input data'!D$406:D$410,'Input data'!D$145:D$149))*'Input data'!D326</f>
        <v>192690.38721216487</v>
      </c>
      <c r="E82" s="36">
        <f>(SUM('Input data'!E$404:E$405)+SUMPRODUCT('Input data'!E$406:E$410,'Input data'!E$145:E$149))*'Input data'!E326</f>
        <v>191222.13812529767</v>
      </c>
      <c r="F82" s="36">
        <f>(SUM('Input data'!F$404:F$405)+SUMPRODUCT('Input data'!F$406:F$410,'Input data'!F$145:F$149))*'Input data'!F326</f>
        <v>165127.37004629069</v>
      </c>
      <c r="G82" s="36">
        <f>(SUM('Input data'!G$404:G$405)+SUMPRODUCT('Input data'!G$406:G$410,'Input data'!G$145:G$149))*'Input data'!G326</f>
        <v>199720.98263610588</v>
      </c>
    </row>
    <row r="83" spans="2:7" ht="14.45" customHeight="1">
      <c r="B83" s="34" t="s">
        <v>167</v>
      </c>
      <c r="C83" s="3" t="s">
        <v>221</v>
      </c>
      <c r="D83" s="36">
        <f>(SUM('Input data'!D$404:D$405)+SUMPRODUCT('Input data'!D$406:D$410,'Input data'!D$145:D$149))*'Input data'!D327</f>
        <v>173274.80285532883</v>
      </c>
      <c r="E83" s="36">
        <f>(SUM('Input data'!E$404:E$405)+SUMPRODUCT('Input data'!E$406:E$410,'Input data'!E$145:E$149))*'Input data'!E327</f>
        <v>171954.4953156003</v>
      </c>
      <c r="F83" s="36">
        <f>(SUM('Input data'!F$404:F$405)+SUMPRODUCT('Input data'!F$406:F$410,'Input data'!F$145:F$149))*'Input data'!F327</f>
        <v>148489.04973804319</v>
      </c>
      <c r="G83" s="36">
        <f>(SUM('Input data'!G$404:G$405)+SUMPRODUCT('Input data'!G$406:G$410,'Input data'!G$145:G$149))*'Input data'!G327</f>
        <v>179596.99180135864</v>
      </c>
    </row>
    <row r="84" spans="2:7" ht="14.45" customHeight="1">
      <c r="B84" s="34" t="s">
        <v>169</v>
      </c>
      <c r="C84" s="3" t="s">
        <v>221</v>
      </c>
      <c r="D84" s="36">
        <f>(SUM('Input data'!D$404:D$405)+SUMPRODUCT('Input data'!D$406:D$410,'Input data'!D$145:D$149))*'Input data'!D328</f>
        <v>60588.286829940473</v>
      </c>
      <c r="E84" s="36">
        <f>(SUM('Input data'!E$404:E$405)+SUMPRODUCT('Input data'!E$406:E$410,'Input data'!E$145:E$149))*'Input data'!E328</f>
        <v>60126.620329084057</v>
      </c>
      <c r="F84" s="36">
        <f>(SUM('Input data'!F$404:F$405)+SUMPRODUCT('Input data'!F$406:F$410,'Input data'!F$145:F$149))*'Input data'!F328</f>
        <v>51921.554596402631</v>
      </c>
      <c r="G84" s="36">
        <f>(SUM('Input data'!G$404:G$405)+SUMPRODUCT('Input data'!G$406:G$410,'Input data'!G$145:G$149))*'Input data'!G328</f>
        <v>62798.940606156</v>
      </c>
    </row>
    <row r="85" spans="2:7" ht="14.45" customHeight="1">
      <c r="B85" s="34" t="s">
        <v>171</v>
      </c>
      <c r="C85" s="3" t="s">
        <v>221</v>
      </c>
      <c r="D85" s="36">
        <f>(SUM('Input data'!D$404:D$405)+SUMPRODUCT('Input data'!D$406:D$410,'Input data'!D$145:D$149))*'Input data'!D329</f>
        <v>214127.53811600766</v>
      </c>
      <c r="E85" s="36">
        <f>(SUM('Input data'!E$404:E$405)+SUMPRODUCT('Input data'!E$406:E$410,'Input data'!E$145:E$149))*'Input data'!E329</f>
        <v>212495.94368693122</v>
      </c>
      <c r="F85" s="36">
        <f>(SUM('Input data'!F$404:F$405)+SUMPRODUCT('Input data'!F$406:F$410,'Input data'!F$145:F$149))*'Input data'!F329</f>
        <v>183498.085893882</v>
      </c>
      <c r="G85" s="36">
        <f>(SUM('Input data'!G$404:G$405)+SUMPRODUCT('Input data'!G$406:G$410,'Input data'!G$145:G$149))*'Input data'!G329</f>
        <v>221940.29988061276</v>
      </c>
    </row>
    <row r="86" spans="2:7" ht="14.45" customHeight="1">
      <c r="B86" s="34" t="s">
        <v>173</v>
      </c>
      <c r="C86" s="3" t="s">
        <v>221</v>
      </c>
      <c r="D86" s="36">
        <f>(SUM('Input data'!D$404:D$405)+SUMPRODUCT('Input data'!D$406:D$410,'Input data'!D$145:D$149))*'Input data'!D330</f>
        <v>30985631.700742044</v>
      </c>
      <c r="E86" s="36">
        <f>(SUM('Input data'!E$404:E$405)+SUMPRODUCT('Input data'!E$406:E$410,'Input data'!E$145:E$149))*'Input data'!E330</f>
        <v>30749529.49497645</v>
      </c>
      <c r="F86" s="36">
        <f>(SUM('Input data'!F$404:F$405)+SUMPRODUCT('Input data'!F$406:F$410,'Input data'!F$145:F$149))*'Input data'!F330</f>
        <v>26553353.003192723</v>
      </c>
      <c r="G86" s="36">
        <f>(SUM('Input data'!G$404:G$405)+SUMPRODUCT('Input data'!G$406:G$410,'Input data'!G$145:G$149))*'Input data'!G330</f>
        <v>32116188.567615189</v>
      </c>
    </row>
    <row r="87" spans="2:7" ht="14.45" customHeight="1">
      <c r="B87" s="34" t="s">
        <v>175</v>
      </c>
      <c r="C87" s="3" t="s">
        <v>221</v>
      </c>
      <c r="D87" s="36">
        <f>(SUM('Input data'!D$404:D$405)+SUMPRODUCT('Input data'!D$406:D$410,'Input data'!D$145:D$149))*'Input data'!D331</f>
        <v>490511.69363438879</v>
      </c>
      <c r="E87" s="36">
        <f>(SUM('Input data'!E$404:E$405)+SUMPRODUCT('Input data'!E$406:E$410,'Input data'!E$145:E$149))*'Input data'!E331</f>
        <v>486774.1260437264</v>
      </c>
      <c r="F87" s="36">
        <f>(SUM('Input data'!F$404:F$405)+SUMPRODUCT('Input data'!F$406:F$410,'Input data'!F$145:F$149))*'Input data'!F331</f>
        <v>420347.41389364447</v>
      </c>
      <c r="G87" s="36">
        <f>(SUM('Input data'!G$404:G$405)+SUMPRODUCT('Input data'!G$406:G$410,'Input data'!G$145:G$149))*'Input data'!G331</f>
        <v>508408.74246256083</v>
      </c>
    </row>
    <row r="88" spans="2:7" ht="14.45" customHeight="1">
      <c r="B88" s="34" t="s">
        <v>177</v>
      </c>
      <c r="C88" s="3" t="s">
        <v>221</v>
      </c>
      <c r="D88" s="36">
        <f>(SUM('Input data'!D$404:D$405)+SUMPRODUCT('Input data'!D$406:D$410,'Input data'!D$145:D$149))*'Input data'!D332</f>
        <v>2650342.237636135</v>
      </c>
      <c r="E88" s="36">
        <f>(SUM('Input data'!E$404:E$405)+SUMPRODUCT('Input data'!E$406:E$410,'Input data'!E$145:E$149))*'Input data'!E332</f>
        <v>2630147.3403888205</v>
      </c>
      <c r="F88" s="36">
        <f>(SUM('Input data'!F$404:F$405)+SUMPRODUCT('Input data'!F$406:F$410,'Input data'!F$145:F$149))*'Input data'!F332</f>
        <v>2271229.2489276128</v>
      </c>
      <c r="G88" s="36">
        <f>(SUM('Input data'!G$404:G$405)+SUMPRODUCT('Input data'!G$406:G$410,'Input data'!G$145:G$149))*'Input data'!G332</f>
        <v>2747043.9168293239</v>
      </c>
    </row>
    <row r="89" spans="2:7" ht="14.45" customHeight="1">
      <c r="B89" s="34" t="s">
        <v>179</v>
      </c>
      <c r="C89" s="3" t="s">
        <v>221</v>
      </c>
      <c r="D89" s="36">
        <f>(SUM('Input data'!D$404:D$405)+SUMPRODUCT('Input data'!D$406:D$410,'Input data'!D$145:D$149))*'Input data'!D333</f>
        <v>527535.58576900885</v>
      </c>
      <c r="E89" s="36">
        <f>(SUM('Input data'!E$404:E$405)+SUMPRODUCT('Input data'!E$406:E$410,'Input data'!E$145:E$149))*'Input data'!E333</f>
        <v>523515.90604703873</v>
      </c>
      <c r="F89" s="36">
        <f>(SUM('Input data'!F$404:F$405)+SUMPRODUCT('Input data'!F$406:F$410,'Input data'!F$145:F$149))*'Input data'!F333</f>
        <v>452075.29625207168</v>
      </c>
      <c r="G89" s="36">
        <f>(SUM('Input data'!G$404:G$405)+SUMPRODUCT('Input data'!G$406:G$410,'Input data'!G$145:G$149))*'Input data'!G333</f>
        <v>546783.50637850922</v>
      </c>
    </row>
    <row r="90" spans="2:7" ht="14.45" customHeight="1">
      <c r="B90" s="34" t="s">
        <v>181</v>
      </c>
      <c r="C90" s="3" t="s">
        <v>221</v>
      </c>
      <c r="D90" s="36">
        <f>(SUM('Input data'!D$404:D$405)+SUMPRODUCT('Input data'!D$406:D$410,'Input data'!D$145:D$149))*'Input data'!D334</f>
        <v>1511297.7749569886</v>
      </c>
      <c r="E90" s="36">
        <f>(SUM('Input data'!E$404:E$405)+SUMPRODUCT('Input data'!E$406:E$410,'Input data'!E$145:E$149))*'Input data'!E334</f>
        <v>1499782.0911173904</v>
      </c>
      <c r="F90" s="36">
        <f>(SUM('Input data'!F$404:F$405)+SUMPRODUCT('Input data'!F$406:F$410,'Input data'!F$145:F$149))*'Input data'!F334</f>
        <v>1295117.15942882</v>
      </c>
      <c r="G90" s="36">
        <f>(SUM('Input data'!G$404:G$405)+SUMPRODUCT('Input data'!G$406:G$410,'Input data'!G$145:G$149))*'Input data'!G334</f>
        <v>1566439.7224851009</v>
      </c>
    </row>
    <row r="91" spans="2:7" ht="14.45" customHeight="1">
      <c r="B91" s="34" t="s">
        <v>183</v>
      </c>
      <c r="C91" s="3" t="s">
        <v>221</v>
      </c>
      <c r="D91" s="36">
        <f>(SUM('Input data'!D$404:D$405)+SUMPRODUCT('Input data'!D$406:D$410,'Input data'!D$145:D$149))*'Input data'!D335</f>
        <v>460151.99118812644</v>
      </c>
      <c r="E91" s="36">
        <f>(SUM('Input data'!E$404:E$405)+SUMPRODUCT('Input data'!E$406:E$410,'Input data'!E$145:E$149))*'Input data'!E335</f>
        <v>456645.75639013312</v>
      </c>
      <c r="F91" s="36">
        <f>(SUM('Input data'!F$404:F$405)+SUMPRODUCT('Input data'!F$406:F$410,'Input data'!F$145:F$149))*'Input data'!F335</f>
        <v>394330.45532674226</v>
      </c>
      <c r="G91" s="36">
        <f>(SUM('Input data'!G$404:G$405)+SUMPRODUCT('Input data'!G$406:G$410,'Input data'!G$145:G$149))*'Input data'!G335</f>
        <v>476941.32110940828</v>
      </c>
    </row>
    <row r="92" spans="2:7" ht="14.45" customHeight="1">
      <c r="B92" s="34" t="s">
        <v>185</v>
      </c>
      <c r="C92" s="3" t="s">
        <v>221</v>
      </c>
      <c r="D92" s="36">
        <f>(SUM('Input data'!D$404:D$405)+SUMPRODUCT('Input data'!D$406:D$410,'Input data'!D$145:D$149))*'Input data'!D336</f>
        <v>1747372.2588321103</v>
      </c>
      <c r="E92" s="36">
        <f>(SUM('Input data'!E$404:E$405)+SUMPRODUCT('Input data'!E$406:E$410,'Input data'!E$145:E$149))*'Input data'!E336</f>
        <v>1734057.7507211145</v>
      </c>
      <c r="F92" s="36">
        <f>(SUM('Input data'!F$404:F$405)+SUMPRODUCT('Input data'!F$406:F$410,'Input data'!F$145:F$149))*'Input data'!F336</f>
        <v>1497422.8334239228</v>
      </c>
      <c r="G92" s="36">
        <f>(SUM('Input data'!G$404:G$405)+SUMPRODUCT('Input data'!G$406:G$410,'Input data'!G$145:G$149))*'Input data'!G336</f>
        <v>1811127.7350891579</v>
      </c>
    </row>
    <row r="93" spans="2:7" ht="14.45" customHeight="1">
      <c r="B93" s="34" t="s">
        <v>187</v>
      </c>
      <c r="C93" s="3" t="s">
        <v>221</v>
      </c>
      <c r="D93" s="36">
        <f>(SUM('Input data'!D$404:D$405)+SUMPRODUCT('Input data'!D$406:D$410,'Input data'!D$145:D$149))*'Input data'!D337</f>
        <v>270847.51593538024</v>
      </c>
      <c r="E93" s="36">
        <f>(SUM('Input data'!E$404:E$405)+SUMPRODUCT('Input data'!E$406:E$410,'Input data'!E$145:E$149))*'Input data'!E337</f>
        <v>268783.73048294609</v>
      </c>
      <c r="F93" s="36">
        <f>(SUM('Input data'!F$404:F$405)+SUMPRODUCT('Input data'!F$406:F$410,'Input data'!F$145:F$149))*'Input data'!F337</f>
        <v>232104.66612813275</v>
      </c>
      <c r="G93" s="36">
        <f>(SUM('Input data'!G$404:G$405)+SUMPRODUCT('Input data'!G$406:G$410,'Input data'!G$145:G$149))*'Input data'!G337</f>
        <v>280729.79046744813</v>
      </c>
    </row>
    <row r="94" spans="2:7" ht="14.45" customHeight="1">
      <c r="B94" s="34" t="s">
        <v>189</v>
      </c>
      <c r="C94" s="3" t="s">
        <v>221</v>
      </c>
      <c r="D94" s="36">
        <f>(SUM('Input data'!D$404:D$405)+SUMPRODUCT('Input data'!D$406:D$410,'Input data'!D$145:D$149))*'Input data'!D338</f>
        <v>75394.516807573702</v>
      </c>
      <c r="E94" s="36">
        <f>(SUM('Input data'!E$404:E$405)+SUMPRODUCT('Input data'!E$406:E$410,'Input data'!E$145:E$149))*'Input data'!E338</f>
        <v>74820.030804098977</v>
      </c>
      <c r="F94" s="36">
        <f>(SUM('Input data'!F$404:F$405)+SUMPRODUCT('Input data'!F$406:F$410,'Input data'!F$145:F$149))*'Input data'!F338</f>
        <v>64609.85655001858</v>
      </c>
      <c r="G94" s="36">
        <f>(SUM('Input data'!G$404:G$405)+SUMPRODUCT('Input data'!G$406:G$410,'Input data'!G$145:G$149))*'Input data'!G338</f>
        <v>78145.397910292813</v>
      </c>
    </row>
    <row r="95" spans="2:7" ht="14.45" customHeight="1">
      <c r="B95" s="34" t="s">
        <v>191</v>
      </c>
      <c r="C95" s="3" t="s">
        <v>221</v>
      </c>
      <c r="D95" s="36">
        <f>(SUM('Input data'!D$404:D$405)+SUMPRODUCT('Input data'!D$406:D$410,'Input data'!D$145:D$149))*'Input data'!D339</f>
        <v>418662.90931027912</v>
      </c>
      <c r="E95" s="36">
        <f>(SUM('Input data'!E$404:E$405)+SUMPRODUCT('Input data'!E$406:E$410,'Input data'!E$145:E$149))*'Input data'!E339</f>
        <v>415472.81019224081</v>
      </c>
      <c r="F95" s="36">
        <f>(SUM('Input data'!F$404:F$405)+SUMPRODUCT('Input data'!F$406:F$410,'Input data'!F$145:F$149))*'Input data'!F339</f>
        <v>358776.09750306542</v>
      </c>
      <c r="G95" s="36">
        <f>(SUM('Input data'!G$404:G$405)+SUMPRODUCT('Input data'!G$406:G$410,'Input data'!G$145:G$149))*'Input data'!G339</f>
        <v>433938.44836002809</v>
      </c>
    </row>
    <row r="96" spans="2:7" ht="14.45" customHeight="1">
      <c r="B96" s="34" t="s">
        <v>193</v>
      </c>
      <c r="C96" s="3" t="s">
        <v>221</v>
      </c>
      <c r="D96" s="36">
        <f>(SUM('Input data'!D$404:D$405)+SUMPRODUCT('Input data'!D$406:D$410,'Input data'!D$145:D$149))*'Input data'!D340</f>
        <v>426568.48045683431</v>
      </c>
      <c r="E96" s="36">
        <f>(SUM('Input data'!E$404:E$405)+SUMPRODUCT('Input data'!E$406:E$410,'Input data'!E$145:E$149))*'Input data'!E340</f>
        <v>423318.14300628228</v>
      </c>
      <c r="F96" s="36">
        <f>(SUM('Input data'!F$404:F$405)+SUMPRODUCT('Input data'!F$406:F$410,'Input data'!F$145:F$149))*'Input data'!F340</f>
        <v>365550.83178551379</v>
      </c>
      <c r="G96" s="36">
        <f>(SUM('Input data'!G$404:G$405)+SUMPRODUCT('Input data'!G$406:G$410,'Input data'!G$145:G$149))*'Input data'!G340</f>
        <v>442132.46603020473</v>
      </c>
    </row>
    <row r="97" spans="2:7" ht="14.45" customHeight="1">
      <c r="B97" s="34" t="s">
        <v>195</v>
      </c>
      <c r="C97" s="3" t="s">
        <v>221</v>
      </c>
      <c r="D97" s="36">
        <f>(SUM('Input data'!D$404:D$405)+SUMPRODUCT('Input data'!D$406:D$410,'Input data'!D$145:D$149))*'Input data'!D341</f>
        <v>294466.70623894472</v>
      </c>
      <c r="E97" s="36">
        <f>(SUM('Input data'!E$404:E$405)+SUMPRODUCT('Input data'!E$406:E$410,'Input data'!E$145:E$149))*'Input data'!E341</f>
        <v>292222.94888911868</v>
      </c>
      <c r="F97" s="36">
        <f>(SUM('Input data'!F$404:F$405)+SUMPRODUCT('Input data'!F$406:F$410,'Input data'!F$145:F$149))*'Input data'!F341</f>
        <v>252345.29584442524</v>
      </c>
      <c r="G97" s="36">
        <f>(SUM('Input data'!G$404:G$405)+SUMPRODUCT('Input data'!G$406:G$410,'Input data'!G$145:G$149))*'Input data'!G341</f>
        <v>305210.76206518058</v>
      </c>
    </row>
    <row r="98" spans="2:7" ht="14.45" customHeight="1">
      <c r="B98" s="34" t="s">
        <v>197</v>
      </c>
      <c r="C98" s="3" t="s">
        <v>221</v>
      </c>
      <c r="D98" s="36">
        <f>(SUM('Input data'!D$404:D$405)+SUMPRODUCT('Input data'!D$406:D$410,'Input data'!D$145:D$149))*'Input data'!D342</f>
        <v>174115.00218173882</v>
      </c>
      <c r="E98" s="36">
        <f>(SUM('Input data'!E$404:E$405)+SUMPRODUCT('Input data'!E$406:E$410,'Input data'!E$145:E$149))*'Input data'!E342</f>
        <v>172788.29254841528</v>
      </c>
      <c r="F98" s="36">
        <f>(SUM('Input data'!F$404:F$405)+SUMPRODUCT('Input data'!F$406:F$410,'Input data'!F$145:F$149))*'Input data'!F342</f>
        <v>149209.06440557295</v>
      </c>
      <c r="G98" s="36">
        <f>(SUM('Input data'!G$404:G$405)+SUMPRODUCT('Input data'!G$406:G$410,'Input data'!G$145:G$149))*'Input data'!G342</f>
        <v>180467.84705007446</v>
      </c>
    </row>
    <row r="99" spans="2:7" ht="14.45" customHeight="1">
      <c r="B99" s="34" t="s">
        <v>199</v>
      </c>
      <c r="C99" s="3" t="s">
        <v>221</v>
      </c>
      <c r="D99" s="36">
        <f>(SUM('Input data'!D$404:D$405)+SUMPRODUCT('Input data'!D$406:D$410,'Input data'!D$145:D$149))*'Input data'!D343</f>
        <v>211724.6854616355</v>
      </c>
      <c r="E99" s="36">
        <f>(SUM('Input data'!E$404:E$405)+SUMPRODUCT('Input data'!E$406:E$410,'Input data'!E$145:E$149))*'Input data'!E343</f>
        <v>210111.40012553823</v>
      </c>
      <c r="F99" s="36">
        <f>(SUM('Input data'!F$404:F$405)+SUMPRODUCT('Input data'!F$406:F$410,'Input data'!F$145:F$149))*'Input data'!F343</f>
        <v>181438.94456791464</v>
      </c>
      <c r="G99" s="36">
        <f>(SUM('Input data'!G$404:G$405)+SUMPRODUCT('Input data'!G$406:G$410,'Input data'!G$145:G$149))*'Input data'!G343</f>
        <v>219449.77557265869</v>
      </c>
    </row>
    <row r="100" spans="2:7" ht="14.45" customHeight="1">
      <c r="B100" s="34" t="s">
        <v>201</v>
      </c>
      <c r="C100" s="3" t="s">
        <v>221</v>
      </c>
      <c r="D100" s="36">
        <f>(SUM('Input data'!D$404:D$405)+SUMPRODUCT('Input data'!D$406:D$410,'Input data'!D$145:D$149))*'Input data'!D344</f>
        <v>698233.36421518959</v>
      </c>
      <c r="E100" s="36">
        <f>(SUM('Input data'!E$404:E$405)+SUMPRODUCT('Input data'!E$406:E$410,'Input data'!E$145:E$149))*'Input data'!E344</f>
        <v>692913.01318854303</v>
      </c>
      <c r="F100" s="36">
        <f>(SUM('Input data'!F$404:F$405)+SUMPRODUCT('Input data'!F$406:F$410,'Input data'!F$145:F$149))*'Input data'!F344</f>
        <v>598355.94696521095</v>
      </c>
      <c r="G100" s="36">
        <f>(SUM('Input data'!G$404:G$405)+SUMPRODUCT('Input data'!G$406:G$410,'Input data'!G$145:G$149))*'Input data'!G344</f>
        <v>723709.44720156665</v>
      </c>
    </row>
    <row r="101" spans="2:7" ht="14.45" customHeight="1">
      <c r="B101" s="34" t="s">
        <v>203</v>
      </c>
      <c r="C101" s="3" t="s">
        <v>221</v>
      </c>
      <c r="D101" s="36">
        <f>(SUM('Input data'!D$404:D$405)+SUMPRODUCT('Input data'!D$406:D$410,'Input data'!D$145:D$149))*'Input data'!D345</f>
        <v>874460.28046467097</v>
      </c>
      <c r="E101" s="36">
        <f>(SUM('Input data'!E$404:E$405)+SUMPRODUCT('Input data'!E$406:E$410,'Input data'!E$145:E$149))*'Input data'!E345</f>
        <v>867797.127585746</v>
      </c>
      <c r="F101" s="36">
        <f>(SUM('Input data'!F$404:F$405)+SUMPRODUCT('Input data'!F$406:F$410,'Input data'!F$145:F$149))*'Input data'!F345</f>
        <v>749374.83084759105</v>
      </c>
      <c r="G101" s="36">
        <f>(SUM('Input data'!G$404:G$405)+SUMPRODUCT('Input data'!G$406:G$410,'Input data'!G$145:G$149))*'Input data'!G345</f>
        <v>906366.26464583178</v>
      </c>
    </row>
    <row r="102" spans="2:7" ht="14.45" customHeight="1">
      <c r="B102" s="34" t="s">
        <v>205</v>
      </c>
      <c r="C102" s="3" t="s">
        <v>221</v>
      </c>
      <c r="D102" s="36">
        <f>(SUM('Input data'!D$404:D$405)+SUMPRODUCT('Input data'!D$406:D$410,'Input data'!D$145:D$149))*'Input data'!D346</f>
        <v>6302979.3219628185</v>
      </c>
      <c r="E102" s="36">
        <f>(SUM('Input data'!E$404:E$405)+SUMPRODUCT('Input data'!E$406:E$410,'Input data'!E$145:E$149))*'Input data'!E346</f>
        <v>6254952.3094693245</v>
      </c>
      <c r="F102" s="36">
        <f>(SUM('Input data'!F$404:F$405)+SUMPRODUCT('Input data'!F$406:F$410,'Input data'!F$145:F$149))*'Input data'!F346</f>
        <v>5401382.0510199564</v>
      </c>
      <c r="G102" s="36">
        <f>(SUM('Input data'!G$404:G$405)+SUMPRODUCT('Input data'!G$406:G$410,'Input data'!G$145:G$149))*'Input data'!G346</f>
        <v>6532952.8988459986</v>
      </c>
    </row>
    <row r="103" spans="2:7" ht="14.45" customHeight="1">
      <c r="B103" s="34" t="s">
        <v>207</v>
      </c>
      <c r="C103" s="3" t="s">
        <v>221</v>
      </c>
      <c r="D103" s="36">
        <f>(SUM('Input data'!D$404:D$405)+SUMPRODUCT('Input data'!D$406:D$410,'Input data'!D$145:D$149))*'Input data'!D347</f>
        <v>13577960.651858555</v>
      </c>
      <c r="E103" s="36">
        <f>(SUM('Input data'!E$404:E$405)+SUMPRODUCT('Input data'!E$406:E$410,'Input data'!E$145:E$149))*'Input data'!E347</f>
        <v>13474500.232181991</v>
      </c>
      <c r="F103" s="36">
        <f>(SUM('Input data'!F$404:F$405)+SUMPRODUCT('Input data'!F$406:F$410,'Input data'!F$145:F$149))*'Input data'!F347</f>
        <v>11635727.995941641</v>
      </c>
      <c r="G103" s="36">
        <f>(SUM('Input data'!G$404:G$405)+SUMPRODUCT('Input data'!G$406:G$410,'Input data'!G$145:G$149))*'Input data'!G347</f>
        <v>14073372.744835973</v>
      </c>
    </row>
    <row r="104" spans="2:7" ht="14.45" customHeight="1">
      <c r="B104" s="34" t="s">
        <v>209</v>
      </c>
      <c r="C104" s="3" t="s">
        <v>221</v>
      </c>
      <c r="D104" s="36">
        <f>(SUM('Input data'!D$404:D$405)+SUMPRODUCT('Input data'!D$406:D$410,'Input data'!D$145:D$149))*'Input data'!D348</f>
        <v>5725553.9657092011</v>
      </c>
      <c r="E104" s="36">
        <f>(SUM('Input data'!E$404:E$405)+SUMPRODUCT('Input data'!E$406:E$410,'Input data'!E$145:E$149))*'Input data'!E348</f>
        <v>5681926.7796124434</v>
      </c>
      <c r="F104" s="36">
        <f>(SUM('Input data'!F$404:F$405)+SUMPRODUCT('Input data'!F$406:F$410,'Input data'!F$145:F$149))*'Input data'!F348</f>
        <v>4906553.3683041083</v>
      </c>
      <c r="G104" s="36">
        <f>(SUM('Input data'!G$404:G$405)+SUMPRODUCT('Input data'!G$406:G$410,'Input data'!G$145:G$149))*'Input data'!G348</f>
        <v>5934459.3194906535</v>
      </c>
    </row>
    <row r="105" spans="2:7" ht="14.45" customHeight="1">
      <c r="B105" s="34" t="s">
        <v>210</v>
      </c>
      <c r="C105" s="3" t="s">
        <v>221</v>
      </c>
      <c r="D105" s="36">
        <f>(SUM('Input data'!D$404:D$405)+SUMPRODUCT('Input data'!D$406:D$410,'Input data'!D$145:D$149))*'Input data'!D349</f>
        <v>141385.71584325258</v>
      </c>
      <c r="E105" s="36">
        <f>(SUM('Input data'!E$404:E$405)+SUMPRODUCT('Input data'!E$406:E$410,'Input data'!E$145:E$149))*'Input data'!E349</f>
        <v>140308.39459652972</v>
      </c>
      <c r="F105" s="36">
        <f>(SUM('Input data'!F$404:F$405)+SUMPRODUCT('Input data'!F$406:F$410,'Input data'!F$145:F$149))*'Input data'!F349</f>
        <v>121161.4744102531</v>
      </c>
      <c r="G105" s="36">
        <f>(SUM('Input data'!G$404:G$405)+SUMPRODUCT('Input data'!G$406:G$410,'Input data'!G$145:G$149))*'Input data'!G349</f>
        <v>146544.38401139376</v>
      </c>
    </row>
    <row r="106" spans="2:7" ht="14.45" customHeight="1">
      <c r="B106" s="34" t="s">
        <v>212</v>
      </c>
      <c r="C106" s="3" t="s">
        <v>221</v>
      </c>
      <c r="D106" s="36">
        <f>(SUM('Input data'!D$404:D$405)+SUMPRODUCT('Input data'!D$406:D$410,'Input data'!D$145:D$149))*'Input data'!D350</f>
        <v>11117664.587172469</v>
      </c>
      <c r="E106" s="36">
        <f>(SUM('Input data'!E$404:E$405)+SUMPRODUCT('Input data'!E$406:E$410,'Input data'!E$145:E$149))*'Input data'!E350</f>
        <v>11032950.963860068</v>
      </c>
      <c r="F106" s="36">
        <f>(SUM('Input data'!F$404:F$405)+SUMPRODUCT('Input data'!F$406:F$410,'Input data'!F$145:F$149))*'Input data'!F350</f>
        <v>9527360.139222715</v>
      </c>
      <c r="G106" s="36">
        <f>(SUM('Input data'!G$404:G$405)+SUMPRODUCT('Input data'!G$406:G$410,'Input data'!G$145:G$149))*'Input data'!G350</f>
        <v>11523309.118289748</v>
      </c>
    </row>
    <row r="107" spans="2:7" ht="14.45" customHeight="1">
      <c r="B107" s="34" t="s">
        <v>213</v>
      </c>
      <c r="C107" s="3" t="s">
        <v>221</v>
      </c>
      <c r="D107" s="36">
        <f>(SUM('Input data'!D$404:D$405)+SUMPRODUCT('Input data'!D$406:D$410,'Input data'!D$145:D$149))*'Input data'!D351</f>
        <v>41463.967224068758</v>
      </c>
      <c r="E107" s="36">
        <f>(SUM('Input data'!E$404:E$405)+SUMPRODUCT('Input data'!E$406:E$410,'Input data'!E$145:E$149))*'Input data'!E351</f>
        <v>41148.02291104188</v>
      </c>
      <c r="F107" s="36">
        <f>(SUM('Input data'!F$404:F$405)+SUMPRODUCT('Input data'!F$406:F$410,'Input data'!F$145:F$149))*'Input data'!F351</f>
        <v>35532.835646114778</v>
      </c>
      <c r="G107" s="36">
        <f>(SUM('Input data'!G$404:G$405)+SUMPRODUCT('Input data'!G$406:G$410,'Input data'!G$145:G$149))*'Input data'!G351</f>
        <v>42976.841750097985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B3:CM32"/>
  <sheetViews>
    <sheetView showGridLines="0" topLeftCell="AI1" zoomScale="90" zoomScaleNormal="90" workbookViewId="0">
      <selection activeCell="F8" sqref="F8"/>
    </sheetView>
  </sheetViews>
  <sheetFormatPr defaultColWidth="8.85546875" defaultRowHeight="15"/>
  <cols>
    <col min="1" max="1" width="8.85546875" style="1"/>
    <col min="2" max="2" width="31" style="1" customWidth="1"/>
    <col min="3" max="91" width="16.7109375" style="1" customWidth="1"/>
    <col min="92" max="16384" width="8.85546875" style="1"/>
  </cols>
  <sheetData>
    <row r="3" spans="2:91">
      <c r="B3" s="2" t="s">
        <v>3</v>
      </c>
      <c r="C3" s="37" t="s">
        <v>1</v>
      </c>
      <c r="D3" s="38"/>
      <c r="E3" s="38"/>
      <c r="F3" s="38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</row>
    <row r="4" spans="2:91">
      <c r="B4" s="42" t="s">
        <v>2</v>
      </c>
      <c r="C4" s="41" t="str">
        <f t="array" ref="C4:CM4">TRANSPOSE('Input capacity'!B19:B107)</f>
        <v>CTS Campo Maior</v>
      </c>
      <c r="D4" s="13" t="str">
        <v>CTS Valença do Minho</v>
      </c>
      <c r="E4" s="13" t="str">
        <v>LNG Terminal Sines</v>
      </c>
      <c r="F4" s="13" t="str">
        <v>Underground storage Carriço</v>
      </c>
      <c r="G4" s="13" t="str">
        <v>GRMS 01059</v>
      </c>
      <c r="H4" s="13" t="str">
        <v>GRMS 01109</v>
      </c>
      <c r="I4" s="13" t="str">
        <v>GRMS 01119</v>
      </c>
      <c r="J4" s="13" t="str">
        <v>GRMS 01129</v>
      </c>
      <c r="K4" s="13" t="str">
        <v>GRMS 01139</v>
      </c>
      <c r="L4" s="13" t="str">
        <v>GRMS 01149</v>
      </c>
      <c r="M4" s="13" t="str">
        <v>GRMS 01159</v>
      </c>
      <c r="N4" s="13" t="str">
        <v>GRMS 01179</v>
      </c>
      <c r="O4" s="13" t="str">
        <v>GRMS 01189</v>
      </c>
      <c r="P4" s="13" t="str">
        <v>GRMS 01209</v>
      </c>
      <c r="Q4" s="13" t="str">
        <v>GRMS 01219</v>
      </c>
      <c r="R4" s="13" t="str">
        <v>GRMS 01229</v>
      </c>
      <c r="S4" s="13" t="str">
        <v>GRMS 01239</v>
      </c>
      <c r="T4" s="13" t="str">
        <v>GRMS 01259</v>
      </c>
      <c r="U4" s="13" t="str">
        <v>GRMS 01269</v>
      </c>
      <c r="V4" s="13" t="str">
        <v>GRMS 01279</v>
      </c>
      <c r="W4" s="13" t="str">
        <v>GRMS 01309</v>
      </c>
      <c r="X4" s="13" t="str">
        <v>GRMS 01319</v>
      </c>
      <c r="Y4" s="13" t="str">
        <v>GRMS 01359</v>
      </c>
      <c r="Z4" s="13" t="str">
        <v>GRMS 01369</v>
      </c>
      <c r="AA4" s="13" t="str">
        <v>GRMS 01409</v>
      </c>
      <c r="AB4" s="13" t="str">
        <v>GRMS 02069</v>
      </c>
      <c r="AC4" s="13" t="str">
        <v>GRMS 02089</v>
      </c>
      <c r="AD4" s="13" t="str">
        <v>GRMS 02159</v>
      </c>
      <c r="AE4" s="13" t="str">
        <v>GRMS 02509</v>
      </c>
      <c r="AF4" s="13" t="str">
        <v>GRMS 02519</v>
      </c>
      <c r="AG4" s="13" t="str">
        <v>GRMS 02539</v>
      </c>
      <c r="AH4" s="13" t="str">
        <v>GRMS 02549</v>
      </c>
      <c r="AI4" s="13" t="str">
        <v>GRMS 02559</v>
      </c>
      <c r="AJ4" s="13" t="str">
        <v>GRMS 02569</v>
      </c>
      <c r="AK4" s="13" t="str">
        <v>GRMS 02709</v>
      </c>
      <c r="AL4" s="13" t="str">
        <v>GRMS 02719</v>
      </c>
      <c r="AM4" s="13" t="str">
        <v>GRMS 02739</v>
      </c>
      <c r="AN4" s="13" t="str">
        <v>GRMS 03009</v>
      </c>
      <c r="AO4" s="13" t="str">
        <v>GRMS 03059</v>
      </c>
      <c r="AP4" s="13" t="str">
        <v>GRMS 03069</v>
      </c>
      <c r="AQ4" s="13" t="str">
        <v>GRMS 03109</v>
      </c>
      <c r="AR4" s="13" t="str">
        <v>GRMS 03169</v>
      </c>
      <c r="AS4" s="13" t="str">
        <v>GRMS 03219</v>
      </c>
      <c r="AT4" s="13" t="str">
        <v>GRMS 03229</v>
      </c>
      <c r="AU4" s="13" t="str">
        <v>GRMS 03259</v>
      </c>
      <c r="AV4" s="13" t="str">
        <v>GRMS 03269</v>
      </c>
      <c r="AW4" s="13" t="str">
        <v>GRMS 03309</v>
      </c>
      <c r="AX4" s="13" t="str">
        <v>GRMS 03359</v>
      </c>
      <c r="AY4" s="13" t="str">
        <v>GRMS 03369</v>
      </c>
      <c r="AZ4" s="13" t="str">
        <v>GRMS 03459</v>
      </c>
      <c r="BA4" s="13" t="str">
        <v>GRMS 03559</v>
      </c>
      <c r="BB4" s="13" t="str">
        <v>GRMS 03609</v>
      </c>
      <c r="BC4" s="13" t="str">
        <v>GRMS 03619</v>
      </c>
      <c r="BD4" s="13" t="str">
        <v>GRMS 03659</v>
      </c>
      <c r="BE4" s="13" t="str">
        <v>GRMS 04059</v>
      </c>
      <c r="BF4" s="13" t="str">
        <v>GRMS 04109</v>
      </c>
      <c r="BG4" s="13" t="str">
        <v>GRMS 04149</v>
      </c>
      <c r="BH4" s="13" t="str">
        <v>GRMS 04159</v>
      </c>
      <c r="BI4" s="13" t="str">
        <v>GRMS 04209</v>
      </c>
      <c r="BJ4" s="13" t="str">
        <v>GRMS 05009</v>
      </c>
      <c r="BK4" s="13" t="str">
        <v>GRMS 05119</v>
      </c>
      <c r="BL4" s="13" t="str">
        <v>GRMS 05179</v>
      </c>
      <c r="BM4" s="13" t="str">
        <v>GRMS 05309</v>
      </c>
      <c r="BN4" s="13" t="str">
        <v>GRMS 05609</v>
      </c>
      <c r="BO4" s="13" t="str">
        <v>GRMS 07009</v>
      </c>
      <c r="BP4" s="13" t="str">
        <v>GRMS 08009</v>
      </c>
      <c r="BQ4" s="13" t="str">
        <v>GRMS 08109</v>
      </c>
      <c r="BR4" s="13" t="str">
        <v>GRMS 08119</v>
      </c>
      <c r="BS4" s="13" t="str">
        <v>GRMS 08209</v>
      </c>
      <c r="BT4" s="13" t="str">
        <v>GRMS 08309</v>
      </c>
      <c r="BU4" s="13" t="str">
        <v>GRMS 08409</v>
      </c>
      <c r="BV4" s="13" t="str">
        <v>GRMS 08559</v>
      </c>
      <c r="BW4" s="13" t="str">
        <v>GRMS 10079</v>
      </c>
      <c r="BX4" s="13" t="str">
        <v>GRMS 10159</v>
      </c>
      <c r="BY4" s="13" t="str">
        <v>GRMS 10209</v>
      </c>
      <c r="BZ4" s="13" t="str">
        <v>GRMS 10309</v>
      </c>
      <c r="CA4" s="13" t="str">
        <v>GRMS 10359</v>
      </c>
      <c r="CB4" s="13" t="str">
        <v>GRMS 10459</v>
      </c>
      <c r="CC4" s="13" t="str">
        <v>GRMS 11109</v>
      </c>
      <c r="CD4" s="13" t="str">
        <v>GRMS 11159</v>
      </c>
      <c r="CE4" s="13" t="str">
        <v>GRMS 11209</v>
      </c>
      <c r="CF4" s="13" t="str">
        <v>GRMS 11279</v>
      </c>
      <c r="CG4" s="13" t="str">
        <v>GRMS 11309</v>
      </c>
      <c r="CH4" s="13" t="str">
        <v>GRMS 12209</v>
      </c>
      <c r="CI4" s="13" t="str">
        <v>GRMS 12609</v>
      </c>
      <c r="CJ4" s="13" t="str">
        <v>GRMS 12619</v>
      </c>
      <c r="CK4" s="13" t="str">
        <v>GRMS 12619B</v>
      </c>
      <c r="CL4" s="13" t="str">
        <v>GRMS 12629</v>
      </c>
      <c r="CM4" s="13" t="str">
        <v>GRMS 12809</v>
      </c>
    </row>
    <row r="5" spans="2:91">
      <c r="B5" s="13" t="str">
        <f>'Input capacity'!B7</f>
        <v>CTS Campo Maior</v>
      </c>
      <c r="C5" s="48">
        <f>IF(OR('RPM &amp; Discounts'!$B$3='A0.Support'!$B$3,'RPM &amp; Discounts'!$B$3='A0.Support'!$B$4),C23,C14*C23)</f>
        <v>0</v>
      </c>
      <c r="D5" s="48">
        <f>IF(OR('RPM &amp; Discounts'!$B$3='A0.Support'!$B$3,'RPM &amp; Discounts'!$B$3='A0.Support'!$B$4),D23,D14*D23)</f>
        <v>508.95100000000002</v>
      </c>
      <c r="E5" s="48">
        <f>IF(OR('RPM &amp; Discounts'!$B$3='A0.Support'!$B$3,'RPM &amp; Discounts'!$B$3='A0.Support'!$B$4),E23,E14*E23)</f>
        <v>481.59199999999998</v>
      </c>
      <c r="F5" s="48">
        <f>IF(OR('RPM &amp; Discounts'!$B$3='A0.Support'!$B$3,'RPM &amp; Discounts'!$B$3='A0.Support'!$B$4),F23,F14*F23)</f>
        <v>239.52199999999999</v>
      </c>
      <c r="G5" s="48">
        <f>IF(OR('RPM &amp; Discounts'!$B$3='A0.Support'!$B$3,'RPM &amp; Discounts'!$B$3='A0.Support'!$B$4),G23,G14*G23)</f>
        <v>1013.8654285714285</v>
      </c>
      <c r="H5" s="48">
        <f>IF(OR('RPM &amp; Discounts'!$B$3='A0.Support'!$B$3,'RPM &amp; Discounts'!$B$3='A0.Support'!$B$4),H23,H14*H23)</f>
        <v>1047.2965714285713</v>
      </c>
      <c r="I5" s="48">
        <f>IF(OR('RPM &amp; Discounts'!$B$3='A0.Support'!$B$3,'RPM &amp; Discounts'!$B$3='A0.Support'!$B$4),I23,I14*I23)</f>
        <v>1025.9254285714285</v>
      </c>
      <c r="J5" s="48">
        <f>IF(OR('RPM &amp; Discounts'!$B$3='A0.Support'!$B$3,'RPM &amp; Discounts'!$B$3='A0.Support'!$B$4),J23,J14*J23)</f>
        <v>1047.2939999999999</v>
      </c>
      <c r="K5" s="48">
        <f>IF(OR('RPM &amp; Discounts'!$B$3='A0.Support'!$B$3,'RPM &amp; Discounts'!$B$3='A0.Support'!$B$4),K23,K14*K23)</f>
        <v>972.90257142857138</v>
      </c>
      <c r="L5" s="48">
        <f>IF(OR('RPM &amp; Discounts'!$B$3='A0.Support'!$B$3,'RPM &amp; Discounts'!$B$3='A0.Support'!$B$4),L23,L14*L23)</f>
        <v>941.04257142857136</v>
      </c>
      <c r="M5" s="48">
        <f>IF(OR('RPM &amp; Discounts'!$B$3='A0.Support'!$B$3,'RPM &amp; Discounts'!$B$3='A0.Support'!$B$4),M23,M14*M23)</f>
        <v>1063.3911428571428</v>
      </c>
      <c r="N5" s="48">
        <f>IF(OR('RPM &amp; Discounts'!$B$3='A0.Support'!$B$3,'RPM &amp; Discounts'!$B$3='A0.Support'!$B$4),N23,N14*N23)</f>
        <v>898.0997142857143</v>
      </c>
      <c r="O5" s="48">
        <f>IF(OR('RPM &amp; Discounts'!$B$3='A0.Support'!$B$3,'RPM &amp; Discounts'!$B$3='A0.Support'!$B$4),O23,O14*O23)</f>
        <v>866.05971428571422</v>
      </c>
      <c r="P5" s="48">
        <f>IF(OR('RPM &amp; Discounts'!$B$3='A0.Support'!$B$3,'RPM &amp; Discounts'!$B$3='A0.Support'!$B$4),P23,P14*P23)</f>
        <v>941.30228571428563</v>
      </c>
      <c r="Q5" s="48">
        <f>IF(OR('RPM &amp; Discounts'!$B$3='A0.Support'!$B$3,'RPM &amp; Discounts'!$B$3='A0.Support'!$B$4),Q23,Q14*Q23)</f>
        <v>856.72542857142844</v>
      </c>
      <c r="R5" s="48">
        <f>IF(OR('RPM &amp; Discounts'!$B$3='A0.Support'!$B$3,'RPM &amp; Discounts'!$B$3='A0.Support'!$B$4),R23,R14*R23)</f>
        <v>910.16228571428564</v>
      </c>
      <c r="S5" s="48">
        <f>IF(OR('RPM &amp; Discounts'!$B$3='A0.Support'!$B$3,'RPM &amp; Discounts'!$B$3='A0.Support'!$B$4),S23,S14*S23)</f>
        <v>927.57342857142851</v>
      </c>
      <c r="T5" s="48">
        <f>IF(OR('RPM &amp; Discounts'!$B$3='A0.Support'!$B$3,'RPM &amp; Discounts'!$B$3='A0.Support'!$B$4),T23,T14*T23)</f>
        <v>850.11685714285704</v>
      </c>
      <c r="U5" s="48">
        <f>IF(OR('RPM &amp; Discounts'!$B$3='A0.Support'!$B$3,'RPM &amp; Discounts'!$B$3='A0.Support'!$B$4),U23,U14*U23)</f>
        <v>856.72799999999995</v>
      </c>
      <c r="V5" s="48">
        <f>IF(OR('RPM &amp; Discounts'!$B$3='A0.Support'!$B$3,'RPM &amp; Discounts'!$B$3='A0.Support'!$B$4),V23,V14*V23)</f>
        <v>927.57085714285699</v>
      </c>
      <c r="W5" s="48">
        <f>IF(OR('RPM &amp; Discounts'!$B$3='A0.Support'!$B$3,'RPM &amp; Discounts'!$B$3='A0.Support'!$B$4),W23,W14*W23)</f>
        <v>844.43399999999997</v>
      </c>
      <c r="X5" s="48">
        <f>IF(OR('RPM &amp; Discounts'!$B$3='A0.Support'!$B$3,'RPM &amp; Discounts'!$B$3='A0.Support'!$B$4),X23,X14*X23)</f>
        <v>815.04257142857136</v>
      </c>
      <c r="Y5" s="48">
        <f>IF(OR('RPM &amp; Discounts'!$B$3='A0.Support'!$B$3,'RPM &amp; Discounts'!$B$3='A0.Support'!$B$4),Y23,Y14*Y23)</f>
        <v>876.06514285714275</v>
      </c>
      <c r="Z5" s="48">
        <f>IF(OR('RPM &amp; Discounts'!$B$3='A0.Support'!$B$3,'RPM &amp; Discounts'!$B$3='A0.Support'!$B$4),Z23,Z14*Z23)</f>
        <v>876.06257142857123</v>
      </c>
      <c r="AA5" s="48">
        <f>IF(OR('RPM &amp; Discounts'!$B$3='A0.Support'!$B$3,'RPM &amp; Discounts'!$B$3='A0.Support'!$B$4),AA23,AA14*AA23)</f>
        <v>751.7854285714285</v>
      </c>
      <c r="AB5" s="48">
        <f>IF(OR('RPM &amp; Discounts'!$B$3='A0.Support'!$B$3,'RPM &amp; Discounts'!$B$3='A0.Support'!$B$4),AB23,AB14*AB23)</f>
        <v>664.51114285714277</v>
      </c>
      <c r="AC5" s="48">
        <f>IF(OR('RPM &amp; Discounts'!$B$3='A0.Support'!$B$3,'RPM &amp; Discounts'!$B$3='A0.Support'!$B$4),AC23,AC14*AC23)</f>
        <v>631.9054285714285</v>
      </c>
      <c r="AD5" s="48">
        <f>IF(OR('RPM &amp; Discounts'!$B$3='A0.Support'!$B$3,'RPM &amp; Discounts'!$B$3='A0.Support'!$B$4),AD23,AD14*AD23)</f>
        <v>615.01114285714277</v>
      </c>
      <c r="AE5" s="48">
        <f>IF(OR('RPM &amp; Discounts'!$B$3='A0.Support'!$B$3,'RPM &amp; Discounts'!$B$3='A0.Support'!$B$4),AE23,AE14*AE23)</f>
        <v>615.91114285714275</v>
      </c>
      <c r="AF5" s="48">
        <f>IF(OR('RPM &amp; Discounts'!$B$3='A0.Support'!$B$3,'RPM &amp; Discounts'!$B$3='A0.Support'!$B$4),AF23,AF14*AF23)</f>
        <v>641.39400000000001</v>
      </c>
      <c r="AG5" s="48">
        <f>IF(OR('RPM &amp; Discounts'!$B$3='A0.Support'!$B$3,'RPM &amp; Discounts'!$B$3='A0.Support'!$B$4),AG23,AG14*AG23)</f>
        <v>641.6768571428571</v>
      </c>
      <c r="AH5" s="48">
        <f>IF(OR('RPM &amp; Discounts'!$B$3='A0.Support'!$B$3,'RPM &amp; Discounts'!$B$3='A0.Support'!$B$4),AH23,AH14*AH23)</f>
        <v>675.2854285714285</v>
      </c>
      <c r="AI5" s="48">
        <f>IF(OR('RPM &amp; Discounts'!$B$3='A0.Support'!$B$3,'RPM &amp; Discounts'!$B$3='A0.Support'!$B$4),AI23,AI14*AI23)</f>
        <v>590.65971428571424</v>
      </c>
      <c r="AJ5" s="48">
        <f>IF(OR('RPM &amp; Discounts'!$B$3='A0.Support'!$B$3,'RPM &amp; Discounts'!$B$3='A0.Support'!$B$4),AJ23,AJ14*AJ23)</f>
        <v>675.28800000000001</v>
      </c>
      <c r="AK5" s="48">
        <f>IF(OR('RPM &amp; Discounts'!$B$3='A0.Support'!$B$3,'RPM &amp; Discounts'!$B$3='A0.Support'!$B$4),AK23,AK14*AK23)</f>
        <v>650.49685714285704</v>
      </c>
      <c r="AL5" s="48">
        <f>IF(OR('RPM &amp; Discounts'!$B$3='A0.Support'!$B$3,'RPM &amp; Discounts'!$B$3='A0.Support'!$B$4),AL23,AL14*AL23)</f>
        <v>676.00542857142852</v>
      </c>
      <c r="AM5" s="48">
        <f>IF(OR('RPM &amp; Discounts'!$B$3='A0.Support'!$B$3,'RPM &amp; Discounts'!$B$3='A0.Support'!$B$4),AM23,AM14*AM23)</f>
        <v>665.48828571428567</v>
      </c>
      <c r="AN5" s="48">
        <f>IF(OR('RPM &amp; Discounts'!$B$3='A0.Support'!$B$3,'RPM &amp; Discounts'!$B$3='A0.Support'!$B$4),AN23,AN14*AN23)</f>
        <v>680.01685714285713</v>
      </c>
      <c r="AO5" s="48">
        <f>IF(OR('RPM &amp; Discounts'!$B$3='A0.Support'!$B$3,'RPM &amp; Discounts'!$B$3='A0.Support'!$B$4),AO23,AO14*AO23)</f>
        <v>715.14257142857139</v>
      </c>
      <c r="AP5" s="48">
        <f>IF(OR('RPM &amp; Discounts'!$B$3='A0.Support'!$B$3,'RPM &amp; Discounts'!$B$3='A0.Support'!$B$4),AP23,AP14*AP23)</f>
        <v>733.39971428571425</v>
      </c>
      <c r="AQ5" s="48">
        <f>IF(OR('RPM &amp; Discounts'!$B$3='A0.Support'!$B$3,'RPM &amp; Discounts'!$B$3='A0.Support'!$B$4),AQ23,AQ14*AQ23)</f>
        <v>745.84542857142844</v>
      </c>
      <c r="AR5" s="48">
        <f>IF(OR('RPM &amp; Discounts'!$B$3='A0.Support'!$B$3,'RPM &amp; Discounts'!$B$3='A0.Support'!$B$4),AR23,AR14*AR23)</f>
        <v>758.6768571428571</v>
      </c>
      <c r="AS5" s="48">
        <f>IF(OR('RPM &amp; Discounts'!$B$3='A0.Support'!$B$3,'RPM &amp; Discounts'!$B$3='A0.Support'!$B$4),AS23,AS14*AS23)</f>
        <v>800.66828571428562</v>
      </c>
      <c r="AT5" s="48">
        <f>IF(OR('RPM &amp; Discounts'!$B$3='A0.Support'!$B$3,'RPM &amp; Discounts'!$B$3='A0.Support'!$B$4),AT23,AT14*AT23)</f>
        <v>818.87400000000002</v>
      </c>
      <c r="AU5" s="48">
        <f>IF(OR('RPM &amp; Discounts'!$B$3='A0.Support'!$B$3,'RPM &amp; Discounts'!$B$3='A0.Support'!$B$4),AU23,AU14*AU23)</f>
        <v>851.84228571428559</v>
      </c>
      <c r="AV5" s="48">
        <f>IF(OR('RPM &amp; Discounts'!$B$3='A0.Support'!$B$3,'RPM &amp; Discounts'!$B$3='A0.Support'!$B$4),AV23,AV14*AV23)</f>
        <v>851.83971428571419</v>
      </c>
      <c r="AW5" s="48">
        <f>IF(OR('RPM &amp; Discounts'!$B$3='A0.Support'!$B$3,'RPM &amp; Discounts'!$B$3='A0.Support'!$B$4),AW23,AW14*AW23)</f>
        <v>863.46257142857132</v>
      </c>
      <c r="AX5" s="48">
        <f>IF(OR('RPM &amp; Discounts'!$B$3='A0.Support'!$B$3,'RPM &amp; Discounts'!$B$3='A0.Support'!$B$4),AX23,AX14*AX23)</f>
        <v>885.99085714285707</v>
      </c>
      <c r="AY5" s="48">
        <f>IF(OR('RPM &amp; Discounts'!$B$3='A0.Support'!$B$3,'RPM &amp; Discounts'!$B$3='A0.Support'!$B$4),AY23,AY14*AY23)</f>
        <v>885.98828571428555</v>
      </c>
      <c r="AZ5" s="48">
        <f>IF(OR('RPM &amp; Discounts'!$B$3='A0.Support'!$B$3,'RPM &amp; Discounts'!$B$3='A0.Support'!$B$4),AZ23,AZ14*AZ23)</f>
        <v>919.8282857142857</v>
      </c>
      <c r="BA5" s="48">
        <f>IF(OR('RPM &amp; Discounts'!$B$3='A0.Support'!$B$3,'RPM &amp; Discounts'!$B$3='A0.Support'!$B$4),BA23,BA14*BA23)</f>
        <v>964.98257142857142</v>
      </c>
      <c r="BB5" s="48">
        <f>IF(OR('RPM &amp; Discounts'!$B$3='A0.Support'!$B$3,'RPM &amp; Discounts'!$B$3='A0.Support'!$B$4),BB23,BB14*BB23)</f>
        <v>1001.9854285714284</v>
      </c>
      <c r="BC5" s="48">
        <f>IF(OR('RPM &amp; Discounts'!$B$3='A0.Support'!$B$3,'RPM &amp; Discounts'!$B$3='A0.Support'!$B$4),BC23,BC14*BC23)</f>
        <v>994.93971428571422</v>
      </c>
      <c r="BD5" s="48">
        <f>IF(OR('RPM &amp; Discounts'!$B$3='A0.Support'!$B$3,'RPM &amp; Discounts'!$B$3='A0.Support'!$B$4),BD23,BD14*BD23)</f>
        <v>1006.9997142857142</v>
      </c>
      <c r="BE5" s="48">
        <f>IF(OR('RPM &amp; Discounts'!$B$3='A0.Support'!$B$3,'RPM &amp; Discounts'!$B$3='A0.Support'!$B$4),BE23,BE14*BE23)</f>
        <v>1023.3539999999999</v>
      </c>
      <c r="BF5" s="48">
        <f>IF(OR('RPM &amp; Discounts'!$B$3='A0.Support'!$B$3,'RPM &amp; Discounts'!$B$3='A0.Support'!$B$4),BF23,BF14*BF23)</f>
        <v>1047.7568571428571</v>
      </c>
      <c r="BG5" s="48">
        <f>IF(OR('RPM &amp; Discounts'!$B$3='A0.Support'!$B$3,'RPM &amp; Discounts'!$B$3='A0.Support'!$B$4),BG23,BG14*BG23)</f>
        <v>1128.2682857142856</v>
      </c>
      <c r="BH5" s="48">
        <f>IF(OR('RPM &amp; Discounts'!$B$3='A0.Support'!$B$3,'RPM &amp; Discounts'!$B$3='A0.Support'!$B$4),BH23,BH14*BH23)</f>
        <v>1074.2425714285714</v>
      </c>
      <c r="BI5" s="48">
        <f>IF(OR('RPM &amp; Discounts'!$B$3='A0.Support'!$B$3,'RPM &amp; Discounts'!$B$3='A0.Support'!$B$4),BI23,BI14*BI23)</f>
        <v>1097.616857142857</v>
      </c>
      <c r="BJ5" s="48">
        <f>IF(OR('RPM &amp; Discounts'!$B$3='A0.Support'!$B$3,'RPM &amp; Discounts'!$B$3='A0.Support'!$B$4),BJ23,BJ14*BJ23)</f>
        <v>1133.9511428571427</v>
      </c>
      <c r="BK5" s="48">
        <f>IF(OR('RPM &amp; Discounts'!$B$3='A0.Support'!$B$3,'RPM &amp; Discounts'!$B$3='A0.Support'!$B$4),BK23,BK14*BK23)</f>
        <v>1154.2139999999999</v>
      </c>
      <c r="BL5" s="48">
        <f>IF(OR('RPM &amp; Discounts'!$B$3='A0.Support'!$B$3,'RPM &amp; Discounts'!$B$3='A0.Support'!$B$4),BL23,BL14*BL23)</f>
        <v>1225.1082857142856</v>
      </c>
      <c r="BM5" s="48">
        <f>IF(OR('RPM &amp; Discounts'!$B$3='A0.Support'!$B$3,'RPM &amp; Discounts'!$B$3='A0.Support'!$B$4),BM23,BM14*BM23)</f>
        <v>1219.7082857142857</v>
      </c>
      <c r="BN5" s="48">
        <f>IF(OR('RPM &amp; Discounts'!$B$3='A0.Support'!$B$3,'RPM &amp; Discounts'!$B$3='A0.Support'!$B$4),BN23,BN14*BN23)</f>
        <v>1296.4397142857142</v>
      </c>
      <c r="BO5" s="48">
        <f>IF(OR('RPM &amp; Discounts'!$B$3='A0.Support'!$B$3,'RPM &amp; Discounts'!$B$3='A0.Support'!$B$4),BO23,BO14*BO23)</f>
        <v>0.61971428571428566</v>
      </c>
      <c r="BP5" s="48">
        <f>IF(OR('RPM &amp; Discounts'!$B$3='A0.Support'!$B$3,'RPM &amp; Discounts'!$B$3='A0.Support'!$B$4),BP23,BP14*BP23)</f>
        <v>266.45399999999995</v>
      </c>
      <c r="BQ5" s="48">
        <f>IF(OR('RPM &amp; Discounts'!$B$3='A0.Support'!$B$3,'RPM &amp; Discounts'!$B$3='A0.Support'!$B$4),BQ23,BQ14*BQ23)</f>
        <v>324.54257142857142</v>
      </c>
      <c r="BR5" s="48">
        <f>IF(OR('RPM &amp; Discounts'!$B$3='A0.Support'!$B$3,'RPM &amp; Discounts'!$B$3='A0.Support'!$B$4),BR23,BR14*BR23)</f>
        <v>337.55399999999992</v>
      </c>
      <c r="BS5" s="48">
        <f>IF(OR('RPM &amp; Discounts'!$B$3='A0.Support'!$B$3,'RPM &amp; Discounts'!$B$3='A0.Support'!$B$4),BS23,BS14*BS23)</f>
        <v>375.68828571428566</v>
      </c>
      <c r="BT5" s="48">
        <f>IF(OR('RPM &amp; Discounts'!$B$3='A0.Support'!$B$3,'RPM &amp; Discounts'!$B$3='A0.Support'!$B$4),BT23,BT14*BT23)</f>
        <v>422.43685714285709</v>
      </c>
      <c r="BU5" s="48">
        <f>IF(OR('RPM &amp; Discounts'!$B$3='A0.Support'!$B$3,'RPM &amp; Discounts'!$B$3='A0.Support'!$B$4),BU23,BU14*BU23)</f>
        <v>471.39685714285707</v>
      </c>
      <c r="BV5" s="48">
        <f>IF(OR('RPM &amp; Discounts'!$B$3='A0.Support'!$B$3,'RPM &amp; Discounts'!$B$3='A0.Support'!$B$4),BV23,BV14*BV23)</f>
        <v>556.84542857142844</v>
      </c>
      <c r="BW5" s="48">
        <f>IF(OR('RPM &amp; Discounts'!$B$3='A0.Support'!$B$3,'RPM &amp; Discounts'!$B$3='A0.Support'!$B$4),BW23,BW14*BW23)</f>
        <v>183.96257142857141</v>
      </c>
      <c r="BX5" s="48">
        <f>IF(OR('RPM &amp; Discounts'!$B$3='A0.Support'!$B$3,'RPM &amp; Discounts'!$B$3='A0.Support'!$B$4),BX23,BX14*BX23)</f>
        <v>286.45971428571426</v>
      </c>
      <c r="BY5" s="48">
        <f>IF(OR('RPM &amp; Discounts'!$B$3='A0.Support'!$B$3,'RPM &amp; Discounts'!$B$3='A0.Support'!$B$4),BY23,BY14*BY23)</f>
        <v>350.41114285714281</v>
      </c>
      <c r="BZ5" s="48">
        <f>IF(OR('RPM &amp; Discounts'!$B$3='A0.Support'!$B$3,'RPM &amp; Discounts'!$B$3='A0.Support'!$B$4),BZ23,BZ14*BZ23)</f>
        <v>471.52542857142856</v>
      </c>
      <c r="CA5" s="48">
        <f>IF(OR('RPM &amp; Discounts'!$B$3='A0.Support'!$B$3,'RPM &amp; Discounts'!$B$3='A0.Support'!$B$4),CA23,CA14*CA23)</f>
        <v>499.24542857142853</v>
      </c>
      <c r="CB5" s="48">
        <f>IF(OR('RPM &amp; Discounts'!$B$3='A0.Support'!$B$3,'RPM &amp; Discounts'!$B$3='A0.Support'!$B$4),CB23,CB14*CB23)</f>
        <v>600.89400000000001</v>
      </c>
      <c r="CC5" s="48">
        <f>IF(OR('RPM &amp; Discounts'!$B$3='A0.Support'!$B$3,'RPM &amp; Discounts'!$B$3='A0.Support'!$B$4),CC23,CC14*CC23)</f>
        <v>817.1768571428571</v>
      </c>
      <c r="CD5" s="48">
        <f>IF(OR('RPM &amp; Discounts'!$B$3='A0.Support'!$B$3,'RPM &amp; Discounts'!$B$3='A0.Support'!$B$4),CD23,CD14*CD23)</f>
        <v>841.70828571428569</v>
      </c>
      <c r="CE5" s="48">
        <f>IF(OR('RPM &amp; Discounts'!$B$3='A0.Support'!$B$3,'RPM &amp; Discounts'!$B$3='A0.Support'!$B$4),CE23,CE14*CE23)</f>
        <v>859.81114285714273</v>
      </c>
      <c r="CF5" s="48">
        <f>IF(OR('RPM &amp; Discounts'!$B$3='A0.Support'!$B$3,'RPM &amp; Discounts'!$B$3='A0.Support'!$B$4),CF23,CF14*CF23)</f>
        <v>844.69114285714272</v>
      </c>
      <c r="CG5" s="48">
        <f>IF(OR('RPM &amp; Discounts'!$B$3='A0.Support'!$B$3,'RPM &amp; Discounts'!$B$3='A0.Support'!$B$4),CG23,CG14*CG23)</f>
        <v>797.17114285714285</v>
      </c>
      <c r="CH5" s="48">
        <f>IF(OR('RPM &amp; Discounts'!$B$3='A0.Support'!$B$3,'RPM &amp; Discounts'!$B$3='A0.Support'!$B$4),CH23,CH14*CH23)</f>
        <v>1027.5968571428571</v>
      </c>
      <c r="CI5" s="48">
        <f>IF(OR('RPM &amp; Discounts'!$B$3='A0.Support'!$B$3,'RPM &amp; Discounts'!$B$3='A0.Support'!$B$4),CI23,CI14*CI23)</f>
        <v>1220.1454285714283</v>
      </c>
      <c r="CJ5" s="48">
        <f>IF(OR('RPM &amp; Discounts'!$B$3='A0.Support'!$B$3,'RPM &amp; Discounts'!$B$3='A0.Support'!$B$4),CJ23,CJ14*CJ23)</f>
        <v>1220.1479999999999</v>
      </c>
      <c r="CK5" s="48">
        <f>IF(OR('RPM &amp; Discounts'!$B$3='A0.Support'!$B$3,'RPM &amp; Discounts'!$B$3='A0.Support'!$B$4),CK23,CK14*CK23)</f>
        <v>1223.5422857142855</v>
      </c>
      <c r="CL5" s="48">
        <f>IF(OR('RPM &amp; Discounts'!$B$3='A0.Support'!$B$3,'RPM &amp; Discounts'!$B$3='A0.Support'!$B$4),CL23,CL14*CL23)</f>
        <v>1220.1479999999999</v>
      </c>
      <c r="CM5" s="48">
        <f>IF(OR('RPM &amp; Discounts'!$B$3='A0.Support'!$B$3,'RPM &amp; Discounts'!$B$3='A0.Support'!$B$4),CM23,CM14*CM23)</f>
        <v>1238.376857142857</v>
      </c>
    </row>
    <row r="6" spans="2:91">
      <c r="B6" s="13" t="str">
        <f>'Input capacity'!B8</f>
        <v>CTS Valença do Minho</v>
      </c>
      <c r="C6" s="48">
        <f>IF(OR('RPM &amp; Discounts'!$B$3='A0.Support'!$B$3,'RPM &amp; Discounts'!$B$3='A0.Support'!$B$4),C24,C15*C24)</f>
        <v>508.95100000000002</v>
      </c>
      <c r="D6" s="48">
        <f>IF(OR('RPM &amp; Discounts'!$B$3='A0.Support'!$B$3,'RPM &amp; Discounts'!$B$3='A0.Support'!$B$4),D24,D15*D24)</f>
        <v>0</v>
      </c>
      <c r="E6" s="48">
        <f>IF(OR('RPM &amp; Discounts'!$B$3='A0.Support'!$B$3,'RPM &amp; Discounts'!$B$3='A0.Support'!$B$4),E24,E15*E24)</f>
        <v>549.62099999999998</v>
      </c>
      <c r="F6" s="48">
        <f>IF(OR('RPM &amp; Discounts'!$B$3='A0.Support'!$B$3,'RPM &amp; Discounts'!$B$3='A0.Support'!$B$4),F24,F15*F24)</f>
        <v>307.55099999999999</v>
      </c>
      <c r="G6" s="48">
        <f>IF(OR('RPM &amp; Discounts'!$B$3='A0.Support'!$B$3,'RPM &amp; Discounts'!$B$3='A0.Support'!$B$4),G24,G15*G24)</f>
        <v>1188.7971428571427</v>
      </c>
      <c r="H6" s="48">
        <f>IF(OR('RPM &amp; Discounts'!$B$3='A0.Support'!$B$3,'RPM &amp; Discounts'!$B$3='A0.Support'!$B$4),H24,H15*H24)</f>
        <v>1222.2282857142854</v>
      </c>
      <c r="I6" s="48">
        <f>IF(OR('RPM &amp; Discounts'!$B$3='A0.Support'!$B$3,'RPM &amp; Discounts'!$B$3='A0.Support'!$B$4),I24,I15*I24)</f>
        <v>1200.8571428571427</v>
      </c>
      <c r="J6" s="48">
        <f>IF(OR('RPM &amp; Discounts'!$B$3='A0.Support'!$B$3,'RPM &amp; Discounts'!$B$3='A0.Support'!$B$4),J24,J15*J24)</f>
        <v>1222.2257142857143</v>
      </c>
      <c r="K6" s="48">
        <f>IF(OR('RPM &amp; Discounts'!$B$3='A0.Support'!$B$3,'RPM &amp; Discounts'!$B$3='A0.Support'!$B$4),K24,K15*K24)</f>
        <v>1147.8342857142857</v>
      </c>
      <c r="L6" s="48">
        <f>IF(OR('RPM &amp; Discounts'!$B$3='A0.Support'!$B$3,'RPM &amp; Discounts'!$B$3='A0.Support'!$B$4),L24,L15*L24)</f>
        <v>1115.9742857142855</v>
      </c>
      <c r="M6" s="48">
        <f>IF(OR('RPM &amp; Discounts'!$B$3='A0.Support'!$B$3,'RPM &amp; Discounts'!$B$3='A0.Support'!$B$4),M24,M15*M24)</f>
        <v>1238.3228571428569</v>
      </c>
      <c r="N6" s="48">
        <f>IF(OR('RPM &amp; Discounts'!$B$3='A0.Support'!$B$3,'RPM &amp; Discounts'!$B$3='A0.Support'!$B$4),N24,N15*N24)</f>
        <v>1073.0314285714285</v>
      </c>
      <c r="O6" s="48">
        <f>IF(OR('RPM &amp; Discounts'!$B$3='A0.Support'!$B$3,'RPM &amp; Discounts'!$B$3='A0.Support'!$B$4),O24,O15*O24)</f>
        <v>1040.9914285714285</v>
      </c>
      <c r="P6" s="48">
        <f>IF(OR('RPM &amp; Discounts'!$B$3='A0.Support'!$B$3,'RPM &amp; Discounts'!$B$3='A0.Support'!$B$4),P24,P15*P24)</f>
        <v>1116.2339999999999</v>
      </c>
      <c r="Q6" s="48">
        <f>IF(OR('RPM &amp; Discounts'!$B$3='A0.Support'!$B$3,'RPM &amp; Discounts'!$B$3='A0.Support'!$B$4),Q24,Q15*Q24)</f>
        <v>1031.6571428571426</v>
      </c>
      <c r="R6" s="48">
        <f>IF(OR('RPM &amp; Discounts'!$B$3='A0.Support'!$B$3,'RPM &amp; Discounts'!$B$3='A0.Support'!$B$4),R24,R15*R24)</f>
        <v>1085.0939999999998</v>
      </c>
      <c r="S6" s="48">
        <f>IF(OR('RPM &amp; Discounts'!$B$3='A0.Support'!$B$3,'RPM &amp; Discounts'!$B$3='A0.Support'!$B$4),S24,S15*S24)</f>
        <v>1102.5051428571428</v>
      </c>
      <c r="T6" s="48">
        <f>IF(OR('RPM &amp; Discounts'!$B$3='A0.Support'!$B$3,'RPM &amp; Discounts'!$B$3='A0.Support'!$B$4),T24,T15*T24)</f>
        <v>1025.0485714285712</v>
      </c>
      <c r="U6" s="48">
        <f>IF(OR('RPM &amp; Discounts'!$B$3='A0.Support'!$B$3,'RPM &amp; Discounts'!$B$3='A0.Support'!$B$4),U24,U15*U24)</f>
        <v>1031.6597142857142</v>
      </c>
      <c r="V6" s="48">
        <f>IF(OR('RPM &amp; Discounts'!$B$3='A0.Support'!$B$3,'RPM &amp; Discounts'!$B$3='A0.Support'!$B$4),V24,V15*V24)</f>
        <v>1102.5025714285712</v>
      </c>
      <c r="W6" s="48">
        <f>IF(OR('RPM &amp; Discounts'!$B$3='A0.Support'!$B$3,'RPM &amp; Discounts'!$B$3='A0.Support'!$B$4),W24,W15*W24)</f>
        <v>1019.3657142857143</v>
      </c>
      <c r="X6" s="48">
        <f>IF(OR('RPM &amp; Discounts'!$B$3='A0.Support'!$B$3,'RPM &amp; Discounts'!$B$3='A0.Support'!$B$4),X24,X15*X24)</f>
        <v>989.97428571428566</v>
      </c>
      <c r="Y6" s="48">
        <f>IF(OR('RPM &amp; Discounts'!$B$3='A0.Support'!$B$3,'RPM &amp; Discounts'!$B$3='A0.Support'!$B$4),Y24,Y15*Y24)</f>
        <v>1050.9968571428572</v>
      </c>
      <c r="Z6" s="48">
        <f>IF(OR('RPM &amp; Discounts'!$B$3='A0.Support'!$B$3,'RPM &amp; Discounts'!$B$3='A0.Support'!$B$4),Z24,Z15*Z24)</f>
        <v>1050.9942857142858</v>
      </c>
      <c r="AA6" s="48">
        <f>IF(OR('RPM &amp; Discounts'!$B$3='A0.Support'!$B$3,'RPM &amp; Discounts'!$B$3='A0.Support'!$B$4),AA24,AA15*AA24)</f>
        <v>926.71714285714268</v>
      </c>
      <c r="AB6" s="48">
        <f>IF(OR('RPM &amp; Discounts'!$B$3='A0.Support'!$B$3,'RPM &amp; Discounts'!$B$3='A0.Support'!$B$4),AB24,AB15*AB24)</f>
        <v>839.44285714285706</v>
      </c>
      <c r="AC6" s="48">
        <f>IF(OR('RPM &amp; Discounts'!$B$3='A0.Support'!$B$3,'RPM &amp; Discounts'!$B$3='A0.Support'!$B$4),AC24,AC15*AC24)</f>
        <v>806.83714285714268</v>
      </c>
      <c r="AD6" s="48">
        <f>IF(OR('RPM &amp; Discounts'!$B$3='A0.Support'!$B$3,'RPM &amp; Discounts'!$B$3='A0.Support'!$B$4),AD24,AD15*AD24)</f>
        <v>789.94285714285706</v>
      </c>
      <c r="AE6" s="48">
        <f>IF(OR('RPM &amp; Discounts'!$B$3='A0.Support'!$B$3,'RPM &amp; Discounts'!$B$3='A0.Support'!$B$4),AE24,AE15*AE24)</f>
        <v>790.84285714285704</v>
      </c>
      <c r="AF6" s="48">
        <f>IF(OR('RPM &amp; Discounts'!$B$3='A0.Support'!$B$3,'RPM &amp; Discounts'!$B$3='A0.Support'!$B$4),AF24,AF15*AF24)</f>
        <v>816.32571428571418</v>
      </c>
      <c r="AG6" s="48">
        <f>IF(OR('RPM &amp; Discounts'!$B$3='A0.Support'!$B$3,'RPM &amp; Discounts'!$B$3='A0.Support'!$B$4),AG24,AG15*AG24)</f>
        <v>816.60857142857128</v>
      </c>
      <c r="AH6" s="48">
        <f>IF(OR('RPM &amp; Discounts'!$B$3='A0.Support'!$B$3,'RPM &amp; Discounts'!$B$3='A0.Support'!$B$4),AH24,AH15*AH24)</f>
        <v>850.21714285714279</v>
      </c>
      <c r="AI6" s="48">
        <f>IF(OR('RPM &amp; Discounts'!$B$3='A0.Support'!$B$3,'RPM &amp; Discounts'!$B$3='A0.Support'!$B$4),AI24,AI15*AI24)</f>
        <v>718.07142857142856</v>
      </c>
      <c r="AJ6" s="48">
        <f>IF(OR('RPM &amp; Discounts'!$B$3='A0.Support'!$B$3,'RPM &amp; Discounts'!$B$3='A0.Support'!$B$4),AJ24,AJ15*AJ24)</f>
        <v>850.2197142857143</v>
      </c>
      <c r="AK6" s="48">
        <f>IF(OR('RPM &amp; Discounts'!$B$3='A0.Support'!$B$3,'RPM &amp; Discounts'!$B$3='A0.Support'!$B$4),AK24,AK15*AK24)</f>
        <v>681.73714285714277</v>
      </c>
      <c r="AL6" s="48">
        <f>IF(OR('RPM &amp; Discounts'!$B$3='A0.Support'!$B$3,'RPM &amp; Discounts'!$B$3='A0.Support'!$B$4),AL24,AL15*AL24)</f>
        <v>707.24571428571426</v>
      </c>
      <c r="AM6" s="48">
        <f>IF(OR('RPM &amp; Discounts'!$B$3='A0.Support'!$B$3,'RPM &amp; Discounts'!$B$3='A0.Support'!$B$4),AM24,AM15*AM24)</f>
        <v>643.24285714285713</v>
      </c>
      <c r="AN6" s="48">
        <f>IF(OR('RPM &amp; Discounts'!$B$3='A0.Support'!$B$3,'RPM &amp; Discounts'!$B$3='A0.Support'!$B$4),AN24,AN15*AN24)</f>
        <v>628.71428571428567</v>
      </c>
      <c r="AO6" s="48">
        <f>IF(OR('RPM &amp; Discounts'!$B$3='A0.Support'!$B$3,'RPM &amp; Discounts'!$B$3='A0.Support'!$B$4),AO24,AO15*AO24)</f>
        <v>593.58857142857141</v>
      </c>
      <c r="AP6" s="48">
        <f>IF(OR('RPM &amp; Discounts'!$B$3='A0.Support'!$B$3,'RPM &amp; Discounts'!$B$3='A0.Support'!$B$4),AP24,AP15*AP24)</f>
        <v>575.33142857142855</v>
      </c>
      <c r="AQ6" s="48">
        <f>IF(OR('RPM &amp; Discounts'!$B$3='A0.Support'!$B$3,'RPM &amp; Discounts'!$B$3='A0.Support'!$B$4),AQ24,AQ15*AQ24)</f>
        <v>562.88571428571424</v>
      </c>
      <c r="AR6" s="48">
        <f>IF(OR('RPM &amp; Discounts'!$B$3='A0.Support'!$B$3,'RPM &amp; Discounts'!$B$3='A0.Support'!$B$4),AR24,AR15*AR24)</f>
        <v>550.0542857142857</v>
      </c>
      <c r="AS6" s="48">
        <f>IF(OR('RPM &amp; Discounts'!$B$3='A0.Support'!$B$3,'RPM &amp; Discounts'!$B$3='A0.Support'!$B$4),AS24,AS15*AS24)</f>
        <v>508.06285714285713</v>
      </c>
      <c r="AT6" s="48">
        <f>IF(OR('RPM &amp; Discounts'!$B$3='A0.Support'!$B$3,'RPM &amp; Discounts'!$B$3='A0.Support'!$B$4),AT24,AT15*AT24)</f>
        <v>489.85714285714283</v>
      </c>
      <c r="AU6" s="48">
        <f>IF(OR('RPM &amp; Discounts'!$B$3='A0.Support'!$B$3,'RPM &amp; Discounts'!$B$3='A0.Support'!$B$4),AU24,AU15*AU24)</f>
        <v>493.61399999999998</v>
      </c>
      <c r="AV6" s="48">
        <f>IF(OR('RPM &amp; Discounts'!$B$3='A0.Support'!$B$3,'RPM &amp; Discounts'!$B$3='A0.Support'!$B$4),AV24,AV15*AV24)</f>
        <v>493.61142857142852</v>
      </c>
      <c r="AW6" s="48">
        <f>IF(OR('RPM &amp; Discounts'!$B$3='A0.Support'!$B$3,'RPM &amp; Discounts'!$B$3='A0.Support'!$B$4),AW24,AW15*AW24)</f>
        <v>445.26857142857136</v>
      </c>
      <c r="AX6" s="48">
        <f>IF(OR('RPM &amp; Discounts'!$B$3='A0.Support'!$B$3,'RPM &amp; Discounts'!$B$3='A0.Support'!$B$4),AX24,AX15*AX24)</f>
        <v>422.74542857142853</v>
      </c>
      <c r="AY6" s="48">
        <f>IF(OR('RPM &amp; Discounts'!$B$3='A0.Support'!$B$3,'RPM &amp; Discounts'!$B$3='A0.Support'!$B$4),AY24,AY15*AY24)</f>
        <v>422.74285714285713</v>
      </c>
      <c r="AZ6" s="48">
        <f>IF(OR('RPM &amp; Discounts'!$B$3='A0.Support'!$B$3,'RPM &amp; Discounts'!$B$3='A0.Support'!$B$4),AZ24,AZ15*AZ24)</f>
        <v>388.9028571428571</v>
      </c>
      <c r="BA6" s="48">
        <f>IF(OR('RPM &amp; Discounts'!$B$3='A0.Support'!$B$3,'RPM &amp; Discounts'!$B$3='A0.Support'!$B$4),BA24,BA15*BA24)</f>
        <v>343.74857142857144</v>
      </c>
      <c r="BB6" s="48">
        <f>IF(OR('RPM &amp; Discounts'!$B$3='A0.Support'!$B$3,'RPM &amp; Discounts'!$B$3='A0.Support'!$B$4),BB24,BB15*BB24)</f>
        <v>350.15142857142848</v>
      </c>
      <c r="BC6" s="48">
        <f>IF(OR('RPM &amp; Discounts'!$B$3='A0.Support'!$B$3,'RPM &amp; Discounts'!$B$3='A0.Support'!$B$4),BC24,BC15*BC24)</f>
        <v>343.10571428571427</v>
      </c>
      <c r="BD6" s="48">
        <f>IF(OR('RPM &amp; Discounts'!$B$3='A0.Support'!$B$3,'RPM &amp; Discounts'!$B$3='A0.Support'!$B$4),BD24,BD15*BD24)</f>
        <v>337.78285714285715</v>
      </c>
      <c r="BE6" s="48">
        <f>IF(OR('RPM &amp; Discounts'!$B$3='A0.Support'!$B$3,'RPM &amp; Discounts'!$B$3='A0.Support'!$B$4),BE24,BE15*BE24)</f>
        <v>285.37714285714281</v>
      </c>
      <c r="BF6" s="48">
        <f>IF(OR('RPM &amp; Discounts'!$B$3='A0.Support'!$B$3,'RPM &amp; Discounts'!$B$3='A0.Support'!$B$4),BF24,BF15*BF24)</f>
        <v>260.97428571428566</v>
      </c>
      <c r="BG6" s="48">
        <f>IF(OR('RPM &amp; Discounts'!$B$3='A0.Support'!$B$3,'RPM &amp; Discounts'!$B$3='A0.Support'!$B$4),BG24,BG15*BG24)</f>
        <v>302.5542857142857</v>
      </c>
      <c r="BH6" s="48">
        <f>IF(OR('RPM &amp; Discounts'!$B$3='A0.Support'!$B$3,'RPM &amp; Discounts'!$B$3='A0.Support'!$B$4),BH24,BH15*BH24)</f>
        <v>234.48857142857139</v>
      </c>
      <c r="BI6" s="48">
        <f>IF(OR('RPM &amp; Discounts'!$B$3='A0.Support'!$B$3,'RPM &amp; Discounts'!$B$3='A0.Support'!$B$4),BI24,BI15*BI24)</f>
        <v>211.11428571428567</v>
      </c>
      <c r="BJ6" s="48">
        <f>IF(OR('RPM &amp; Discounts'!$B$3='A0.Support'!$B$3,'RPM &amp; Discounts'!$B$3='A0.Support'!$B$4),BJ24,BJ15*BJ24)</f>
        <v>208.20857142857142</v>
      </c>
      <c r="BK6" s="48">
        <f>IF(OR('RPM &amp; Discounts'!$B$3='A0.Support'!$B$3,'RPM &amp; Discounts'!$B$3='A0.Support'!$B$4),BK24,BK15*BK24)</f>
        <v>154.51714285714286</v>
      </c>
      <c r="BL6" s="48">
        <f>IF(OR('RPM &amp; Discounts'!$B$3='A0.Support'!$B$3,'RPM &amp; Discounts'!$B$3='A0.Support'!$B$4),BL24,BL15*BL24)</f>
        <v>184.32</v>
      </c>
      <c r="BM6" s="48">
        <f>IF(OR('RPM &amp; Discounts'!$B$3='A0.Support'!$B$3,'RPM &amp; Discounts'!$B$3='A0.Support'!$B$4),BM24,BM15*BM24)</f>
        <v>89.022857142857134</v>
      </c>
      <c r="BN6" s="48">
        <f>IF(OR('RPM &amp; Discounts'!$B$3='A0.Support'!$B$3,'RPM &amp; Discounts'!$B$3='A0.Support'!$B$4),BN24,BN15*BN24)</f>
        <v>12.29142857142857</v>
      </c>
      <c r="BO6" s="48">
        <f>IF(OR('RPM &amp; Discounts'!$B$3='A0.Support'!$B$3,'RPM &amp; Discounts'!$B$3='A0.Support'!$B$4),BO24,BO15*BO24)</f>
        <v>1308.1114285714284</v>
      </c>
      <c r="BP6" s="48">
        <f>IF(OR('RPM &amp; Discounts'!$B$3='A0.Support'!$B$3,'RPM &amp; Discounts'!$B$3='A0.Support'!$B$4),BP24,BP15*BP24)</f>
        <v>1042.2771428571427</v>
      </c>
      <c r="BQ6" s="48">
        <f>IF(OR('RPM &amp; Discounts'!$B$3='A0.Support'!$B$3,'RPM &amp; Discounts'!$B$3='A0.Support'!$B$4),BQ24,BQ15*BQ24)</f>
        <v>984.18857142857132</v>
      </c>
      <c r="BR6" s="48">
        <f>IF(OR('RPM &amp; Discounts'!$B$3='A0.Support'!$B$3,'RPM &amp; Discounts'!$B$3='A0.Support'!$B$4),BR24,BR15*BR24)</f>
        <v>997.19999999999993</v>
      </c>
      <c r="BS6" s="48">
        <f>IF(OR('RPM &amp; Discounts'!$B$3='A0.Support'!$B$3,'RPM &amp; Discounts'!$B$3='A0.Support'!$B$4),BS24,BS15*BS24)</f>
        <v>933.04285714285709</v>
      </c>
      <c r="BT6" s="48">
        <f>IF(OR('RPM &amp; Discounts'!$B$3='A0.Support'!$B$3,'RPM &amp; Discounts'!$B$3='A0.Support'!$B$4),BT24,BT15*BT24)</f>
        <v>886.29428571428571</v>
      </c>
      <c r="BU6" s="48">
        <f>IF(OR('RPM &amp; Discounts'!$B$3='A0.Support'!$B$3,'RPM &amp; Discounts'!$B$3='A0.Support'!$B$4),BU24,BU15*BU24)</f>
        <v>837.33428571428567</v>
      </c>
      <c r="BV6" s="48">
        <f>IF(OR('RPM &amp; Discounts'!$B$3='A0.Support'!$B$3,'RPM &amp; Discounts'!$B$3='A0.Support'!$B$4),BV24,BV15*BV24)</f>
        <v>751.88571428571413</v>
      </c>
      <c r="BW6" s="48">
        <f>IF(OR('RPM &amp; Discounts'!$B$3='A0.Support'!$B$3,'RPM &amp; Discounts'!$B$3='A0.Support'!$B$4),BW24,BW15*BW24)</f>
        <v>1237.6028571428571</v>
      </c>
      <c r="BX6" s="48">
        <f>IF(OR('RPM &amp; Discounts'!$B$3='A0.Support'!$B$3,'RPM &amp; Discounts'!$B$3='A0.Support'!$B$4),BX24,BX15*BX24)</f>
        <v>1235.4942857142858</v>
      </c>
      <c r="BY6" s="48">
        <f>IF(OR('RPM &amp; Discounts'!$B$3='A0.Support'!$B$3,'RPM &amp; Discounts'!$B$3='A0.Support'!$B$4),BY24,BY15*BY24)</f>
        <v>1171.542857142857</v>
      </c>
      <c r="BZ6" s="48">
        <f>IF(OR('RPM &amp; Discounts'!$B$3='A0.Support'!$B$3,'RPM &amp; Discounts'!$B$3='A0.Support'!$B$4),BZ24,BZ15*BZ24)</f>
        <v>1050.4285714285713</v>
      </c>
      <c r="CA6" s="48">
        <f>IF(OR('RPM &amp; Discounts'!$B$3='A0.Support'!$B$3,'RPM &amp; Discounts'!$B$3='A0.Support'!$B$4),CA24,CA15*CA24)</f>
        <v>1022.7085714285714</v>
      </c>
      <c r="CB6" s="48">
        <f>IF(OR('RPM &amp; Discounts'!$B$3='A0.Support'!$B$3,'RPM &amp; Discounts'!$B$3='A0.Support'!$B$4),CB24,CB15*CB24)</f>
        <v>921.06</v>
      </c>
      <c r="CC6" s="48">
        <f>IF(OR('RPM &amp; Discounts'!$B$3='A0.Support'!$B$3,'RPM &amp; Discounts'!$B$3='A0.Support'!$B$4),CC24,CC15*CC24)</f>
        <v>608.5542857142857</v>
      </c>
      <c r="CD6" s="48">
        <f>IF(OR('RPM &amp; Discounts'!$B$3='A0.Support'!$B$3,'RPM &amp; Discounts'!$B$3='A0.Support'!$B$4),CD24,CD15*CD24)</f>
        <v>633.08571428571418</v>
      </c>
      <c r="CE6" s="48">
        <f>IF(OR('RPM &amp; Discounts'!$B$3='A0.Support'!$B$3,'RPM &amp; Discounts'!$B$3='A0.Support'!$B$4),CE24,CE15*CE24)</f>
        <v>662.14285714285711</v>
      </c>
      <c r="CF6" s="48">
        <f>IF(OR('RPM &amp; Discounts'!$B$3='A0.Support'!$B$3,'RPM &amp; Discounts'!$B$3='A0.Support'!$B$4),CF24,CF15*CF24)</f>
        <v>719.28</v>
      </c>
      <c r="CG6" s="48">
        <f>IF(OR('RPM &amp; Discounts'!$B$3='A0.Support'!$B$3,'RPM &amp; Discounts'!$B$3='A0.Support'!$B$4),CG24,CG15*CG24)</f>
        <v>724.7828571428571</v>
      </c>
      <c r="CH6" s="48">
        <f>IF(OR('RPM &amp; Discounts'!$B$3='A0.Support'!$B$3,'RPM &amp; Discounts'!$B$3='A0.Support'!$B$4),CH24,CH15*CH24)</f>
        <v>1202.5285714285712</v>
      </c>
      <c r="CI6" s="48">
        <f>IF(OR('RPM &amp; Discounts'!$B$3='A0.Support'!$B$3,'RPM &amp; Discounts'!$B$3='A0.Support'!$B$4),CI24,CI15*CI24)</f>
        <v>1395.0771428571427</v>
      </c>
      <c r="CJ6" s="48">
        <f>IF(OR('RPM &amp; Discounts'!$B$3='A0.Support'!$B$3,'RPM &amp; Discounts'!$B$3='A0.Support'!$B$4),CJ24,CJ15*CJ24)</f>
        <v>1395.0797142857141</v>
      </c>
      <c r="CK6" s="48">
        <f>IF(OR('RPM &amp; Discounts'!$B$3='A0.Support'!$B$3,'RPM &amp; Discounts'!$B$3='A0.Support'!$B$4),CK24,CK15*CK24)</f>
        <v>1398.4739999999999</v>
      </c>
      <c r="CL6" s="48">
        <f>IF(OR('RPM &amp; Discounts'!$B$3='A0.Support'!$B$3,'RPM &amp; Discounts'!$B$3='A0.Support'!$B$4),CL24,CL15*CL24)</f>
        <v>1395.0797142857141</v>
      </c>
      <c r="CM6" s="48">
        <f>IF(OR('RPM &amp; Discounts'!$B$3='A0.Support'!$B$3,'RPM &amp; Discounts'!$B$3='A0.Support'!$B$4),CM24,CM15*CM24)</f>
        <v>1413.3085714285712</v>
      </c>
    </row>
    <row r="7" spans="2:91">
      <c r="B7" s="13" t="str">
        <f>'Input capacity'!B9</f>
        <v>LNG Terminal Sines</v>
      </c>
      <c r="C7" s="48">
        <f>IF(OR('RPM &amp; Discounts'!$B$3='A0.Support'!$B$3,'RPM &amp; Discounts'!$B$3='A0.Support'!$B$4),C25,C16*C25)</f>
        <v>481.59199999999998</v>
      </c>
      <c r="D7" s="48">
        <f>IF(OR('RPM &amp; Discounts'!$B$3='A0.Support'!$B$3,'RPM &amp; Discounts'!$B$3='A0.Support'!$B$4),D25,D16*D25)</f>
        <v>549.62099999999998</v>
      </c>
      <c r="E7" s="48">
        <f>IF(OR('RPM &amp; Discounts'!$B$3='A0.Support'!$B$3,'RPM &amp; Discounts'!$B$3='A0.Support'!$B$4),E25,E16*E25)</f>
        <v>0</v>
      </c>
      <c r="F7" s="48">
        <f>IF(OR('RPM &amp; Discounts'!$B$3='A0.Support'!$B$3,'RPM &amp; Discounts'!$B$3='A0.Support'!$B$4),F25,F16*F25)</f>
        <v>280.19200000000001</v>
      </c>
      <c r="G7" s="48">
        <f>IF(OR('RPM &amp; Discounts'!$B$3='A0.Support'!$B$3,'RPM &amp; Discounts'!$B$3='A0.Support'!$B$4),G25,G16*G25)</f>
        <v>224.51400000000001</v>
      </c>
      <c r="H7" s="48">
        <f>IF(OR('RPM &amp; Discounts'!$B$3='A0.Support'!$B$3,'RPM &amp; Discounts'!$B$3='A0.Support'!$B$4),H25,H16*H25)</f>
        <v>291.8365714285714</v>
      </c>
      <c r="I7" s="48">
        <f>IF(OR('RPM &amp; Discounts'!$B$3='A0.Support'!$B$3,'RPM &amp; Discounts'!$B$3='A0.Support'!$B$4),I25,I16*I25)</f>
        <v>270.46542857142856</v>
      </c>
      <c r="J7" s="48">
        <f>IF(OR('RPM &amp; Discounts'!$B$3='A0.Support'!$B$3,'RPM &amp; Discounts'!$B$3='A0.Support'!$B$4),J25,J16*J25)</f>
        <v>291.83399999999995</v>
      </c>
      <c r="K7" s="48">
        <f>IF(OR('RPM &amp; Discounts'!$B$3='A0.Support'!$B$3,'RPM &amp; Discounts'!$B$3='A0.Support'!$B$4),K25,K16*K25)</f>
        <v>265.47685714285711</v>
      </c>
      <c r="L7" s="48">
        <f>IF(OR('RPM &amp; Discounts'!$B$3='A0.Support'!$B$3,'RPM &amp; Discounts'!$B$3='A0.Support'!$B$4),L25,L16*L25)</f>
        <v>297.33685714285713</v>
      </c>
      <c r="M7" s="48">
        <f>IF(OR('RPM &amp; Discounts'!$B$3='A0.Support'!$B$3,'RPM &amp; Discounts'!$B$3='A0.Support'!$B$4),M25,M16*M25)</f>
        <v>307.93114285714285</v>
      </c>
      <c r="N7" s="48">
        <f>IF(OR('RPM &amp; Discounts'!$B$3='A0.Support'!$B$3,'RPM &amp; Discounts'!$B$3='A0.Support'!$B$4),N25,N16*N25)</f>
        <v>340.27971428571425</v>
      </c>
      <c r="O7" s="48">
        <f>IF(OR('RPM &amp; Discounts'!$B$3='A0.Support'!$B$3,'RPM &amp; Discounts'!$B$3='A0.Support'!$B$4),O25,O16*O25)</f>
        <v>372.31971428571421</v>
      </c>
      <c r="P7" s="48">
        <f>IF(OR('RPM &amp; Discounts'!$B$3='A0.Support'!$B$3,'RPM &amp; Discounts'!$B$3='A0.Support'!$B$4),P25,P16*P25)</f>
        <v>466.9508571428571</v>
      </c>
      <c r="Q7" s="48">
        <f>IF(OR('RPM &amp; Discounts'!$B$3='A0.Support'!$B$3,'RPM &amp; Discounts'!$B$3='A0.Support'!$B$4),Q25,Q16*Q25)</f>
        <v>382.37399999999997</v>
      </c>
      <c r="R7" s="48">
        <f>IF(OR('RPM &amp; Discounts'!$B$3='A0.Support'!$B$3,'RPM &amp; Discounts'!$B$3='A0.Support'!$B$4),R25,R16*R25)</f>
        <v>435.81085714285712</v>
      </c>
      <c r="S7" s="48">
        <f>IF(OR('RPM &amp; Discounts'!$B$3='A0.Support'!$B$3,'RPM &amp; Discounts'!$B$3='A0.Support'!$B$4),S25,S16*S25)</f>
        <v>453.22199999999992</v>
      </c>
      <c r="T7" s="48">
        <f>IF(OR('RPM &amp; Discounts'!$B$3='A0.Support'!$B$3,'RPM &amp; Discounts'!$B$3='A0.Support'!$B$4),T25,T16*T25)</f>
        <v>388.26257142857145</v>
      </c>
      <c r="U7" s="48">
        <f>IF(OR('RPM &amp; Discounts'!$B$3='A0.Support'!$B$3,'RPM &amp; Discounts'!$B$3='A0.Support'!$B$4),U25,U16*U25)</f>
        <v>382.37657142857137</v>
      </c>
      <c r="V7" s="48">
        <f>IF(OR('RPM &amp; Discounts'!$B$3='A0.Support'!$B$3,'RPM &amp; Discounts'!$B$3='A0.Support'!$B$4),V25,V16*V25)</f>
        <v>453.21942857142852</v>
      </c>
      <c r="W7" s="48">
        <f>IF(OR('RPM &amp; Discounts'!$B$3='A0.Support'!$B$3,'RPM &amp; Discounts'!$B$3='A0.Support'!$B$4),W25,W16*W25)</f>
        <v>452.72828571428568</v>
      </c>
      <c r="X7" s="48">
        <f>IF(OR('RPM &amp; Discounts'!$B$3='A0.Support'!$B$3,'RPM &amp; Discounts'!$B$3='A0.Support'!$B$4),X25,X16*X25)</f>
        <v>423.33685714285713</v>
      </c>
      <c r="Y7" s="48">
        <f>IF(OR('RPM &amp; Discounts'!$B$3='A0.Support'!$B$3,'RPM &amp; Discounts'!$B$3='A0.Support'!$B$4),Y25,Y16*Y25)</f>
        <v>484.35942857142851</v>
      </c>
      <c r="Z7" s="48">
        <f>IF(OR('RPM &amp; Discounts'!$B$3='A0.Support'!$B$3,'RPM &amp; Discounts'!$B$3='A0.Support'!$B$4),Z25,Z16*Z25)</f>
        <v>484.35685714285705</v>
      </c>
      <c r="AA7" s="48">
        <f>IF(OR('RPM &amp; Discounts'!$B$3='A0.Support'!$B$3,'RPM &amp; Discounts'!$B$3='A0.Support'!$B$4),AA25,AA16*AA25)</f>
        <v>486.59399999999994</v>
      </c>
      <c r="AB7" s="48">
        <f>IF(OR('RPM &amp; Discounts'!$B$3='A0.Support'!$B$3,'RPM &amp; Discounts'!$B$3='A0.Support'!$B$4),AB25,AB16*AB25)</f>
        <v>573.86828571428566</v>
      </c>
      <c r="AC7" s="48">
        <f>IF(OR('RPM &amp; Discounts'!$B$3='A0.Support'!$B$3,'RPM &amp; Discounts'!$B$3='A0.Support'!$B$4),AC25,AC16*AC25)</f>
        <v>606.47399999999993</v>
      </c>
      <c r="AD7" s="48">
        <f>IF(OR('RPM &amp; Discounts'!$B$3='A0.Support'!$B$3,'RPM &amp; Discounts'!$B$3='A0.Support'!$B$4),AD25,AD16*AD25)</f>
        <v>623.36828571428566</v>
      </c>
      <c r="AE7" s="48">
        <f>IF(OR('RPM &amp; Discounts'!$B$3='A0.Support'!$B$3,'RPM &amp; Discounts'!$B$3='A0.Support'!$B$4),AE25,AE16*AE25)</f>
        <v>720.49114285714268</v>
      </c>
      <c r="AF7" s="48">
        <f>IF(OR('RPM &amp; Discounts'!$B$3='A0.Support'!$B$3,'RPM &amp; Discounts'!$B$3='A0.Support'!$B$4),AF25,AF16*AF25)</f>
        <v>745.97399999999993</v>
      </c>
      <c r="AG7" s="48">
        <f>IF(OR('RPM &amp; Discounts'!$B$3='A0.Support'!$B$3,'RPM &amp; Discounts'!$B$3='A0.Support'!$B$4),AG25,AG16*AG25)</f>
        <v>746.25685714285714</v>
      </c>
      <c r="AH7" s="48">
        <f>IF(OR('RPM &amp; Discounts'!$B$3='A0.Support'!$B$3,'RPM &amp; Discounts'!$B$3='A0.Support'!$B$4),AH25,AH16*AH25)</f>
        <v>779.86542857142854</v>
      </c>
      <c r="AI7" s="48">
        <f>IF(OR('RPM &amp; Discounts'!$B$3='A0.Support'!$B$3,'RPM &amp; Discounts'!$B$3='A0.Support'!$B$4),AI25,AI16*AI25)</f>
        <v>695.23971428571417</v>
      </c>
      <c r="AJ7" s="48">
        <f>IF(OR('RPM &amp; Discounts'!$B$3='A0.Support'!$B$3,'RPM &amp; Discounts'!$B$3='A0.Support'!$B$4),AJ25,AJ16*AJ25)</f>
        <v>779.86799999999982</v>
      </c>
      <c r="AK7" s="48">
        <f>IF(OR('RPM &amp; Discounts'!$B$3='A0.Support'!$B$3,'RPM &amp; Discounts'!$B$3='A0.Support'!$B$4),AK25,AK16*AK25)</f>
        <v>755.07685714285708</v>
      </c>
      <c r="AL7" s="48">
        <f>IF(OR('RPM &amp; Discounts'!$B$3='A0.Support'!$B$3,'RPM &amp; Discounts'!$B$3='A0.Support'!$B$4),AL25,AL16*AL25)</f>
        <v>780.58542857142845</v>
      </c>
      <c r="AM7" s="48">
        <f>IF(OR('RPM &amp; Discounts'!$B$3='A0.Support'!$B$3,'RPM &amp; Discounts'!$B$3='A0.Support'!$B$4),AM25,AM16*AM25)</f>
        <v>770.06828571428559</v>
      </c>
      <c r="AN7" s="48">
        <f>IF(OR('RPM &amp; Discounts'!$B$3='A0.Support'!$B$3,'RPM &amp; Discounts'!$B$3='A0.Support'!$B$4),AN25,AN16*AN25)</f>
        <v>784.59685714285706</v>
      </c>
      <c r="AO7" s="48">
        <f>IF(OR('RPM &amp; Discounts'!$B$3='A0.Support'!$B$3,'RPM &amp; Discounts'!$B$3='A0.Support'!$B$4),AO25,AO16*AO25)</f>
        <v>819.72257142857131</v>
      </c>
      <c r="AP7" s="48">
        <f>IF(OR('RPM &amp; Discounts'!$B$3='A0.Support'!$B$3,'RPM &amp; Discounts'!$B$3='A0.Support'!$B$4),AP25,AP16*AP25)</f>
        <v>837.97971428571418</v>
      </c>
      <c r="AQ7" s="48">
        <f>IF(OR('RPM &amp; Discounts'!$B$3='A0.Support'!$B$3,'RPM &amp; Discounts'!$B$3='A0.Support'!$B$4),AQ25,AQ16*AQ25)</f>
        <v>850.42542857142848</v>
      </c>
      <c r="AR7" s="48">
        <f>IF(OR('RPM &amp; Discounts'!$B$3='A0.Support'!$B$3,'RPM &amp; Discounts'!$B$3='A0.Support'!$B$4),AR25,AR16*AR25)</f>
        <v>863.25685714285714</v>
      </c>
      <c r="AS7" s="48">
        <f>IF(OR('RPM &amp; Discounts'!$B$3='A0.Support'!$B$3,'RPM &amp; Discounts'!$B$3='A0.Support'!$B$4),AS25,AS16*AS25)</f>
        <v>905.24828571428566</v>
      </c>
      <c r="AT7" s="48">
        <f>IF(OR('RPM &amp; Discounts'!$B$3='A0.Support'!$B$3,'RPM &amp; Discounts'!$B$3='A0.Support'!$B$4),AT25,AT16*AT25)</f>
        <v>923.45399999999984</v>
      </c>
      <c r="AU7" s="48">
        <f>IF(OR('RPM &amp; Discounts'!$B$3='A0.Support'!$B$3,'RPM &amp; Discounts'!$B$3='A0.Support'!$B$4),AU25,AU16*AU25)</f>
        <v>956.42228571428564</v>
      </c>
      <c r="AV7" s="48">
        <f>IF(OR('RPM &amp; Discounts'!$B$3='A0.Support'!$B$3,'RPM &amp; Discounts'!$B$3='A0.Support'!$B$4),AV25,AV16*AV25)</f>
        <v>956.41971428571412</v>
      </c>
      <c r="AW7" s="48">
        <f>IF(OR('RPM &amp; Discounts'!$B$3='A0.Support'!$B$3,'RPM &amp; Discounts'!$B$3='A0.Support'!$B$4),AW25,AW16*AW25)</f>
        <v>968.04257142857136</v>
      </c>
      <c r="AX7" s="48">
        <f>IF(OR('RPM &amp; Discounts'!$B$3='A0.Support'!$B$3,'RPM &amp; Discounts'!$B$3='A0.Support'!$B$4),AX25,AX16*AX25)</f>
        <v>990.57085714285699</v>
      </c>
      <c r="AY7" s="48">
        <f>IF(OR('RPM &amp; Discounts'!$B$3='A0.Support'!$B$3,'RPM &amp; Discounts'!$B$3='A0.Support'!$B$4),AY25,AY16*AY25)</f>
        <v>990.56828571428559</v>
      </c>
      <c r="AZ7" s="48">
        <f>IF(OR('RPM &amp; Discounts'!$B$3='A0.Support'!$B$3,'RPM &amp; Discounts'!$B$3='A0.Support'!$B$4),AZ25,AZ16*AZ25)</f>
        <v>1024.4082857142855</v>
      </c>
      <c r="BA7" s="48">
        <f>IF(OR('RPM &amp; Discounts'!$B$3='A0.Support'!$B$3,'RPM &amp; Discounts'!$B$3='A0.Support'!$B$4),BA25,BA16*BA25)</f>
        <v>1069.5625714285713</v>
      </c>
      <c r="BB7" s="48">
        <f>IF(OR('RPM &amp; Discounts'!$B$3='A0.Support'!$B$3,'RPM &amp; Discounts'!$B$3='A0.Support'!$B$4),BB25,BB16*BB25)</f>
        <v>1106.5654285714286</v>
      </c>
      <c r="BC7" s="48">
        <f>IF(OR('RPM &amp; Discounts'!$B$3='A0.Support'!$B$3,'RPM &amp; Discounts'!$B$3='A0.Support'!$B$4),BC25,BC16*BC25)</f>
        <v>1099.5197142857141</v>
      </c>
      <c r="BD7" s="48">
        <f>IF(OR('RPM &amp; Discounts'!$B$3='A0.Support'!$B$3,'RPM &amp; Discounts'!$B$3='A0.Support'!$B$4),BD25,BD16*BD25)</f>
        <v>1111.5797142857141</v>
      </c>
      <c r="BE7" s="48">
        <f>IF(OR('RPM &amp; Discounts'!$B$3='A0.Support'!$B$3,'RPM &amp; Discounts'!$B$3='A0.Support'!$B$4),BE25,BE16*BE25)</f>
        <v>1127.934</v>
      </c>
      <c r="BF7" s="48">
        <f>IF(OR('RPM &amp; Discounts'!$B$3='A0.Support'!$B$3,'RPM &amp; Discounts'!$B$3='A0.Support'!$B$4),BF25,BF16*BF25)</f>
        <v>1152.3368571428568</v>
      </c>
      <c r="BG7" s="48">
        <f>IF(OR('RPM &amp; Discounts'!$B$3='A0.Support'!$B$3,'RPM &amp; Discounts'!$B$3='A0.Support'!$B$4),BG25,BG16*BG25)</f>
        <v>1232.8482857142856</v>
      </c>
      <c r="BH7" s="48">
        <f>IF(OR('RPM &amp; Discounts'!$B$3='A0.Support'!$B$3,'RPM &amp; Discounts'!$B$3='A0.Support'!$B$4),BH25,BH16*BH25)</f>
        <v>1178.8225714285713</v>
      </c>
      <c r="BI7" s="48">
        <f>IF(OR('RPM &amp; Discounts'!$B$3='A0.Support'!$B$3,'RPM &amp; Discounts'!$B$3='A0.Support'!$B$4),BI25,BI16*BI25)</f>
        <v>1202.196857142857</v>
      </c>
      <c r="BJ7" s="48">
        <f>IF(OR('RPM &amp; Discounts'!$B$3='A0.Support'!$B$3,'RPM &amp; Discounts'!$B$3='A0.Support'!$B$4),BJ25,BJ16*BJ25)</f>
        <v>1238.5311428571429</v>
      </c>
      <c r="BK7" s="48">
        <f>IF(OR('RPM &amp; Discounts'!$B$3='A0.Support'!$B$3,'RPM &amp; Discounts'!$B$3='A0.Support'!$B$4),BK25,BK16*BK25)</f>
        <v>1258.7939999999999</v>
      </c>
      <c r="BL7" s="48">
        <f>IF(OR('RPM &amp; Discounts'!$B$3='A0.Support'!$B$3,'RPM &amp; Discounts'!$B$3='A0.Support'!$B$4),BL25,BL16*BL25)</f>
        <v>1329.6882857142855</v>
      </c>
      <c r="BM7" s="48">
        <f>IF(OR('RPM &amp; Discounts'!$B$3='A0.Support'!$B$3,'RPM &amp; Discounts'!$B$3='A0.Support'!$B$4),BM25,BM16*BM25)</f>
        <v>1324.2882857142856</v>
      </c>
      <c r="BN7" s="48">
        <f>IF(OR('RPM &amp; Discounts'!$B$3='A0.Support'!$B$3,'RPM &amp; Discounts'!$B$3='A0.Support'!$B$4),BN25,BN16*BN25)</f>
        <v>1401.0197142857141</v>
      </c>
      <c r="BO7" s="48">
        <f>IF(OR('RPM &amp; Discounts'!$B$3='A0.Support'!$B$3,'RPM &amp; Discounts'!$B$3='A0.Support'!$B$4),BO25,BO16*BO25)</f>
        <v>1237.7597142857142</v>
      </c>
      <c r="BP7" s="48">
        <f>IF(OR('RPM &amp; Discounts'!$B$3='A0.Support'!$B$3,'RPM &amp; Discounts'!$B$3='A0.Support'!$B$4),BP25,BP16*BP25)</f>
        <v>971.92542857142848</v>
      </c>
      <c r="BQ7" s="48">
        <f>IF(OR('RPM &amp; Discounts'!$B$3='A0.Support'!$B$3,'RPM &amp; Discounts'!$B$3='A0.Support'!$B$4),BQ25,BQ16*BQ25)</f>
        <v>913.83685714285696</v>
      </c>
      <c r="BR7" s="48">
        <f>IF(OR('RPM &amp; Discounts'!$B$3='A0.Support'!$B$3,'RPM &amp; Discounts'!$B$3='A0.Support'!$B$4),BR25,BR16*BR25)</f>
        <v>926.84828571428557</v>
      </c>
      <c r="BS7" s="48">
        <f>IF(OR('RPM &amp; Discounts'!$B$3='A0.Support'!$B$3,'RPM &amp; Discounts'!$B$3='A0.Support'!$B$4),BS25,BS16*BS25)</f>
        <v>862.69114285714272</v>
      </c>
      <c r="BT7" s="48">
        <f>IF(OR('RPM &amp; Discounts'!$B$3='A0.Support'!$B$3,'RPM &amp; Discounts'!$B$3='A0.Support'!$B$4),BT25,BT16*BT25)</f>
        <v>815.94257142857134</v>
      </c>
      <c r="BU7" s="48">
        <f>IF(OR('RPM &amp; Discounts'!$B$3='A0.Support'!$B$3,'RPM &amp; Discounts'!$B$3='A0.Support'!$B$4),BU25,BU16*BU25)</f>
        <v>766.98257142857142</v>
      </c>
      <c r="BV7" s="48">
        <f>IF(OR('RPM &amp; Discounts'!$B$3='A0.Support'!$B$3,'RPM &amp; Discounts'!$B$3='A0.Support'!$B$4),BV25,BV16*BV25)</f>
        <v>681.53399999999988</v>
      </c>
      <c r="BW7" s="48">
        <f>IF(OR('RPM &amp; Discounts'!$B$3='A0.Support'!$B$3,'RPM &amp; Discounts'!$B$3='A0.Support'!$B$4),BW25,BW16*BW25)</f>
        <v>1167.2511428571427</v>
      </c>
      <c r="BX7" s="48">
        <f>IF(OR('RPM &amp; Discounts'!$B$3='A0.Support'!$B$3,'RPM &amp; Discounts'!$B$3='A0.Support'!$B$4),BX25,BX16*BX25)</f>
        <v>1269.7482857142857</v>
      </c>
      <c r="BY7" s="48">
        <f>IF(OR('RPM &amp; Discounts'!$B$3='A0.Support'!$B$3,'RPM &amp; Discounts'!$B$3='A0.Support'!$B$4),BY25,BY16*BY25)</f>
        <v>1333.699714285714</v>
      </c>
      <c r="BZ7" s="48">
        <f>IF(OR('RPM &amp; Discounts'!$B$3='A0.Support'!$B$3,'RPM &amp; Discounts'!$B$3='A0.Support'!$B$4),BZ25,BZ16*BZ25)</f>
        <v>1363.6311428571428</v>
      </c>
      <c r="CA7" s="48">
        <f>IF(OR('RPM &amp; Discounts'!$B$3='A0.Support'!$B$3,'RPM &amp; Discounts'!$B$3='A0.Support'!$B$4),CA25,CA16*CA25)</f>
        <v>1335.9111428571425</v>
      </c>
      <c r="CB7" s="48">
        <f>IF(OR('RPM &amp; Discounts'!$B$3='A0.Support'!$B$3,'RPM &amp; Discounts'!$B$3='A0.Support'!$B$4),CB25,CB16*CB25)</f>
        <v>1234.2625714285712</v>
      </c>
      <c r="CC7" s="48">
        <f>IF(OR('RPM &amp; Discounts'!$B$3='A0.Support'!$B$3,'RPM &amp; Discounts'!$B$3='A0.Support'!$B$4),CC25,CC16*CC25)</f>
        <v>921.75685714285703</v>
      </c>
      <c r="CD7" s="48">
        <f>IF(OR('RPM &amp; Discounts'!$B$3='A0.Support'!$B$3,'RPM &amp; Discounts'!$B$3='A0.Support'!$B$4),CD25,CD16*CD25)</f>
        <v>946.28828571428551</v>
      </c>
      <c r="CE7" s="48">
        <f>IF(OR('RPM &amp; Discounts'!$B$3='A0.Support'!$B$3,'RPM &amp; Discounts'!$B$3='A0.Support'!$B$4),CE25,CE16*CE25)</f>
        <v>975.34542857142844</v>
      </c>
      <c r="CF7" s="48">
        <f>IF(OR('RPM &amp; Discounts'!$B$3='A0.Support'!$B$3,'RPM &amp; Discounts'!$B$3='A0.Support'!$B$4),CF25,CF16*CF25)</f>
        <v>1032.4825714285714</v>
      </c>
      <c r="CG7" s="48">
        <f>IF(OR('RPM &amp; Discounts'!$B$3='A0.Support'!$B$3,'RPM &amp; Discounts'!$B$3='A0.Support'!$B$4),CG25,CG16*CG25)</f>
        <v>1037.9854285714284</v>
      </c>
      <c r="CH7" s="48">
        <f>IF(OR('RPM &amp; Discounts'!$B$3='A0.Support'!$B$3,'RPM &amp; Discounts'!$B$3='A0.Support'!$B$4),CH25,CH16*CH25)</f>
        <v>210.78257142857143</v>
      </c>
      <c r="CI7" s="48">
        <f>IF(OR('RPM &amp; Discounts'!$B$3='A0.Support'!$B$3,'RPM &amp; Discounts'!$B$3='A0.Support'!$B$4),CI25,CI16*CI25)</f>
        <v>18.233999999999998</v>
      </c>
      <c r="CJ7" s="48">
        <f>IF(OR('RPM &amp; Discounts'!$B$3='A0.Support'!$B$3,'RPM &amp; Discounts'!$B$3='A0.Support'!$B$4),CJ25,CJ16*CJ25)</f>
        <v>18.236571428571427</v>
      </c>
      <c r="CK7" s="48">
        <f>IF(OR('RPM &amp; Discounts'!$B$3='A0.Support'!$B$3,'RPM &amp; Discounts'!$B$3='A0.Support'!$B$4),CK25,CK16*CK25)</f>
        <v>21.630857142857142</v>
      </c>
      <c r="CL7" s="48">
        <f>IF(OR('RPM &amp; Discounts'!$B$3='A0.Support'!$B$3,'RPM &amp; Discounts'!$B$3='A0.Support'!$B$4),CL25,CL16*CL25)</f>
        <v>18.236571428571427</v>
      </c>
      <c r="CM7" s="48">
        <f>IF(OR('RPM &amp; Discounts'!$B$3='A0.Support'!$B$3,'RPM &amp; Discounts'!$B$3='A0.Support'!$B$4),CM25,CM16*CM25)</f>
        <v>2.5714285714282885E-3</v>
      </c>
    </row>
    <row r="8" spans="2:91">
      <c r="B8" s="13" t="str">
        <f>'Input capacity'!B10</f>
        <v>Underground storage Carriço</v>
      </c>
      <c r="C8" s="48">
        <f>IF(OR('RPM &amp; Discounts'!$B$3='A0.Support'!$B$3,'RPM &amp; Discounts'!$B$3='A0.Support'!$B$4),C26,C17*C26)</f>
        <v>239.52199999999999</v>
      </c>
      <c r="D8" s="48">
        <f>IF(OR('RPM &amp; Discounts'!$B$3='A0.Support'!$B$3,'RPM &amp; Discounts'!$B$3='A0.Support'!$B$4),D26,D17*D26)</f>
        <v>307.55099999999999</v>
      </c>
      <c r="E8" s="48">
        <f>IF(OR('RPM &amp; Discounts'!$B$3='A0.Support'!$B$3,'RPM &amp; Discounts'!$B$3='A0.Support'!$B$4),E26,E17*E26)</f>
        <v>280.19200000000001</v>
      </c>
      <c r="F8" s="48">
        <f>IF(OR('RPM &amp; Discounts'!$B$3='A0.Support'!$B$3,'RPM &amp; Discounts'!$B$3='A0.Support'!$B$4),F26,F17*F26)</f>
        <v>0</v>
      </c>
      <c r="G8" s="48">
        <f>IF(OR('RPM &amp; Discounts'!$B$3='A0.Support'!$B$3,'RPM &amp; Discounts'!$B$3='A0.Support'!$B$4),G26,G17*G26)</f>
        <v>495.97971428571424</v>
      </c>
      <c r="H8" s="48">
        <f>IF(OR('RPM &amp; Discounts'!$B$3='A0.Support'!$B$3,'RPM &amp; Discounts'!$B$3='A0.Support'!$B$4),H26,H17*H26)</f>
        <v>529.41085714285714</v>
      </c>
      <c r="I8" s="48">
        <f>IF(OR('RPM &amp; Discounts'!$B$3='A0.Support'!$B$3,'RPM &amp; Discounts'!$B$3='A0.Support'!$B$4),I26,I17*I26)</f>
        <v>508.03971428571424</v>
      </c>
      <c r="J8" s="48">
        <f>IF(OR('RPM &amp; Discounts'!$B$3='A0.Support'!$B$3,'RPM &amp; Discounts'!$B$3='A0.Support'!$B$4),J26,J17*J26)</f>
        <v>529.40828571428563</v>
      </c>
      <c r="K8" s="48">
        <f>IF(OR('RPM &amp; Discounts'!$B$3='A0.Support'!$B$3,'RPM &amp; Discounts'!$B$3='A0.Support'!$B$4),K26,K17*K26)</f>
        <v>455.01685714285708</v>
      </c>
      <c r="L8" s="48">
        <f>IF(OR('RPM &amp; Discounts'!$B$3='A0.Support'!$B$3,'RPM &amp; Discounts'!$B$3='A0.Support'!$B$4),L26,L17*L26)</f>
        <v>423.15685714285712</v>
      </c>
      <c r="M8" s="48">
        <f>IF(OR('RPM &amp; Discounts'!$B$3='A0.Support'!$B$3,'RPM &amp; Discounts'!$B$3='A0.Support'!$B$4),M26,M17*M26)</f>
        <v>545.50542857142852</v>
      </c>
      <c r="N8" s="48">
        <f>IF(OR('RPM &amp; Discounts'!$B$3='A0.Support'!$B$3,'RPM &amp; Discounts'!$B$3='A0.Support'!$B$4),N26,N17*N26)</f>
        <v>380.21399999999994</v>
      </c>
      <c r="O8" s="48">
        <f>IF(OR('RPM &amp; Discounts'!$B$3='A0.Support'!$B$3,'RPM &amp; Discounts'!$B$3='A0.Support'!$B$4),O26,O17*O26)</f>
        <v>348.17399999999998</v>
      </c>
      <c r="P8" s="48">
        <f>IF(OR('RPM &amp; Discounts'!$B$3='A0.Support'!$B$3,'RPM &amp; Discounts'!$B$3='A0.Support'!$B$4),P26,P17*P26)</f>
        <v>423.41657142857139</v>
      </c>
      <c r="Q8" s="48">
        <f>IF(OR('RPM &amp; Discounts'!$B$3='A0.Support'!$B$3,'RPM &amp; Discounts'!$B$3='A0.Support'!$B$4),Q26,Q17*Q26)</f>
        <v>338.83971428571419</v>
      </c>
      <c r="R8" s="48">
        <f>IF(OR('RPM &amp; Discounts'!$B$3='A0.Support'!$B$3,'RPM &amp; Discounts'!$B$3='A0.Support'!$B$4),R26,R17*R26)</f>
        <v>392.27657142857134</v>
      </c>
      <c r="S8" s="48">
        <f>IF(OR('RPM &amp; Discounts'!$B$3='A0.Support'!$B$3,'RPM &amp; Discounts'!$B$3='A0.Support'!$B$4),S26,S17*S26)</f>
        <v>409.68771428571426</v>
      </c>
      <c r="T8" s="48">
        <f>IF(OR('RPM &amp; Discounts'!$B$3='A0.Support'!$B$3,'RPM &amp; Discounts'!$B$3='A0.Support'!$B$4),T26,T17*T26)</f>
        <v>332.2311428571428</v>
      </c>
      <c r="U8" s="48">
        <f>IF(OR('RPM &amp; Discounts'!$B$3='A0.Support'!$B$3,'RPM &amp; Discounts'!$B$3='A0.Support'!$B$4),U26,U17*U26)</f>
        <v>338.84228571428565</v>
      </c>
      <c r="V8" s="48">
        <f>IF(OR('RPM &amp; Discounts'!$B$3='A0.Support'!$B$3,'RPM &amp; Discounts'!$B$3='A0.Support'!$B$4),V26,V17*V26)</f>
        <v>409.68514285714281</v>
      </c>
      <c r="W8" s="48">
        <f>IF(OR('RPM &amp; Discounts'!$B$3='A0.Support'!$B$3,'RPM &amp; Discounts'!$B$3='A0.Support'!$B$4),W26,W17*W26)</f>
        <v>326.54828571428567</v>
      </c>
      <c r="X8" s="48">
        <f>IF(OR('RPM &amp; Discounts'!$B$3='A0.Support'!$B$3,'RPM &amp; Discounts'!$B$3='A0.Support'!$B$4),X26,X17*X26)</f>
        <v>297.15685714285712</v>
      </c>
      <c r="Y8" s="48">
        <f>IF(OR('RPM &amp; Discounts'!$B$3='A0.Support'!$B$3,'RPM &amp; Discounts'!$B$3='A0.Support'!$B$4),Y26,Y17*Y26)</f>
        <v>358.17942857142856</v>
      </c>
      <c r="Z8" s="48">
        <f>IF(OR('RPM &amp; Discounts'!$B$3='A0.Support'!$B$3,'RPM &amp; Discounts'!$B$3='A0.Support'!$B$4),Z26,Z17*Z26)</f>
        <v>358.1768571428571</v>
      </c>
      <c r="AA8" s="48">
        <f>IF(OR('RPM &amp; Discounts'!$B$3='A0.Support'!$B$3,'RPM &amp; Discounts'!$B$3='A0.Support'!$B$4),AA26,AA17*AA26)</f>
        <v>233.89971428571425</v>
      </c>
      <c r="AB8" s="48">
        <f>IF(OR('RPM &amp; Discounts'!$B$3='A0.Support'!$B$3,'RPM &amp; Discounts'!$B$3='A0.Support'!$B$4),AB26,AB17*AB26)</f>
        <v>146.62542857142856</v>
      </c>
      <c r="AC8" s="48">
        <f>IF(OR('RPM &amp; Discounts'!$B$3='A0.Support'!$B$3,'RPM &amp; Discounts'!$B$3='A0.Support'!$B$4),AC26,AC17*AC26)</f>
        <v>114.01971428571427</v>
      </c>
      <c r="AD8" s="48">
        <f>IF(OR('RPM &amp; Discounts'!$B$3='A0.Support'!$B$3,'RPM &amp; Discounts'!$B$3='A0.Support'!$B$4),AD26,AD17*AD26)</f>
        <v>97.125428571428557</v>
      </c>
      <c r="AE8" s="48">
        <f>IF(OR('RPM &amp; Discounts'!$B$3='A0.Support'!$B$3,'RPM &amp; Discounts'!$B$3='A0.Support'!$B$4),AE26,AE17*AE26)</f>
        <v>2.5714285714282885E-3</v>
      </c>
      <c r="AF8" s="48">
        <f>IF(OR('RPM &amp; Discounts'!$B$3='A0.Support'!$B$3,'RPM &amp; Discounts'!$B$3='A0.Support'!$B$4),AF26,AF17*AF26)</f>
        <v>25.485428571428567</v>
      </c>
      <c r="AG8" s="48">
        <f>IF(OR('RPM &amp; Discounts'!$B$3='A0.Support'!$B$3,'RPM &amp; Discounts'!$B$3='A0.Support'!$B$4),AG26,AG17*AG26)</f>
        <v>25.768285714285714</v>
      </c>
      <c r="AH8" s="48">
        <f>IF(OR('RPM &amp; Discounts'!$B$3='A0.Support'!$B$3,'RPM &amp; Discounts'!$B$3='A0.Support'!$B$4),AH26,AH17*AH26)</f>
        <v>59.376857142857141</v>
      </c>
      <c r="AI8" s="48">
        <f>IF(OR('RPM &amp; Discounts'!$B$3='A0.Support'!$B$3,'RPM &amp; Discounts'!$B$3='A0.Support'!$B$4),AI26,AI17*AI26)</f>
        <v>72.773999999999987</v>
      </c>
      <c r="AJ8" s="48">
        <f>IF(OR('RPM &amp; Discounts'!$B$3='A0.Support'!$B$3,'RPM &amp; Discounts'!$B$3='A0.Support'!$B$4),AJ26,AJ17*AJ26)</f>
        <v>59.379428571428562</v>
      </c>
      <c r="AK8" s="48">
        <f>IF(OR('RPM &amp; Discounts'!$B$3='A0.Support'!$B$3,'RPM &amp; Discounts'!$B$3='A0.Support'!$B$4),AK26,AK17*AK26)</f>
        <v>132.61114285714285</v>
      </c>
      <c r="AL8" s="48">
        <f>IF(OR('RPM &amp; Discounts'!$B$3='A0.Support'!$B$3,'RPM &amp; Discounts'!$B$3='A0.Support'!$B$4),AL26,AL17*AL26)</f>
        <v>158.11971428571428</v>
      </c>
      <c r="AM8" s="48">
        <f>IF(OR('RPM &amp; Discounts'!$B$3='A0.Support'!$B$3,'RPM &amp; Discounts'!$B$3='A0.Support'!$B$4),AM26,AM17*AM26)</f>
        <v>147.60257142857142</v>
      </c>
      <c r="AN8" s="48">
        <f>IF(OR('RPM &amp; Discounts'!$B$3='A0.Support'!$B$3,'RPM &amp; Discounts'!$B$3='A0.Support'!$B$4),AN26,AN17*AN26)</f>
        <v>162.13114285714283</v>
      </c>
      <c r="AO8" s="48">
        <f>IF(OR('RPM &amp; Discounts'!$B$3='A0.Support'!$B$3,'RPM &amp; Discounts'!$B$3='A0.Support'!$B$4),AO26,AO17*AO26)</f>
        <v>197.25685714285711</v>
      </c>
      <c r="AP8" s="48">
        <f>IF(OR('RPM &amp; Discounts'!$B$3='A0.Support'!$B$3,'RPM &amp; Discounts'!$B$3='A0.Support'!$B$4),AP26,AP17*AP26)</f>
        <v>215.51400000000001</v>
      </c>
      <c r="AQ8" s="48">
        <f>IF(OR('RPM &amp; Discounts'!$B$3='A0.Support'!$B$3,'RPM &amp; Discounts'!$B$3='A0.Support'!$B$4),AQ26,AQ17*AQ26)</f>
        <v>227.95971428571426</v>
      </c>
      <c r="AR8" s="48">
        <f>IF(OR('RPM &amp; Discounts'!$B$3='A0.Support'!$B$3,'RPM &amp; Discounts'!$B$3='A0.Support'!$B$4),AR26,AR17*AR26)</f>
        <v>240.79114285714286</v>
      </c>
      <c r="AS8" s="48">
        <f>IF(OR('RPM &amp; Discounts'!$B$3='A0.Support'!$B$3,'RPM &amp; Discounts'!$B$3='A0.Support'!$B$4),AS26,AS17*AS26)</f>
        <v>282.78257142857143</v>
      </c>
      <c r="AT8" s="48">
        <f>IF(OR('RPM &amp; Discounts'!$B$3='A0.Support'!$B$3,'RPM &amp; Discounts'!$B$3='A0.Support'!$B$4),AT26,AT17*AT26)</f>
        <v>300.98828571428567</v>
      </c>
      <c r="AU8" s="48">
        <f>IF(OR('RPM &amp; Discounts'!$B$3='A0.Support'!$B$3,'RPM &amp; Discounts'!$B$3='A0.Support'!$B$4),AU26,AU17*AU26)</f>
        <v>333.95657142857141</v>
      </c>
      <c r="AV8" s="48">
        <f>IF(OR('RPM &amp; Discounts'!$B$3='A0.Support'!$B$3,'RPM &amp; Discounts'!$B$3='A0.Support'!$B$4),AV26,AV17*AV26)</f>
        <v>333.95400000000001</v>
      </c>
      <c r="AW8" s="48">
        <f>IF(OR('RPM &amp; Discounts'!$B$3='A0.Support'!$B$3,'RPM &amp; Discounts'!$B$3='A0.Support'!$B$4),AW26,AW17*AW26)</f>
        <v>345.57685714285708</v>
      </c>
      <c r="AX8" s="48">
        <f>IF(OR('RPM &amp; Discounts'!$B$3='A0.Support'!$B$3,'RPM &amp; Discounts'!$B$3='A0.Support'!$B$4),AX26,AX17*AX26)</f>
        <v>368.10514285714277</v>
      </c>
      <c r="AY8" s="48">
        <f>IF(OR('RPM &amp; Discounts'!$B$3='A0.Support'!$B$3,'RPM &amp; Discounts'!$B$3='A0.Support'!$B$4),AY26,AY17*AY26)</f>
        <v>368.10257142857142</v>
      </c>
      <c r="AZ8" s="48">
        <f>IF(OR('RPM &amp; Discounts'!$B$3='A0.Support'!$B$3,'RPM &amp; Discounts'!$B$3='A0.Support'!$B$4),AZ26,AZ17*AZ26)</f>
        <v>401.9425714285714</v>
      </c>
      <c r="BA8" s="48">
        <f>IF(OR('RPM &amp; Discounts'!$B$3='A0.Support'!$B$3,'RPM &amp; Discounts'!$B$3='A0.Support'!$B$4),BA26,BA17*BA26)</f>
        <v>447.09685714285712</v>
      </c>
      <c r="BB8" s="48">
        <f>IF(OR('RPM &amp; Discounts'!$B$3='A0.Support'!$B$3,'RPM &amp; Discounts'!$B$3='A0.Support'!$B$4),BB26,BB17*BB26)</f>
        <v>484.09971428571424</v>
      </c>
      <c r="BC8" s="48">
        <f>IF(OR('RPM &amp; Discounts'!$B$3='A0.Support'!$B$3,'RPM &amp; Discounts'!$B$3='A0.Support'!$B$4),BC26,BC17*BC26)</f>
        <v>477.05399999999992</v>
      </c>
      <c r="BD8" s="48">
        <f>IF(OR('RPM &amp; Discounts'!$B$3='A0.Support'!$B$3,'RPM &amp; Discounts'!$B$3='A0.Support'!$B$4),BD26,BD17*BD26)</f>
        <v>489.11399999999998</v>
      </c>
      <c r="BE8" s="48">
        <f>IF(OR('RPM &amp; Discounts'!$B$3='A0.Support'!$B$3,'RPM &amp; Discounts'!$B$3='A0.Support'!$B$4),BE26,BE17*BE26)</f>
        <v>505.46828571428568</v>
      </c>
      <c r="BF8" s="48">
        <f>IF(OR('RPM &amp; Discounts'!$B$3='A0.Support'!$B$3,'RPM &amp; Discounts'!$B$3='A0.Support'!$B$4),BF26,BF17*BF26)</f>
        <v>529.87114285714279</v>
      </c>
      <c r="BG8" s="48">
        <f>IF(OR('RPM &amp; Discounts'!$B$3='A0.Support'!$B$3,'RPM &amp; Discounts'!$B$3='A0.Support'!$B$4),BG26,BG17*BG26)</f>
        <v>610.3825714285714</v>
      </c>
      <c r="BH8" s="48">
        <f>IF(OR('RPM &amp; Discounts'!$B$3='A0.Support'!$B$3,'RPM &amp; Discounts'!$B$3='A0.Support'!$B$4),BH26,BH17*BH26)</f>
        <v>556.35685714285705</v>
      </c>
      <c r="BI8" s="48">
        <f>IF(OR('RPM &amp; Discounts'!$B$3='A0.Support'!$B$3,'RPM &amp; Discounts'!$B$3='A0.Support'!$B$4),BI26,BI17*BI26)</f>
        <v>579.7311428571428</v>
      </c>
      <c r="BJ8" s="48">
        <f>IF(OR('RPM &amp; Discounts'!$B$3='A0.Support'!$B$3,'RPM &amp; Discounts'!$B$3='A0.Support'!$B$4),BJ26,BJ17*BJ26)</f>
        <v>616.06542857142847</v>
      </c>
      <c r="BK8" s="48">
        <f>IF(OR('RPM &amp; Discounts'!$B$3='A0.Support'!$B$3,'RPM &amp; Discounts'!$B$3='A0.Support'!$B$4),BK26,BK17*BK26)</f>
        <v>636.3282857142857</v>
      </c>
      <c r="BL8" s="48">
        <f>IF(OR('RPM &amp; Discounts'!$B$3='A0.Support'!$B$3,'RPM &amp; Discounts'!$B$3='A0.Support'!$B$4),BL26,BL17*BL26)</f>
        <v>707.22257142857143</v>
      </c>
      <c r="BM8" s="48">
        <f>IF(OR('RPM &amp; Discounts'!$B$3='A0.Support'!$B$3,'RPM &amp; Discounts'!$B$3='A0.Support'!$B$4),BM26,BM17*BM26)</f>
        <v>701.82257142857134</v>
      </c>
      <c r="BN8" s="48">
        <f>IF(OR('RPM &amp; Discounts'!$B$3='A0.Support'!$B$3,'RPM &amp; Discounts'!$B$3='A0.Support'!$B$4),BN26,BN17*BN26)</f>
        <v>778.55399999999997</v>
      </c>
      <c r="BO8" s="48">
        <f>IF(OR('RPM &amp; Discounts'!$B$3='A0.Support'!$B$3,'RPM &amp; Discounts'!$B$3='A0.Support'!$B$4),BO26,BO17*BO26)</f>
        <v>615.29399999999998</v>
      </c>
      <c r="BP8" s="48">
        <f>IF(OR('RPM &amp; Discounts'!$B$3='A0.Support'!$B$3,'RPM &amp; Discounts'!$B$3='A0.Support'!$B$4),BP26,BP17*BP26)</f>
        <v>349.45971428571426</v>
      </c>
      <c r="BQ8" s="48">
        <f>IF(OR('RPM &amp; Discounts'!$B$3='A0.Support'!$B$3,'RPM &amp; Discounts'!$B$3='A0.Support'!$B$4),BQ26,BQ17*BQ26)</f>
        <v>291.37114285714284</v>
      </c>
      <c r="BR8" s="48">
        <f>IF(OR('RPM &amp; Discounts'!$B$3='A0.Support'!$B$3,'RPM &amp; Discounts'!$B$3='A0.Support'!$B$4),BR26,BR17*BR26)</f>
        <v>304.3825714285714</v>
      </c>
      <c r="BS8" s="48">
        <f>IF(OR('RPM &amp; Discounts'!$B$3='A0.Support'!$B$3,'RPM &amp; Discounts'!$B$3='A0.Support'!$B$4),BS26,BS17*BS26)</f>
        <v>240.22542857142855</v>
      </c>
      <c r="BT8" s="48">
        <f>IF(OR('RPM &amp; Discounts'!$B$3='A0.Support'!$B$3,'RPM &amp; Discounts'!$B$3='A0.Support'!$B$4),BT26,BT17*BT26)</f>
        <v>193.47685714285711</v>
      </c>
      <c r="BU8" s="48">
        <f>IF(OR('RPM &amp; Discounts'!$B$3='A0.Support'!$B$3,'RPM &amp; Discounts'!$B$3='A0.Support'!$B$4),BU26,BU17*BU26)</f>
        <v>144.51685714285713</v>
      </c>
      <c r="BV8" s="48">
        <f>IF(OR('RPM &amp; Discounts'!$B$3='A0.Support'!$B$3,'RPM &amp; Discounts'!$B$3='A0.Support'!$B$4),BV26,BV17*BV26)</f>
        <v>59.068285714285707</v>
      </c>
      <c r="BW8" s="48">
        <f>IF(OR('RPM &amp; Discounts'!$B$3='A0.Support'!$B$3,'RPM &amp; Discounts'!$B$3='A0.Support'!$B$4),BW26,BW17*BW26)</f>
        <v>544.7854285714285</v>
      </c>
      <c r="BX8" s="48">
        <f>IF(OR('RPM &amp; Discounts'!$B$3='A0.Support'!$B$3,'RPM &amp; Discounts'!$B$3='A0.Support'!$B$4),BX26,BX17*BX26)</f>
        <v>647.28257142857137</v>
      </c>
      <c r="BY8" s="48">
        <f>IF(OR('RPM &amp; Discounts'!$B$3='A0.Support'!$B$3,'RPM &amp; Discounts'!$B$3='A0.Support'!$B$4),BY26,BY17*BY26)</f>
        <v>711.23399999999992</v>
      </c>
      <c r="BZ8" s="48">
        <f>IF(OR('RPM &amp; Discounts'!$B$3='A0.Support'!$B$3,'RPM &amp; Discounts'!$B$3='A0.Support'!$B$4),BZ26,BZ17*BZ26)</f>
        <v>741.16542857142849</v>
      </c>
      <c r="CA8" s="48">
        <f>IF(OR('RPM &amp; Discounts'!$B$3='A0.Support'!$B$3,'RPM &amp; Discounts'!$B$3='A0.Support'!$B$4),CA26,CA17*CA26)</f>
        <v>713.44542857142858</v>
      </c>
      <c r="CB8" s="48">
        <f>IF(OR('RPM &amp; Discounts'!$B$3='A0.Support'!$B$3,'RPM &amp; Discounts'!$B$3='A0.Support'!$B$4),CB26,CB17*CB26)</f>
        <v>611.79685714285711</v>
      </c>
      <c r="CC8" s="48">
        <f>IF(OR('RPM &amp; Discounts'!$B$3='A0.Support'!$B$3,'RPM &amp; Discounts'!$B$3='A0.Support'!$B$4),CC26,CC17*CC26)</f>
        <v>299.29114285714286</v>
      </c>
      <c r="CD8" s="48">
        <f>IF(OR('RPM &amp; Discounts'!$B$3='A0.Support'!$B$3,'RPM &amp; Discounts'!$B$3='A0.Support'!$B$4),CD26,CD17*CD26)</f>
        <v>323.82257142857139</v>
      </c>
      <c r="CE8" s="48">
        <f>IF(OR('RPM &amp; Discounts'!$B$3='A0.Support'!$B$3,'RPM &amp; Discounts'!$B$3='A0.Support'!$B$4),CE26,CE17*CE26)</f>
        <v>352.87971428571421</v>
      </c>
      <c r="CF8" s="48">
        <f>IF(OR('RPM &amp; Discounts'!$B$3='A0.Support'!$B$3,'RPM &amp; Discounts'!$B$3='A0.Support'!$B$4),CF26,CF17*CF26)</f>
        <v>410.01685714285708</v>
      </c>
      <c r="CG8" s="48">
        <f>IF(OR('RPM &amp; Discounts'!$B$3='A0.Support'!$B$3,'RPM &amp; Discounts'!$B$3='A0.Support'!$B$4),CG26,CG17*CG26)</f>
        <v>415.51971428571426</v>
      </c>
      <c r="CH8" s="48">
        <f>IF(OR('RPM &amp; Discounts'!$B$3='A0.Support'!$B$3,'RPM &amp; Discounts'!$B$3='A0.Support'!$B$4),CH26,CH17*CH26)</f>
        <v>509.71114285714282</v>
      </c>
      <c r="CI8" s="48">
        <f>IF(OR('RPM &amp; Discounts'!$B$3='A0.Support'!$B$3,'RPM &amp; Discounts'!$B$3='A0.Support'!$B$4),CI26,CI17*CI26)</f>
        <v>702.25971428571427</v>
      </c>
      <c r="CJ8" s="48">
        <f>IF(OR('RPM &amp; Discounts'!$B$3='A0.Support'!$B$3,'RPM &amp; Discounts'!$B$3='A0.Support'!$B$4),CJ26,CJ17*CJ26)</f>
        <v>702.26228571428555</v>
      </c>
      <c r="CK8" s="48">
        <f>IF(OR('RPM &amp; Discounts'!$B$3='A0.Support'!$B$3,'RPM &amp; Discounts'!$B$3='A0.Support'!$B$4),CK26,CK17*CK26)</f>
        <v>705.6565714285714</v>
      </c>
      <c r="CL8" s="48">
        <f>IF(OR('RPM &amp; Discounts'!$B$3='A0.Support'!$B$3,'RPM &amp; Discounts'!$B$3='A0.Support'!$B$4),CL26,CL17*CL26)</f>
        <v>702.26228571428555</v>
      </c>
      <c r="CM8" s="48">
        <f>IF(OR('RPM &amp; Discounts'!$B$3='A0.Support'!$B$3,'RPM &amp; Discounts'!$B$3='A0.Support'!$B$4),CM26,CM17*CM26)</f>
        <v>720.49114285714268</v>
      </c>
    </row>
    <row r="9" spans="2:91">
      <c r="B9" s="13" t="str">
        <f>'Input capacity'!B11</f>
        <v>Gas producers</v>
      </c>
      <c r="C9" s="48">
        <f>IF(OR('RPM &amp; Discounts'!$B$3='A0.Support'!$B$3,'RPM &amp; Discounts'!$B$3='A0.Support'!$B$4),C27,C18*C27)</f>
        <v>239.523</v>
      </c>
      <c r="D9" s="48">
        <f>IF(OR('RPM &amp; Discounts'!$B$3='A0.Support'!$B$3,'RPM &amp; Discounts'!$B$3='A0.Support'!$B$4),D27,D18*D27)</f>
        <v>307.55200000000002</v>
      </c>
      <c r="E9" s="48">
        <f>IF(OR('RPM &amp; Discounts'!$B$3='A0.Support'!$B$3,'RPM &amp; Discounts'!$B$3='A0.Support'!$B$4),E27,E18*E27)</f>
        <v>280.19299999999998</v>
      </c>
      <c r="F9" s="48">
        <f>IF(OR('RPM &amp; Discounts'!$B$3='A0.Support'!$B$3,'RPM &amp; Discounts'!$B$3='A0.Support'!$B$4),F27,F18*F27)</f>
        <v>9.9999999999989008E-4</v>
      </c>
      <c r="G9" s="48">
        <f>IF(OR('RPM &amp; Discounts'!$B$3='A0.Support'!$B$3,'RPM &amp; Discounts'!$B$3='A0.Support'!$B$4),G27,G18*G27)</f>
        <v>495.98228571428569</v>
      </c>
      <c r="H9" s="48">
        <f>IF(OR('RPM &amp; Discounts'!$B$3='A0.Support'!$B$3,'RPM &amp; Discounts'!$B$3='A0.Support'!$B$4),H27,H18*H27)</f>
        <v>529.41342857142854</v>
      </c>
      <c r="I9" s="48">
        <f>IF(OR('RPM &amp; Discounts'!$B$3='A0.Support'!$B$3,'RPM &amp; Discounts'!$B$3='A0.Support'!$B$4),I27,I18*I27)</f>
        <v>508.0422857142857</v>
      </c>
      <c r="J9" s="48">
        <f>IF(OR('RPM &amp; Discounts'!$B$3='A0.Support'!$B$3,'RPM &amp; Discounts'!$B$3='A0.Support'!$B$4),J27,J18*J27)</f>
        <v>529.41085714285714</v>
      </c>
      <c r="K9" s="48">
        <f>IF(OR('RPM &amp; Discounts'!$B$3='A0.Support'!$B$3,'RPM &amp; Discounts'!$B$3='A0.Support'!$B$4),K27,K18*K27)</f>
        <v>455.01942857142853</v>
      </c>
      <c r="L9" s="48">
        <f>IF(OR('RPM &amp; Discounts'!$B$3='A0.Support'!$B$3,'RPM &amp; Discounts'!$B$3='A0.Support'!$B$4),L27,L18*L27)</f>
        <v>423.15942857142858</v>
      </c>
      <c r="M9" s="48">
        <f>IF(OR('RPM &amp; Discounts'!$B$3='A0.Support'!$B$3,'RPM &amp; Discounts'!$B$3='A0.Support'!$B$4),M27,M18*M27)</f>
        <v>545.50799999999992</v>
      </c>
      <c r="N9" s="48">
        <f>IF(OR('RPM &amp; Discounts'!$B$3='A0.Support'!$B$3,'RPM &amp; Discounts'!$B$3='A0.Support'!$B$4),N27,N18*N27)</f>
        <v>380.2165714285714</v>
      </c>
      <c r="O9" s="48">
        <f>IF(OR('RPM &amp; Discounts'!$B$3='A0.Support'!$B$3,'RPM &amp; Discounts'!$B$3='A0.Support'!$B$4),O27,O18*O27)</f>
        <v>348.17657142857138</v>
      </c>
      <c r="P9" s="48">
        <f>IF(OR('RPM &amp; Discounts'!$B$3='A0.Support'!$B$3,'RPM &amp; Discounts'!$B$3='A0.Support'!$B$4),P27,P18*P27)</f>
        <v>423.41914285714284</v>
      </c>
      <c r="Q9" s="48">
        <f>IF(OR('RPM &amp; Discounts'!$B$3='A0.Support'!$B$3,'RPM &amp; Discounts'!$B$3='A0.Support'!$B$4),Q27,Q18*Q27)</f>
        <v>338.84228571428565</v>
      </c>
      <c r="R9" s="48">
        <f>IF(OR('RPM &amp; Discounts'!$B$3='A0.Support'!$B$3,'RPM &amp; Discounts'!$B$3='A0.Support'!$B$4),R27,R18*R27)</f>
        <v>392.2791428571428</v>
      </c>
      <c r="S9" s="48">
        <f>IF(OR('RPM &amp; Discounts'!$B$3='A0.Support'!$B$3,'RPM &amp; Discounts'!$B$3='A0.Support'!$B$4),S27,S18*S27)</f>
        <v>409.69028571428572</v>
      </c>
      <c r="T9" s="48">
        <f>IF(OR('RPM &amp; Discounts'!$B$3='A0.Support'!$B$3,'RPM &amp; Discounts'!$B$3='A0.Support'!$B$4),T27,T18*T27)</f>
        <v>332.23371428571426</v>
      </c>
      <c r="U9" s="48">
        <f>IF(OR('RPM &amp; Discounts'!$B$3='A0.Support'!$B$3,'RPM &amp; Discounts'!$B$3='A0.Support'!$B$4),U27,U18*U27)</f>
        <v>338.84485714285711</v>
      </c>
      <c r="V9" s="48">
        <f>IF(OR('RPM &amp; Discounts'!$B$3='A0.Support'!$B$3,'RPM &amp; Discounts'!$B$3='A0.Support'!$B$4),V27,V18*V27)</f>
        <v>409.68771428571426</v>
      </c>
      <c r="W9" s="48">
        <f>IF(OR('RPM &amp; Discounts'!$B$3='A0.Support'!$B$3,'RPM &amp; Discounts'!$B$3='A0.Support'!$B$4),W27,W18*W27)</f>
        <v>326.55085714285713</v>
      </c>
      <c r="X9" s="48">
        <f>IF(OR('RPM &amp; Discounts'!$B$3='A0.Support'!$B$3,'RPM &amp; Discounts'!$B$3='A0.Support'!$B$4),X27,X18*X27)</f>
        <v>297.15942857142852</v>
      </c>
      <c r="Y9" s="48">
        <f>IF(OR('RPM &amp; Discounts'!$B$3='A0.Support'!$B$3,'RPM &amp; Discounts'!$B$3='A0.Support'!$B$4),Y27,Y18*Y27)</f>
        <v>358.18199999999996</v>
      </c>
      <c r="Z9" s="48">
        <f>IF(OR('RPM &amp; Discounts'!$B$3='A0.Support'!$B$3,'RPM &amp; Discounts'!$B$3='A0.Support'!$B$4),Z27,Z18*Z27)</f>
        <v>358.17942857142856</v>
      </c>
      <c r="AA9" s="48">
        <f>IF(OR('RPM &amp; Discounts'!$B$3='A0.Support'!$B$3,'RPM &amp; Discounts'!$B$3='A0.Support'!$B$4),AA27,AA18*AA27)</f>
        <v>233.90228571428571</v>
      </c>
      <c r="AB9" s="48">
        <f>IF(OR('RPM &amp; Discounts'!$B$3='A0.Support'!$B$3,'RPM &amp; Discounts'!$B$3='A0.Support'!$B$4),AB27,AB18*AB27)</f>
        <v>146.62799999999999</v>
      </c>
      <c r="AC9" s="48">
        <f>IF(OR('RPM &amp; Discounts'!$B$3='A0.Support'!$B$3,'RPM &amp; Discounts'!$B$3='A0.Support'!$B$4),AC27,AC18*AC27)</f>
        <v>114.0222857142857</v>
      </c>
      <c r="AD9" s="48">
        <f>IF(OR('RPM &amp; Discounts'!$B$3='A0.Support'!$B$3,'RPM &amp; Discounts'!$B$3='A0.Support'!$B$4),AD27,AD18*AD27)</f>
        <v>97.127999999999986</v>
      </c>
      <c r="AE9" s="48">
        <f>IF(OR('RPM &amp; Discounts'!$B$3='A0.Support'!$B$3,'RPM &amp; Discounts'!$B$3='A0.Support'!$B$4),AE27,AE18*AE27)</f>
        <v>5.1428571428565771E-3</v>
      </c>
      <c r="AF9" s="48">
        <f>IF(OR('RPM &amp; Discounts'!$B$3='A0.Support'!$B$3,'RPM &amp; Discounts'!$B$3='A0.Support'!$B$4),AF27,AF18*AF27)</f>
        <v>25.488</v>
      </c>
      <c r="AG9" s="48">
        <f>IF(OR('RPM &amp; Discounts'!$B$3='A0.Support'!$B$3,'RPM &amp; Discounts'!$B$3='A0.Support'!$B$4),AG27,AG18*AG27)</f>
        <v>25.770857142857142</v>
      </c>
      <c r="AH9" s="48">
        <f>IF(OR('RPM &amp; Discounts'!$B$3='A0.Support'!$B$3,'RPM &amp; Discounts'!$B$3='A0.Support'!$B$4),AH27,AH18*AH27)</f>
        <v>59.379428571428562</v>
      </c>
      <c r="AI9" s="48">
        <f>IF(OR('RPM &amp; Discounts'!$B$3='A0.Support'!$B$3,'RPM &amp; Discounts'!$B$3='A0.Support'!$B$4),AI27,AI18*AI27)</f>
        <v>72.776571428571415</v>
      </c>
      <c r="AJ9" s="48">
        <f>IF(OR('RPM &amp; Discounts'!$B$3='A0.Support'!$B$3,'RPM &amp; Discounts'!$B$3='A0.Support'!$B$4),AJ27,AJ18*AJ27)</f>
        <v>59.381999999999991</v>
      </c>
      <c r="AK9" s="48">
        <f>IF(OR('RPM &amp; Discounts'!$B$3='A0.Support'!$B$3,'RPM &amp; Discounts'!$B$3='A0.Support'!$B$4),AK27,AK18*AK27)</f>
        <v>132.61371428571428</v>
      </c>
      <c r="AL9" s="48">
        <f>IF(OR('RPM &amp; Discounts'!$B$3='A0.Support'!$B$3,'RPM &amp; Discounts'!$B$3='A0.Support'!$B$4),AL27,AL18*AL27)</f>
        <v>158.12228571428568</v>
      </c>
      <c r="AM9" s="48">
        <f>IF(OR('RPM &amp; Discounts'!$B$3='A0.Support'!$B$3,'RPM &amp; Discounts'!$B$3='A0.Support'!$B$4),AM27,AM18*AM27)</f>
        <v>147.60514285714285</v>
      </c>
      <c r="AN9" s="48">
        <f>IF(OR('RPM &amp; Discounts'!$B$3='A0.Support'!$B$3,'RPM &amp; Discounts'!$B$3='A0.Support'!$B$4),AN27,AN18*AN27)</f>
        <v>162.13371428571426</v>
      </c>
      <c r="AO9" s="48">
        <f>IF(OR('RPM &amp; Discounts'!$B$3='A0.Support'!$B$3,'RPM &amp; Discounts'!$B$3='A0.Support'!$B$4),AO27,AO18*AO27)</f>
        <v>197.25942857142857</v>
      </c>
      <c r="AP9" s="48">
        <f>IF(OR('RPM &amp; Discounts'!$B$3='A0.Support'!$B$3,'RPM &amp; Discounts'!$B$3='A0.Support'!$B$4),AP27,AP18*AP27)</f>
        <v>215.51657142857141</v>
      </c>
      <c r="AQ9" s="48">
        <f>IF(OR('RPM &amp; Discounts'!$B$3='A0.Support'!$B$3,'RPM &amp; Discounts'!$B$3='A0.Support'!$B$4),AQ27,AQ18*AQ27)</f>
        <v>227.96228571428568</v>
      </c>
      <c r="AR9" s="48">
        <f>IF(OR('RPM &amp; Discounts'!$B$3='A0.Support'!$B$3,'RPM &amp; Discounts'!$B$3='A0.Support'!$B$4),AR27,AR18*AR27)</f>
        <v>240.79371428571426</v>
      </c>
      <c r="AS9" s="48">
        <f>IF(OR('RPM &amp; Discounts'!$B$3='A0.Support'!$B$3,'RPM &amp; Discounts'!$B$3='A0.Support'!$B$4),AS27,AS18*AS27)</f>
        <v>282.78514285714283</v>
      </c>
      <c r="AT9" s="48">
        <f>IF(OR('RPM &amp; Discounts'!$B$3='A0.Support'!$B$3,'RPM &amp; Discounts'!$B$3='A0.Support'!$B$4),AT27,AT18*AT27)</f>
        <v>300.99085714285712</v>
      </c>
      <c r="AU9" s="48">
        <f>IF(OR('RPM &amp; Discounts'!$B$3='A0.Support'!$B$3,'RPM &amp; Discounts'!$B$3='A0.Support'!$B$4),AU27,AU18*AU27)</f>
        <v>333.95914285714281</v>
      </c>
      <c r="AV9" s="48">
        <f>IF(OR('RPM &amp; Discounts'!$B$3='A0.Support'!$B$3,'RPM &amp; Discounts'!$B$3='A0.Support'!$B$4),AV27,AV18*AV27)</f>
        <v>333.95657142857141</v>
      </c>
      <c r="AW9" s="48">
        <f>IF(OR('RPM &amp; Discounts'!$B$3='A0.Support'!$B$3,'RPM &amp; Discounts'!$B$3='A0.Support'!$B$4),AW27,AW18*AW27)</f>
        <v>345.57942857142854</v>
      </c>
      <c r="AX9" s="48">
        <f>IF(OR('RPM &amp; Discounts'!$B$3='A0.Support'!$B$3,'RPM &amp; Discounts'!$B$3='A0.Support'!$B$4),AX27,AX18*AX27)</f>
        <v>368.10771428571422</v>
      </c>
      <c r="AY9" s="48">
        <f>IF(OR('RPM &amp; Discounts'!$B$3='A0.Support'!$B$3,'RPM &amp; Discounts'!$B$3='A0.Support'!$B$4),AY27,AY18*AY27)</f>
        <v>368.10514285714277</v>
      </c>
      <c r="AZ9" s="48">
        <f>IF(OR('RPM &amp; Discounts'!$B$3='A0.Support'!$B$3,'RPM &amp; Discounts'!$B$3='A0.Support'!$B$4),AZ27,AZ18*AZ27)</f>
        <v>401.94514285714286</v>
      </c>
      <c r="BA9" s="48">
        <f>IF(OR('RPM &amp; Discounts'!$B$3='A0.Support'!$B$3,'RPM &amp; Discounts'!$B$3='A0.Support'!$B$4),BA27,BA18*BA27)</f>
        <v>447.09942857142858</v>
      </c>
      <c r="BB9" s="48">
        <f>IF(OR('RPM &amp; Discounts'!$B$3='A0.Support'!$B$3,'RPM &amp; Discounts'!$B$3='A0.Support'!$B$4),BB27,BB18*BB27)</f>
        <v>484.10228571428564</v>
      </c>
      <c r="BC9" s="48">
        <f>IF(OR('RPM &amp; Discounts'!$B$3='A0.Support'!$B$3,'RPM &amp; Discounts'!$B$3='A0.Support'!$B$4),BC27,BC18*BC27)</f>
        <v>477.05657142857137</v>
      </c>
      <c r="BD9" s="48">
        <f>IF(OR('RPM &amp; Discounts'!$B$3='A0.Support'!$B$3,'RPM &amp; Discounts'!$B$3='A0.Support'!$B$4),BD27,BD18*BD27)</f>
        <v>489.11657142857138</v>
      </c>
      <c r="BE9" s="48">
        <f>IF(OR('RPM &amp; Discounts'!$B$3='A0.Support'!$B$3,'RPM &amp; Discounts'!$B$3='A0.Support'!$B$4),BE27,BE18*BE27)</f>
        <v>505.47085714285708</v>
      </c>
      <c r="BF9" s="48">
        <f>IF(OR('RPM &amp; Discounts'!$B$3='A0.Support'!$B$3,'RPM &amp; Discounts'!$B$3='A0.Support'!$B$4),BF27,BF18*BF27)</f>
        <v>529.8737142857143</v>
      </c>
      <c r="BG9" s="48">
        <f>IF(OR('RPM &amp; Discounts'!$B$3='A0.Support'!$B$3,'RPM &amp; Discounts'!$B$3='A0.Support'!$B$4),BG27,BG18*BG27)</f>
        <v>610.3851428571428</v>
      </c>
      <c r="BH9" s="48">
        <f>IF(OR('RPM &amp; Discounts'!$B$3='A0.Support'!$B$3,'RPM &amp; Discounts'!$B$3='A0.Support'!$B$4),BH27,BH18*BH27)</f>
        <v>556.35942857142845</v>
      </c>
      <c r="BI9" s="48">
        <f>IF(OR('RPM &amp; Discounts'!$B$3='A0.Support'!$B$3,'RPM &amp; Discounts'!$B$3='A0.Support'!$B$4),BI27,BI18*BI27)</f>
        <v>579.7337142857142</v>
      </c>
      <c r="BJ9" s="48">
        <f>IF(OR('RPM &amp; Discounts'!$B$3='A0.Support'!$B$3,'RPM &amp; Discounts'!$B$3='A0.Support'!$B$4),BJ27,BJ18*BJ27)</f>
        <v>616.06799999999987</v>
      </c>
      <c r="BK9" s="48">
        <f>IF(OR('RPM &amp; Discounts'!$B$3='A0.Support'!$B$3,'RPM &amp; Discounts'!$B$3='A0.Support'!$B$4),BK27,BK18*BK27)</f>
        <v>636.3308571428571</v>
      </c>
      <c r="BL9" s="48">
        <f>IF(OR('RPM &amp; Discounts'!$B$3='A0.Support'!$B$3,'RPM &amp; Discounts'!$B$3='A0.Support'!$B$4),BL27,BL18*BL27)</f>
        <v>707.22514285714271</v>
      </c>
      <c r="BM9" s="48">
        <f>IF(OR('RPM &amp; Discounts'!$B$3='A0.Support'!$B$3,'RPM &amp; Discounts'!$B$3='A0.Support'!$B$4),BM27,BM18*BM27)</f>
        <v>701.82514285714285</v>
      </c>
      <c r="BN9" s="48">
        <f>IF(OR('RPM &amp; Discounts'!$B$3='A0.Support'!$B$3,'RPM &amp; Discounts'!$B$3='A0.Support'!$B$4),BN27,BN18*BN27)</f>
        <v>778.55657142857137</v>
      </c>
      <c r="BO9" s="48">
        <f>IF(OR('RPM &amp; Discounts'!$B$3='A0.Support'!$B$3,'RPM &amp; Discounts'!$B$3='A0.Support'!$B$4),BO27,BO18*BO27)</f>
        <v>615.29657142857138</v>
      </c>
      <c r="BP9" s="48">
        <f>IF(OR('RPM &amp; Discounts'!$B$3='A0.Support'!$B$3,'RPM &amp; Discounts'!$B$3='A0.Support'!$B$4),BP27,BP18*BP27)</f>
        <v>349.46228571428566</v>
      </c>
      <c r="BQ9" s="48">
        <f>IF(OR('RPM &amp; Discounts'!$B$3='A0.Support'!$B$3,'RPM &amp; Discounts'!$B$3='A0.Support'!$B$4),BQ27,BQ18*BQ27)</f>
        <v>291.37371428571424</v>
      </c>
      <c r="BR9" s="48">
        <f>IF(OR('RPM &amp; Discounts'!$B$3='A0.Support'!$B$3,'RPM &amp; Discounts'!$B$3='A0.Support'!$B$4),BR27,BR18*BR27)</f>
        <v>304.38514285714285</v>
      </c>
      <c r="BS9" s="48">
        <f>IF(OR('RPM &amp; Discounts'!$B$3='A0.Support'!$B$3,'RPM &amp; Discounts'!$B$3='A0.Support'!$B$4),BS27,BS18*BS27)</f>
        <v>240.22799999999998</v>
      </c>
      <c r="BT9" s="48">
        <f>IF(OR('RPM &amp; Discounts'!$B$3='A0.Support'!$B$3,'RPM &amp; Discounts'!$B$3='A0.Support'!$B$4),BT27,BT18*BT27)</f>
        <v>193.47942857142857</v>
      </c>
      <c r="BU9" s="48">
        <f>IF(OR('RPM &amp; Discounts'!$B$3='A0.Support'!$B$3,'RPM &amp; Discounts'!$B$3='A0.Support'!$B$4),BU27,BU18*BU27)</f>
        <v>144.51942857142856</v>
      </c>
      <c r="BV9" s="48">
        <f>IF(OR('RPM &amp; Discounts'!$B$3='A0.Support'!$B$3,'RPM &amp; Discounts'!$B$3='A0.Support'!$B$4),BV27,BV18*BV27)</f>
        <v>59.070857142857143</v>
      </c>
      <c r="BW9" s="48">
        <f>IF(OR('RPM &amp; Discounts'!$B$3='A0.Support'!$B$3,'RPM &amp; Discounts'!$B$3='A0.Support'!$B$4),BW27,BW18*BW27)</f>
        <v>544.7879999999999</v>
      </c>
      <c r="BX9" s="48">
        <f>IF(OR('RPM &amp; Discounts'!$B$3='A0.Support'!$B$3,'RPM &amp; Discounts'!$B$3='A0.Support'!$B$4),BX27,BX18*BX27)</f>
        <v>647.28514285714277</v>
      </c>
      <c r="BY9" s="48">
        <f>IF(OR('RPM &amp; Discounts'!$B$3='A0.Support'!$B$3,'RPM &amp; Discounts'!$B$3='A0.Support'!$B$4),BY27,BY18*BY27)</f>
        <v>711.23657142857132</v>
      </c>
      <c r="BZ9" s="48">
        <f>IF(OR('RPM &amp; Discounts'!$B$3='A0.Support'!$B$3,'RPM &amp; Discounts'!$B$3='A0.Support'!$B$4),BZ27,BZ18*BZ27)</f>
        <v>741.16800000000001</v>
      </c>
      <c r="CA9" s="48">
        <f>IF(OR('RPM &amp; Discounts'!$B$3='A0.Support'!$B$3,'RPM &amp; Discounts'!$B$3='A0.Support'!$B$4),CA27,CA18*CA27)</f>
        <v>713.44799999999998</v>
      </c>
      <c r="CB9" s="48">
        <f>IF(OR('RPM &amp; Discounts'!$B$3='A0.Support'!$B$3,'RPM &amp; Discounts'!$B$3='A0.Support'!$B$4),CB27,CB18*CB27)</f>
        <v>611.79942857142851</v>
      </c>
      <c r="CC9" s="48">
        <f>IF(OR('RPM &amp; Discounts'!$B$3='A0.Support'!$B$3,'RPM &amp; Discounts'!$B$3='A0.Support'!$B$4),CC27,CC18*CC27)</f>
        <v>299.29371428571426</v>
      </c>
      <c r="CD9" s="48">
        <f>IF(OR('RPM &amp; Discounts'!$B$3='A0.Support'!$B$3,'RPM &amp; Discounts'!$B$3='A0.Support'!$B$4),CD27,CD18*CD27)</f>
        <v>323.82514285714285</v>
      </c>
      <c r="CE9" s="48">
        <f>IF(OR('RPM &amp; Discounts'!$B$3='A0.Support'!$B$3,'RPM &amp; Discounts'!$B$3='A0.Support'!$B$4),CE27,CE18*CE27)</f>
        <v>352.88228571428567</v>
      </c>
      <c r="CF9" s="48">
        <f>IF(OR('RPM &amp; Discounts'!$B$3='A0.Support'!$B$3,'RPM &amp; Discounts'!$B$3='A0.Support'!$B$4),CF27,CF18*CF27)</f>
        <v>410.01942857142853</v>
      </c>
      <c r="CG9" s="48">
        <f>IF(OR('RPM &amp; Discounts'!$B$3='A0.Support'!$B$3,'RPM &amp; Discounts'!$B$3='A0.Support'!$B$4),CG27,CG18*CG27)</f>
        <v>415.52228571428572</v>
      </c>
      <c r="CH9" s="48">
        <f>IF(OR('RPM &amp; Discounts'!$B$3='A0.Support'!$B$3,'RPM &amp; Discounts'!$B$3='A0.Support'!$B$4),CH27,CH18*CH27)</f>
        <v>509.71371428571427</v>
      </c>
      <c r="CI9" s="48">
        <f>IF(OR('RPM &amp; Discounts'!$B$3='A0.Support'!$B$3,'RPM &amp; Discounts'!$B$3='A0.Support'!$B$4),CI27,CI18*CI27)</f>
        <v>702.26228571428555</v>
      </c>
      <c r="CJ9" s="48">
        <f>IF(OR('RPM &amp; Discounts'!$B$3='A0.Support'!$B$3,'RPM &amp; Discounts'!$B$3='A0.Support'!$B$4),CJ27,CJ18*CJ27)</f>
        <v>702.26485714285707</v>
      </c>
      <c r="CK9" s="48">
        <f>IF(OR('RPM &amp; Discounts'!$B$3='A0.Support'!$B$3,'RPM &amp; Discounts'!$B$3='A0.Support'!$B$4),CK27,CK18*CK27)</f>
        <v>705.6591428571428</v>
      </c>
      <c r="CL9" s="48">
        <f>IF(OR('RPM &amp; Discounts'!$B$3='A0.Support'!$B$3,'RPM &amp; Discounts'!$B$3='A0.Support'!$B$4),CL27,CL18*CL27)</f>
        <v>702.26485714285707</v>
      </c>
      <c r="CM9" s="48">
        <f>IF(OR('RPM &amp; Discounts'!$B$3='A0.Support'!$B$3,'RPM &amp; Discounts'!$B$3='A0.Support'!$B$4),CM27,CM18*CM27)</f>
        <v>720.49371428571419</v>
      </c>
    </row>
    <row r="12" spans="2:91">
      <c r="B12" s="2" t="s">
        <v>5</v>
      </c>
      <c r="C12" s="37" t="str">
        <f>C3</f>
        <v>Exit point</v>
      </c>
      <c r="D12" s="38"/>
      <c r="E12" s="38"/>
      <c r="F12" s="38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40"/>
    </row>
    <row r="13" spans="2:91">
      <c r="B13" s="42" t="str">
        <f>B4</f>
        <v>Entry point</v>
      </c>
      <c r="C13" s="41" t="str">
        <f>C$4</f>
        <v>CTS Campo Maior</v>
      </c>
      <c r="D13" s="41" t="str">
        <f t="shared" ref="D13:BO13" si="0">D$4</f>
        <v>CTS Valença do Minho</v>
      </c>
      <c r="E13" s="41" t="str">
        <f t="shared" si="0"/>
        <v>LNG Terminal Sines</v>
      </c>
      <c r="F13" s="41" t="str">
        <f t="shared" si="0"/>
        <v>Underground storage Carriço</v>
      </c>
      <c r="G13" s="41" t="str">
        <f t="shared" si="0"/>
        <v>GRMS 01059</v>
      </c>
      <c r="H13" s="41" t="str">
        <f t="shared" si="0"/>
        <v>GRMS 01109</v>
      </c>
      <c r="I13" s="41" t="str">
        <f t="shared" si="0"/>
        <v>GRMS 01119</v>
      </c>
      <c r="J13" s="41" t="str">
        <f t="shared" si="0"/>
        <v>GRMS 01129</v>
      </c>
      <c r="K13" s="41" t="str">
        <f t="shared" si="0"/>
        <v>GRMS 01139</v>
      </c>
      <c r="L13" s="41" t="str">
        <f t="shared" si="0"/>
        <v>GRMS 01149</v>
      </c>
      <c r="M13" s="41" t="str">
        <f t="shared" si="0"/>
        <v>GRMS 01159</v>
      </c>
      <c r="N13" s="41" t="str">
        <f t="shared" si="0"/>
        <v>GRMS 01179</v>
      </c>
      <c r="O13" s="41" t="str">
        <f t="shared" si="0"/>
        <v>GRMS 01189</v>
      </c>
      <c r="P13" s="41" t="str">
        <f t="shared" si="0"/>
        <v>GRMS 01209</v>
      </c>
      <c r="Q13" s="41" t="str">
        <f t="shared" si="0"/>
        <v>GRMS 01219</v>
      </c>
      <c r="R13" s="41" t="str">
        <f t="shared" si="0"/>
        <v>GRMS 01229</v>
      </c>
      <c r="S13" s="41" t="str">
        <f t="shared" si="0"/>
        <v>GRMS 01239</v>
      </c>
      <c r="T13" s="41" t="str">
        <f t="shared" si="0"/>
        <v>GRMS 01259</v>
      </c>
      <c r="U13" s="41" t="str">
        <f t="shared" si="0"/>
        <v>GRMS 01269</v>
      </c>
      <c r="V13" s="41" t="str">
        <f t="shared" si="0"/>
        <v>GRMS 01279</v>
      </c>
      <c r="W13" s="41" t="str">
        <f t="shared" si="0"/>
        <v>GRMS 01309</v>
      </c>
      <c r="X13" s="41" t="str">
        <f t="shared" si="0"/>
        <v>GRMS 01319</v>
      </c>
      <c r="Y13" s="41" t="str">
        <f t="shared" si="0"/>
        <v>GRMS 01359</v>
      </c>
      <c r="Z13" s="41" t="str">
        <f t="shared" si="0"/>
        <v>GRMS 01369</v>
      </c>
      <c r="AA13" s="41" t="str">
        <f t="shared" si="0"/>
        <v>GRMS 01409</v>
      </c>
      <c r="AB13" s="41" t="str">
        <f t="shared" si="0"/>
        <v>GRMS 02069</v>
      </c>
      <c r="AC13" s="41" t="str">
        <f t="shared" si="0"/>
        <v>GRMS 02089</v>
      </c>
      <c r="AD13" s="41" t="str">
        <f t="shared" si="0"/>
        <v>GRMS 02159</v>
      </c>
      <c r="AE13" s="41" t="str">
        <f t="shared" si="0"/>
        <v>GRMS 02509</v>
      </c>
      <c r="AF13" s="41" t="str">
        <f t="shared" si="0"/>
        <v>GRMS 02519</v>
      </c>
      <c r="AG13" s="41" t="str">
        <f t="shared" si="0"/>
        <v>GRMS 02539</v>
      </c>
      <c r="AH13" s="41" t="str">
        <f t="shared" si="0"/>
        <v>GRMS 02549</v>
      </c>
      <c r="AI13" s="41" t="str">
        <f t="shared" si="0"/>
        <v>GRMS 02559</v>
      </c>
      <c r="AJ13" s="41" t="str">
        <f t="shared" si="0"/>
        <v>GRMS 02569</v>
      </c>
      <c r="AK13" s="41" t="str">
        <f t="shared" si="0"/>
        <v>GRMS 02709</v>
      </c>
      <c r="AL13" s="41" t="str">
        <f t="shared" si="0"/>
        <v>GRMS 02719</v>
      </c>
      <c r="AM13" s="41" t="str">
        <f t="shared" si="0"/>
        <v>GRMS 02739</v>
      </c>
      <c r="AN13" s="41" t="str">
        <f t="shared" si="0"/>
        <v>GRMS 03009</v>
      </c>
      <c r="AO13" s="41" t="str">
        <f t="shared" si="0"/>
        <v>GRMS 03059</v>
      </c>
      <c r="AP13" s="41" t="str">
        <f t="shared" si="0"/>
        <v>GRMS 03069</v>
      </c>
      <c r="AQ13" s="41" t="str">
        <f t="shared" si="0"/>
        <v>GRMS 03109</v>
      </c>
      <c r="AR13" s="41" t="str">
        <f t="shared" si="0"/>
        <v>GRMS 03169</v>
      </c>
      <c r="AS13" s="41" t="str">
        <f t="shared" si="0"/>
        <v>GRMS 03219</v>
      </c>
      <c r="AT13" s="41" t="str">
        <f t="shared" si="0"/>
        <v>GRMS 03229</v>
      </c>
      <c r="AU13" s="41" t="str">
        <f t="shared" si="0"/>
        <v>GRMS 03259</v>
      </c>
      <c r="AV13" s="41" t="str">
        <f t="shared" si="0"/>
        <v>GRMS 03269</v>
      </c>
      <c r="AW13" s="41" t="str">
        <f t="shared" si="0"/>
        <v>GRMS 03309</v>
      </c>
      <c r="AX13" s="41" t="str">
        <f t="shared" si="0"/>
        <v>GRMS 03359</v>
      </c>
      <c r="AY13" s="41" t="str">
        <f t="shared" si="0"/>
        <v>GRMS 03369</v>
      </c>
      <c r="AZ13" s="41" t="str">
        <f t="shared" si="0"/>
        <v>GRMS 03459</v>
      </c>
      <c r="BA13" s="41" t="str">
        <f t="shared" si="0"/>
        <v>GRMS 03559</v>
      </c>
      <c r="BB13" s="41" t="str">
        <f t="shared" si="0"/>
        <v>GRMS 03609</v>
      </c>
      <c r="BC13" s="41" t="str">
        <f t="shared" si="0"/>
        <v>GRMS 03619</v>
      </c>
      <c r="BD13" s="41" t="str">
        <f t="shared" si="0"/>
        <v>GRMS 03659</v>
      </c>
      <c r="BE13" s="41" t="str">
        <f t="shared" si="0"/>
        <v>GRMS 04059</v>
      </c>
      <c r="BF13" s="41" t="str">
        <f t="shared" si="0"/>
        <v>GRMS 04109</v>
      </c>
      <c r="BG13" s="41" t="str">
        <f t="shared" si="0"/>
        <v>GRMS 04149</v>
      </c>
      <c r="BH13" s="41" t="str">
        <f t="shared" si="0"/>
        <v>GRMS 04159</v>
      </c>
      <c r="BI13" s="41" t="str">
        <f t="shared" si="0"/>
        <v>GRMS 04209</v>
      </c>
      <c r="BJ13" s="41" t="str">
        <f t="shared" si="0"/>
        <v>GRMS 05009</v>
      </c>
      <c r="BK13" s="41" t="str">
        <f t="shared" si="0"/>
        <v>GRMS 05119</v>
      </c>
      <c r="BL13" s="41" t="str">
        <f t="shared" si="0"/>
        <v>GRMS 05179</v>
      </c>
      <c r="BM13" s="41" t="str">
        <f t="shared" si="0"/>
        <v>GRMS 05309</v>
      </c>
      <c r="BN13" s="41" t="str">
        <f t="shared" si="0"/>
        <v>GRMS 05609</v>
      </c>
      <c r="BO13" s="41" t="str">
        <f t="shared" si="0"/>
        <v>GRMS 07009</v>
      </c>
      <c r="BP13" s="41" t="str">
        <f t="shared" ref="BP13:CM13" si="1">BP$4</f>
        <v>GRMS 08009</v>
      </c>
      <c r="BQ13" s="41" t="str">
        <f t="shared" si="1"/>
        <v>GRMS 08109</v>
      </c>
      <c r="BR13" s="41" t="str">
        <f t="shared" si="1"/>
        <v>GRMS 08119</v>
      </c>
      <c r="BS13" s="41" t="str">
        <f t="shared" si="1"/>
        <v>GRMS 08209</v>
      </c>
      <c r="BT13" s="41" t="str">
        <f t="shared" si="1"/>
        <v>GRMS 08309</v>
      </c>
      <c r="BU13" s="41" t="str">
        <f t="shared" si="1"/>
        <v>GRMS 08409</v>
      </c>
      <c r="BV13" s="41" t="str">
        <f t="shared" si="1"/>
        <v>GRMS 08559</v>
      </c>
      <c r="BW13" s="41" t="str">
        <f t="shared" si="1"/>
        <v>GRMS 10079</v>
      </c>
      <c r="BX13" s="41" t="str">
        <f t="shared" si="1"/>
        <v>GRMS 10159</v>
      </c>
      <c r="BY13" s="41" t="str">
        <f t="shared" si="1"/>
        <v>GRMS 10209</v>
      </c>
      <c r="BZ13" s="41" t="str">
        <f t="shared" si="1"/>
        <v>GRMS 10309</v>
      </c>
      <c r="CA13" s="41" t="str">
        <f t="shared" si="1"/>
        <v>GRMS 10359</v>
      </c>
      <c r="CB13" s="41" t="str">
        <f t="shared" si="1"/>
        <v>GRMS 10459</v>
      </c>
      <c r="CC13" s="41" t="str">
        <f t="shared" si="1"/>
        <v>GRMS 11109</v>
      </c>
      <c r="CD13" s="41" t="str">
        <f t="shared" si="1"/>
        <v>GRMS 11159</v>
      </c>
      <c r="CE13" s="41" t="str">
        <f t="shared" si="1"/>
        <v>GRMS 11209</v>
      </c>
      <c r="CF13" s="41" t="str">
        <f t="shared" si="1"/>
        <v>GRMS 11279</v>
      </c>
      <c r="CG13" s="41" t="str">
        <f t="shared" si="1"/>
        <v>GRMS 11309</v>
      </c>
      <c r="CH13" s="41" t="str">
        <f t="shared" si="1"/>
        <v>GRMS 12209</v>
      </c>
      <c r="CI13" s="41" t="str">
        <f t="shared" si="1"/>
        <v>GRMS 12609</v>
      </c>
      <c r="CJ13" s="41" t="str">
        <f t="shared" si="1"/>
        <v>GRMS 12619</v>
      </c>
      <c r="CK13" s="41" t="str">
        <f t="shared" si="1"/>
        <v>GRMS 12619B</v>
      </c>
      <c r="CL13" s="41" t="str">
        <f t="shared" si="1"/>
        <v>GRMS 12629</v>
      </c>
      <c r="CM13" s="41" t="str">
        <f t="shared" si="1"/>
        <v>GRMS 12809</v>
      </c>
    </row>
    <row r="14" spans="2:91">
      <c r="B14" s="13" t="str">
        <f>B5</f>
        <v>CTS Campo Maior</v>
      </c>
      <c r="C14" s="46">
        <f>'Input data'!$E$198</f>
        <v>1</v>
      </c>
      <c r="D14" s="46">
        <f>'Input data'!$E$198</f>
        <v>1</v>
      </c>
      <c r="E14" s="46">
        <f>'Input data'!$E$198</f>
        <v>1</v>
      </c>
      <c r="F14" s="46">
        <f>'Input data'!$E$198</f>
        <v>1</v>
      </c>
      <c r="G14" s="47">
        <f>'Input data'!$E$197</f>
        <v>2.5714285714285712</v>
      </c>
      <c r="H14" s="47">
        <f>'Input data'!$E$197</f>
        <v>2.5714285714285712</v>
      </c>
      <c r="I14" s="47">
        <f>'Input data'!$E$197</f>
        <v>2.5714285714285712</v>
      </c>
      <c r="J14" s="47">
        <f>'Input data'!$E$197</f>
        <v>2.5714285714285712</v>
      </c>
      <c r="K14" s="47">
        <f>'Input data'!$E$197</f>
        <v>2.5714285714285712</v>
      </c>
      <c r="L14" s="47">
        <f>'Input data'!$E$197</f>
        <v>2.5714285714285712</v>
      </c>
      <c r="M14" s="47">
        <f>'Input data'!$E$197</f>
        <v>2.5714285714285712</v>
      </c>
      <c r="N14" s="47">
        <f>'Input data'!$E$197</f>
        <v>2.5714285714285712</v>
      </c>
      <c r="O14" s="47">
        <f>'Input data'!$E$197</f>
        <v>2.5714285714285712</v>
      </c>
      <c r="P14" s="47">
        <f>'Input data'!$E$197</f>
        <v>2.5714285714285712</v>
      </c>
      <c r="Q14" s="47">
        <f>'Input data'!$E$197</f>
        <v>2.5714285714285712</v>
      </c>
      <c r="R14" s="47">
        <f>'Input data'!$E$197</f>
        <v>2.5714285714285712</v>
      </c>
      <c r="S14" s="47">
        <f>'Input data'!$E$197</f>
        <v>2.5714285714285712</v>
      </c>
      <c r="T14" s="47">
        <f>'Input data'!$E$197</f>
        <v>2.5714285714285712</v>
      </c>
      <c r="U14" s="47">
        <f>'Input data'!$E$197</f>
        <v>2.5714285714285712</v>
      </c>
      <c r="V14" s="47">
        <f>'Input data'!$E$197</f>
        <v>2.5714285714285712</v>
      </c>
      <c r="W14" s="47">
        <f>'Input data'!$E$197</f>
        <v>2.5714285714285712</v>
      </c>
      <c r="X14" s="47">
        <f>'Input data'!$E$197</f>
        <v>2.5714285714285712</v>
      </c>
      <c r="Y14" s="47">
        <f>'Input data'!$E$197</f>
        <v>2.5714285714285712</v>
      </c>
      <c r="Z14" s="47">
        <f>'Input data'!$E$197</f>
        <v>2.5714285714285712</v>
      </c>
      <c r="AA14" s="47">
        <f>'Input data'!$E$197</f>
        <v>2.5714285714285712</v>
      </c>
      <c r="AB14" s="47">
        <f>'Input data'!$E$197</f>
        <v>2.5714285714285712</v>
      </c>
      <c r="AC14" s="47">
        <f>'Input data'!$E$197</f>
        <v>2.5714285714285712</v>
      </c>
      <c r="AD14" s="47">
        <f>'Input data'!$E$197</f>
        <v>2.5714285714285712</v>
      </c>
      <c r="AE14" s="47">
        <f>'Input data'!$E$197</f>
        <v>2.5714285714285712</v>
      </c>
      <c r="AF14" s="47">
        <f>'Input data'!$E$197</f>
        <v>2.5714285714285712</v>
      </c>
      <c r="AG14" s="47">
        <f>'Input data'!$E$197</f>
        <v>2.5714285714285712</v>
      </c>
      <c r="AH14" s="47">
        <f>'Input data'!$E$197</f>
        <v>2.5714285714285712</v>
      </c>
      <c r="AI14" s="47">
        <f>'Input data'!$E$197</f>
        <v>2.5714285714285712</v>
      </c>
      <c r="AJ14" s="47">
        <f>'Input data'!$E$197</f>
        <v>2.5714285714285712</v>
      </c>
      <c r="AK14" s="47">
        <f>'Input data'!$E$197</f>
        <v>2.5714285714285712</v>
      </c>
      <c r="AL14" s="47">
        <f>'Input data'!$E$197</f>
        <v>2.5714285714285712</v>
      </c>
      <c r="AM14" s="47">
        <f>'Input data'!$E$197</f>
        <v>2.5714285714285712</v>
      </c>
      <c r="AN14" s="47">
        <f>'Input data'!$E$197</f>
        <v>2.5714285714285712</v>
      </c>
      <c r="AO14" s="47">
        <f>'Input data'!$E$197</f>
        <v>2.5714285714285712</v>
      </c>
      <c r="AP14" s="47">
        <f>'Input data'!$E$197</f>
        <v>2.5714285714285712</v>
      </c>
      <c r="AQ14" s="47">
        <f>'Input data'!$E$197</f>
        <v>2.5714285714285712</v>
      </c>
      <c r="AR14" s="47">
        <f>'Input data'!$E$197</f>
        <v>2.5714285714285712</v>
      </c>
      <c r="AS14" s="47">
        <f>'Input data'!$E$197</f>
        <v>2.5714285714285712</v>
      </c>
      <c r="AT14" s="47">
        <f>'Input data'!$E$197</f>
        <v>2.5714285714285712</v>
      </c>
      <c r="AU14" s="47">
        <f>'Input data'!$E$197</f>
        <v>2.5714285714285712</v>
      </c>
      <c r="AV14" s="47">
        <f>'Input data'!$E$197</f>
        <v>2.5714285714285712</v>
      </c>
      <c r="AW14" s="47">
        <f>'Input data'!$E$197</f>
        <v>2.5714285714285712</v>
      </c>
      <c r="AX14" s="47">
        <f>'Input data'!$E$197</f>
        <v>2.5714285714285712</v>
      </c>
      <c r="AY14" s="47">
        <f>'Input data'!$E$197</f>
        <v>2.5714285714285712</v>
      </c>
      <c r="AZ14" s="47">
        <f>'Input data'!$E$197</f>
        <v>2.5714285714285712</v>
      </c>
      <c r="BA14" s="47">
        <f>'Input data'!$E$197</f>
        <v>2.5714285714285712</v>
      </c>
      <c r="BB14" s="47">
        <f>'Input data'!$E$197</f>
        <v>2.5714285714285712</v>
      </c>
      <c r="BC14" s="47">
        <f>'Input data'!$E$197</f>
        <v>2.5714285714285712</v>
      </c>
      <c r="BD14" s="47">
        <f>'Input data'!$E$197</f>
        <v>2.5714285714285712</v>
      </c>
      <c r="BE14" s="47">
        <f>'Input data'!$E$197</f>
        <v>2.5714285714285712</v>
      </c>
      <c r="BF14" s="47">
        <f>'Input data'!$E$197</f>
        <v>2.5714285714285712</v>
      </c>
      <c r="BG14" s="47">
        <f>'Input data'!$E$197</f>
        <v>2.5714285714285712</v>
      </c>
      <c r="BH14" s="47">
        <f>'Input data'!$E$197</f>
        <v>2.5714285714285712</v>
      </c>
      <c r="BI14" s="47">
        <f>'Input data'!$E$197</f>
        <v>2.5714285714285712</v>
      </c>
      <c r="BJ14" s="47">
        <f>'Input data'!$E$197</f>
        <v>2.5714285714285712</v>
      </c>
      <c r="BK14" s="47">
        <f>'Input data'!$E$197</f>
        <v>2.5714285714285712</v>
      </c>
      <c r="BL14" s="47">
        <f>'Input data'!$E$197</f>
        <v>2.5714285714285712</v>
      </c>
      <c r="BM14" s="47">
        <f>'Input data'!$E$197</f>
        <v>2.5714285714285712</v>
      </c>
      <c r="BN14" s="47">
        <f>'Input data'!$E$197</f>
        <v>2.5714285714285712</v>
      </c>
      <c r="BO14" s="47">
        <f>'Input data'!$E$197</f>
        <v>2.5714285714285712</v>
      </c>
      <c r="BP14" s="47">
        <f>'Input data'!$E$197</f>
        <v>2.5714285714285712</v>
      </c>
      <c r="BQ14" s="47">
        <f>'Input data'!$E$197</f>
        <v>2.5714285714285712</v>
      </c>
      <c r="BR14" s="47">
        <f>'Input data'!$E$197</f>
        <v>2.5714285714285712</v>
      </c>
      <c r="BS14" s="47">
        <f>'Input data'!$E$197</f>
        <v>2.5714285714285712</v>
      </c>
      <c r="BT14" s="47">
        <f>'Input data'!$E$197</f>
        <v>2.5714285714285712</v>
      </c>
      <c r="BU14" s="47">
        <f>'Input data'!$E$197</f>
        <v>2.5714285714285712</v>
      </c>
      <c r="BV14" s="47">
        <f>'Input data'!$E$197</f>
        <v>2.5714285714285712</v>
      </c>
      <c r="BW14" s="47">
        <f>'Input data'!$E$197</f>
        <v>2.5714285714285712</v>
      </c>
      <c r="BX14" s="47">
        <f>'Input data'!$E$197</f>
        <v>2.5714285714285712</v>
      </c>
      <c r="BY14" s="47">
        <f>'Input data'!$E$197</f>
        <v>2.5714285714285712</v>
      </c>
      <c r="BZ14" s="47">
        <f>'Input data'!$E$197</f>
        <v>2.5714285714285712</v>
      </c>
      <c r="CA14" s="47">
        <f>'Input data'!$E$197</f>
        <v>2.5714285714285712</v>
      </c>
      <c r="CB14" s="47">
        <f>'Input data'!$E$197</f>
        <v>2.5714285714285712</v>
      </c>
      <c r="CC14" s="47">
        <f>'Input data'!$E$197</f>
        <v>2.5714285714285712</v>
      </c>
      <c r="CD14" s="47">
        <f>'Input data'!$E$197</f>
        <v>2.5714285714285712</v>
      </c>
      <c r="CE14" s="47">
        <f>'Input data'!$E$197</f>
        <v>2.5714285714285712</v>
      </c>
      <c r="CF14" s="47">
        <f>'Input data'!$E$197</f>
        <v>2.5714285714285712</v>
      </c>
      <c r="CG14" s="47">
        <f>'Input data'!$E$197</f>
        <v>2.5714285714285712</v>
      </c>
      <c r="CH14" s="47">
        <f>'Input data'!$E$197</f>
        <v>2.5714285714285712</v>
      </c>
      <c r="CI14" s="47">
        <f>'Input data'!$E$197</f>
        <v>2.5714285714285712</v>
      </c>
      <c r="CJ14" s="47">
        <f>'Input data'!$E$197</f>
        <v>2.5714285714285712</v>
      </c>
      <c r="CK14" s="47">
        <f>'Input data'!$E$197</f>
        <v>2.5714285714285712</v>
      </c>
      <c r="CL14" s="47">
        <f>'Input data'!$E$197</f>
        <v>2.5714285714285712</v>
      </c>
      <c r="CM14" s="47">
        <f>'Input data'!$E$197</f>
        <v>2.5714285714285712</v>
      </c>
    </row>
    <row r="15" spans="2:91">
      <c r="B15" s="13" t="str">
        <f t="shared" ref="B15:B18" si="2">B6</f>
        <v>CTS Valença do Minho</v>
      </c>
      <c r="C15" s="46">
        <f>'Input data'!$E$198</f>
        <v>1</v>
      </c>
      <c r="D15" s="46">
        <f>'Input data'!$E$198</f>
        <v>1</v>
      </c>
      <c r="E15" s="46">
        <f>'Input data'!$E$198</f>
        <v>1</v>
      </c>
      <c r="F15" s="46">
        <f>'Input data'!$E$198</f>
        <v>1</v>
      </c>
      <c r="G15" s="47">
        <f>'Input data'!$E$197</f>
        <v>2.5714285714285712</v>
      </c>
      <c r="H15" s="47">
        <f>'Input data'!$E$197</f>
        <v>2.5714285714285712</v>
      </c>
      <c r="I15" s="47">
        <f>'Input data'!$E$197</f>
        <v>2.5714285714285712</v>
      </c>
      <c r="J15" s="47">
        <f>'Input data'!$E$197</f>
        <v>2.5714285714285712</v>
      </c>
      <c r="K15" s="47">
        <f>'Input data'!$E$197</f>
        <v>2.5714285714285712</v>
      </c>
      <c r="L15" s="47">
        <f>'Input data'!$E$197</f>
        <v>2.5714285714285712</v>
      </c>
      <c r="M15" s="47">
        <f>'Input data'!$E$197</f>
        <v>2.5714285714285712</v>
      </c>
      <c r="N15" s="47">
        <f>'Input data'!$E$197</f>
        <v>2.5714285714285712</v>
      </c>
      <c r="O15" s="47">
        <f>'Input data'!$E$197</f>
        <v>2.5714285714285712</v>
      </c>
      <c r="P15" s="47">
        <f>'Input data'!$E$197</f>
        <v>2.5714285714285712</v>
      </c>
      <c r="Q15" s="47">
        <f>'Input data'!$E$197</f>
        <v>2.5714285714285712</v>
      </c>
      <c r="R15" s="47">
        <f>'Input data'!$E$197</f>
        <v>2.5714285714285712</v>
      </c>
      <c r="S15" s="47">
        <f>'Input data'!$E$197</f>
        <v>2.5714285714285712</v>
      </c>
      <c r="T15" s="47">
        <f>'Input data'!$E$197</f>
        <v>2.5714285714285712</v>
      </c>
      <c r="U15" s="47">
        <f>'Input data'!$E$197</f>
        <v>2.5714285714285712</v>
      </c>
      <c r="V15" s="47">
        <f>'Input data'!$E$197</f>
        <v>2.5714285714285712</v>
      </c>
      <c r="W15" s="47">
        <f>'Input data'!$E$197</f>
        <v>2.5714285714285712</v>
      </c>
      <c r="X15" s="47">
        <f>'Input data'!$E$197</f>
        <v>2.5714285714285712</v>
      </c>
      <c r="Y15" s="47">
        <f>'Input data'!$E$197</f>
        <v>2.5714285714285712</v>
      </c>
      <c r="Z15" s="47">
        <f>'Input data'!$E$197</f>
        <v>2.5714285714285712</v>
      </c>
      <c r="AA15" s="47">
        <f>'Input data'!$E$197</f>
        <v>2.5714285714285712</v>
      </c>
      <c r="AB15" s="47">
        <f>'Input data'!$E$197</f>
        <v>2.5714285714285712</v>
      </c>
      <c r="AC15" s="47">
        <f>'Input data'!$E$197</f>
        <v>2.5714285714285712</v>
      </c>
      <c r="AD15" s="47">
        <f>'Input data'!$E$197</f>
        <v>2.5714285714285712</v>
      </c>
      <c r="AE15" s="47">
        <f>'Input data'!$E$197</f>
        <v>2.5714285714285712</v>
      </c>
      <c r="AF15" s="47">
        <f>'Input data'!$E$197</f>
        <v>2.5714285714285712</v>
      </c>
      <c r="AG15" s="47">
        <f>'Input data'!$E$197</f>
        <v>2.5714285714285712</v>
      </c>
      <c r="AH15" s="47">
        <f>'Input data'!$E$197</f>
        <v>2.5714285714285712</v>
      </c>
      <c r="AI15" s="47">
        <f>'Input data'!$E$197</f>
        <v>2.5714285714285712</v>
      </c>
      <c r="AJ15" s="47">
        <f>'Input data'!$E$197</f>
        <v>2.5714285714285712</v>
      </c>
      <c r="AK15" s="47">
        <f>'Input data'!$E$197</f>
        <v>2.5714285714285712</v>
      </c>
      <c r="AL15" s="47">
        <f>'Input data'!$E$197</f>
        <v>2.5714285714285712</v>
      </c>
      <c r="AM15" s="47">
        <f>'Input data'!$E$197</f>
        <v>2.5714285714285712</v>
      </c>
      <c r="AN15" s="47">
        <f>'Input data'!$E$197</f>
        <v>2.5714285714285712</v>
      </c>
      <c r="AO15" s="47">
        <f>'Input data'!$E$197</f>
        <v>2.5714285714285712</v>
      </c>
      <c r="AP15" s="47">
        <f>'Input data'!$E$197</f>
        <v>2.5714285714285712</v>
      </c>
      <c r="AQ15" s="47">
        <f>'Input data'!$E$197</f>
        <v>2.5714285714285712</v>
      </c>
      <c r="AR15" s="47">
        <f>'Input data'!$E$197</f>
        <v>2.5714285714285712</v>
      </c>
      <c r="AS15" s="47">
        <f>'Input data'!$E$197</f>
        <v>2.5714285714285712</v>
      </c>
      <c r="AT15" s="47">
        <f>'Input data'!$E$197</f>
        <v>2.5714285714285712</v>
      </c>
      <c r="AU15" s="47">
        <f>'Input data'!$E$197</f>
        <v>2.5714285714285712</v>
      </c>
      <c r="AV15" s="47">
        <f>'Input data'!$E$197</f>
        <v>2.5714285714285712</v>
      </c>
      <c r="AW15" s="47">
        <f>'Input data'!$E$197</f>
        <v>2.5714285714285712</v>
      </c>
      <c r="AX15" s="47">
        <f>'Input data'!$E$197</f>
        <v>2.5714285714285712</v>
      </c>
      <c r="AY15" s="47">
        <f>'Input data'!$E$197</f>
        <v>2.5714285714285712</v>
      </c>
      <c r="AZ15" s="47">
        <f>'Input data'!$E$197</f>
        <v>2.5714285714285712</v>
      </c>
      <c r="BA15" s="47">
        <f>'Input data'!$E$197</f>
        <v>2.5714285714285712</v>
      </c>
      <c r="BB15" s="47">
        <f>'Input data'!$E$197</f>
        <v>2.5714285714285712</v>
      </c>
      <c r="BC15" s="47">
        <f>'Input data'!$E$197</f>
        <v>2.5714285714285712</v>
      </c>
      <c r="BD15" s="47">
        <f>'Input data'!$E$197</f>
        <v>2.5714285714285712</v>
      </c>
      <c r="BE15" s="47">
        <f>'Input data'!$E$197</f>
        <v>2.5714285714285712</v>
      </c>
      <c r="BF15" s="47">
        <f>'Input data'!$E$197</f>
        <v>2.5714285714285712</v>
      </c>
      <c r="BG15" s="47">
        <f>'Input data'!$E$197</f>
        <v>2.5714285714285712</v>
      </c>
      <c r="BH15" s="47">
        <f>'Input data'!$E$197</f>
        <v>2.5714285714285712</v>
      </c>
      <c r="BI15" s="47">
        <f>'Input data'!$E$197</f>
        <v>2.5714285714285712</v>
      </c>
      <c r="BJ15" s="47">
        <f>'Input data'!$E$197</f>
        <v>2.5714285714285712</v>
      </c>
      <c r="BK15" s="47">
        <f>'Input data'!$E$197</f>
        <v>2.5714285714285712</v>
      </c>
      <c r="BL15" s="47">
        <f>'Input data'!$E$197</f>
        <v>2.5714285714285712</v>
      </c>
      <c r="BM15" s="47">
        <f>'Input data'!$E$197</f>
        <v>2.5714285714285712</v>
      </c>
      <c r="BN15" s="47">
        <f>'Input data'!$E$197</f>
        <v>2.5714285714285712</v>
      </c>
      <c r="BO15" s="47">
        <f>'Input data'!$E$197</f>
        <v>2.5714285714285712</v>
      </c>
      <c r="BP15" s="47">
        <f>'Input data'!$E$197</f>
        <v>2.5714285714285712</v>
      </c>
      <c r="BQ15" s="47">
        <f>'Input data'!$E$197</f>
        <v>2.5714285714285712</v>
      </c>
      <c r="BR15" s="47">
        <f>'Input data'!$E$197</f>
        <v>2.5714285714285712</v>
      </c>
      <c r="BS15" s="47">
        <f>'Input data'!$E$197</f>
        <v>2.5714285714285712</v>
      </c>
      <c r="BT15" s="47">
        <f>'Input data'!$E$197</f>
        <v>2.5714285714285712</v>
      </c>
      <c r="BU15" s="47">
        <f>'Input data'!$E$197</f>
        <v>2.5714285714285712</v>
      </c>
      <c r="BV15" s="47">
        <f>'Input data'!$E$197</f>
        <v>2.5714285714285712</v>
      </c>
      <c r="BW15" s="47">
        <f>'Input data'!$E$197</f>
        <v>2.5714285714285712</v>
      </c>
      <c r="BX15" s="47">
        <f>'Input data'!$E$197</f>
        <v>2.5714285714285712</v>
      </c>
      <c r="BY15" s="47">
        <f>'Input data'!$E$197</f>
        <v>2.5714285714285712</v>
      </c>
      <c r="BZ15" s="47">
        <f>'Input data'!$E$197</f>
        <v>2.5714285714285712</v>
      </c>
      <c r="CA15" s="47">
        <f>'Input data'!$E$197</f>
        <v>2.5714285714285712</v>
      </c>
      <c r="CB15" s="47">
        <f>'Input data'!$E$197</f>
        <v>2.5714285714285712</v>
      </c>
      <c r="CC15" s="47">
        <f>'Input data'!$E$197</f>
        <v>2.5714285714285712</v>
      </c>
      <c r="CD15" s="47">
        <f>'Input data'!$E$197</f>
        <v>2.5714285714285712</v>
      </c>
      <c r="CE15" s="47">
        <f>'Input data'!$E$197</f>
        <v>2.5714285714285712</v>
      </c>
      <c r="CF15" s="47">
        <f>'Input data'!$E$197</f>
        <v>2.5714285714285712</v>
      </c>
      <c r="CG15" s="47">
        <f>'Input data'!$E$197</f>
        <v>2.5714285714285712</v>
      </c>
      <c r="CH15" s="47">
        <f>'Input data'!$E$197</f>
        <v>2.5714285714285712</v>
      </c>
      <c r="CI15" s="47">
        <f>'Input data'!$E$197</f>
        <v>2.5714285714285712</v>
      </c>
      <c r="CJ15" s="47">
        <f>'Input data'!$E$197</f>
        <v>2.5714285714285712</v>
      </c>
      <c r="CK15" s="47">
        <f>'Input data'!$E$197</f>
        <v>2.5714285714285712</v>
      </c>
      <c r="CL15" s="47">
        <f>'Input data'!$E$197</f>
        <v>2.5714285714285712</v>
      </c>
      <c r="CM15" s="47">
        <f>'Input data'!$E$197</f>
        <v>2.5714285714285712</v>
      </c>
    </row>
    <row r="16" spans="2:91">
      <c r="B16" s="13" t="str">
        <f t="shared" si="2"/>
        <v>LNG Terminal Sines</v>
      </c>
      <c r="C16" s="46">
        <f>'Input data'!$E$198</f>
        <v>1</v>
      </c>
      <c r="D16" s="46">
        <f>'Input data'!$E$198</f>
        <v>1</v>
      </c>
      <c r="E16" s="46">
        <f>'Input data'!$E$198</f>
        <v>1</v>
      </c>
      <c r="F16" s="46">
        <f>'Input data'!$E$198</f>
        <v>1</v>
      </c>
      <c r="G16" s="47">
        <f>'Input data'!$E$197</f>
        <v>2.5714285714285712</v>
      </c>
      <c r="H16" s="47">
        <f>'Input data'!$E$197</f>
        <v>2.5714285714285712</v>
      </c>
      <c r="I16" s="47">
        <f>'Input data'!$E$197</f>
        <v>2.5714285714285712</v>
      </c>
      <c r="J16" s="47">
        <f>'Input data'!$E$197</f>
        <v>2.5714285714285712</v>
      </c>
      <c r="K16" s="47">
        <f>'Input data'!$E$197</f>
        <v>2.5714285714285712</v>
      </c>
      <c r="L16" s="47">
        <f>'Input data'!$E$197</f>
        <v>2.5714285714285712</v>
      </c>
      <c r="M16" s="47">
        <f>'Input data'!$E$197</f>
        <v>2.5714285714285712</v>
      </c>
      <c r="N16" s="47">
        <f>'Input data'!$E$197</f>
        <v>2.5714285714285712</v>
      </c>
      <c r="O16" s="47">
        <f>'Input data'!$E$197</f>
        <v>2.5714285714285712</v>
      </c>
      <c r="P16" s="47">
        <f>'Input data'!$E$197</f>
        <v>2.5714285714285712</v>
      </c>
      <c r="Q16" s="47">
        <f>'Input data'!$E$197</f>
        <v>2.5714285714285712</v>
      </c>
      <c r="R16" s="47">
        <f>'Input data'!$E$197</f>
        <v>2.5714285714285712</v>
      </c>
      <c r="S16" s="47">
        <f>'Input data'!$E$197</f>
        <v>2.5714285714285712</v>
      </c>
      <c r="T16" s="47">
        <f>'Input data'!$E$197</f>
        <v>2.5714285714285712</v>
      </c>
      <c r="U16" s="47">
        <f>'Input data'!$E$197</f>
        <v>2.5714285714285712</v>
      </c>
      <c r="V16" s="47">
        <f>'Input data'!$E$197</f>
        <v>2.5714285714285712</v>
      </c>
      <c r="W16" s="47">
        <f>'Input data'!$E$197</f>
        <v>2.5714285714285712</v>
      </c>
      <c r="X16" s="47">
        <f>'Input data'!$E$197</f>
        <v>2.5714285714285712</v>
      </c>
      <c r="Y16" s="47">
        <f>'Input data'!$E$197</f>
        <v>2.5714285714285712</v>
      </c>
      <c r="Z16" s="47">
        <f>'Input data'!$E$197</f>
        <v>2.5714285714285712</v>
      </c>
      <c r="AA16" s="47">
        <f>'Input data'!$E$197</f>
        <v>2.5714285714285712</v>
      </c>
      <c r="AB16" s="47">
        <f>'Input data'!$E$197</f>
        <v>2.5714285714285712</v>
      </c>
      <c r="AC16" s="47">
        <f>'Input data'!$E$197</f>
        <v>2.5714285714285712</v>
      </c>
      <c r="AD16" s="47">
        <f>'Input data'!$E$197</f>
        <v>2.5714285714285712</v>
      </c>
      <c r="AE16" s="47">
        <f>'Input data'!$E$197</f>
        <v>2.5714285714285712</v>
      </c>
      <c r="AF16" s="47">
        <f>'Input data'!$E$197</f>
        <v>2.5714285714285712</v>
      </c>
      <c r="AG16" s="47">
        <f>'Input data'!$E$197</f>
        <v>2.5714285714285712</v>
      </c>
      <c r="AH16" s="47">
        <f>'Input data'!$E$197</f>
        <v>2.5714285714285712</v>
      </c>
      <c r="AI16" s="47">
        <f>'Input data'!$E$197</f>
        <v>2.5714285714285712</v>
      </c>
      <c r="AJ16" s="47">
        <f>'Input data'!$E$197</f>
        <v>2.5714285714285712</v>
      </c>
      <c r="AK16" s="47">
        <f>'Input data'!$E$197</f>
        <v>2.5714285714285712</v>
      </c>
      <c r="AL16" s="47">
        <f>'Input data'!$E$197</f>
        <v>2.5714285714285712</v>
      </c>
      <c r="AM16" s="47">
        <f>'Input data'!$E$197</f>
        <v>2.5714285714285712</v>
      </c>
      <c r="AN16" s="47">
        <f>'Input data'!$E$197</f>
        <v>2.5714285714285712</v>
      </c>
      <c r="AO16" s="47">
        <f>'Input data'!$E$197</f>
        <v>2.5714285714285712</v>
      </c>
      <c r="AP16" s="47">
        <f>'Input data'!$E$197</f>
        <v>2.5714285714285712</v>
      </c>
      <c r="AQ16" s="47">
        <f>'Input data'!$E$197</f>
        <v>2.5714285714285712</v>
      </c>
      <c r="AR16" s="47">
        <f>'Input data'!$E$197</f>
        <v>2.5714285714285712</v>
      </c>
      <c r="AS16" s="47">
        <f>'Input data'!$E$197</f>
        <v>2.5714285714285712</v>
      </c>
      <c r="AT16" s="47">
        <f>'Input data'!$E$197</f>
        <v>2.5714285714285712</v>
      </c>
      <c r="AU16" s="47">
        <f>'Input data'!$E$197</f>
        <v>2.5714285714285712</v>
      </c>
      <c r="AV16" s="47">
        <f>'Input data'!$E$197</f>
        <v>2.5714285714285712</v>
      </c>
      <c r="AW16" s="47">
        <f>'Input data'!$E$197</f>
        <v>2.5714285714285712</v>
      </c>
      <c r="AX16" s="47">
        <f>'Input data'!$E$197</f>
        <v>2.5714285714285712</v>
      </c>
      <c r="AY16" s="47">
        <f>'Input data'!$E$197</f>
        <v>2.5714285714285712</v>
      </c>
      <c r="AZ16" s="47">
        <f>'Input data'!$E$197</f>
        <v>2.5714285714285712</v>
      </c>
      <c r="BA16" s="47">
        <f>'Input data'!$E$197</f>
        <v>2.5714285714285712</v>
      </c>
      <c r="BB16" s="47">
        <f>'Input data'!$E$197</f>
        <v>2.5714285714285712</v>
      </c>
      <c r="BC16" s="47">
        <f>'Input data'!$E$197</f>
        <v>2.5714285714285712</v>
      </c>
      <c r="BD16" s="47">
        <f>'Input data'!$E$197</f>
        <v>2.5714285714285712</v>
      </c>
      <c r="BE16" s="47">
        <f>'Input data'!$E$197</f>
        <v>2.5714285714285712</v>
      </c>
      <c r="BF16" s="47">
        <f>'Input data'!$E$197</f>
        <v>2.5714285714285712</v>
      </c>
      <c r="BG16" s="47">
        <f>'Input data'!$E$197</f>
        <v>2.5714285714285712</v>
      </c>
      <c r="BH16" s="47">
        <f>'Input data'!$E$197</f>
        <v>2.5714285714285712</v>
      </c>
      <c r="BI16" s="47">
        <f>'Input data'!$E$197</f>
        <v>2.5714285714285712</v>
      </c>
      <c r="BJ16" s="47">
        <f>'Input data'!$E$197</f>
        <v>2.5714285714285712</v>
      </c>
      <c r="BK16" s="47">
        <f>'Input data'!$E$197</f>
        <v>2.5714285714285712</v>
      </c>
      <c r="BL16" s="47">
        <f>'Input data'!$E$197</f>
        <v>2.5714285714285712</v>
      </c>
      <c r="BM16" s="47">
        <f>'Input data'!$E$197</f>
        <v>2.5714285714285712</v>
      </c>
      <c r="BN16" s="47">
        <f>'Input data'!$E$197</f>
        <v>2.5714285714285712</v>
      </c>
      <c r="BO16" s="47">
        <f>'Input data'!$E$197</f>
        <v>2.5714285714285712</v>
      </c>
      <c r="BP16" s="47">
        <f>'Input data'!$E$197</f>
        <v>2.5714285714285712</v>
      </c>
      <c r="BQ16" s="47">
        <f>'Input data'!$E$197</f>
        <v>2.5714285714285712</v>
      </c>
      <c r="BR16" s="47">
        <f>'Input data'!$E$197</f>
        <v>2.5714285714285712</v>
      </c>
      <c r="BS16" s="47">
        <f>'Input data'!$E$197</f>
        <v>2.5714285714285712</v>
      </c>
      <c r="BT16" s="47">
        <f>'Input data'!$E$197</f>
        <v>2.5714285714285712</v>
      </c>
      <c r="BU16" s="47">
        <f>'Input data'!$E$197</f>
        <v>2.5714285714285712</v>
      </c>
      <c r="BV16" s="47">
        <f>'Input data'!$E$197</f>
        <v>2.5714285714285712</v>
      </c>
      <c r="BW16" s="47">
        <f>'Input data'!$E$197</f>
        <v>2.5714285714285712</v>
      </c>
      <c r="BX16" s="47">
        <f>'Input data'!$E$197</f>
        <v>2.5714285714285712</v>
      </c>
      <c r="BY16" s="47">
        <f>'Input data'!$E$197</f>
        <v>2.5714285714285712</v>
      </c>
      <c r="BZ16" s="47">
        <f>'Input data'!$E$197</f>
        <v>2.5714285714285712</v>
      </c>
      <c r="CA16" s="47">
        <f>'Input data'!$E$197</f>
        <v>2.5714285714285712</v>
      </c>
      <c r="CB16" s="47">
        <f>'Input data'!$E$197</f>
        <v>2.5714285714285712</v>
      </c>
      <c r="CC16" s="47">
        <f>'Input data'!$E$197</f>
        <v>2.5714285714285712</v>
      </c>
      <c r="CD16" s="47">
        <f>'Input data'!$E$197</f>
        <v>2.5714285714285712</v>
      </c>
      <c r="CE16" s="47">
        <f>'Input data'!$E$197</f>
        <v>2.5714285714285712</v>
      </c>
      <c r="CF16" s="47">
        <f>'Input data'!$E$197</f>
        <v>2.5714285714285712</v>
      </c>
      <c r="CG16" s="47">
        <f>'Input data'!$E$197</f>
        <v>2.5714285714285712</v>
      </c>
      <c r="CH16" s="47">
        <f>'Input data'!$E$197</f>
        <v>2.5714285714285712</v>
      </c>
      <c r="CI16" s="47">
        <f>'Input data'!$E$197</f>
        <v>2.5714285714285712</v>
      </c>
      <c r="CJ16" s="47">
        <f>'Input data'!$E$197</f>
        <v>2.5714285714285712</v>
      </c>
      <c r="CK16" s="47">
        <f>'Input data'!$E$197</f>
        <v>2.5714285714285712</v>
      </c>
      <c r="CL16" s="47">
        <f>'Input data'!$E$197</f>
        <v>2.5714285714285712</v>
      </c>
      <c r="CM16" s="47">
        <f>'Input data'!$E$197</f>
        <v>2.5714285714285712</v>
      </c>
    </row>
    <row r="17" spans="2:91">
      <c r="B17" s="13" t="str">
        <f t="shared" si="2"/>
        <v>Underground storage Carriço</v>
      </c>
      <c r="C17" s="46">
        <f>'Input data'!$E$198</f>
        <v>1</v>
      </c>
      <c r="D17" s="46">
        <f>'Input data'!$E$198</f>
        <v>1</v>
      </c>
      <c r="E17" s="46">
        <f>'Input data'!$E$198</f>
        <v>1</v>
      </c>
      <c r="F17" s="46">
        <f>'Input data'!$E$198</f>
        <v>1</v>
      </c>
      <c r="G17" s="47">
        <f>'Input data'!$E$197</f>
        <v>2.5714285714285712</v>
      </c>
      <c r="H17" s="47">
        <f>'Input data'!$E$197</f>
        <v>2.5714285714285712</v>
      </c>
      <c r="I17" s="47">
        <f>'Input data'!$E$197</f>
        <v>2.5714285714285712</v>
      </c>
      <c r="J17" s="47">
        <f>'Input data'!$E$197</f>
        <v>2.5714285714285712</v>
      </c>
      <c r="K17" s="47">
        <f>'Input data'!$E$197</f>
        <v>2.5714285714285712</v>
      </c>
      <c r="L17" s="47">
        <f>'Input data'!$E$197</f>
        <v>2.5714285714285712</v>
      </c>
      <c r="M17" s="47">
        <f>'Input data'!$E$197</f>
        <v>2.5714285714285712</v>
      </c>
      <c r="N17" s="47">
        <f>'Input data'!$E$197</f>
        <v>2.5714285714285712</v>
      </c>
      <c r="O17" s="47">
        <f>'Input data'!$E$197</f>
        <v>2.5714285714285712</v>
      </c>
      <c r="P17" s="47">
        <f>'Input data'!$E$197</f>
        <v>2.5714285714285712</v>
      </c>
      <c r="Q17" s="47">
        <f>'Input data'!$E$197</f>
        <v>2.5714285714285712</v>
      </c>
      <c r="R17" s="47">
        <f>'Input data'!$E$197</f>
        <v>2.5714285714285712</v>
      </c>
      <c r="S17" s="47">
        <f>'Input data'!$E$197</f>
        <v>2.5714285714285712</v>
      </c>
      <c r="T17" s="47">
        <f>'Input data'!$E$197</f>
        <v>2.5714285714285712</v>
      </c>
      <c r="U17" s="47">
        <f>'Input data'!$E$197</f>
        <v>2.5714285714285712</v>
      </c>
      <c r="V17" s="47">
        <f>'Input data'!$E$197</f>
        <v>2.5714285714285712</v>
      </c>
      <c r="W17" s="47">
        <f>'Input data'!$E$197</f>
        <v>2.5714285714285712</v>
      </c>
      <c r="X17" s="47">
        <f>'Input data'!$E$197</f>
        <v>2.5714285714285712</v>
      </c>
      <c r="Y17" s="47">
        <f>'Input data'!$E$197</f>
        <v>2.5714285714285712</v>
      </c>
      <c r="Z17" s="47">
        <f>'Input data'!$E$197</f>
        <v>2.5714285714285712</v>
      </c>
      <c r="AA17" s="47">
        <f>'Input data'!$E$197</f>
        <v>2.5714285714285712</v>
      </c>
      <c r="AB17" s="47">
        <f>'Input data'!$E$197</f>
        <v>2.5714285714285712</v>
      </c>
      <c r="AC17" s="47">
        <f>'Input data'!$E$197</f>
        <v>2.5714285714285712</v>
      </c>
      <c r="AD17" s="47">
        <f>'Input data'!$E$197</f>
        <v>2.5714285714285712</v>
      </c>
      <c r="AE17" s="47">
        <f>'Input data'!$E$197</f>
        <v>2.5714285714285712</v>
      </c>
      <c r="AF17" s="47">
        <f>'Input data'!$E$197</f>
        <v>2.5714285714285712</v>
      </c>
      <c r="AG17" s="47">
        <f>'Input data'!$E$197</f>
        <v>2.5714285714285712</v>
      </c>
      <c r="AH17" s="47">
        <f>'Input data'!$E$197</f>
        <v>2.5714285714285712</v>
      </c>
      <c r="AI17" s="47">
        <f>'Input data'!$E$197</f>
        <v>2.5714285714285712</v>
      </c>
      <c r="AJ17" s="47">
        <f>'Input data'!$E$197</f>
        <v>2.5714285714285712</v>
      </c>
      <c r="AK17" s="47">
        <f>'Input data'!$E$197</f>
        <v>2.5714285714285712</v>
      </c>
      <c r="AL17" s="47">
        <f>'Input data'!$E$197</f>
        <v>2.5714285714285712</v>
      </c>
      <c r="AM17" s="47">
        <f>'Input data'!$E$197</f>
        <v>2.5714285714285712</v>
      </c>
      <c r="AN17" s="47">
        <f>'Input data'!$E$197</f>
        <v>2.5714285714285712</v>
      </c>
      <c r="AO17" s="47">
        <f>'Input data'!$E$197</f>
        <v>2.5714285714285712</v>
      </c>
      <c r="AP17" s="47">
        <f>'Input data'!$E$197</f>
        <v>2.5714285714285712</v>
      </c>
      <c r="AQ17" s="47">
        <f>'Input data'!$E$197</f>
        <v>2.5714285714285712</v>
      </c>
      <c r="AR17" s="47">
        <f>'Input data'!$E$197</f>
        <v>2.5714285714285712</v>
      </c>
      <c r="AS17" s="47">
        <f>'Input data'!$E$197</f>
        <v>2.5714285714285712</v>
      </c>
      <c r="AT17" s="47">
        <f>'Input data'!$E$197</f>
        <v>2.5714285714285712</v>
      </c>
      <c r="AU17" s="47">
        <f>'Input data'!$E$197</f>
        <v>2.5714285714285712</v>
      </c>
      <c r="AV17" s="47">
        <f>'Input data'!$E$197</f>
        <v>2.5714285714285712</v>
      </c>
      <c r="AW17" s="47">
        <f>'Input data'!$E$197</f>
        <v>2.5714285714285712</v>
      </c>
      <c r="AX17" s="47">
        <f>'Input data'!$E$197</f>
        <v>2.5714285714285712</v>
      </c>
      <c r="AY17" s="47">
        <f>'Input data'!$E$197</f>
        <v>2.5714285714285712</v>
      </c>
      <c r="AZ17" s="47">
        <f>'Input data'!$E$197</f>
        <v>2.5714285714285712</v>
      </c>
      <c r="BA17" s="47">
        <f>'Input data'!$E$197</f>
        <v>2.5714285714285712</v>
      </c>
      <c r="BB17" s="47">
        <f>'Input data'!$E$197</f>
        <v>2.5714285714285712</v>
      </c>
      <c r="BC17" s="47">
        <f>'Input data'!$E$197</f>
        <v>2.5714285714285712</v>
      </c>
      <c r="BD17" s="47">
        <f>'Input data'!$E$197</f>
        <v>2.5714285714285712</v>
      </c>
      <c r="BE17" s="47">
        <f>'Input data'!$E$197</f>
        <v>2.5714285714285712</v>
      </c>
      <c r="BF17" s="47">
        <f>'Input data'!$E$197</f>
        <v>2.5714285714285712</v>
      </c>
      <c r="BG17" s="47">
        <f>'Input data'!$E$197</f>
        <v>2.5714285714285712</v>
      </c>
      <c r="BH17" s="47">
        <f>'Input data'!$E$197</f>
        <v>2.5714285714285712</v>
      </c>
      <c r="BI17" s="47">
        <f>'Input data'!$E$197</f>
        <v>2.5714285714285712</v>
      </c>
      <c r="BJ17" s="47">
        <f>'Input data'!$E$197</f>
        <v>2.5714285714285712</v>
      </c>
      <c r="BK17" s="47">
        <f>'Input data'!$E$197</f>
        <v>2.5714285714285712</v>
      </c>
      <c r="BL17" s="47">
        <f>'Input data'!$E$197</f>
        <v>2.5714285714285712</v>
      </c>
      <c r="BM17" s="47">
        <f>'Input data'!$E$197</f>
        <v>2.5714285714285712</v>
      </c>
      <c r="BN17" s="47">
        <f>'Input data'!$E$197</f>
        <v>2.5714285714285712</v>
      </c>
      <c r="BO17" s="47">
        <f>'Input data'!$E$197</f>
        <v>2.5714285714285712</v>
      </c>
      <c r="BP17" s="47">
        <f>'Input data'!$E$197</f>
        <v>2.5714285714285712</v>
      </c>
      <c r="BQ17" s="47">
        <f>'Input data'!$E$197</f>
        <v>2.5714285714285712</v>
      </c>
      <c r="BR17" s="47">
        <f>'Input data'!$E$197</f>
        <v>2.5714285714285712</v>
      </c>
      <c r="BS17" s="47">
        <f>'Input data'!$E$197</f>
        <v>2.5714285714285712</v>
      </c>
      <c r="BT17" s="47">
        <f>'Input data'!$E$197</f>
        <v>2.5714285714285712</v>
      </c>
      <c r="BU17" s="47">
        <f>'Input data'!$E$197</f>
        <v>2.5714285714285712</v>
      </c>
      <c r="BV17" s="47">
        <f>'Input data'!$E$197</f>
        <v>2.5714285714285712</v>
      </c>
      <c r="BW17" s="47">
        <f>'Input data'!$E$197</f>
        <v>2.5714285714285712</v>
      </c>
      <c r="BX17" s="47">
        <f>'Input data'!$E$197</f>
        <v>2.5714285714285712</v>
      </c>
      <c r="BY17" s="47">
        <f>'Input data'!$E$197</f>
        <v>2.5714285714285712</v>
      </c>
      <c r="BZ17" s="47">
        <f>'Input data'!$E$197</f>
        <v>2.5714285714285712</v>
      </c>
      <c r="CA17" s="47">
        <f>'Input data'!$E$197</f>
        <v>2.5714285714285712</v>
      </c>
      <c r="CB17" s="47">
        <f>'Input data'!$E$197</f>
        <v>2.5714285714285712</v>
      </c>
      <c r="CC17" s="47">
        <f>'Input data'!$E$197</f>
        <v>2.5714285714285712</v>
      </c>
      <c r="CD17" s="47">
        <f>'Input data'!$E$197</f>
        <v>2.5714285714285712</v>
      </c>
      <c r="CE17" s="47">
        <f>'Input data'!$E$197</f>
        <v>2.5714285714285712</v>
      </c>
      <c r="CF17" s="47">
        <f>'Input data'!$E$197</f>
        <v>2.5714285714285712</v>
      </c>
      <c r="CG17" s="47">
        <f>'Input data'!$E$197</f>
        <v>2.5714285714285712</v>
      </c>
      <c r="CH17" s="47">
        <f>'Input data'!$E$197</f>
        <v>2.5714285714285712</v>
      </c>
      <c r="CI17" s="47">
        <f>'Input data'!$E$197</f>
        <v>2.5714285714285712</v>
      </c>
      <c r="CJ17" s="47">
        <f>'Input data'!$E$197</f>
        <v>2.5714285714285712</v>
      </c>
      <c r="CK17" s="47">
        <f>'Input data'!$E$197</f>
        <v>2.5714285714285712</v>
      </c>
      <c r="CL17" s="47">
        <f>'Input data'!$E$197</f>
        <v>2.5714285714285712</v>
      </c>
      <c r="CM17" s="47">
        <f>'Input data'!$E$197</f>
        <v>2.5714285714285712</v>
      </c>
    </row>
    <row r="18" spans="2:91">
      <c r="B18" s="13" t="str">
        <f t="shared" si="2"/>
        <v>Gas producers</v>
      </c>
      <c r="C18" s="46">
        <f>'Input data'!$E$198</f>
        <v>1</v>
      </c>
      <c r="D18" s="46">
        <f>'Input data'!$E$198</f>
        <v>1</v>
      </c>
      <c r="E18" s="46">
        <f>'Input data'!$E$198</f>
        <v>1</v>
      </c>
      <c r="F18" s="46">
        <f>'Input data'!$E$198</f>
        <v>1</v>
      </c>
      <c r="G18" s="47">
        <f>'Input data'!$E$197</f>
        <v>2.5714285714285712</v>
      </c>
      <c r="H18" s="47">
        <f>'Input data'!$E$197</f>
        <v>2.5714285714285712</v>
      </c>
      <c r="I18" s="47">
        <f>'Input data'!$E$197</f>
        <v>2.5714285714285712</v>
      </c>
      <c r="J18" s="47">
        <f>'Input data'!$E$197</f>
        <v>2.5714285714285712</v>
      </c>
      <c r="K18" s="47">
        <f>'Input data'!$E$197</f>
        <v>2.5714285714285712</v>
      </c>
      <c r="L18" s="47">
        <f>'Input data'!$E$197</f>
        <v>2.5714285714285712</v>
      </c>
      <c r="M18" s="47">
        <f>'Input data'!$E$197</f>
        <v>2.5714285714285712</v>
      </c>
      <c r="N18" s="47">
        <f>'Input data'!$E$197</f>
        <v>2.5714285714285712</v>
      </c>
      <c r="O18" s="47">
        <f>'Input data'!$E$197</f>
        <v>2.5714285714285712</v>
      </c>
      <c r="P18" s="47">
        <f>'Input data'!$E$197</f>
        <v>2.5714285714285712</v>
      </c>
      <c r="Q18" s="47">
        <f>'Input data'!$E$197</f>
        <v>2.5714285714285712</v>
      </c>
      <c r="R18" s="47">
        <f>'Input data'!$E$197</f>
        <v>2.5714285714285712</v>
      </c>
      <c r="S18" s="47">
        <f>'Input data'!$E$197</f>
        <v>2.5714285714285712</v>
      </c>
      <c r="T18" s="47">
        <f>'Input data'!$E$197</f>
        <v>2.5714285714285712</v>
      </c>
      <c r="U18" s="47">
        <f>'Input data'!$E$197</f>
        <v>2.5714285714285712</v>
      </c>
      <c r="V18" s="47">
        <f>'Input data'!$E$197</f>
        <v>2.5714285714285712</v>
      </c>
      <c r="W18" s="47">
        <f>'Input data'!$E$197</f>
        <v>2.5714285714285712</v>
      </c>
      <c r="X18" s="47">
        <f>'Input data'!$E$197</f>
        <v>2.5714285714285712</v>
      </c>
      <c r="Y18" s="47">
        <f>'Input data'!$E$197</f>
        <v>2.5714285714285712</v>
      </c>
      <c r="Z18" s="47">
        <f>'Input data'!$E$197</f>
        <v>2.5714285714285712</v>
      </c>
      <c r="AA18" s="47">
        <f>'Input data'!$E$197</f>
        <v>2.5714285714285712</v>
      </c>
      <c r="AB18" s="47">
        <f>'Input data'!$E$197</f>
        <v>2.5714285714285712</v>
      </c>
      <c r="AC18" s="47">
        <f>'Input data'!$E$197</f>
        <v>2.5714285714285712</v>
      </c>
      <c r="AD18" s="47">
        <f>'Input data'!$E$197</f>
        <v>2.5714285714285712</v>
      </c>
      <c r="AE18" s="47">
        <f>'Input data'!$E$197</f>
        <v>2.5714285714285712</v>
      </c>
      <c r="AF18" s="47">
        <f>'Input data'!$E$197</f>
        <v>2.5714285714285712</v>
      </c>
      <c r="AG18" s="47">
        <f>'Input data'!$E$197</f>
        <v>2.5714285714285712</v>
      </c>
      <c r="AH18" s="47">
        <f>'Input data'!$E$197</f>
        <v>2.5714285714285712</v>
      </c>
      <c r="AI18" s="47">
        <f>'Input data'!$E$197</f>
        <v>2.5714285714285712</v>
      </c>
      <c r="AJ18" s="47">
        <f>'Input data'!$E$197</f>
        <v>2.5714285714285712</v>
      </c>
      <c r="AK18" s="47">
        <f>'Input data'!$E$197</f>
        <v>2.5714285714285712</v>
      </c>
      <c r="AL18" s="47">
        <f>'Input data'!$E$197</f>
        <v>2.5714285714285712</v>
      </c>
      <c r="AM18" s="47">
        <f>'Input data'!$E$197</f>
        <v>2.5714285714285712</v>
      </c>
      <c r="AN18" s="47">
        <f>'Input data'!$E$197</f>
        <v>2.5714285714285712</v>
      </c>
      <c r="AO18" s="47">
        <f>'Input data'!$E$197</f>
        <v>2.5714285714285712</v>
      </c>
      <c r="AP18" s="47">
        <f>'Input data'!$E$197</f>
        <v>2.5714285714285712</v>
      </c>
      <c r="AQ18" s="47">
        <f>'Input data'!$E$197</f>
        <v>2.5714285714285712</v>
      </c>
      <c r="AR18" s="47">
        <f>'Input data'!$E$197</f>
        <v>2.5714285714285712</v>
      </c>
      <c r="AS18" s="47">
        <f>'Input data'!$E$197</f>
        <v>2.5714285714285712</v>
      </c>
      <c r="AT18" s="47">
        <f>'Input data'!$E$197</f>
        <v>2.5714285714285712</v>
      </c>
      <c r="AU18" s="47">
        <f>'Input data'!$E$197</f>
        <v>2.5714285714285712</v>
      </c>
      <c r="AV18" s="47">
        <f>'Input data'!$E$197</f>
        <v>2.5714285714285712</v>
      </c>
      <c r="AW18" s="47">
        <f>'Input data'!$E$197</f>
        <v>2.5714285714285712</v>
      </c>
      <c r="AX18" s="47">
        <f>'Input data'!$E$197</f>
        <v>2.5714285714285712</v>
      </c>
      <c r="AY18" s="47">
        <f>'Input data'!$E$197</f>
        <v>2.5714285714285712</v>
      </c>
      <c r="AZ18" s="47">
        <f>'Input data'!$E$197</f>
        <v>2.5714285714285712</v>
      </c>
      <c r="BA18" s="47">
        <f>'Input data'!$E$197</f>
        <v>2.5714285714285712</v>
      </c>
      <c r="BB18" s="47">
        <f>'Input data'!$E$197</f>
        <v>2.5714285714285712</v>
      </c>
      <c r="BC18" s="47">
        <f>'Input data'!$E$197</f>
        <v>2.5714285714285712</v>
      </c>
      <c r="BD18" s="47">
        <f>'Input data'!$E$197</f>
        <v>2.5714285714285712</v>
      </c>
      <c r="BE18" s="47">
        <f>'Input data'!$E$197</f>
        <v>2.5714285714285712</v>
      </c>
      <c r="BF18" s="47">
        <f>'Input data'!$E$197</f>
        <v>2.5714285714285712</v>
      </c>
      <c r="BG18" s="47">
        <f>'Input data'!$E$197</f>
        <v>2.5714285714285712</v>
      </c>
      <c r="BH18" s="47">
        <f>'Input data'!$E$197</f>
        <v>2.5714285714285712</v>
      </c>
      <c r="BI18" s="47">
        <f>'Input data'!$E$197</f>
        <v>2.5714285714285712</v>
      </c>
      <c r="BJ18" s="47">
        <f>'Input data'!$E$197</f>
        <v>2.5714285714285712</v>
      </c>
      <c r="BK18" s="47">
        <f>'Input data'!$E$197</f>
        <v>2.5714285714285712</v>
      </c>
      <c r="BL18" s="47">
        <f>'Input data'!$E$197</f>
        <v>2.5714285714285712</v>
      </c>
      <c r="BM18" s="47">
        <f>'Input data'!$E$197</f>
        <v>2.5714285714285712</v>
      </c>
      <c r="BN18" s="47">
        <f>'Input data'!$E$197</f>
        <v>2.5714285714285712</v>
      </c>
      <c r="BO18" s="47">
        <f>'Input data'!$E$197</f>
        <v>2.5714285714285712</v>
      </c>
      <c r="BP18" s="47">
        <f>'Input data'!$E$197</f>
        <v>2.5714285714285712</v>
      </c>
      <c r="BQ18" s="47">
        <f>'Input data'!$E$197</f>
        <v>2.5714285714285712</v>
      </c>
      <c r="BR18" s="47">
        <f>'Input data'!$E$197</f>
        <v>2.5714285714285712</v>
      </c>
      <c r="BS18" s="47">
        <f>'Input data'!$E$197</f>
        <v>2.5714285714285712</v>
      </c>
      <c r="BT18" s="47">
        <f>'Input data'!$E$197</f>
        <v>2.5714285714285712</v>
      </c>
      <c r="BU18" s="47">
        <f>'Input data'!$E$197</f>
        <v>2.5714285714285712</v>
      </c>
      <c r="BV18" s="47">
        <f>'Input data'!$E$197</f>
        <v>2.5714285714285712</v>
      </c>
      <c r="BW18" s="47">
        <f>'Input data'!$E$197</f>
        <v>2.5714285714285712</v>
      </c>
      <c r="BX18" s="47">
        <f>'Input data'!$E$197</f>
        <v>2.5714285714285712</v>
      </c>
      <c r="BY18" s="47">
        <f>'Input data'!$E$197</f>
        <v>2.5714285714285712</v>
      </c>
      <c r="BZ18" s="47">
        <f>'Input data'!$E$197</f>
        <v>2.5714285714285712</v>
      </c>
      <c r="CA18" s="47">
        <f>'Input data'!$E$197</f>
        <v>2.5714285714285712</v>
      </c>
      <c r="CB18" s="47">
        <f>'Input data'!$E$197</f>
        <v>2.5714285714285712</v>
      </c>
      <c r="CC18" s="47">
        <f>'Input data'!$E$197</f>
        <v>2.5714285714285712</v>
      </c>
      <c r="CD18" s="47">
        <f>'Input data'!$E$197</f>
        <v>2.5714285714285712</v>
      </c>
      <c r="CE18" s="47">
        <f>'Input data'!$E$197</f>
        <v>2.5714285714285712</v>
      </c>
      <c r="CF18" s="47">
        <f>'Input data'!$E$197</f>
        <v>2.5714285714285712</v>
      </c>
      <c r="CG18" s="47">
        <f>'Input data'!$E$197</f>
        <v>2.5714285714285712</v>
      </c>
      <c r="CH18" s="47">
        <f>'Input data'!$E$197</f>
        <v>2.5714285714285712</v>
      </c>
      <c r="CI18" s="47">
        <f>'Input data'!$E$197</f>
        <v>2.5714285714285712</v>
      </c>
      <c r="CJ18" s="47">
        <f>'Input data'!$E$197</f>
        <v>2.5714285714285712</v>
      </c>
      <c r="CK18" s="47">
        <f>'Input data'!$E$197</f>
        <v>2.5714285714285712</v>
      </c>
      <c r="CL18" s="47">
        <f>'Input data'!$E$197</f>
        <v>2.5714285714285712</v>
      </c>
      <c r="CM18" s="47">
        <f>'Input data'!$E$197</f>
        <v>2.5714285714285712</v>
      </c>
    </row>
    <row r="21" spans="2:91">
      <c r="B21" s="2" t="s">
        <v>4</v>
      </c>
      <c r="C21" s="37" t="str">
        <f>C3</f>
        <v>Exit point</v>
      </c>
      <c r="D21" s="38"/>
      <c r="E21" s="38"/>
      <c r="F21" s="38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40"/>
    </row>
    <row r="22" spans="2:91">
      <c r="B22" s="42" t="str">
        <f>B4</f>
        <v>Entry point</v>
      </c>
      <c r="C22" s="44" t="str">
        <f>C$4</f>
        <v>CTS Campo Maior</v>
      </c>
      <c r="D22" s="44" t="str">
        <f t="shared" ref="D22:BO22" si="3">D$4</f>
        <v>CTS Valença do Minho</v>
      </c>
      <c r="E22" s="44" t="str">
        <f t="shared" si="3"/>
        <v>LNG Terminal Sines</v>
      </c>
      <c r="F22" s="44" t="str">
        <f t="shared" si="3"/>
        <v>Underground storage Carriço</v>
      </c>
      <c r="G22" s="44" t="str">
        <f t="shared" si="3"/>
        <v>GRMS 01059</v>
      </c>
      <c r="H22" s="44" t="str">
        <f t="shared" si="3"/>
        <v>GRMS 01109</v>
      </c>
      <c r="I22" s="44" t="str">
        <f t="shared" si="3"/>
        <v>GRMS 01119</v>
      </c>
      <c r="J22" s="44" t="str">
        <f t="shared" si="3"/>
        <v>GRMS 01129</v>
      </c>
      <c r="K22" s="44" t="str">
        <f t="shared" si="3"/>
        <v>GRMS 01139</v>
      </c>
      <c r="L22" s="44" t="str">
        <f t="shared" si="3"/>
        <v>GRMS 01149</v>
      </c>
      <c r="M22" s="44" t="str">
        <f t="shared" si="3"/>
        <v>GRMS 01159</v>
      </c>
      <c r="N22" s="44" t="str">
        <f t="shared" si="3"/>
        <v>GRMS 01179</v>
      </c>
      <c r="O22" s="44" t="str">
        <f t="shared" si="3"/>
        <v>GRMS 01189</v>
      </c>
      <c r="P22" s="44" t="str">
        <f t="shared" si="3"/>
        <v>GRMS 01209</v>
      </c>
      <c r="Q22" s="44" t="str">
        <f t="shared" si="3"/>
        <v>GRMS 01219</v>
      </c>
      <c r="R22" s="44" t="str">
        <f t="shared" si="3"/>
        <v>GRMS 01229</v>
      </c>
      <c r="S22" s="44" t="str">
        <f t="shared" si="3"/>
        <v>GRMS 01239</v>
      </c>
      <c r="T22" s="44" t="str">
        <f t="shared" si="3"/>
        <v>GRMS 01259</v>
      </c>
      <c r="U22" s="44" t="str">
        <f t="shared" si="3"/>
        <v>GRMS 01269</v>
      </c>
      <c r="V22" s="44" t="str">
        <f t="shared" si="3"/>
        <v>GRMS 01279</v>
      </c>
      <c r="W22" s="44" t="str">
        <f t="shared" si="3"/>
        <v>GRMS 01309</v>
      </c>
      <c r="X22" s="44" t="str">
        <f t="shared" si="3"/>
        <v>GRMS 01319</v>
      </c>
      <c r="Y22" s="44" t="str">
        <f t="shared" si="3"/>
        <v>GRMS 01359</v>
      </c>
      <c r="Z22" s="44" t="str">
        <f t="shared" si="3"/>
        <v>GRMS 01369</v>
      </c>
      <c r="AA22" s="44" t="str">
        <f t="shared" si="3"/>
        <v>GRMS 01409</v>
      </c>
      <c r="AB22" s="44" t="str">
        <f t="shared" si="3"/>
        <v>GRMS 02069</v>
      </c>
      <c r="AC22" s="44" t="str">
        <f t="shared" si="3"/>
        <v>GRMS 02089</v>
      </c>
      <c r="AD22" s="44" t="str">
        <f t="shared" si="3"/>
        <v>GRMS 02159</v>
      </c>
      <c r="AE22" s="44" t="str">
        <f t="shared" si="3"/>
        <v>GRMS 02509</v>
      </c>
      <c r="AF22" s="44" t="str">
        <f t="shared" si="3"/>
        <v>GRMS 02519</v>
      </c>
      <c r="AG22" s="44" t="str">
        <f t="shared" si="3"/>
        <v>GRMS 02539</v>
      </c>
      <c r="AH22" s="44" t="str">
        <f t="shared" si="3"/>
        <v>GRMS 02549</v>
      </c>
      <c r="AI22" s="44" t="str">
        <f t="shared" si="3"/>
        <v>GRMS 02559</v>
      </c>
      <c r="AJ22" s="44" t="str">
        <f t="shared" si="3"/>
        <v>GRMS 02569</v>
      </c>
      <c r="AK22" s="44" t="str">
        <f t="shared" si="3"/>
        <v>GRMS 02709</v>
      </c>
      <c r="AL22" s="44" t="str">
        <f t="shared" si="3"/>
        <v>GRMS 02719</v>
      </c>
      <c r="AM22" s="44" t="str">
        <f t="shared" si="3"/>
        <v>GRMS 02739</v>
      </c>
      <c r="AN22" s="44" t="str">
        <f t="shared" si="3"/>
        <v>GRMS 03009</v>
      </c>
      <c r="AO22" s="44" t="str">
        <f t="shared" si="3"/>
        <v>GRMS 03059</v>
      </c>
      <c r="AP22" s="44" t="str">
        <f t="shared" si="3"/>
        <v>GRMS 03069</v>
      </c>
      <c r="AQ22" s="44" t="str">
        <f t="shared" si="3"/>
        <v>GRMS 03109</v>
      </c>
      <c r="AR22" s="44" t="str">
        <f t="shared" si="3"/>
        <v>GRMS 03169</v>
      </c>
      <c r="AS22" s="44" t="str">
        <f t="shared" si="3"/>
        <v>GRMS 03219</v>
      </c>
      <c r="AT22" s="44" t="str">
        <f t="shared" si="3"/>
        <v>GRMS 03229</v>
      </c>
      <c r="AU22" s="44" t="str">
        <f t="shared" si="3"/>
        <v>GRMS 03259</v>
      </c>
      <c r="AV22" s="44" t="str">
        <f t="shared" si="3"/>
        <v>GRMS 03269</v>
      </c>
      <c r="AW22" s="44" t="str">
        <f t="shared" si="3"/>
        <v>GRMS 03309</v>
      </c>
      <c r="AX22" s="44" t="str">
        <f t="shared" si="3"/>
        <v>GRMS 03359</v>
      </c>
      <c r="AY22" s="44" t="str">
        <f t="shared" si="3"/>
        <v>GRMS 03369</v>
      </c>
      <c r="AZ22" s="44" t="str">
        <f t="shared" si="3"/>
        <v>GRMS 03459</v>
      </c>
      <c r="BA22" s="44" t="str">
        <f t="shared" si="3"/>
        <v>GRMS 03559</v>
      </c>
      <c r="BB22" s="44" t="str">
        <f t="shared" si="3"/>
        <v>GRMS 03609</v>
      </c>
      <c r="BC22" s="44" t="str">
        <f t="shared" si="3"/>
        <v>GRMS 03619</v>
      </c>
      <c r="BD22" s="44" t="str">
        <f t="shared" si="3"/>
        <v>GRMS 03659</v>
      </c>
      <c r="BE22" s="44" t="str">
        <f t="shared" si="3"/>
        <v>GRMS 04059</v>
      </c>
      <c r="BF22" s="44" t="str">
        <f t="shared" si="3"/>
        <v>GRMS 04109</v>
      </c>
      <c r="BG22" s="44" t="str">
        <f t="shared" si="3"/>
        <v>GRMS 04149</v>
      </c>
      <c r="BH22" s="44" t="str">
        <f t="shared" si="3"/>
        <v>GRMS 04159</v>
      </c>
      <c r="BI22" s="44" t="str">
        <f t="shared" si="3"/>
        <v>GRMS 04209</v>
      </c>
      <c r="BJ22" s="44" t="str">
        <f t="shared" si="3"/>
        <v>GRMS 05009</v>
      </c>
      <c r="BK22" s="44" t="str">
        <f t="shared" si="3"/>
        <v>GRMS 05119</v>
      </c>
      <c r="BL22" s="44" t="str">
        <f t="shared" si="3"/>
        <v>GRMS 05179</v>
      </c>
      <c r="BM22" s="44" t="str">
        <f t="shared" si="3"/>
        <v>GRMS 05309</v>
      </c>
      <c r="BN22" s="44" t="str">
        <f t="shared" si="3"/>
        <v>GRMS 05609</v>
      </c>
      <c r="BO22" s="44" t="str">
        <f t="shared" si="3"/>
        <v>GRMS 07009</v>
      </c>
      <c r="BP22" s="44" t="str">
        <f t="shared" ref="BP22:CM22" si="4">BP$4</f>
        <v>GRMS 08009</v>
      </c>
      <c r="BQ22" s="44" t="str">
        <f t="shared" si="4"/>
        <v>GRMS 08109</v>
      </c>
      <c r="BR22" s="44" t="str">
        <f t="shared" si="4"/>
        <v>GRMS 08119</v>
      </c>
      <c r="BS22" s="44" t="str">
        <f t="shared" si="4"/>
        <v>GRMS 08209</v>
      </c>
      <c r="BT22" s="44" t="str">
        <f t="shared" si="4"/>
        <v>GRMS 08309</v>
      </c>
      <c r="BU22" s="44" t="str">
        <f t="shared" si="4"/>
        <v>GRMS 08409</v>
      </c>
      <c r="BV22" s="44" t="str">
        <f t="shared" si="4"/>
        <v>GRMS 08559</v>
      </c>
      <c r="BW22" s="44" t="str">
        <f t="shared" si="4"/>
        <v>GRMS 10079</v>
      </c>
      <c r="BX22" s="44" t="str">
        <f t="shared" si="4"/>
        <v>GRMS 10159</v>
      </c>
      <c r="BY22" s="44" t="str">
        <f t="shared" si="4"/>
        <v>GRMS 10209</v>
      </c>
      <c r="BZ22" s="44" t="str">
        <f t="shared" si="4"/>
        <v>GRMS 10309</v>
      </c>
      <c r="CA22" s="44" t="str">
        <f t="shared" si="4"/>
        <v>GRMS 10359</v>
      </c>
      <c r="CB22" s="44" t="str">
        <f t="shared" si="4"/>
        <v>GRMS 10459</v>
      </c>
      <c r="CC22" s="44" t="str">
        <f t="shared" si="4"/>
        <v>GRMS 11109</v>
      </c>
      <c r="CD22" s="44" t="str">
        <f t="shared" si="4"/>
        <v>GRMS 11159</v>
      </c>
      <c r="CE22" s="44" t="str">
        <f t="shared" si="4"/>
        <v>GRMS 11209</v>
      </c>
      <c r="CF22" s="44" t="str">
        <f t="shared" si="4"/>
        <v>GRMS 11279</v>
      </c>
      <c r="CG22" s="44" t="str">
        <f t="shared" si="4"/>
        <v>GRMS 11309</v>
      </c>
      <c r="CH22" s="44" t="str">
        <f t="shared" si="4"/>
        <v>GRMS 12209</v>
      </c>
      <c r="CI22" s="44" t="str">
        <f t="shared" si="4"/>
        <v>GRMS 12609</v>
      </c>
      <c r="CJ22" s="44" t="str">
        <f t="shared" si="4"/>
        <v>GRMS 12619</v>
      </c>
      <c r="CK22" s="44" t="str">
        <f t="shared" si="4"/>
        <v>GRMS 12619B</v>
      </c>
      <c r="CL22" s="44" t="str">
        <f t="shared" si="4"/>
        <v>GRMS 12629</v>
      </c>
      <c r="CM22" s="44" t="str">
        <f t="shared" si="4"/>
        <v>GRMS 12809</v>
      </c>
    </row>
    <row r="23" spans="2:91">
      <c r="B23" s="43" t="str">
        <f>B5</f>
        <v>CTS Campo Maior</v>
      </c>
      <c r="C23" s="45">
        <f>IF('RPM &amp; Discounts'!$B$3='A0.Support'!$B$8,'A3.Distance matrix'!D14,'A3.Distance matrix'!D5)</f>
        <v>0</v>
      </c>
      <c r="D23" s="45">
        <f>IF('RPM &amp; Discounts'!$B$3='A0.Support'!$B$8,'A3.Distance matrix'!E14,'A3.Distance matrix'!E5)</f>
        <v>508.95100000000002</v>
      </c>
      <c r="E23" s="45">
        <f>IF('RPM &amp; Discounts'!$B$3='A0.Support'!$B$8,'A3.Distance matrix'!F14,'A3.Distance matrix'!F5)</f>
        <v>481.59199999999998</v>
      </c>
      <c r="F23" s="45">
        <f>IF('RPM &amp; Discounts'!$B$3='A0.Support'!$B$8,'A3.Distance matrix'!G14,'A3.Distance matrix'!G5)</f>
        <v>239.52199999999999</v>
      </c>
      <c r="G23" s="45">
        <f>IF('RPM &amp; Discounts'!$B$3='A0.Support'!$B$8,'A3.Distance matrix'!H14,'A3.Distance matrix'!H5)</f>
        <v>394.28100000000001</v>
      </c>
      <c r="H23" s="45">
        <f>IF('RPM &amp; Discounts'!$B$3='A0.Support'!$B$8,'A3.Distance matrix'!I14,'A3.Distance matrix'!I5)</f>
        <v>407.28199999999998</v>
      </c>
      <c r="I23" s="45">
        <f>IF('RPM &amp; Discounts'!$B$3='A0.Support'!$B$8,'A3.Distance matrix'!J14,'A3.Distance matrix'!J5)</f>
        <v>398.971</v>
      </c>
      <c r="J23" s="45">
        <f>IF('RPM &amp; Discounts'!$B$3='A0.Support'!$B$8,'A3.Distance matrix'!K14,'A3.Distance matrix'!K5)</f>
        <v>407.28100000000001</v>
      </c>
      <c r="K23" s="45">
        <f>IF('RPM &amp; Discounts'!$B$3='A0.Support'!$B$8,'A3.Distance matrix'!L14,'A3.Distance matrix'!L5)</f>
        <v>378.351</v>
      </c>
      <c r="L23" s="45">
        <f>IF('RPM &amp; Discounts'!$B$3='A0.Support'!$B$8,'A3.Distance matrix'!M14,'A3.Distance matrix'!M5)</f>
        <v>365.96100000000001</v>
      </c>
      <c r="M23" s="45">
        <f>IF('RPM &amp; Discounts'!$B$3='A0.Support'!$B$8,'A3.Distance matrix'!N14,'A3.Distance matrix'!N5)</f>
        <v>413.541</v>
      </c>
      <c r="N23" s="45">
        <f>IF('RPM &amp; Discounts'!$B$3='A0.Support'!$B$8,'A3.Distance matrix'!O14,'A3.Distance matrix'!O5)</f>
        <v>349.26100000000002</v>
      </c>
      <c r="O23" s="45">
        <f>IF('RPM &amp; Discounts'!$B$3='A0.Support'!$B$8,'A3.Distance matrix'!P14,'A3.Distance matrix'!P5)</f>
        <v>336.80099999999999</v>
      </c>
      <c r="P23" s="45">
        <f>IF('RPM &amp; Discounts'!$B$3='A0.Support'!$B$8,'A3.Distance matrix'!Q14,'A3.Distance matrix'!Q5)</f>
        <v>366.06200000000001</v>
      </c>
      <c r="Q23" s="45">
        <f>IF('RPM &amp; Discounts'!$B$3='A0.Support'!$B$8,'A3.Distance matrix'!R14,'A3.Distance matrix'!R5)</f>
        <v>333.17099999999999</v>
      </c>
      <c r="R23" s="45">
        <f>IF('RPM &amp; Discounts'!$B$3='A0.Support'!$B$8,'A3.Distance matrix'!S14,'A3.Distance matrix'!S5)</f>
        <v>353.952</v>
      </c>
      <c r="S23" s="45">
        <f>IF('RPM &amp; Discounts'!$B$3='A0.Support'!$B$8,'A3.Distance matrix'!T14,'A3.Distance matrix'!T5)</f>
        <v>360.72300000000001</v>
      </c>
      <c r="T23" s="45">
        <f>IF('RPM &amp; Discounts'!$B$3='A0.Support'!$B$8,'A3.Distance matrix'!U14,'A3.Distance matrix'!U5)</f>
        <v>330.601</v>
      </c>
      <c r="U23" s="45">
        <f>IF('RPM &amp; Discounts'!$B$3='A0.Support'!$B$8,'A3.Distance matrix'!V14,'A3.Distance matrix'!V5)</f>
        <v>333.17200000000003</v>
      </c>
      <c r="V23" s="45">
        <f>IF('RPM &amp; Discounts'!$B$3='A0.Support'!$B$8,'A3.Distance matrix'!W14,'A3.Distance matrix'!W5)</f>
        <v>360.72199999999998</v>
      </c>
      <c r="W23" s="45">
        <f>IF('RPM &amp; Discounts'!$B$3='A0.Support'!$B$8,'A3.Distance matrix'!X14,'A3.Distance matrix'!X5)</f>
        <v>328.39100000000002</v>
      </c>
      <c r="X23" s="45">
        <f>IF('RPM &amp; Discounts'!$B$3='A0.Support'!$B$8,'A3.Distance matrix'!Y14,'A3.Distance matrix'!Y5)</f>
        <v>316.96100000000001</v>
      </c>
      <c r="Y23" s="45">
        <f>IF('RPM &amp; Discounts'!$B$3='A0.Support'!$B$8,'A3.Distance matrix'!Z14,'A3.Distance matrix'!Z5)</f>
        <v>340.69200000000001</v>
      </c>
      <c r="Z23" s="45">
        <f>IF('RPM &amp; Discounts'!$B$3='A0.Support'!$B$8,'A3.Distance matrix'!AA14,'A3.Distance matrix'!AA5)</f>
        <v>340.69099999999997</v>
      </c>
      <c r="AA23" s="45">
        <f>IF('RPM &amp; Discounts'!$B$3='A0.Support'!$B$8,'A3.Distance matrix'!AB14,'A3.Distance matrix'!AB5)</f>
        <v>292.36099999999999</v>
      </c>
      <c r="AB23" s="45">
        <f>IF('RPM &amp; Discounts'!$B$3='A0.Support'!$B$8,'A3.Distance matrix'!AC14,'A3.Distance matrix'!AC5)</f>
        <v>258.42099999999999</v>
      </c>
      <c r="AC23" s="45">
        <f>IF('RPM &amp; Discounts'!$B$3='A0.Support'!$B$8,'A3.Distance matrix'!AD14,'A3.Distance matrix'!AD5)</f>
        <v>245.74100000000001</v>
      </c>
      <c r="AD23" s="45">
        <f>IF('RPM &amp; Discounts'!$B$3='A0.Support'!$B$8,'A3.Distance matrix'!AE14,'A3.Distance matrix'!AE5)</f>
        <v>239.17099999999999</v>
      </c>
      <c r="AE23" s="45">
        <f>IF('RPM &amp; Discounts'!$B$3='A0.Support'!$B$8,'A3.Distance matrix'!AF14,'A3.Distance matrix'!AF5)</f>
        <v>239.52099999999999</v>
      </c>
      <c r="AF23" s="45">
        <f>IF('RPM &amp; Discounts'!$B$3='A0.Support'!$B$8,'A3.Distance matrix'!AG14,'A3.Distance matrix'!AG5)</f>
        <v>249.43100000000001</v>
      </c>
      <c r="AG23" s="45">
        <f>IF('RPM &amp; Discounts'!$B$3='A0.Support'!$B$8,'A3.Distance matrix'!AH14,'A3.Distance matrix'!AH5)</f>
        <v>249.541</v>
      </c>
      <c r="AH23" s="45">
        <f>IF('RPM &amp; Discounts'!$B$3='A0.Support'!$B$8,'A3.Distance matrix'!AI14,'A3.Distance matrix'!AI5)</f>
        <v>262.61099999999999</v>
      </c>
      <c r="AI23" s="45">
        <f>IF('RPM &amp; Discounts'!$B$3='A0.Support'!$B$8,'A3.Distance matrix'!AJ14,'A3.Distance matrix'!AJ5)</f>
        <v>229.70099999999999</v>
      </c>
      <c r="AJ23" s="45">
        <f>IF('RPM &amp; Discounts'!$B$3='A0.Support'!$B$8,'A3.Distance matrix'!AK14,'A3.Distance matrix'!AK5)</f>
        <v>262.61200000000002</v>
      </c>
      <c r="AK23" s="45">
        <f>IF('RPM &amp; Discounts'!$B$3='A0.Support'!$B$8,'A3.Distance matrix'!AL14,'A3.Distance matrix'!AL5)</f>
        <v>252.971</v>
      </c>
      <c r="AL23" s="45">
        <f>IF('RPM &amp; Discounts'!$B$3='A0.Support'!$B$8,'A3.Distance matrix'!AM14,'A3.Distance matrix'!AM5)</f>
        <v>262.89100000000002</v>
      </c>
      <c r="AM23" s="45">
        <f>IF('RPM &amp; Discounts'!$B$3='A0.Support'!$B$8,'A3.Distance matrix'!AN14,'A3.Distance matrix'!AN5)</f>
        <v>258.80099999999999</v>
      </c>
      <c r="AN23" s="45">
        <f>IF('RPM &amp; Discounts'!$B$3='A0.Support'!$B$8,'A3.Distance matrix'!AO14,'A3.Distance matrix'!AO5)</f>
        <v>264.45100000000002</v>
      </c>
      <c r="AO23" s="45">
        <f>IF('RPM &amp; Discounts'!$B$3='A0.Support'!$B$8,'A3.Distance matrix'!AP14,'A3.Distance matrix'!AP5)</f>
        <v>278.11099999999999</v>
      </c>
      <c r="AP23" s="45">
        <f>IF('RPM &amp; Discounts'!$B$3='A0.Support'!$B$8,'A3.Distance matrix'!AQ14,'A3.Distance matrix'!AQ5)</f>
        <v>285.21100000000001</v>
      </c>
      <c r="AQ23" s="45">
        <f>IF('RPM &amp; Discounts'!$B$3='A0.Support'!$B$8,'A3.Distance matrix'!AR14,'A3.Distance matrix'!AR5)</f>
        <v>290.05099999999999</v>
      </c>
      <c r="AR23" s="45">
        <f>IF('RPM &amp; Discounts'!$B$3='A0.Support'!$B$8,'A3.Distance matrix'!AS14,'A3.Distance matrix'!AS5)</f>
        <v>295.041</v>
      </c>
      <c r="AS23" s="45">
        <f>IF('RPM &amp; Discounts'!$B$3='A0.Support'!$B$8,'A3.Distance matrix'!AT14,'A3.Distance matrix'!AT5)</f>
        <v>311.37099999999998</v>
      </c>
      <c r="AT23" s="45">
        <f>IF('RPM &amp; Discounts'!$B$3='A0.Support'!$B$8,'A3.Distance matrix'!AU14,'A3.Distance matrix'!AU5)</f>
        <v>318.45100000000002</v>
      </c>
      <c r="AU23" s="45">
        <f>IF('RPM &amp; Discounts'!$B$3='A0.Support'!$B$8,'A3.Distance matrix'!AV14,'A3.Distance matrix'!AV5)</f>
        <v>331.27199999999999</v>
      </c>
      <c r="AV23" s="45">
        <f>IF('RPM &amp; Discounts'!$B$3='A0.Support'!$B$8,'A3.Distance matrix'!AW14,'A3.Distance matrix'!AW5)</f>
        <v>331.27100000000002</v>
      </c>
      <c r="AW23" s="45">
        <f>IF('RPM &amp; Discounts'!$B$3='A0.Support'!$B$8,'A3.Distance matrix'!AX14,'A3.Distance matrix'!AX5)</f>
        <v>335.791</v>
      </c>
      <c r="AX23" s="45">
        <f>IF('RPM &amp; Discounts'!$B$3='A0.Support'!$B$8,'A3.Distance matrix'!AY14,'A3.Distance matrix'!AY5)</f>
        <v>344.55200000000002</v>
      </c>
      <c r="AY23" s="45">
        <f>IF('RPM &amp; Discounts'!$B$3='A0.Support'!$B$8,'A3.Distance matrix'!AZ14,'A3.Distance matrix'!AZ5)</f>
        <v>344.55099999999999</v>
      </c>
      <c r="AZ23" s="45">
        <f>IF('RPM &amp; Discounts'!$B$3='A0.Support'!$B$8,'A3.Distance matrix'!BA14,'A3.Distance matrix'!BA5)</f>
        <v>357.71100000000001</v>
      </c>
      <c r="BA23" s="45">
        <f>IF('RPM &amp; Discounts'!$B$3='A0.Support'!$B$8,'A3.Distance matrix'!BB14,'A3.Distance matrix'!BB5)</f>
        <v>375.27100000000002</v>
      </c>
      <c r="BB23" s="45">
        <f>IF('RPM &amp; Discounts'!$B$3='A0.Support'!$B$8,'A3.Distance matrix'!BC14,'A3.Distance matrix'!BC5)</f>
        <v>389.661</v>
      </c>
      <c r="BC23" s="45">
        <f>IF('RPM &amp; Discounts'!$B$3='A0.Support'!$B$8,'A3.Distance matrix'!BD14,'A3.Distance matrix'!BD5)</f>
        <v>386.92099999999999</v>
      </c>
      <c r="BD23" s="45">
        <f>IF('RPM &amp; Discounts'!$B$3='A0.Support'!$B$8,'A3.Distance matrix'!BE14,'A3.Distance matrix'!BE5)</f>
        <v>391.61099999999999</v>
      </c>
      <c r="BE23" s="45">
        <f>IF('RPM &amp; Discounts'!$B$3='A0.Support'!$B$8,'A3.Distance matrix'!BF14,'A3.Distance matrix'!BF5)</f>
        <v>397.971</v>
      </c>
      <c r="BF23" s="45">
        <f>IF('RPM &amp; Discounts'!$B$3='A0.Support'!$B$8,'A3.Distance matrix'!BG14,'A3.Distance matrix'!BG5)</f>
        <v>407.46100000000001</v>
      </c>
      <c r="BG23" s="45">
        <f>IF('RPM &amp; Discounts'!$B$3='A0.Support'!$B$8,'A3.Distance matrix'!BH14,'A3.Distance matrix'!BH5)</f>
        <v>438.77100000000002</v>
      </c>
      <c r="BH23" s="45">
        <f>IF('RPM &amp; Discounts'!$B$3='A0.Support'!$B$8,'A3.Distance matrix'!BI14,'A3.Distance matrix'!BI5)</f>
        <v>417.76100000000002</v>
      </c>
      <c r="BI23" s="45">
        <f>IF('RPM &amp; Discounts'!$B$3='A0.Support'!$B$8,'A3.Distance matrix'!BJ14,'A3.Distance matrix'!BJ5)</f>
        <v>426.851</v>
      </c>
      <c r="BJ23" s="45">
        <f>IF('RPM &amp; Discounts'!$B$3='A0.Support'!$B$8,'A3.Distance matrix'!BK14,'A3.Distance matrix'!BK5)</f>
        <v>440.98099999999999</v>
      </c>
      <c r="BK23" s="45">
        <f>IF('RPM &amp; Discounts'!$B$3='A0.Support'!$B$8,'A3.Distance matrix'!BL14,'A3.Distance matrix'!BL5)</f>
        <v>448.86099999999999</v>
      </c>
      <c r="BL23" s="45">
        <f>IF('RPM &amp; Discounts'!$B$3='A0.Support'!$B$8,'A3.Distance matrix'!BM14,'A3.Distance matrix'!BM5)</f>
        <v>476.43099999999998</v>
      </c>
      <c r="BM23" s="45">
        <f>IF('RPM &amp; Discounts'!$B$3='A0.Support'!$B$8,'A3.Distance matrix'!BN14,'A3.Distance matrix'!BN5)</f>
        <v>474.33100000000002</v>
      </c>
      <c r="BN23" s="45">
        <f>IF('RPM &amp; Discounts'!$B$3='A0.Support'!$B$8,'A3.Distance matrix'!BO14,'A3.Distance matrix'!BO5)</f>
        <v>504.17099999999999</v>
      </c>
      <c r="BO23" s="45">
        <f>IF('RPM &amp; Discounts'!$B$3='A0.Support'!$B$8,'A3.Distance matrix'!BP14,'A3.Distance matrix'!BP5)</f>
        <v>0.24099999999999999</v>
      </c>
      <c r="BP23" s="45">
        <f>IF('RPM &amp; Discounts'!$B$3='A0.Support'!$B$8,'A3.Distance matrix'!BQ14,'A3.Distance matrix'!BQ5)</f>
        <v>103.621</v>
      </c>
      <c r="BQ23" s="45">
        <f>IF('RPM &amp; Discounts'!$B$3='A0.Support'!$B$8,'A3.Distance matrix'!BR14,'A3.Distance matrix'!BR5)</f>
        <v>126.211</v>
      </c>
      <c r="BR23" s="45">
        <f>IF('RPM &amp; Discounts'!$B$3='A0.Support'!$B$8,'A3.Distance matrix'!BS14,'A3.Distance matrix'!BS5)</f>
        <v>131.27099999999999</v>
      </c>
      <c r="BS23" s="45">
        <f>IF('RPM &amp; Discounts'!$B$3='A0.Support'!$B$8,'A3.Distance matrix'!BT14,'A3.Distance matrix'!BT5)</f>
        <v>146.101</v>
      </c>
      <c r="BT23" s="45">
        <f>IF('RPM &amp; Discounts'!$B$3='A0.Support'!$B$8,'A3.Distance matrix'!BU14,'A3.Distance matrix'!BU5)</f>
        <v>164.28100000000001</v>
      </c>
      <c r="BU23" s="45">
        <f>IF('RPM &amp; Discounts'!$B$3='A0.Support'!$B$8,'A3.Distance matrix'!BV14,'A3.Distance matrix'!BV5)</f>
        <v>183.321</v>
      </c>
      <c r="BV23" s="45">
        <f>IF('RPM &amp; Discounts'!$B$3='A0.Support'!$B$8,'A3.Distance matrix'!BW14,'A3.Distance matrix'!BW5)</f>
        <v>216.55099999999999</v>
      </c>
      <c r="BW23" s="45">
        <f>IF('RPM &amp; Discounts'!$B$3='A0.Support'!$B$8,'A3.Distance matrix'!BX14,'A3.Distance matrix'!BX5)</f>
        <v>71.540999999999997</v>
      </c>
      <c r="BX23" s="45">
        <f>IF('RPM &amp; Discounts'!$B$3='A0.Support'!$B$8,'A3.Distance matrix'!BY14,'A3.Distance matrix'!BY5)</f>
        <v>111.401</v>
      </c>
      <c r="BY23" s="45">
        <f>IF('RPM &amp; Discounts'!$B$3='A0.Support'!$B$8,'A3.Distance matrix'!BZ14,'A3.Distance matrix'!BZ5)</f>
        <v>136.27099999999999</v>
      </c>
      <c r="BZ23" s="45">
        <f>IF('RPM &amp; Discounts'!$B$3='A0.Support'!$B$8,'A3.Distance matrix'!CA14,'A3.Distance matrix'!CA5)</f>
        <v>183.37100000000001</v>
      </c>
      <c r="CA23" s="45">
        <f>IF('RPM &amp; Discounts'!$B$3='A0.Support'!$B$8,'A3.Distance matrix'!CB14,'A3.Distance matrix'!CB5)</f>
        <v>194.15100000000001</v>
      </c>
      <c r="CB23" s="45">
        <f>IF('RPM &amp; Discounts'!$B$3='A0.Support'!$B$8,'A3.Distance matrix'!CC14,'A3.Distance matrix'!CC5)</f>
        <v>233.68100000000001</v>
      </c>
      <c r="CC23" s="45">
        <f>IF('RPM &amp; Discounts'!$B$3='A0.Support'!$B$8,'A3.Distance matrix'!CD14,'A3.Distance matrix'!CD5)</f>
        <v>317.791</v>
      </c>
      <c r="CD23" s="45">
        <f>IF('RPM &amp; Discounts'!$B$3='A0.Support'!$B$8,'A3.Distance matrix'!CE14,'A3.Distance matrix'!CE5)</f>
        <v>327.33100000000002</v>
      </c>
      <c r="CE23" s="45">
        <f>IF('RPM &amp; Discounts'!$B$3='A0.Support'!$B$8,'A3.Distance matrix'!CF14,'A3.Distance matrix'!CF5)</f>
        <v>334.37099999999998</v>
      </c>
      <c r="CF23" s="45">
        <f>IF('RPM &amp; Discounts'!$B$3='A0.Support'!$B$8,'A3.Distance matrix'!CG14,'A3.Distance matrix'!CG5)</f>
        <v>328.49099999999999</v>
      </c>
      <c r="CG23" s="45">
        <f>IF('RPM &amp; Discounts'!$B$3='A0.Support'!$B$8,'A3.Distance matrix'!CH14,'A3.Distance matrix'!CH5)</f>
        <v>310.01100000000002</v>
      </c>
      <c r="CH23" s="45">
        <f>IF('RPM &amp; Discounts'!$B$3='A0.Support'!$B$8,'A3.Distance matrix'!CI14,'A3.Distance matrix'!CI5)</f>
        <v>399.62099999999998</v>
      </c>
      <c r="CI23" s="45">
        <f>IF('RPM &amp; Discounts'!$B$3='A0.Support'!$B$8,'A3.Distance matrix'!CJ14,'A3.Distance matrix'!CJ5)</f>
        <v>474.50099999999998</v>
      </c>
      <c r="CJ23" s="45">
        <f>IF('RPM &amp; Discounts'!$B$3='A0.Support'!$B$8,'A3.Distance matrix'!CK14,'A3.Distance matrix'!CK5)</f>
        <v>474.50200000000001</v>
      </c>
      <c r="CK23" s="45">
        <f>IF('RPM &amp; Discounts'!$B$3='A0.Support'!$B$8,'A3.Distance matrix'!CL14,'A3.Distance matrix'!CL5)</f>
        <v>475.822</v>
      </c>
      <c r="CL23" s="45">
        <f>IF('RPM &amp; Discounts'!$B$3='A0.Support'!$B$8,'A3.Distance matrix'!CM14,'A3.Distance matrix'!CM5)</f>
        <v>474.50200000000001</v>
      </c>
      <c r="CM23" s="45">
        <f>IF('RPM &amp; Discounts'!$B$3='A0.Support'!$B$8,'A3.Distance matrix'!CN14,'A3.Distance matrix'!CN5)</f>
        <v>481.59100000000001</v>
      </c>
    </row>
    <row r="24" spans="2:91">
      <c r="B24" s="43" t="str">
        <f t="shared" ref="B24:B27" si="5">B6</f>
        <v>CTS Valença do Minho</v>
      </c>
      <c r="C24" s="45">
        <f>IF('RPM &amp; Discounts'!$B$3='A0.Support'!$B$8,'A3.Distance matrix'!D15,'A3.Distance matrix'!D6)</f>
        <v>508.95100000000002</v>
      </c>
      <c r="D24" s="45">
        <f>IF('RPM &amp; Discounts'!$B$3='A0.Support'!$B$8,'A3.Distance matrix'!E15,'A3.Distance matrix'!E6)</f>
        <v>0</v>
      </c>
      <c r="E24" s="45">
        <f>IF('RPM &amp; Discounts'!$B$3='A0.Support'!$B$8,'A3.Distance matrix'!F15,'A3.Distance matrix'!F6)</f>
        <v>549.62099999999998</v>
      </c>
      <c r="F24" s="45">
        <f>IF('RPM &amp; Discounts'!$B$3='A0.Support'!$B$8,'A3.Distance matrix'!G15,'A3.Distance matrix'!G6)</f>
        <v>307.55099999999999</v>
      </c>
      <c r="G24" s="45">
        <f>IF('RPM &amp; Discounts'!$B$3='A0.Support'!$B$8,'A3.Distance matrix'!H15,'A3.Distance matrix'!H6)</f>
        <v>462.31</v>
      </c>
      <c r="H24" s="45">
        <f>IF('RPM &amp; Discounts'!$B$3='A0.Support'!$B$8,'A3.Distance matrix'!I15,'A3.Distance matrix'!I6)</f>
        <v>475.31099999999998</v>
      </c>
      <c r="I24" s="45">
        <f>IF('RPM &amp; Discounts'!$B$3='A0.Support'!$B$8,'A3.Distance matrix'!J15,'A3.Distance matrix'!J6)</f>
        <v>467</v>
      </c>
      <c r="J24" s="45">
        <f>IF('RPM &amp; Discounts'!$B$3='A0.Support'!$B$8,'A3.Distance matrix'!K15,'A3.Distance matrix'!K6)</f>
        <v>475.31</v>
      </c>
      <c r="K24" s="45">
        <f>IF('RPM &amp; Discounts'!$B$3='A0.Support'!$B$8,'A3.Distance matrix'!L15,'A3.Distance matrix'!L6)</f>
        <v>446.38</v>
      </c>
      <c r="L24" s="45">
        <f>IF('RPM &amp; Discounts'!$B$3='A0.Support'!$B$8,'A3.Distance matrix'!M15,'A3.Distance matrix'!M6)</f>
        <v>433.99</v>
      </c>
      <c r="M24" s="45">
        <f>IF('RPM &amp; Discounts'!$B$3='A0.Support'!$B$8,'A3.Distance matrix'!N15,'A3.Distance matrix'!N6)</f>
        <v>481.57</v>
      </c>
      <c r="N24" s="45">
        <f>IF('RPM &amp; Discounts'!$B$3='A0.Support'!$B$8,'A3.Distance matrix'!O15,'A3.Distance matrix'!O6)</f>
        <v>417.29</v>
      </c>
      <c r="O24" s="45">
        <f>IF('RPM &amp; Discounts'!$B$3='A0.Support'!$B$8,'A3.Distance matrix'!P15,'A3.Distance matrix'!P6)</f>
        <v>404.83</v>
      </c>
      <c r="P24" s="45">
        <f>IF('RPM &amp; Discounts'!$B$3='A0.Support'!$B$8,'A3.Distance matrix'!Q15,'A3.Distance matrix'!Q6)</f>
        <v>434.09100000000001</v>
      </c>
      <c r="Q24" s="45">
        <f>IF('RPM &amp; Discounts'!$B$3='A0.Support'!$B$8,'A3.Distance matrix'!R15,'A3.Distance matrix'!R6)</f>
        <v>401.2</v>
      </c>
      <c r="R24" s="45">
        <f>IF('RPM &amp; Discounts'!$B$3='A0.Support'!$B$8,'A3.Distance matrix'!S15,'A3.Distance matrix'!S6)</f>
        <v>421.98099999999999</v>
      </c>
      <c r="S24" s="45">
        <f>IF('RPM &amp; Discounts'!$B$3='A0.Support'!$B$8,'A3.Distance matrix'!T15,'A3.Distance matrix'!T6)</f>
        <v>428.75200000000001</v>
      </c>
      <c r="T24" s="45">
        <f>IF('RPM &amp; Discounts'!$B$3='A0.Support'!$B$8,'A3.Distance matrix'!U15,'A3.Distance matrix'!U6)</f>
        <v>398.63</v>
      </c>
      <c r="U24" s="45">
        <f>IF('RPM &amp; Discounts'!$B$3='A0.Support'!$B$8,'A3.Distance matrix'!V15,'A3.Distance matrix'!V6)</f>
        <v>401.20100000000002</v>
      </c>
      <c r="V24" s="45">
        <f>IF('RPM &amp; Discounts'!$B$3='A0.Support'!$B$8,'A3.Distance matrix'!W15,'A3.Distance matrix'!W6)</f>
        <v>428.75099999999998</v>
      </c>
      <c r="W24" s="45">
        <f>IF('RPM &amp; Discounts'!$B$3='A0.Support'!$B$8,'A3.Distance matrix'!X15,'A3.Distance matrix'!X6)</f>
        <v>396.42</v>
      </c>
      <c r="X24" s="45">
        <f>IF('RPM &amp; Discounts'!$B$3='A0.Support'!$B$8,'A3.Distance matrix'!Y15,'A3.Distance matrix'!Y6)</f>
        <v>384.99</v>
      </c>
      <c r="Y24" s="45">
        <f>IF('RPM &amp; Discounts'!$B$3='A0.Support'!$B$8,'A3.Distance matrix'!Z15,'A3.Distance matrix'!Z6)</f>
        <v>408.721</v>
      </c>
      <c r="Z24" s="45">
        <f>IF('RPM &amp; Discounts'!$B$3='A0.Support'!$B$8,'A3.Distance matrix'!AA15,'A3.Distance matrix'!AA6)</f>
        <v>408.72</v>
      </c>
      <c r="AA24" s="45">
        <f>IF('RPM &amp; Discounts'!$B$3='A0.Support'!$B$8,'A3.Distance matrix'!AB15,'A3.Distance matrix'!AB6)</f>
        <v>360.39</v>
      </c>
      <c r="AB24" s="45">
        <f>IF('RPM &amp; Discounts'!$B$3='A0.Support'!$B$8,'A3.Distance matrix'!AC15,'A3.Distance matrix'!AC6)</f>
        <v>326.45</v>
      </c>
      <c r="AC24" s="45">
        <f>IF('RPM &amp; Discounts'!$B$3='A0.Support'!$B$8,'A3.Distance matrix'!AD15,'A3.Distance matrix'!AD6)</f>
        <v>313.77</v>
      </c>
      <c r="AD24" s="45">
        <f>IF('RPM &amp; Discounts'!$B$3='A0.Support'!$B$8,'A3.Distance matrix'!AE15,'A3.Distance matrix'!AE6)</f>
        <v>307.2</v>
      </c>
      <c r="AE24" s="45">
        <f>IF('RPM &amp; Discounts'!$B$3='A0.Support'!$B$8,'A3.Distance matrix'!AF15,'A3.Distance matrix'!AF6)</f>
        <v>307.55</v>
      </c>
      <c r="AF24" s="45">
        <f>IF('RPM &amp; Discounts'!$B$3='A0.Support'!$B$8,'A3.Distance matrix'!AG15,'A3.Distance matrix'!AG6)</f>
        <v>317.45999999999998</v>
      </c>
      <c r="AG24" s="45">
        <f>IF('RPM &amp; Discounts'!$B$3='A0.Support'!$B$8,'A3.Distance matrix'!AH15,'A3.Distance matrix'!AH6)</f>
        <v>317.57</v>
      </c>
      <c r="AH24" s="45">
        <f>IF('RPM &amp; Discounts'!$B$3='A0.Support'!$B$8,'A3.Distance matrix'!AI15,'A3.Distance matrix'!AI6)</f>
        <v>330.64</v>
      </c>
      <c r="AI24" s="45">
        <f>IF('RPM &amp; Discounts'!$B$3='A0.Support'!$B$8,'A3.Distance matrix'!AJ15,'A3.Distance matrix'!AJ6)</f>
        <v>279.25</v>
      </c>
      <c r="AJ24" s="45">
        <f>IF('RPM &amp; Discounts'!$B$3='A0.Support'!$B$8,'A3.Distance matrix'!AK15,'A3.Distance matrix'!AK6)</f>
        <v>330.64100000000002</v>
      </c>
      <c r="AK24" s="45">
        <f>IF('RPM &amp; Discounts'!$B$3='A0.Support'!$B$8,'A3.Distance matrix'!AL15,'A3.Distance matrix'!AL6)</f>
        <v>265.12</v>
      </c>
      <c r="AL24" s="45">
        <f>IF('RPM &amp; Discounts'!$B$3='A0.Support'!$B$8,'A3.Distance matrix'!AM15,'A3.Distance matrix'!AM6)</f>
        <v>275.04000000000002</v>
      </c>
      <c r="AM24" s="45">
        <f>IF('RPM &amp; Discounts'!$B$3='A0.Support'!$B$8,'A3.Distance matrix'!AN15,'A3.Distance matrix'!AN6)</f>
        <v>250.15</v>
      </c>
      <c r="AN24" s="45">
        <f>IF('RPM &amp; Discounts'!$B$3='A0.Support'!$B$8,'A3.Distance matrix'!AO15,'A3.Distance matrix'!AO6)</f>
        <v>244.5</v>
      </c>
      <c r="AO24" s="45">
        <f>IF('RPM &amp; Discounts'!$B$3='A0.Support'!$B$8,'A3.Distance matrix'!AP15,'A3.Distance matrix'!AP6)</f>
        <v>230.84</v>
      </c>
      <c r="AP24" s="45">
        <f>IF('RPM &amp; Discounts'!$B$3='A0.Support'!$B$8,'A3.Distance matrix'!AQ15,'A3.Distance matrix'!AQ6)</f>
        <v>223.74</v>
      </c>
      <c r="AQ24" s="45">
        <f>IF('RPM &amp; Discounts'!$B$3='A0.Support'!$B$8,'A3.Distance matrix'!AR15,'A3.Distance matrix'!AR6)</f>
        <v>218.9</v>
      </c>
      <c r="AR24" s="45">
        <f>IF('RPM &amp; Discounts'!$B$3='A0.Support'!$B$8,'A3.Distance matrix'!AS15,'A3.Distance matrix'!AS6)</f>
        <v>213.91</v>
      </c>
      <c r="AS24" s="45">
        <f>IF('RPM &amp; Discounts'!$B$3='A0.Support'!$B$8,'A3.Distance matrix'!AT15,'A3.Distance matrix'!AT6)</f>
        <v>197.58</v>
      </c>
      <c r="AT24" s="45">
        <f>IF('RPM &amp; Discounts'!$B$3='A0.Support'!$B$8,'A3.Distance matrix'!AU15,'A3.Distance matrix'!AU6)</f>
        <v>190.5</v>
      </c>
      <c r="AU24" s="45">
        <f>IF('RPM &amp; Discounts'!$B$3='A0.Support'!$B$8,'A3.Distance matrix'!AV15,'A3.Distance matrix'!AV6)</f>
        <v>191.96100000000001</v>
      </c>
      <c r="AV24" s="45">
        <f>IF('RPM &amp; Discounts'!$B$3='A0.Support'!$B$8,'A3.Distance matrix'!AW15,'A3.Distance matrix'!AW6)</f>
        <v>191.96</v>
      </c>
      <c r="AW24" s="45">
        <f>IF('RPM &amp; Discounts'!$B$3='A0.Support'!$B$8,'A3.Distance matrix'!AX15,'A3.Distance matrix'!AX6)</f>
        <v>173.16</v>
      </c>
      <c r="AX24" s="45">
        <f>IF('RPM &amp; Discounts'!$B$3='A0.Support'!$B$8,'A3.Distance matrix'!AY15,'A3.Distance matrix'!AY6)</f>
        <v>164.40100000000001</v>
      </c>
      <c r="AY24" s="45">
        <f>IF('RPM &amp; Discounts'!$B$3='A0.Support'!$B$8,'A3.Distance matrix'!AZ15,'A3.Distance matrix'!AZ6)</f>
        <v>164.4</v>
      </c>
      <c r="AZ24" s="45">
        <f>IF('RPM &amp; Discounts'!$B$3='A0.Support'!$B$8,'A3.Distance matrix'!BA15,'A3.Distance matrix'!BA6)</f>
        <v>151.24</v>
      </c>
      <c r="BA24" s="45">
        <f>IF('RPM &amp; Discounts'!$B$3='A0.Support'!$B$8,'A3.Distance matrix'!BB15,'A3.Distance matrix'!BB6)</f>
        <v>133.68</v>
      </c>
      <c r="BB24" s="45">
        <f>IF('RPM &amp; Discounts'!$B$3='A0.Support'!$B$8,'A3.Distance matrix'!BC15,'A3.Distance matrix'!BC6)</f>
        <v>136.16999999999999</v>
      </c>
      <c r="BC24" s="45">
        <f>IF('RPM &amp; Discounts'!$B$3='A0.Support'!$B$8,'A3.Distance matrix'!BD15,'A3.Distance matrix'!BD6)</f>
        <v>133.43</v>
      </c>
      <c r="BD24" s="45">
        <f>IF('RPM &amp; Discounts'!$B$3='A0.Support'!$B$8,'A3.Distance matrix'!BE15,'A3.Distance matrix'!BE6)</f>
        <v>131.36000000000001</v>
      </c>
      <c r="BE24" s="45">
        <f>IF('RPM &amp; Discounts'!$B$3='A0.Support'!$B$8,'A3.Distance matrix'!BF15,'A3.Distance matrix'!BF6)</f>
        <v>110.98</v>
      </c>
      <c r="BF24" s="45">
        <f>IF('RPM &amp; Discounts'!$B$3='A0.Support'!$B$8,'A3.Distance matrix'!BG15,'A3.Distance matrix'!BG6)</f>
        <v>101.49</v>
      </c>
      <c r="BG24" s="45">
        <f>IF('RPM &amp; Discounts'!$B$3='A0.Support'!$B$8,'A3.Distance matrix'!BH15,'A3.Distance matrix'!BH6)</f>
        <v>117.66</v>
      </c>
      <c r="BH24" s="45">
        <f>IF('RPM &amp; Discounts'!$B$3='A0.Support'!$B$8,'A3.Distance matrix'!BI15,'A3.Distance matrix'!BI6)</f>
        <v>91.19</v>
      </c>
      <c r="BI24" s="45">
        <f>IF('RPM &amp; Discounts'!$B$3='A0.Support'!$B$8,'A3.Distance matrix'!BJ15,'A3.Distance matrix'!BJ6)</f>
        <v>82.1</v>
      </c>
      <c r="BJ24" s="45">
        <f>IF('RPM &amp; Discounts'!$B$3='A0.Support'!$B$8,'A3.Distance matrix'!BK15,'A3.Distance matrix'!BK6)</f>
        <v>80.97</v>
      </c>
      <c r="BK24" s="45">
        <f>IF('RPM &amp; Discounts'!$B$3='A0.Support'!$B$8,'A3.Distance matrix'!BL15,'A3.Distance matrix'!BL6)</f>
        <v>60.09</v>
      </c>
      <c r="BL24" s="45">
        <f>IF('RPM &amp; Discounts'!$B$3='A0.Support'!$B$8,'A3.Distance matrix'!BM15,'A3.Distance matrix'!BM6)</f>
        <v>71.680000000000007</v>
      </c>
      <c r="BM24" s="45">
        <f>IF('RPM &amp; Discounts'!$B$3='A0.Support'!$B$8,'A3.Distance matrix'!BN15,'A3.Distance matrix'!BN6)</f>
        <v>34.619999999999997</v>
      </c>
      <c r="BN24" s="45">
        <f>IF('RPM &amp; Discounts'!$B$3='A0.Support'!$B$8,'A3.Distance matrix'!BO15,'A3.Distance matrix'!BO6)</f>
        <v>4.78</v>
      </c>
      <c r="BO24" s="45">
        <f>IF('RPM &amp; Discounts'!$B$3='A0.Support'!$B$8,'A3.Distance matrix'!BP15,'A3.Distance matrix'!BP6)</f>
        <v>508.71</v>
      </c>
      <c r="BP24" s="45">
        <f>IF('RPM &amp; Discounts'!$B$3='A0.Support'!$B$8,'A3.Distance matrix'!BQ15,'A3.Distance matrix'!BQ6)</f>
        <v>405.33</v>
      </c>
      <c r="BQ24" s="45">
        <f>IF('RPM &amp; Discounts'!$B$3='A0.Support'!$B$8,'A3.Distance matrix'!BR15,'A3.Distance matrix'!BR6)</f>
        <v>382.74</v>
      </c>
      <c r="BR24" s="45">
        <f>IF('RPM &amp; Discounts'!$B$3='A0.Support'!$B$8,'A3.Distance matrix'!BS15,'A3.Distance matrix'!BS6)</f>
        <v>387.8</v>
      </c>
      <c r="BS24" s="45">
        <f>IF('RPM &amp; Discounts'!$B$3='A0.Support'!$B$8,'A3.Distance matrix'!BT15,'A3.Distance matrix'!BT6)</f>
        <v>362.85</v>
      </c>
      <c r="BT24" s="45">
        <f>IF('RPM &amp; Discounts'!$B$3='A0.Support'!$B$8,'A3.Distance matrix'!BU15,'A3.Distance matrix'!BU6)</f>
        <v>344.67</v>
      </c>
      <c r="BU24" s="45">
        <f>IF('RPM &amp; Discounts'!$B$3='A0.Support'!$B$8,'A3.Distance matrix'!BV15,'A3.Distance matrix'!BV6)</f>
        <v>325.63</v>
      </c>
      <c r="BV24" s="45">
        <f>IF('RPM &amp; Discounts'!$B$3='A0.Support'!$B$8,'A3.Distance matrix'!BW15,'A3.Distance matrix'!BW6)</f>
        <v>292.39999999999998</v>
      </c>
      <c r="BW24" s="45">
        <f>IF('RPM &amp; Discounts'!$B$3='A0.Support'!$B$8,'A3.Distance matrix'!BX15,'A3.Distance matrix'!BX6)</f>
        <v>481.29</v>
      </c>
      <c r="BX24" s="45">
        <f>IF('RPM &amp; Discounts'!$B$3='A0.Support'!$B$8,'A3.Distance matrix'!BY15,'A3.Distance matrix'!BY6)</f>
        <v>480.47</v>
      </c>
      <c r="BY24" s="45">
        <f>IF('RPM &amp; Discounts'!$B$3='A0.Support'!$B$8,'A3.Distance matrix'!BZ15,'A3.Distance matrix'!BZ6)</f>
        <v>455.6</v>
      </c>
      <c r="BZ24" s="45">
        <f>IF('RPM &amp; Discounts'!$B$3='A0.Support'!$B$8,'A3.Distance matrix'!CA15,'A3.Distance matrix'!CA6)</f>
        <v>408.5</v>
      </c>
      <c r="CA24" s="45">
        <f>IF('RPM &amp; Discounts'!$B$3='A0.Support'!$B$8,'A3.Distance matrix'!CB15,'A3.Distance matrix'!CB6)</f>
        <v>397.72</v>
      </c>
      <c r="CB24" s="45">
        <f>IF('RPM &amp; Discounts'!$B$3='A0.Support'!$B$8,'A3.Distance matrix'!CC15,'A3.Distance matrix'!CC6)</f>
        <v>358.19</v>
      </c>
      <c r="CC24" s="45">
        <f>IF('RPM &amp; Discounts'!$B$3='A0.Support'!$B$8,'A3.Distance matrix'!CD15,'A3.Distance matrix'!CD6)</f>
        <v>236.66</v>
      </c>
      <c r="CD24" s="45">
        <f>IF('RPM &amp; Discounts'!$B$3='A0.Support'!$B$8,'A3.Distance matrix'!CE15,'A3.Distance matrix'!CE6)</f>
        <v>246.2</v>
      </c>
      <c r="CE24" s="45">
        <f>IF('RPM &amp; Discounts'!$B$3='A0.Support'!$B$8,'A3.Distance matrix'!CF15,'A3.Distance matrix'!CF6)</f>
        <v>257.5</v>
      </c>
      <c r="CF24" s="45">
        <f>IF('RPM &amp; Discounts'!$B$3='A0.Support'!$B$8,'A3.Distance matrix'!CG15,'A3.Distance matrix'!CG6)</f>
        <v>279.72000000000003</v>
      </c>
      <c r="CG24" s="45">
        <f>IF('RPM &amp; Discounts'!$B$3='A0.Support'!$B$8,'A3.Distance matrix'!CH15,'A3.Distance matrix'!CH6)</f>
        <v>281.86</v>
      </c>
      <c r="CH24" s="45">
        <f>IF('RPM &amp; Discounts'!$B$3='A0.Support'!$B$8,'A3.Distance matrix'!CI15,'A3.Distance matrix'!CI6)</f>
        <v>467.65</v>
      </c>
      <c r="CI24" s="45">
        <f>IF('RPM &amp; Discounts'!$B$3='A0.Support'!$B$8,'A3.Distance matrix'!CJ15,'A3.Distance matrix'!CJ6)</f>
        <v>542.53</v>
      </c>
      <c r="CJ24" s="45">
        <f>IF('RPM &amp; Discounts'!$B$3='A0.Support'!$B$8,'A3.Distance matrix'!CK15,'A3.Distance matrix'!CK6)</f>
        <v>542.53099999999995</v>
      </c>
      <c r="CK24" s="45">
        <f>IF('RPM &amp; Discounts'!$B$3='A0.Support'!$B$8,'A3.Distance matrix'!CL15,'A3.Distance matrix'!CL6)</f>
        <v>543.851</v>
      </c>
      <c r="CL24" s="45">
        <f>IF('RPM &amp; Discounts'!$B$3='A0.Support'!$B$8,'A3.Distance matrix'!CM15,'A3.Distance matrix'!CM6)</f>
        <v>542.53099999999995</v>
      </c>
      <c r="CM24" s="45">
        <f>IF('RPM &amp; Discounts'!$B$3='A0.Support'!$B$8,'A3.Distance matrix'!CN15,'A3.Distance matrix'!CN6)</f>
        <v>549.62</v>
      </c>
    </row>
    <row r="25" spans="2:91">
      <c r="B25" s="43" t="str">
        <f t="shared" si="5"/>
        <v>LNG Terminal Sines</v>
      </c>
      <c r="C25" s="45">
        <f>IF('RPM &amp; Discounts'!$B$3='A0.Support'!$B$8,'A3.Distance matrix'!D16,'A3.Distance matrix'!D7)</f>
        <v>481.59199999999998</v>
      </c>
      <c r="D25" s="45">
        <f>IF('RPM &amp; Discounts'!$B$3='A0.Support'!$B$8,'A3.Distance matrix'!E16,'A3.Distance matrix'!E7)</f>
        <v>549.62099999999998</v>
      </c>
      <c r="E25" s="45">
        <f>IF('RPM &amp; Discounts'!$B$3='A0.Support'!$B$8,'A3.Distance matrix'!F16,'A3.Distance matrix'!F7)</f>
        <v>0</v>
      </c>
      <c r="F25" s="45">
        <f>IF('RPM &amp; Discounts'!$B$3='A0.Support'!$B$8,'A3.Distance matrix'!G16,'A3.Distance matrix'!G7)</f>
        <v>280.19200000000001</v>
      </c>
      <c r="G25" s="45">
        <f>IF('RPM &amp; Discounts'!$B$3='A0.Support'!$B$8,'A3.Distance matrix'!H16,'A3.Distance matrix'!H7)</f>
        <v>87.311000000000007</v>
      </c>
      <c r="H25" s="45">
        <f>IF('RPM &amp; Discounts'!$B$3='A0.Support'!$B$8,'A3.Distance matrix'!I16,'A3.Distance matrix'!I7)</f>
        <v>113.492</v>
      </c>
      <c r="I25" s="45">
        <f>IF('RPM &amp; Discounts'!$B$3='A0.Support'!$B$8,'A3.Distance matrix'!J16,'A3.Distance matrix'!J7)</f>
        <v>105.181</v>
      </c>
      <c r="J25" s="45">
        <f>IF('RPM &amp; Discounts'!$B$3='A0.Support'!$B$8,'A3.Distance matrix'!K16,'A3.Distance matrix'!K7)</f>
        <v>113.491</v>
      </c>
      <c r="K25" s="45">
        <f>IF('RPM &amp; Discounts'!$B$3='A0.Support'!$B$8,'A3.Distance matrix'!L16,'A3.Distance matrix'!L7)</f>
        <v>103.241</v>
      </c>
      <c r="L25" s="45">
        <f>IF('RPM &amp; Discounts'!$B$3='A0.Support'!$B$8,'A3.Distance matrix'!M16,'A3.Distance matrix'!M7)</f>
        <v>115.631</v>
      </c>
      <c r="M25" s="45">
        <f>IF('RPM &amp; Discounts'!$B$3='A0.Support'!$B$8,'A3.Distance matrix'!N16,'A3.Distance matrix'!N7)</f>
        <v>119.751</v>
      </c>
      <c r="N25" s="45">
        <f>IF('RPM &amp; Discounts'!$B$3='A0.Support'!$B$8,'A3.Distance matrix'!O16,'A3.Distance matrix'!O7)</f>
        <v>132.33099999999999</v>
      </c>
      <c r="O25" s="45">
        <f>IF('RPM &amp; Discounts'!$B$3='A0.Support'!$B$8,'A3.Distance matrix'!P16,'A3.Distance matrix'!P7)</f>
        <v>144.791</v>
      </c>
      <c r="P25" s="45">
        <f>IF('RPM &amp; Discounts'!$B$3='A0.Support'!$B$8,'A3.Distance matrix'!Q16,'A3.Distance matrix'!Q7)</f>
        <v>181.59200000000001</v>
      </c>
      <c r="Q25" s="45">
        <f>IF('RPM &amp; Discounts'!$B$3='A0.Support'!$B$8,'A3.Distance matrix'!R16,'A3.Distance matrix'!R7)</f>
        <v>148.70099999999999</v>
      </c>
      <c r="R25" s="45">
        <f>IF('RPM &amp; Discounts'!$B$3='A0.Support'!$B$8,'A3.Distance matrix'!S16,'A3.Distance matrix'!S7)</f>
        <v>169.482</v>
      </c>
      <c r="S25" s="45">
        <f>IF('RPM &amp; Discounts'!$B$3='A0.Support'!$B$8,'A3.Distance matrix'!T16,'A3.Distance matrix'!T7)</f>
        <v>176.25299999999999</v>
      </c>
      <c r="T25" s="45">
        <f>IF('RPM &amp; Discounts'!$B$3='A0.Support'!$B$8,'A3.Distance matrix'!U16,'A3.Distance matrix'!U7)</f>
        <v>150.99100000000001</v>
      </c>
      <c r="U25" s="45">
        <f>IF('RPM &amp; Discounts'!$B$3='A0.Support'!$B$8,'A3.Distance matrix'!V16,'A3.Distance matrix'!V7)</f>
        <v>148.702</v>
      </c>
      <c r="V25" s="45">
        <f>IF('RPM &amp; Discounts'!$B$3='A0.Support'!$B$8,'A3.Distance matrix'!W16,'A3.Distance matrix'!W7)</f>
        <v>176.25200000000001</v>
      </c>
      <c r="W25" s="45">
        <f>IF('RPM &amp; Discounts'!$B$3='A0.Support'!$B$8,'A3.Distance matrix'!X16,'A3.Distance matrix'!X7)</f>
        <v>176.06100000000001</v>
      </c>
      <c r="X25" s="45">
        <f>IF('RPM &amp; Discounts'!$B$3='A0.Support'!$B$8,'A3.Distance matrix'!Y16,'A3.Distance matrix'!Y7)</f>
        <v>164.631</v>
      </c>
      <c r="Y25" s="45">
        <f>IF('RPM &amp; Discounts'!$B$3='A0.Support'!$B$8,'A3.Distance matrix'!Z16,'A3.Distance matrix'!Z7)</f>
        <v>188.36199999999999</v>
      </c>
      <c r="Z25" s="45">
        <f>IF('RPM &amp; Discounts'!$B$3='A0.Support'!$B$8,'A3.Distance matrix'!AA16,'A3.Distance matrix'!AA7)</f>
        <v>188.36099999999999</v>
      </c>
      <c r="AA25" s="45">
        <f>IF('RPM &amp; Discounts'!$B$3='A0.Support'!$B$8,'A3.Distance matrix'!AB16,'A3.Distance matrix'!AB7)</f>
        <v>189.23099999999999</v>
      </c>
      <c r="AB25" s="45">
        <f>IF('RPM &amp; Discounts'!$B$3='A0.Support'!$B$8,'A3.Distance matrix'!AC16,'A3.Distance matrix'!AC7)</f>
        <v>223.17099999999999</v>
      </c>
      <c r="AC25" s="45">
        <f>IF('RPM &amp; Discounts'!$B$3='A0.Support'!$B$8,'A3.Distance matrix'!AD16,'A3.Distance matrix'!AD7)</f>
        <v>235.851</v>
      </c>
      <c r="AD25" s="45">
        <f>IF('RPM &amp; Discounts'!$B$3='A0.Support'!$B$8,'A3.Distance matrix'!AE16,'A3.Distance matrix'!AE7)</f>
        <v>242.42099999999999</v>
      </c>
      <c r="AE25" s="45">
        <f>IF('RPM &amp; Discounts'!$B$3='A0.Support'!$B$8,'A3.Distance matrix'!AF16,'A3.Distance matrix'!AF7)</f>
        <v>280.19099999999997</v>
      </c>
      <c r="AF25" s="45">
        <f>IF('RPM &amp; Discounts'!$B$3='A0.Support'!$B$8,'A3.Distance matrix'!AG16,'A3.Distance matrix'!AG7)</f>
        <v>290.101</v>
      </c>
      <c r="AG25" s="45">
        <f>IF('RPM &amp; Discounts'!$B$3='A0.Support'!$B$8,'A3.Distance matrix'!AH16,'A3.Distance matrix'!AH7)</f>
        <v>290.21100000000001</v>
      </c>
      <c r="AH25" s="45">
        <f>IF('RPM &amp; Discounts'!$B$3='A0.Support'!$B$8,'A3.Distance matrix'!AI16,'A3.Distance matrix'!AI7)</f>
        <v>303.28100000000001</v>
      </c>
      <c r="AI25" s="45">
        <f>IF('RPM &amp; Discounts'!$B$3='A0.Support'!$B$8,'A3.Distance matrix'!AJ16,'A3.Distance matrix'!AJ7)</f>
        <v>270.37099999999998</v>
      </c>
      <c r="AJ25" s="45">
        <f>IF('RPM &amp; Discounts'!$B$3='A0.Support'!$B$8,'A3.Distance matrix'!AK16,'A3.Distance matrix'!AK7)</f>
        <v>303.28199999999998</v>
      </c>
      <c r="AK25" s="45">
        <f>IF('RPM &amp; Discounts'!$B$3='A0.Support'!$B$8,'A3.Distance matrix'!AL16,'A3.Distance matrix'!AL7)</f>
        <v>293.64100000000002</v>
      </c>
      <c r="AL25" s="45">
        <f>IF('RPM &amp; Discounts'!$B$3='A0.Support'!$B$8,'A3.Distance matrix'!AM16,'A3.Distance matrix'!AM7)</f>
        <v>303.56099999999998</v>
      </c>
      <c r="AM25" s="45">
        <f>IF('RPM &amp; Discounts'!$B$3='A0.Support'!$B$8,'A3.Distance matrix'!AN16,'A3.Distance matrix'!AN7)</f>
        <v>299.471</v>
      </c>
      <c r="AN25" s="45">
        <f>IF('RPM &amp; Discounts'!$B$3='A0.Support'!$B$8,'A3.Distance matrix'!AO16,'A3.Distance matrix'!AO7)</f>
        <v>305.12099999999998</v>
      </c>
      <c r="AO25" s="45">
        <f>IF('RPM &amp; Discounts'!$B$3='A0.Support'!$B$8,'A3.Distance matrix'!AP16,'A3.Distance matrix'!AP7)</f>
        <v>318.78100000000001</v>
      </c>
      <c r="AP25" s="45">
        <f>IF('RPM &amp; Discounts'!$B$3='A0.Support'!$B$8,'A3.Distance matrix'!AQ16,'A3.Distance matrix'!AQ7)</f>
        <v>325.88099999999997</v>
      </c>
      <c r="AQ25" s="45">
        <f>IF('RPM &amp; Discounts'!$B$3='A0.Support'!$B$8,'A3.Distance matrix'!AR16,'A3.Distance matrix'!AR7)</f>
        <v>330.721</v>
      </c>
      <c r="AR25" s="45">
        <f>IF('RPM &amp; Discounts'!$B$3='A0.Support'!$B$8,'A3.Distance matrix'!AS16,'A3.Distance matrix'!AS7)</f>
        <v>335.71100000000001</v>
      </c>
      <c r="AS25" s="45">
        <f>IF('RPM &amp; Discounts'!$B$3='A0.Support'!$B$8,'A3.Distance matrix'!AT16,'A3.Distance matrix'!AT7)</f>
        <v>352.041</v>
      </c>
      <c r="AT25" s="45">
        <f>IF('RPM &amp; Discounts'!$B$3='A0.Support'!$B$8,'A3.Distance matrix'!AU16,'A3.Distance matrix'!AU7)</f>
        <v>359.12099999999998</v>
      </c>
      <c r="AU25" s="45">
        <f>IF('RPM &amp; Discounts'!$B$3='A0.Support'!$B$8,'A3.Distance matrix'!AV16,'A3.Distance matrix'!AV7)</f>
        <v>371.94200000000001</v>
      </c>
      <c r="AV25" s="45">
        <f>IF('RPM &amp; Discounts'!$B$3='A0.Support'!$B$8,'A3.Distance matrix'!AW16,'A3.Distance matrix'!AW7)</f>
        <v>371.94099999999997</v>
      </c>
      <c r="AW25" s="45">
        <f>IF('RPM &amp; Discounts'!$B$3='A0.Support'!$B$8,'A3.Distance matrix'!AX16,'A3.Distance matrix'!AX7)</f>
        <v>376.46100000000001</v>
      </c>
      <c r="AX25" s="45">
        <f>IF('RPM &amp; Discounts'!$B$3='A0.Support'!$B$8,'A3.Distance matrix'!AY16,'A3.Distance matrix'!AY7)</f>
        <v>385.22199999999998</v>
      </c>
      <c r="AY25" s="45">
        <f>IF('RPM &amp; Discounts'!$B$3='A0.Support'!$B$8,'A3.Distance matrix'!AZ16,'A3.Distance matrix'!AZ7)</f>
        <v>385.221</v>
      </c>
      <c r="AZ25" s="45">
        <f>IF('RPM &amp; Discounts'!$B$3='A0.Support'!$B$8,'A3.Distance matrix'!BA16,'A3.Distance matrix'!BA7)</f>
        <v>398.38099999999997</v>
      </c>
      <c r="BA25" s="45">
        <f>IF('RPM &amp; Discounts'!$B$3='A0.Support'!$B$8,'A3.Distance matrix'!BB16,'A3.Distance matrix'!BB7)</f>
        <v>415.94099999999997</v>
      </c>
      <c r="BB25" s="45">
        <f>IF('RPM &amp; Discounts'!$B$3='A0.Support'!$B$8,'A3.Distance matrix'!BC16,'A3.Distance matrix'!BC7)</f>
        <v>430.33100000000002</v>
      </c>
      <c r="BC25" s="45">
        <f>IF('RPM &amp; Discounts'!$B$3='A0.Support'!$B$8,'A3.Distance matrix'!BD16,'A3.Distance matrix'!BD7)</f>
        <v>427.59100000000001</v>
      </c>
      <c r="BD25" s="45">
        <f>IF('RPM &amp; Discounts'!$B$3='A0.Support'!$B$8,'A3.Distance matrix'!BE16,'A3.Distance matrix'!BE7)</f>
        <v>432.28100000000001</v>
      </c>
      <c r="BE25" s="45">
        <f>IF('RPM &amp; Discounts'!$B$3='A0.Support'!$B$8,'A3.Distance matrix'!BF16,'A3.Distance matrix'!BF7)</f>
        <v>438.64100000000002</v>
      </c>
      <c r="BF25" s="45">
        <f>IF('RPM &amp; Discounts'!$B$3='A0.Support'!$B$8,'A3.Distance matrix'!BG16,'A3.Distance matrix'!BG7)</f>
        <v>448.13099999999997</v>
      </c>
      <c r="BG25" s="45">
        <f>IF('RPM &amp; Discounts'!$B$3='A0.Support'!$B$8,'A3.Distance matrix'!BH16,'A3.Distance matrix'!BH7)</f>
        <v>479.44099999999997</v>
      </c>
      <c r="BH25" s="45">
        <f>IF('RPM &amp; Discounts'!$B$3='A0.Support'!$B$8,'A3.Distance matrix'!BI16,'A3.Distance matrix'!BI7)</f>
        <v>458.43099999999998</v>
      </c>
      <c r="BI25" s="45">
        <f>IF('RPM &amp; Discounts'!$B$3='A0.Support'!$B$8,'A3.Distance matrix'!BJ16,'A3.Distance matrix'!BJ7)</f>
        <v>467.52100000000002</v>
      </c>
      <c r="BJ25" s="45">
        <f>IF('RPM &amp; Discounts'!$B$3='A0.Support'!$B$8,'A3.Distance matrix'!BK16,'A3.Distance matrix'!BK7)</f>
        <v>481.65100000000001</v>
      </c>
      <c r="BK25" s="45">
        <f>IF('RPM &amp; Discounts'!$B$3='A0.Support'!$B$8,'A3.Distance matrix'!BL16,'A3.Distance matrix'!BL7)</f>
        <v>489.53100000000001</v>
      </c>
      <c r="BL25" s="45">
        <f>IF('RPM &amp; Discounts'!$B$3='A0.Support'!$B$8,'A3.Distance matrix'!BM16,'A3.Distance matrix'!BM7)</f>
        <v>517.101</v>
      </c>
      <c r="BM25" s="45">
        <f>IF('RPM &amp; Discounts'!$B$3='A0.Support'!$B$8,'A3.Distance matrix'!BN16,'A3.Distance matrix'!BN7)</f>
        <v>515.00099999999998</v>
      </c>
      <c r="BN25" s="45">
        <f>IF('RPM &amp; Discounts'!$B$3='A0.Support'!$B$8,'A3.Distance matrix'!BO16,'A3.Distance matrix'!BO7)</f>
        <v>544.84100000000001</v>
      </c>
      <c r="BO25" s="45">
        <f>IF('RPM &amp; Discounts'!$B$3='A0.Support'!$B$8,'A3.Distance matrix'!BP16,'A3.Distance matrix'!BP7)</f>
        <v>481.351</v>
      </c>
      <c r="BP25" s="45">
        <f>IF('RPM &amp; Discounts'!$B$3='A0.Support'!$B$8,'A3.Distance matrix'!BQ16,'A3.Distance matrix'!BQ7)</f>
        <v>377.971</v>
      </c>
      <c r="BQ25" s="45">
        <f>IF('RPM &amp; Discounts'!$B$3='A0.Support'!$B$8,'A3.Distance matrix'!BR16,'A3.Distance matrix'!BR7)</f>
        <v>355.38099999999997</v>
      </c>
      <c r="BR25" s="45">
        <f>IF('RPM &amp; Discounts'!$B$3='A0.Support'!$B$8,'A3.Distance matrix'!BS16,'A3.Distance matrix'!BS7)</f>
        <v>360.44099999999997</v>
      </c>
      <c r="BS25" s="45">
        <f>IF('RPM &amp; Discounts'!$B$3='A0.Support'!$B$8,'A3.Distance matrix'!BT16,'A3.Distance matrix'!BT7)</f>
        <v>335.49099999999999</v>
      </c>
      <c r="BT25" s="45">
        <f>IF('RPM &amp; Discounts'!$B$3='A0.Support'!$B$8,'A3.Distance matrix'!BU16,'A3.Distance matrix'!BU7)</f>
        <v>317.31099999999998</v>
      </c>
      <c r="BU25" s="45">
        <f>IF('RPM &amp; Discounts'!$B$3='A0.Support'!$B$8,'A3.Distance matrix'!BV16,'A3.Distance matrix'!BV7)</f>
        <v>298.27100000000002</v>
      </c>
      <c r="BV25" s="45">
        <f>IF('RPM &amp; Discounts'!$B$3='A0.Support'!$B$8,'A3.Distance matrix'!BW16,'A3.Distance matrix'!BW7)</f>
        <v>265.041</v>
      </c>
      <c r="BW25" s="45">
        <f>IF('RPM &amp; Discounts'!$B$3='A0.Support'!$B$8,'A3.Distance matrix'!BX16,'A3.Distance matrix'!BX7)</f>
        <v>453.93099999999998</v>
      </c>
      <c r="BX25" s="45">
        <f>IF('RPM &amp; Discounts'!$B$3='A0.Support'!$B$8,'A3.Distance matrix'!BY16,'A3.Distance matrix'!BY7)</f>
        <v>493.791</v>
      </c>
      <c r="BY25" s="45">
        <f>IF('RPM &amp; Discounts'!$B$3='A0.Support'!$B$8,'A3.Distance matrix'!BZ16,'A3.Distance matrix'!BZ7)</f>
        <v>518.66099999999994</v>
      </c>
      <c r="BZ25" s="45">
        <f>IF('RPM &amp; Discounts'!$B$3='A0.Support'!$B$8,'A3.Distance matrix'!CA16,'A3.Distance matrix'!CA7)</f>
        <v>530.30100000000004</v>
      </c>
      <c r="CA25" s="45">
        <f>IF('RPM &amp; Discounts'!$B$3='A0.Support'!$B$8,'A3.Distance matrix'!CB16,'A3.Distance matrix'!CB7)</f>
        <v>519.52099999999996</v>
      </c>
      <c r="CB25" s="45">
        <f>IF('RPM &amp; Discounts'!$B$3='A0.Support'!$B$8,'A3.Distance matrix'!CC16,'A3.Distance matrix'!CC7)</f>
        <v>479.99099999999999</v>
      </c>
      <c r="CC25" s="45">
        <f>IF('RPM &amp; Discounts'!$B$3='A0.Support'!$B$8,'A3.Distance matrix'!CD16,'A3.Distance matrix'!CD7)</f>
        <v>358.46100000000001</v>
      </c>
      <c r="CD25" s="45">
        <f>IF('RPM &amp; Discounts'!$B$3='A0.Support'!$B$8,'A3.Distance matrix'!CE16,'A3.Distance matrix'!CE7)</f>
        <v>368.00099999999998</v>
      </c>
      <c r="CE25" s="45">
        <f>IF('RPM &amp; Discounts'!$B$3='A0.Support'!$B$8,'A3.Distance matrix'!CF16,'A3.Distance matrix'!CF7)</f>
        <v>379.30099999999999</v>
      </c>
      <c r="CF25" s="45">
        <f>IF('RPM &amp; Discounts'!$B$3='A0.Support'!$B$8,'A3.Distance matrix'!CG16,'A3.Distance matrix'!CG7)</f>
        <v>401.52100000000002</v>
      </c>
      <c r="CG25" s="45">
        <f>IF('RPM &amp; Discounts'!$B$3='A0.Support'!$B$8,'A3.Distance matrix'!CH16,'A3.Distance matrix'!CH7)</f>
        <v>403.661</v>
      </c>
      <c r="CH25" s="45">
        <f>IF('RPM &amp; Discounts'!$B$3='A0.Support'!$B$8,'A3.Distance matrix'!CI16,'A3.Distance matrix'!CI7)</f>
        <v>81.971000000000004</v>
      </c>
      <c r="CI25" s="45">
        <f>IF('RPM &amp; Discounts'!$B$3='A0.Support'!$B$8,'A3.Distance matrix'!CJ16,'A3.Distance matrix'!CJ7)</f>
        <v>7.0910000000000002</v>
      </c>
      <c r="CJ25" s="45">
        <f>IF('RPM &amp; Discounts'!$B$3='A0.Support'!$B$8,'A3.Distance matrix'!CK16,'A3.Distance matrix'!CK7)</f>
        <v>7.0919999999999996</v>
      </c>
      <c r="CK25" s="45">
        <f>IF('RPM &amp; Discounts'!$B$3='A0.Support'!$B$8,'A3.Distance matrix'!CL16,'A3.Distance matrix'!CL7)</f>
        <v>8.4120000000000008</v>
      </c>
      <c r="CL25" s="45">
        <f>IF('RPM &amp; Discounts'!$B$3='A0.Support'!$B$8,'A3.Distance matrix'!CM16,'A3.Distance matrix'!CM7)</f>
        <v>7.0919999999999996</v>
      </c>
      <c r="CM25" s="45">
        <f>IF('RPM &amp; Discounts'!$B$3='A0.Support'!$B$8,'A3.Distance matrix'!CN16,'A3.Distance matrix'!CN7)</f>
        <v>9.9999999999989008E-4</v>
      </c>
    </row>
    <row r="26" spans="2:91">
      <c r="B26" s="43" t="str">
        <f t="shared" si="5"/>
        <v>Underground storage Carriço</v>
      </c>
      <c r="C26" s="45">
        <f>IF('RPM &amp; Discounts'!$B$3='A0.Support'!$B$8,'A3.Distance matrix'!D17,'A3.Distance matrix'!D8)</f>
        <v>239.52199999999999</v>
      </c>
      <c r="D26" s="45">
        <f>IF('RPM &amp; Discounts'!$B$3='A0.Support'!$B$8,'A3.Distance matrix'!E17,'A3.Distance matrix'!E8)</f>
        <v>307.55099999999999</v>
      </c>
      <c r="E26" s="45">
        <f>IF('RPM &amp; Discounts'!$B$3='A0.Support'!$B$8,'A3.Distance matrix'!F17,'A3.Distance matrix'!F8)</f>
        <v>280.19200000000001</v>
      </c>
      <c r="F26" s="45">
        <f>IF('RPM &amp; Discounts'!$B$3='A0.Support'!$B$8,'A3.Distance matrix'!G17,'A3.Distance matrix'!G8)</f>
        <v>0</v>
      </c>
      <c r="G26" s="45">
        <f>IF('RPM &amp; Discounts'!$B$3='A0.Support'!$B$8,'A3.Distance matrix'!H17,'A3.Distance matrix'!H8)</f>
        <v>192.881</v>
      </c>
      <c r="H26" s="45">
        <f>IF('RPM &amp; Discounts'!$B$3='A0.Support'!$B$8,'A3.Distance matrix'!I17,'A3.Distance matrix'!I8)</f>
        <v>205.88200000000001</v>
      </c>
      <c r="I26" s="45">
        <f>IF('RPM &amp; Discounts'!$B$3='A0.Support'!$B$8,'A3.Distance matrix'!J17,'A3.Distance matrix'!J8)</f>
        <v>197.571</v>
      </c>
      <c r="J26" s="45">
        <f>IF('RPM &amp; Discounts'!$B$3='A0.Support'!$B$8,'A3.Distance matrix'!K17,'A3.Distance matrix'!K8)</f>
        <v>205.881</v>
      </c>
      <c r="K26" s="45">
        <f>IF('RPM &amp; Discounts'!$B$3='A0.Support'!$B$8,'A3.Distance matrix'!L17,'A3.Distance matrix'!L8)</f>
        <v>176.95099999999999</v>
      </c>
      <c r="L26" s="45">
        <f>IF('RPM &amp; Discounts'!$B$3='A0.Support'!$B$8,'A3.Distance matrix'!M17,'A3.Distance matrix'!M8)</f>
        <v>164.56100000000001</v>
      </c>
      <c r="M26" s="45">
        <f>IF('RPM &amp; Discounts'!$B$3='A0.Support'!$B$8,'A3.Distance matrix'!N17,'A3.Distance matrix'!N8)</f>
        <v>212.14099999999999</v>
      </c>
      <c r="N26" s="45">
        <f>IF('RPM &amp; Discounts'!$B$3='A0.Support'!$B$8,'A3.Distance matrix'!O17,'A3.Distance matrix'!O8)</f>
        <v>147.86099999999999</v>
      </c>
      <c r="O26" s="45">
        <f>IF('RPM &amp; Discounts'!$B$3='A0.Support'!$B$8,'A3.Distance matrix'!P17,'A3.Distance matrix'!P8)</f>
        <v>135.40100000000001</v>
      </c>
      <c r="P26" s="45">
        <f>IF('RPM &amp; Discounts'!$B$3='A0.Support'!$B$8,'A3.Distance matrix'!Q17,'A3.Distance matrix'!Q8)</f>
        <v>164.66200000000001</v>
      </c>
      <c r="Q26" s="45">
        <f>IF('RPM &amp; Discounts'!$B$3='A0.Support'!$B$8,'A3.Distance matrix'!R17,'A3.Distance matrix'!R8)</f>
        <v>131.77099999999999</v>
      </c>
      <c r="R26" s="45">
        <f>IF('RPM &amp; Discounts'!$B$3='A0.Support'!$B$8,'A3.Distance matrix'!S17,'A3.Distance matrix'!S8)</f>
        <v>152.55199999999999</v>
      </c>
      <c r="S26" s="45">
        <f>IF('RPM &amp; Discounts'!$B$3='A0.Support'!$B$8,'A3.Distance matrix'!T17,'A3.Distance matrix'!T8)</f>
        <v>159.32300000000001</v>
      </c>
      <c r="T26" s="45">
        <f>IF('RPM &amp; Discounts'!$B$3='A0.Support'!$B$8,'A3.Distance matrix'!U17,'A3.Distance matrix'!U8)</f>
        <v>129.20099999999999</v>
      </c>
      <c r="U26" s="45">
        <f>IF('RPM &amp; Discounts'!$B$3='A0.Support'!$B$8,'A3.Distance matrix'!V17,'A3.Distance matrix'!V8)</f>
        <v>131.77199999999999</v>
      </c>
      <c r="V26" s="45">
        <f>IF('RPM &amp; Discounts'!$B$3='A0.Support'!$B$8,'A3.Distance matrix'!W17,'A3.Distance matrix'!W8)</f>
        <v>159.322</v>
      </c>
      <c r="W26" s="45">
        <f>IF('RPM &amp; Discounts'!$B$3='A0.Support'!$B$8,'A3.Distance matrix'!X17,'A3.Distance matrix'!X8)</f>
        <v>126.991</v>
      </c>
      <c r="X26" s="45">
        <f>IF('RPM &amp; Discounts'!$B$3='A0.Support'!$B$8,'A3.Distance matrix'!Y17,'A3.Distance matrix'!Y8)</f>
        <v>115.56100000000001</v>
      </c>
      <c r="Y26" s="45">
        <f>IF('RPM &amp; Discounts'!$B$3='A0.Support'!$B$8,'A3.Distance matrix'!Z17,'A3.Distance matrix'!Z8)</f>
        <v>139.292</v>
      </c>
      <c r="Z26" s="45">
        <f>IF('RPM &amp; Discounts'!$B$3='A0.Support'!$B$8,'A3.Distance matrix'!AA17,'A3.Distance matrix'!AA8)</f>
        <v>139.291</v>
      </c>
      <c r="AA26" s="45">
        <f>IF('RPM &amp; Discounts'!$B$3='A0.Support'!$B$8,'A3.Distance matrix'!AB17,'A3.Distance matrix'!AB8)</f>
        <v>90.960999999999999</v>
      </c>
      <c r="AB26" s="45">
        <f>IF('RPM &amp; Discounts'!$B$3='A0.Support'!$B$8,'A3.Distance matrix'!AC17,'A3.Distance matrix'!AC8)</f>
        <v>57.021000000000001</v>
      </c>
      <c r="AC26" s="45">
        <f>IF('RPM &amp; Discounts'!$B$3='A0.Support'!$B$8,'A3.Distance matrix'!AD17,'A3.Distance matrix'!AD8)</f>
        <v>44.341000000000001</v>
      </c>
      <c r="AD26" s="45">
        <f>IF('RPM &amp; Discounts'!$B$3='A0.Support'!$B$8,'A3.Distance matrix'!AE17,'A3.Distance matrix'!AE8)</f>
        <v>37.771000000000001</v>
      </c>
      <c r="AE26" s="45">
        <f>IF('RPM &amp; Discounts'!$B$3='A0.Support'!$B$8,'A3.Distance matrix'!AF17,'A3.Distance matrix'!AF8)</f>
        <v>9.9999999999989008E-4</v>
      </c>
      <c r="AF26" s="45">
        <f>IF('RPM &amp; Discounts'!$B$3='A0.Support'!$B$8,'A3.Distance matrix'!AG17,'A3.Distance matrix'!AG8)</f>
        <v>9.9109999999999996</v>
      </c>
      <c r="AG26" s="45">
        <f>IF('RPM &amp; Discounts'!$B$3='A0.Support'!$B$8,'A3.Distance matrix'!AH17,'A3.Distance matrix'!AH8)</f>
        <v>10.021000000000001</v>
      </c>
      <c r="AH26" s="45">
        <f>IF('RPM &amp; Discounts'!$B$3='A0.Support'!$B$8,'A3.Distance matrix'!AI17,'A3.Distance matrix'!AI8)</f>
        <v>23.091000000000001</v>
      </c>
      <c r="AI26" s="45">
        <f>IF('RPM &amp; Discounts'!$B$3='A0.Support'!$B$8,'A3.Distance matrix'!AJ17,'A3.Distance matrix'!AJ8)</f>
        <v>28.300999999999998</v>
      </c>
      <c r="AJ26" s="45">
        <f>IF('RPM &amp; Discounts'!$B$3='A0.Support'!$B$8,'A3.Distance matrix'!AK17,'A3.Distance matrix'!AK8)</f>
        <v>23.091999999999999</v>
      </c>
      <c r="AK26" s="45">
        <f>IF('RPM &amp; Discounts'!$B$3='A0.Support'!$B$8,'A3.Distance matrix'!AL17,'A3.Distance matrix'!AL8)</f>
        <v>51.570999999999998</v>
      </c>
      <c r="AL26" s="45">
        <f>IF('RPM &amp; Discounts'!$B$3='A0.Support'!$B$8,'A3.Distance matrix'!AM17,'A3.Distance matrix'!AM8)</f>
        <v>61.491</v>
      </c>
      <c r="AM26" s="45">
        <f>IF('RPM &amp; Discounts'!$B$3='A0.Support'!$B$8,'A3.Distance matrix'!AN17,'A3.Distance matrix'!AN8)</f>
        <v>57.401000000000003</v>
      </c>
      <c r="AN26" s="45">
        <f>IF('RPM &amp; Discounts'!$B$3='A0.Support'!$B$8,'A3.Distance matrix'!AO17,'A3.Distance matrix'!AO8)</f>
        <v>63.051000000000002</v>
      </c>
      <c r="AO26" s="45">
        <f>IF('RPM &amp; Discounts'!$B$3='A0.Support'!$B$8,'A3.Distance matrix'!AP17,'A3.Distance matrix'!AP8)</f>
        <v>76.710999999999999</v>
      </c>
      <c r="AP26" s="45">
        <f>IF('RPM &amp; Discounts'!$B$3='A0.Support'!$B$8,'A3.Distance matrix'!AQ17,'A3.Distance matrix'!AQ8)</f>
        <v>83.811000000000007</v>
      </c>
      <c r="AQ26" s="45">
        <f>IF('RPM &amp; Discounts'!$B$3='A0.Support'!$B$8,'A3.Distance matrix'!AR17,'A3.Distance matrix'!AR8)</f>
        <v>88.650999999999996</v>
      </c>
      <c r="AR26" s="45">
        <f>IF('RPM &amp; Discounts'!$B$3='A0.Support'!$B$8,'A3.Distance matrix'!AS17,'A3.Distance matrix'!AS8)</f>
        <v>93.641000000000005</v>
      </c>
      <c r="AS26" s="45">
        <f>IF('RPM &amp; Discounts'!$B$3='A0.Support'!$B$8,'A3.Distance matrix'!AT17,'A3.Distance matrix'!AT8)</f>
        <v>109.971</v>
      </c>
      <c r="AT26" s="45">
        <f>IF('RPM &amp; Discounts'!$B$3='A0.Support'!$B$8,'A3.Distance matrix'!AU17,'A3.Distance matrix'!AU8)</f>
        <v>117.051</v>
      </c>
      <c r="AU26" s="45">
        <f>IF('RPM &amp; Discounts'!$B$3='A0.Support'!$B$8,'A3.Distance matrix'!AV17,'A3.Distance matrix'!AV8)</f>
        <v>129.87200000000001</v>
      </c>
      <c r="AV26" s="45">
        <f>IF('RPM &amp; Discounts'!$B$3='A0.Support'!$B$8,'A3.Distance matrix'!AW17,'A3.Distance matrix'!AW8)</f>
        <v>129.87100000000001</v>
      </c>
      <c r="AW26" s="45">
        <f>IF('RPM &amp; Discounts'!$B$3='A0.Support'!$B$8,'A3.Distance matrix'!AX17,'A3.Distance matrix'!AX8)</f>
        <v>134.39099999999999</v>
      </c>
      <c r="AX26" s="45">
        <f>IF('RPM &amp; Discounts'!$B$3='A0.Support'!$B$8,'A3.Distance matrix'!AY17,'A3.Distance matrix'!AY8)</f>
        <v>143.15199999999999</v>
      </c>
      <c r="AY26" s="45">
        <f>IF('RPM &amp; Discounts'!$B$3='A0.Support'!$B$8,'A3.Distance matrix'!AZ17,'A3.Distance matrix'!AZ8)</f>
        <v>143.15100000000001</v>
      </c>
      <c r="AZ26" s="45">
        <f>IF('RPM &amp; Discounts'!$B$3='A0.Support'!$B$8,'A3.Distance matrix'!BA17,'A3.Distance matrix'!BA8)</f>
        <v>156.31100000000001</v>
      </c>
      <c r="BA26" s="45">
        <f>IF('RPM &amp; Discounts'!$B$3='A0.Support'!$B$8,'A3.Distance matrix'!BB17,'A3.Distance matrix'!BB8)</f>
        <v>173.87100000000001</v>
      </c>
      <c r="BB26" s="45">
        <f>IF('RPM &amp; Discounts'!$B$3='A0.Support'!$B$8,'A3.Distance matrix'!BC17,'A3.Distance matrix'!BC8)</f>
        <v>188.261</v>
      </c>
      <c r="BC26" s="45">
        <f>IF('RPM &amp; Discounts'!$B$3='A0.Support'!$B$8,'A3.Distance matrix'!BD17,'A3.Distance matrix'!BD8)</f>
        <v>185.52099999999999</v>
      </c>
      <c r="BD26" s="45">
        <f>IF('RPM &amp; Discounts'!$B$3='A0.Support'!$B$8,'A3.Distance matrix'!BE17,'A3.Distance matrix'!BE8)</f>
        <v>190.21100000000001</v>
      </c>
      <c r="BE26" s="45">
        <f>IF('RPM &amp; Discounts'!$B$3='A0.Support'!$B$8,'A3.Distance matrix'!BF17,'A3.Distance matrix'!BF8)</f>
        <v>196.571</v>
      </c>
      <c r="BF26" s="45">
        <f>IF('RPM &amp; Discounts'!$B$3='A0.Support'!$B$8,'A3.Distance matrix'!BG17,'A3.Distance matrix'!BG8)</f>
        <v>206.06100000000001</v>
      </c>
      <c r="BG26" s="45">
        <f>IF('RPM &amp; Discounts'!$B$3='A0.Support'!$B$8,'A3.Distance matrix'!BH17,'A3.Distance matrix'!BH8)</f>
        <v>237.37100000000001</v>
      </c>
      <c r="BH26" s="45">
        <f>IF('RPM &amp; Discounts'!$B$3='A0.Support'!$B$8,'A3.Distance matrix'!BI17,'A3.Distance matrix'!BI8)</f>
        <v>216.36099999999999</v>
      </c>
      <c r="BI26" s="45">
        <f>IF('RPM &amp; Discounts'!$B$3='A0.Support'!$B$8,'A3.Distance matrix'!BJ17,'A3.Distance matrix'!BJ8)</f>
        <v>225.45099999999999</v>
      </c>
      <c r="BJ26" s="45">
        <f>IF('RPM &amp; Discounts'!$B$3='A0.Support'!$B$8,'A3.Distance matrix'!BK17,'A3.Distance matrix'!BK8)</f>
        <v>239.58099999999999</v>
      </c>
      <c r="BK26" s="45">
        <f>IF('RPM &amp; Discounts'!$B$3='A0.Support'!$B$8,'A3.Distance matrix'!BL17,'A3.Distance matrix'!BL8)</f>
        <v>247.46100000000001</v>
      </c>
      <c r="BL26" s="45">
        <f>IF('RPM &amp; Discounts'!$B$3='A0.Support'!$B$8,'A3.Distance matrix'!BM17,'A3.Distance matrix'!BM8)</f>
        <v>275.03100000000001</v>
      </c>
      <c r="BM26" s="45">
        <f>IF('RPM &amp; Discounts'!$B$3='A0.Support'!$B$8,'A3.Distance matrix'!BN17,'A3.Distance matrix'!BN8)</f>
        <v>272.93099999999998</v>
      </c>
      <c r="BN26" s="45">
        <f>IF('RPM &amp; Discounts'!$B$3='A0.Support'!$B$8,'A3.Distance matrix'!BO17,'A3.Distance matrix'!BO8)</f>
        <v>302.77100000000002</v>
      </c>
      <c r="BO26" s="45">
        <f>IF('RPM &amp; Discounts'!$B$3='A0.Support'!$B$8,'A3.Distance matrix'!BP17,'A3.Distance matrix'!BP8)</f>
        <v>239.28100000000001</v>
      </c>
      <c r="BP26" s="45">
        <f>IF('RPM &amp; Discounts'!$B$3='A0.Support'!$B$8,'A3.Distance matrix'!BQ17,'A3.Distance matrix'!BQ8)</f>
        <v>135.90100000000001</v>
      </c>
      <c r="BQ26" s="45">
        <f>IF('RPM &amp; Discounts'!$B$3='A0.Support'!$B$8,'A3.Distance matrix'!BR17,'A3.Distance matrix'!BR8)</f>
        <v>113.31100000000001</v>
      </c>
      <c r="BR26" s="45">
        <f>IF('RPM &amp; Discounts'!$B$3='A0.Support'!$B$8,'A3.Distance matrix'!BS17,'A3.Distance matrix'!BS8)</f>
        <v>118.371</v>
      </c>
      <c r="BS26" s="45">
        <f>IF('RPM &amp; Discounts'!$B$3='A0.Support'!$B$8,'A3.Distance matrix'!BT17,'A3.Distance matrix'!BT8)</f>
        <v>93.421000000000006</v>
      </c>
      <c r="BT26" s="45">
        <f>IF('RPM &amp; Discounts'!$B$3='A0.Support'!$B$8,'A3.Distance matrix'!BU17,'A3.Distance matrix'!BU8)</f>
        <v>75.241</v>
      </c>
      <c r="BU26" s="45">
        <f>IF('RPM &amp; Discounts'!$B$3='A0.Support'!$B$8,'A3.Distance matrix'!BV17,'A3.Distance matrix'!BV8)</f>
        <v>56.201000000000001</v>
      </c>
      <c r="BV26" s="45">
        <f>IF('RPM &amp; Discounts'!$B$3='A0.Support'!$B$8,'A3.Distance matrix'!BW17,'A3.Distance matrix'!BW8)</f>
        <v>22.971</v>
      </c>
      <c r="BW26" s="45">
        <f>IF('RPM &amp; Discounts'!$B$3='A0.Support'!$B$8,'A3.Distance matrix'!BX17,'A3.Distance matrix'!BX8)</f>
        <v>211.86099999999999</v>
      </c>
      <c r="BX26" s="45">
        <f>IF('RPM &amp; Discounts'!$B$3='A0.Support'!$B$8,'A3.Distance matrix'!BY17,'A3.Distance matrix'!BY8)</f>
        <v>251.721</v>
      </c>
      <c r="BY26" s="45">
        <f>IF('RPM &amp; Discounts'!$B$3='A0.Support'!$B$8,'A3.Distance matrix'!BZ17,'A3.Distance matrix'!BZ8)</f>
        <v>276.59100000000001</v>
      </c>
      <c r="BZ26" s="45">
        <f>IF('RPM &amp; Discounts'!$B$3='A0.Support'!$B$8,'A3.Distance matrix'!CA17,'A3.Distance matrix'!CA8)</f>
        <v>288.23099999999999</v>
      </c>
      <c r="CA26" s="45">
        <f>IF('RPM &amp; Discounts'!$B$3='A0.Support'!$B$8,'A3.Distance matrix'!CB17,'A3.Distance matrix'!CB8)</f>
        <v>277.45100000000002</v>
      </c>
      <c r="CB26" s="45">
        <f>IF('RPM &amp; Discounts'!$B$3='A0.Support'!$B$8,'A3.Distance matrix'!CC17,'A3.Distance matrix'!CC8)</f>
        <v>237.92099999999999</v>
      </c>
      <c r="CC26" s="45">
        <f>IF('RPM &amp; Discounts'!$B$3='A0.Support'!$B$8,'A3.Distance matrix'!CD17,'A3.Distance matrix'!CD8)</f>
        <v>116.39100000000001</v>
      </c>
      <c r="CD26" s="45">
        <f>IF('RPM &amp; Discounts'!$B$3='A0.Support'!$B$8,'A3.Distance matrix'!CE17,'A3.Distance matrix'!CE8)</f>
        <v>125.931</v>
      </c>
      <c r="CE26" s="45">
        <f>IF('RPM &amp; Discounts'!$B$3='A0.Support'!$B$8,'A3.Distance matrix'!CF17,'A3.Distance matrix'!CF8)</f>
        <v>137.23099999999999</v>
      </c>
      <c r="CF26" s="45">
        <f>IF('RPM &amp; Discounts'!$B$3='A0.Support'!$B$8,'A3.Distance matrix'!CG17,'A3.Distance matrix'!CG8)</f>
        <v>159.45099999999999</v>
      </c>
      <c r="CG26" s="45">
        <f>IF('RPM &amp; Discounts'!$B$3='A0.Support'!$B$8,'A3.Distance matrix'!CH17,'A3.Distance matrix'!CH8)</f>
        <v>161.59100000000001</v>
      </c>
      <c r="CH26" s="45">
        <f>IF('RPM &amp; Discounts'!$B$3='A0.Support'!$B$8,'A3.Distance matrix'!CI17,'A3.Distance matrix'!CI8)</f>
        <v>198.221</v>
      </c>
      <c r="CI26" s="45">
        <f>IF('RPM &amp; Discounts'!$B$3='A0.Support'!$B$8,'A3.Distance matrix'!CJ17,'A3.Distance matrix'!CJ8)</f>
        <v>273.101</v>
      </c>
      <c r="CJ26" s="45">
        <f>IF('RPM &amp; Discounts'!$B$3='A0.Support'!$B$8,'A3.Distance matrix'!CK17,'A3.Distance matrix'!CK8)</f>
        <v>273.10199999999998</v>
      </c>
      <c r="CK26" s="45">
        <f>IF('RPM &amp; Discounts'!$B$3='A0.Support'!$B$8,'A3.Distance matrix'!CL17,'A3.Distance matrix'!CL8)</f>
        <v>274.42200000000003</v>
      </c>
      <c r="CL26" s="45">
        <f>IF('RPM &amp; Discounts'!$B$3='A0.Support'!$B$8,'A3.Distance matrix'!CM17,'A3.Distance matrix'!CM8)</f>
        <v>273.10199999999998</v>
      </c>
      <c r="CM26" s="45">
        <f>IF('RPM &amp; Discounts'!$B$3='A0.Support'!$B$8,'A3.Distance matrix'!CN17,'A3.Distance matrix'!CN8)</f>
        <v>280.19099999999997</v>
      </c>
    </row>
    <row r="27" spans="2:91">
      <c r="B27" s="43" t="str">
        <f t="shared" si="5"/>
        <v>Gas producers</v>
      </c>
      <c r="C27" s="45">
        <f>IF('RPM &amp; Discounts'!$B$3='A0.Support'!$B$8,'A3.Distance matrix'!D18,'A3.Distance matrix'!D9)</f>
        <v>239.523</v>
      </c>
      <c r="D27" s="45">
        <f>IF('RPM &amp; Discounts'!$B$3='A0.Support'!$B$8,'A3.Distance matrix'!E18,'A3.Distance matrix'!E9)</f>
        <v>307.55200000000002</v>
      </c>
      <c r="E27" s="45">
        <f>IF('RPM &amp; Discounts'!$B$3='A0.Support'!$B$8,'A3.Distance matrix'!F18,'A3.Distance matrix'!F9)</f>
        <v>280.19299999999998</v>
      </c>
      <c r="F27" s="45">
        <f>IF('RPM &amp; Discounts'!$B$3='A0.Support'!$B$8,'A3.Distance matrix'!G18,'A3.Distance matrix'!G9)</f>
        <v>9.9999999999989008E-4</v>
      </c>
      <c r="G27" s="45">
        <f>IF('RPM &amp; Discounts'!$B$3='A0.Support'!$B$8,'A3.Distance matrix'!H18,'A3.Distance matrix'!H9)</f>
        <v>192.88200000000001</v>
      </c>
      <c r="H27" s="45">
        <f>IF('RPM &amp; Discounts'!$B$3='A0.Support'!$B$8,'A3.Distance matrix'!I18,'A3.Distance matrix'!I9)</f>
        <v>205.88300000000001</v>
      </c>
      <c r="I27" s="45">
        <f>IF('RPM &amp; Discounts'!$B$3='A0.Support'!$B$8,'A3.Distance matrix'!J18,'A3.Distance matrix'!J9)</f>
        <v>197.572</v>
      </c>
      <c r="J27" s="45">
        <f>IF('RPM &amp; Discounts'!$B$3='A0.Support'!$B$8,'A3.Distance matrix'!K18,'A3.Distance matrix'!K9)</f>
        <v>205.88200000000001</v>
      </c>
      <c r="K27" s="45">
        <f>IF('RPM &amp; Discounts'!$B$3='A0.Support'!$B$8,'A3.Distance matrix'!L18,'A3.Distance matrix'!L9)</f>
        <v>176.952</v>
      </c>
      <c r="L27" s="45">
        <f>IF('RPM &amp; Discounts'!$B$3='A0.Support'!$B$8,'A3.Distance matrix'!M18,'A3.Distance matrix'!M9)</f>
        <v>164.56200000000001</v>
      </c>
      <c r="M27" s="45">
        <f>IF('RPM &amp; Discounts'!$B$3='A0.Support'!$B$8,'A3.Distance matrix'!N18,'A3.Distance matrix'!N9)</f>
        <v>212.142</v>
      </c>
      <c r="N27" s="45">
        <f>IF('RPM &amp; Discounts'!$B$3='A0.Support'!$B$8,'A3.Distance matrix'!O18,'A3.Distance matrix'!O9)</f>
        <v>147.86199999999999</v>
      </c>
      <c r="O27" s="45">
        <f>IF('RPM &amp; Discounts'!$B$3='A0.Support'!$B$8,'A3.Distance matrix'!P18,'A3.Distance matrix'!P9)</f>
        <v>135.40199999999999</v>
      </c>
      <c r="P27" s="45">
        <f>IF('RPM &amp; Discounts'!$B$3='A0.Support'!$B$8,'A3.Distance matrix'!Q18,'A3.Distance matrix'!Q9)</f>
        <v>164.66300000000001</v>
      </c>
      <c r="Q27" s="45">
        <f>IF('RPM &amp; Discounts'!$B$3='A0.Support'!$B$8,'A3.Distance matrix'!R18,'A3.Distance matrix'!R9)</f>
        <v>131.77199999999999</v>
      </c>
      <c r="R27" s="45">
        <f>IF('RPM &amp; Discounts'!$B$3='A0.Support'!$B$8,'A3.Distance matrix'!S18,'A3.Distance matrix'!S9)</f>
        <v>152.553</v>
      </c>
      <c r="S27" s="45">
        <f>IF('RPM &amp; Discounts'!$B$3='A0.Support'!$B$8,'A3.Distance matrix'!T18,'A3.Distance matrix'!T9)</f>
        <v>159.32400000000001</v>
      </c>
      <c r="T27" s="45">
        <f>IF('RPM &amp; Discounts'!$B$3='A0.Support'!$B$8,'A3.Distance matrix'!U18,'A3.Distance matrix'!U9)</f>
        <v>129.202</v>
      </c>
      <c r="U27" s="45">
        <f>IF('RPM &amp; Discounts'!$B$3='A0.Support'!$B$8,'A3.Distance matrix'!V18,'A3.Distance matrix'!V9)</f>
        <v>131.773</v>
      </c>
      <c r="V27" s="45">
        <f>IF('RPM &amp; Discounts'!$B$3='A0.Support'!$B$8,'A3.Distance matrix'!W18,'A3.Distance matrix'!W9)</f>
        <v>159.32300000000001</v>
      </c>
      <c r="W27" s="45">
        <f>IF('RPM &amp; Discounts'!$B$3='A0.Support'!$B$8,'A3.Distance matrix'!X18,'A3.Distance matrix'!X9)</f>
        <v>126.992</v>
      </c>
      <c r="X27" s="45">
        <f>IF('RPM &amp; Discounts'!$B$3='A0.Support'!$B$8,'A3.Distance matrix'!Y18,'A3.Distance matrix'!Y9)</f>
        <v>115.562</v>
      </c>
      <c r="Y27" s="45">
        <f>IF('RPM &amp; Discounts'!$B$3='A0.Support'!$B$8,'A3.Distance matrix'!Z18,'A3.Distance matrix'!Z9)</f>
        <v>139.29300000000001</v>
      </c>
      <c r="Z27" s="45">
        <f>IF('RPM &amp; Discounts'!$B$3='A0.Support'!$B$8,'A3.Distance matrix'!AA18,'A3.Distance matrix'!AA9)</f>
        <v>139.292</v>
      </c>
      <c r="AA27" s="45">
        <f>IF('RPM &amp; Discounts'!$B$3='A0.Support'!$B$8,'A3.Distance matrix'!AB18,'A3.Distance matrix'!AB9)</f>
        <v>90.962000000000003</v>
      </c>
      <c r="AB27" s="45">
        <f>IF('RPM &amp; Discounts'!$B$3='A0.Support'!$B$8,'A3.Distance matrix'!AC18,'A3.Distance matrix'!AC9)</f>
        <v>57.021999999999998</v>
      </c>
      <c r="AC27" s="45">
        <f>IF('RPM &amp; Discounts'!$B$3='A0.Support'!$B$8,'A3.Distance matrix'!AD18,'A3.Distance matrix'!AD9)</f>
        <v>44.341999999999999</v>
      </c>
      <c r="AD27" s="45">
        <f>IF('RPM &amp; Discounts'!$B$3='A0.Support'!$B$8,'A3.Distance matrix'!AE18,'A3.Distance matrix'!AE9)</f>
        <v>37.771999999999998</v>
      </c>
      <c r="AE27" s="45">
        <f>IF('RPM &amp; Discounts'!$B$3='A0.Support'!$B$8,'A3.Distance matrix'!AF18,'A3.Distance matrix'!AF9)</f>
        <v>1.9999999999997802E-3</v>
      </c>
      <c r="AF27" s="45">
        <f>IF('RPM &amp; Discounts'!$B$3='A0.Support'!$B$8,'A3.Distance matrix'!AG18,'A3.Distance matrix'!AG9)</f>
        <v>9.9120000000000008</v>
      </c>
      <c r="AG27" s="45">
        <f>IF('RPM &amp; Discounts'!$B$3='A0.Support'!$B$8,'A3.Distance matrix'!AH18,'A3.Distance matrix'!AH9)</f>
        <v>10.022</v>
      </c>
      <c r="AH27" s="45">
        <f>IF('RPM &amp; Discounts'!$B$3='A0.Support'!$B$8,'A3.Distance matrix'!AI18,'A3.Distance matrix'!AI9)</f>
        <v>23.091999999999999</v>
      </c>
      <c r="AI27" s="45">
        <f>IF('RPM &amp; Discounts'!$B$3='A0.Support'!$B$8,'A3.Distance matrix'!AJ18,'A3.Distance matrix'!AJ9)</f>
        <v>28.302</v>
      </c>
      <c r="AJ27" s="45">
        <f>IF('RPM &amp; Discounts'!$B$3='A0.Support'!$B$8,'A3.Distance matrix'!AK18,'A3.Distance matrix'!AK9)</f>
        <v>23.093</v>
      </c>
      <c r="AK27" s="45">
        <f>IF('RPM &amp; Discounts'!$B$3='A0.Support'!$B$8,'A3.Distance matrix'!AL18,'A3.Distance matrix'!AL9)</f>
        <v>51.572000000000003</v>
      </c>
      <c r="AL27" s="45">
        <f>IF('RPM &amp; Discounts'!$B$3='A0.Support'!$B$8,'A3.Distance matrix'!AM18,'A3.Distance matrix'!AM9)</f>
        <v>61.491999999999997</v>
      </c>
      <c r="AM27" s="45">
        <f>IF('RPM &amp; Discounts'!$B$3='A0.Support'!$B$8,'A3.Distance matrix'!AN18,'A3.Distance matrix'!AN9)</f>
        <v>57.402000000000001</v>
      </c>
      <c r="AN27" s="45">
        <f>IF('RPM &amp; Discounts'!$B$3='A0.Support'!$B$8,'A3.Distance matrix'!AO18,'A3.Distance matrix'!AO9)</f>
        <v>63.052</v>
      </c>
      <c r="AO27" s="45">
        <f>IF('RPM &amp; Discounts'!$B$3='A0.Support'!$B$8,'A3.Distance matrix'!AP18,'A3.Distance matrix'!AP9)</f>
        <v>76.712000000000003</v>
      </c>
      <c r="AP27" s="45">
        <f>IF('RPM &amp; Discounts'!$B$3='A0.Support'!$B$8,'A3.Distance matrix'!AQ18,'A3.Distance matrix'!AQ9)</f>
        <v>83.811999999999998</v>
      </c>
      <c r="AQ27" s="45">
        <f>IF('RPM &amp; Discounts'!$B$3='A0.Support'!$B$8,'A3.Distance matrix'!AR18,'A3.Distance matrix'!AR9)</f>
        <v>88.652000000000001</v>
      </c>
      <c r="AR27" s="45">
        <f>IF('RPM &amp; Discounts'!$B$3='A0.Support'!$B$8,'A3.Distance matrix'!AS18,'A3.Distance matrix'!AS9)</f>
        <v>93.641999999999996</v>
      </c>
      <c r="AS27" s="45">
        <f>IF('RPM &amp; Discounts'!$B$3='A0.Support'!$B$8,'A3.Distance matrix'!AT18,'A3.Distance matrix'!AT9)</f>
        <v>109.97199999999999</v>
      </c>
      <c r="AT27" s="45">
        <f>IF('RPM &amp; Discounts'!$B$3='A0.Support'!$B$8,'A3.Distance matrix'!AU18,'A3.Distance matrix'!AU9)</f>
        <v>117.05200000000001</v>
      </c>
      <c r="AU27" s="45">
        <f>IF('RPM &amp; Discounts'!$B$3='A0.Support'!$B$8,'A3.Distance matrix'!AV18,'A3.Distance matrix'!AV9)</f>
        <v>129.87299999999999</v>
      </c>
      <c r="AV27" s="45">
        <f>IF('RPM &amp; Discounts'!$B$3='A0.Support'!$B$8,'A3.Distance matrix'!AW18,'A3.Distance matrix'!AW9)</f>
        <v>129.87200000000001</v>
      </c>
      <c r="AW27" s="45">
        <f>IF('RPM &amp; Discounts'!$B$3='A0.Support'!$B$8,'A3.Distance matrix'!AX18,'A3.Distance matrix'!AX9)</f>
        <v>134.392</v>
      </c>
      <c r="AX27" s="45">
        <f>IF('RPM &amp; Discounts'!$B$3='A0.Support'!$B$8,'A3.Distance matrix'!AY18,'A3.Distance matrix'!AY9)</f>
        <v>143.15299999999999</v>
      </c>
      <c r="AY27" s="45">
        <f>IF('RPM &amp; Discounts'!$B$3='A0.Support'!$B$8,'A3.Distance matrix'!AZ18,'A3.Distance matrix'!AZ9)</f>
        <v>143.15199999999999</v>
      </c>
      <c r="AZ27" s="45">
        <f>IF('RPM &amp; Discounts'!$B$3='A0.Support'!$B$8,'A3.Distance matrix'!BA18,'A3.Distance matrix'!BA9)</f>
        <v>156.31200000000001</v>
      </c>
      <c r="BA27" s="45">
        <f>IF('RPM &amp; Discounts'!$B$3='A0.Support'!$B$8,'A3.Distance matrix'!BB18,'A3.Distance matrix'!BB9)</f>
        <v>173.87200000000001</v>
      </c>
      <c r="BB27" s="45">
        <f>IF('RPM &amp; Discounts'!$B$3='A0.Support'!$B$8,'A3.Distance matrix'!BC18,'A3.Distance matrix'!BC9)</f>
        <v>188.262</v>
      </c>
      <c r="BC27" s="45">
        <f>IF('RPM &amp; Discounts'!$B$3='A0.Support'!$B$8,'A3.Distance matrix'!BD18,'A3.Distance matrix'!BD9)</f>
        <v>185.52199999999999</v>
      </c>
      <c r="BD27" s="45">
        <f>IF('RPM &amp; Discounts'!$B$3='A0.Support'!$B$8,'A3.Distance matrix'!BE18,'A3.Distance matrix'!BE9)</f>
        <v>190.21199999999999</v>
      </c>
      <c r="BE27" s="45">
        <f>IF('RPM &amp; Discounts'!$B$3='A0.Support'!$B$8,'A3.Distance matrix'!BF18,'A3.Distance matrix'!BF9)</f>
        <v>196.572</v>
      </c>
      <c r="BF27" s="45">
        <f>IF('RPM &amp; Discounts'!$B$3='A0.Support'!$B$8,'A3.Distance matrix'!BG18,'A3.Distance matrix'!BG9)</f>
        <v>206.06200000000001</v>
      </c>
      <c r="BG27" s="45">
        <f>IF('RPM &amp; Discounts'!$B$3='A0.Support'!$B$8,'A3.Distance matrix'!BH18,'A3.Distance matrix'!BH9)</f>
        <v>237.37200000000001</v>
      </c>
      <c r="BH27" s="45">
        <f>IF('RPM &amp; Discounts'!$B$3='A0.Support'!$B$8,'A3.Distance matrix'!BI18,'A3.Distance matrix'!BI9)</f>
        <v>216.36199999999999</v>
      </c>
      <c r="BI27" s="45">
        <f>IF('RPM &amp; Discounts'!$B$3='A0.Support'!$B$8,'A3.Distance matrix'!BJ18,'A3.Distance matrix'!BJ9)</f>
        <v>225.452</v>
      </c>
      <c r="BJ27" s="45">
        <f>IF('RPM &amp; Discounts'!$B$3='A0.Support'!$B$8,'A3.Distance matrix'!BK18,'A3.Distance matrix'!BK9)</f>
        <v>239.58199999999999</v>
      </c>
      <c r="BK27" s="45">
        <f>IF('RPM &amp; Discounts'!$B$3='A0.Support'!$B$8,'A3.Distance matrix'!BL18,'A3.Distance matrix'!BL9)</f>
        <v>247.46199999999999</v>
      </c>
      <c r="BL27" s="45">
        <f>IF('RPM &amp; Discounts'!$B$3='A0.Support'!$B$8,'A3.Distance matrix'!BM18,'A3.Distance matrix'!BM9)</f>
        <v>275.03199999999998</v>
      </c>
      <c r="BM27" s="45">
        <f>IF('RPM &amp; Discounts'!$B$3='A0.Support'!$B$8,'A3.Distance matrix'!BN18,'A3.Distance matrix'!BN9)</f>
        <v>272.93200000000002</v>
      </c>
      <c r="BN27" s="45">
        <f>IF('RPM &amp; Discounts'!$B$3='A0.Support'!$B$8,'A3.Distance matrix'!BO18,'A3.Distance matrix'!BO9)</f>
        <v>302.77199999999999</v>
      </c>
      <c r="BO27" s="45">
        <f>IF('RPM &amp; Discounts'!$B$3='A0.Support'!$B$8,'A3.Distance matrix'!BP18,'A3.Distance matrix'!BP9)</f>
        <v>239.28200000000001</v>
      </c>
      <c r="BP27" s="45">
        <f>IF('RPM &amp; Discounts'!$B$3='A0.Support'!$B$8,'A3.Distance matrix'!BQ18,'A3.Distance matrix'!BQ9)</f>
        <v>135.90199999999999</v>
      </c>
      <c r="BQ27" s="45">
        <f>IF('RPM &amp; Discounts'!$B$3='A0.Support'!$B$8,'A3.Distance matrix'!BR18,'A3.Distance matrix'!BR9)</f>
        <v>113.312</v>
      </c>
      <c r="BR27" s="45">
        <f>IF('RPM &amp; Discounts'!$B$3='A0.Support'!$B$8,'A3.Distance matrix'!BS18,'A3.Distance matrix'!BS9)</f>
        <v>118.372</v>
      </c>
      <c r="BS27" s="45">
        <f>IF('RPM &amp; Discounts'!$B$3='A0.Support'!$B$8,'A3.Distance matrix'!BT18,'A3.Distance matrix'!BT9)</f>
        <v>93.421999999999997</v>
      </c>
      <c r="BT27" s="45">
        <f>IF('RPM &amp; Discounts'!$B$3='A0.Support'!$B$8,'A3.Distance matrix'!BU18,'A3.Distance matrix'!BU9)</f>
        <v>75.242000000000004</v>
      </c>
      <c r="BU27" s="45">
        <f>IF('RPM &amp; Discounts'!$B$3='A0.Support'!$B$8,'A3.Distance matrix'!BV18,'A3.Distance matrix'!BV9)</f>
        <v>56.201999999999998</v>
      </c>
      <c r="BV27" s="45">
        <f>IF('RPM &amp; Discounts'!$B$3='A0.Support'!$B$8,'A3.Distance matrix'!BW18,'A3.Distance matrix'!BW9)</f>
        <v>22.972000000000001</v>
      </c>
      <c r="BW27" s="45">
        <f>IF('RPM &amp; Discounts'!$B$3='A0.Support'!$B$8,'A3.Distance matrix'!BX18,'A3.Distance matrix'!BX9)</f>
        <v>211.86199999999999</v>
      </c>
      <c r="BX27" s="45">
        <f>IF('RPM &amp; Discounts'!$B$3='A0.Support'!$B$8,'A3.Distance matrix'!BY18,'A3.Distance matrix'!BY9)</f>
        <v>251.72200000000001</v>
      </c>
      <c r="BY27" s="45">
        <f>IF('RPM &amp; Discounts'!$B$3='A0.Support'!$B$8,'A3.Distance matrix'!BZ18,'A3.Distance matrix'!BZ9)</f>
        <v>276.59199999999998</v>
      </c>
      <c r="BZ27" s="45">
        <f>IF('RPM &amp; Discounts'!$B$3='A0.Support'!$B$8,'A3.Distance matrix'!CA18,'A3.Distance matrix'!CA9)</f>
        <v>288.23200000000003</v>
      </c>
      <c r="CA27" s="45">
        <f>IF('RPM &amp; Discounts'!$B$3='A0.Support'!$B$8,'A3.Distance matrix'!CB18,'A3.Distance matrix'!CB9)</f>
        <v>277.452</v>
      </c>
      <c r="CB27" s="45">
        <f>IF('RPM &amp; Discounts'!$B$3='A0.Support'!$B$8,'A3.Distance matrix'!CC18,'A3.Distance matrix'!CC9)</f>
        <v>237.922</v>
      </c>
      <c r="CC27" s="45">
        <f>IF('RPM &amp; Discounts'!$B$3='A0.Support'!$B$8,'A3.Distance matrix'!CD18,'A3.Distance matrix'!CD9)</f>
        <v>116.392</v>
      </c>
      <c r="CD27" s="45">
        <f>IF('RPM &amp; Discounts'!$B$3='A0.Support'!$B$8,'A3.Distance matrix'!CE18,'A3.Distance matrix'!CE9)</f>
        <v>125.932</v>
      </c>
      <c r="CE27" s="45">
        <f>IF('RPM &amp; Discounts'!$B$3='A0.Support'!$B$8,'A3.Distance matrix'!CF18,'A3.Distance matrix'!CF9)</f>
        <v>137.232</v>
      </c>
      <c r="CF27" s="45">
        <f>IF('RPM &amp; Discounts'!$B$3='A0.Support'!$B$8,'A3.Distance matrix'!CG18,'A3.Distance matrix'!CG9)</f>
        <v>159.452</v>
      </c>
      <c r="CG27" s="45">
        <f>IF('RPM &amp; Discounts'!$B$3='A0.Support'!$B$8,'A3.Distance matrix'!CH18,'A3.Distance matrix'!CH9)</f>
        <v>161.59200000000001</v>
      </c>
      <c r="CH27" s="45">
        <f>IF('RPM &amp; Discounts'!$B$3='A0.Support'!$B$8,'A3.Distance matrix'!CI18,'A3.Distance matrix'!CI9)</f>
        <v>198.22200000000001</v>
      </c>
      <c r="CI27" s="45">
        <f>IF('RPM &amp; Discounts'!$B$3='A0.Support'!$B$8,'A3.Distance matrix'!CJ18,'A3.Distance matrix'!CJ9)</f>
        <v>273.10199999999998</v>
      </c>
      <c r="CJ27" s="45">
        <f>IF('RPM &amp; Discounts'!$B$3='A0.Support'!$B$8,'A3.Distance matrix'!CK18,'A3.Distance matrix'!CK9)</f>
        <v>273.10300000000001</v>
      </c>
      <c r="CK27" s="45">
        <f>IF('RPM &amp; Discounts'!$B$3='A0.Support'!$B$8,'A3.Distance matrix'!CL18,'A3.Distance matrix'!CL9)</f>
        <v>274.423</v>
      </c>
      <c r="CL27" s="45">
        <f>IF('RPM &amp; Discounts'!$B$3='A0.Support'!$B$8,'A3.Distance matrix'!CM18,'A3.Distance matrix'!CM9)</f>
        <v>273.10300000000001</v>
      </c>
      <c r="CM27" s="45">
        <f>IF('RPM &amp; Discounts'!$B$3='A0.Support'!$B$8,'A3.Distance matrix'!CN18,'A3.Distance matrix'!CN9)</f>
        <v>280.19200000000001</v>
      </c>
    </row>
    <row r="30" spans="2:91">
      <c r="C30"/>
      <c r="D30"/>
      <c r="E30"/>
      <c r="F30"/>
      <c r="G30"/>
    </row>
    <row r="31" spans="2:91">
      <c r="C31"/>
      <c r="D31"/>
      <c r="E31"/>
      <c r="F31"/>
      <c r="G31"/>
    </row>
    <row r="32" spans="2:91">
      <c r="C32"/>
      <c r="D32"/>
      <c r="E32"/>
      <c r="F32"/>
      <c r="G32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B1:G279"/>
  <sheetViews>
    <sheetView showGridLines="0" workbookViewId="0">
      <selection activeCell="F8" sqref="F8"/>
    </sheetView>
  </sheetViews>
  <sheetFormatPr defaultRowHeight="15"/>
  <cols>
    <col min="2" max="2" width="26.85546875" bestFit="1" customWidth="1"/>
    <col min="3" max="5" width="28.7109375" customWidth="1"/>
    <col min="6" max="6" width="28.7109375" style="1" customWidth="1"/>
    <col min="7" max="7" width="28.7109375" customWidth="1"/>
  </cols>
  <sheetData>
    <row r="1" spans="2:7" s="1" customFormat="1"/>
    <row r="3" spans="2:7">
      <c r="B3" s="2" t="s">
        <v>3</v>
      </c>
      <c r="C3" s="37" t="s">
        <v>2</v>
      </c>
      <c r="D3" s="38"/>
      <c r="E3" s="38"/>
      <c r="F3" s="38"/>
      <c r="G3" s="40"/>
    </row>
    <row r="4" spans="2:7">
      <c r="B4" s="42" t="s">
        <v>1</v>
      </c>
      <c r="C4" s="41" t="str">
        <f t="array" ref="C4:G4">TRANSPOSE('Input capacity'!B7:B11)</f>
        <v>CTS Campo Maior</v>
      </c>
      <c r="D4" s="13" t="str">
        <v>CTS Valença do Minho</v>
      </c>
      <c r="E4" s="13" t="str">
        <v>LNG Terminal Sines</v>
      </c>
      <c r="F4" s="13" t="str">
        <v>Underground storage Carriço</v>
      </c>
      <c r="G4" s="13" t="str">
        <v>Gas producers</v>
      </c>
    </row>
    <row r="5" spans="2:7">
      <c r="B5" s="13" t="str">
        <f>'Input capacity'!B19</f>
        <v>CTS Campo Maior</v>
      </c>
      <c r="C5" s="49">
        <f t="array" ref="C5:C93">TRANSPOSE('Distance Matrix_Entry'!C5:CM5)</f>
        <v>0</v>
      </c>
      <c r="D5" s="49">
        <f t="array" ref="D5:D93">TRANSPOSE('Distance Matrix_Entry'!C6:CM6)</f>
        <v>508.95100000000002</v>
      </c>
      <c r="E5" s="49">
        <f t="array" ref="E5:E93">TRANSPOSE('Distance Matrix_Entry'!C7:CM7)</f>
        <v>481.59199999999998</v>
      </c>
      <c r="F5" s="49">
        <f t="array" ref="F5:F93">TRANSPOSE('Distance Matrix_Entry'!C8:CM8)</f>
        <v>239.52199999999999</v>
      </c>
      <c r="G5" s="49">
        <f t="array" ref="G5:G93">TRANSPOSE('Distance Matrix_Entry'!C9:CM9)</f>
        <v>239.523</v>
      </c>
    </row>
    <row r="6" spans="2:7">
      <c r="B6" s="13" t="str">
        <f>'Input capacity'!B20</f>
        <v>CTS Valença do Minho</v>
      </c>
      <c r="C6" s="49">
        <v>508.95100000000002</v>
      </c>
      <c r="D6" s="49">
        <v>0</v>
      </c>
      <c r="E6" s="49">
        <v>549.62099999999998</v>
      </c>
      <c r="F6" s="49">
        <v>307.55099999999999</v>
      </c>
      <c r="G6" s="49">
        <v>307.55200000000002</v>
      </c>
    </row>
    <row r="7" spans="2:7">
      <c r="B7" s="13" t="str">
        <f>'Input capacity'!B21</f>
        <v>LNG Terminal Sines</v>
      </c>
      <c r="C7" s="49">
        <v>481.59199999999998</v>
      </c>
      <c r="D7" s="49">
        <v>549.62099999999998</v>
      </c>
      <c r="E7" s="49">
        <v>0</v>
      </c>
      <c r="F7" s="49">
        <v>280.19200000000001</v>
      </c>
      <c r="G7" s="49">
        <v>280.19299999999998</v>
      </c>
    </row>
    <row r="8" spans="2:7">
      <c r="B8" s="13" t="str">
        <f>'Input capacity'!B22</f>
        <v>Underground storage Carriço</v>
      </c>
      <c r="C8" s="49">
        <v>239.52199999999999</v>
      </c>
      <c r="D8" s="49">
        <v>307.55099999999999</v>
      </c>
      <c r="E8" s="49">
        <v>280.19200000000001</v>
      </c>
      <c r="F8" s="49">
        <v>0</v>
      </c>
      <c r="G8" s="49">
        <v>9.9999999999989008E-4</v>
      </c>
    </row>
    <row r="9" spans="2:7">
      <c r="B9" s="13" t="str">
        <f>'Input capacity'!B23</f>
        <v>GRMS 01059</v>
      </c>
      <c r="C9" s="49">
        <v>1013.8654285714285</v>
      </c>
      <c r="D9" s="49">
        <v>1188.7971428571427</v>
      </c>
      <c r="E9" s="49">
        <v>224.51400000000001</v>
      </c>
      <c r="F9" s="49">
        <v>495.97971428571424</v>
      </c>
      <c r="G9" s="49">
        <v>495.98228571428569</v>
      </c>
    </row>
    <row r="10" spans="2:7">
      <c r="B10" s="13" t="str">
        <f>'Input capacity'!B24</f>
        <v>GRMS 01109</v>
      </c>
      <c r="C10" s="49">
        <v>1047.2965714285713</v>
      </c>
      <c r="D10" s="49">
        <v>1222.2282857142854</v>
      </c>
      <c r="E10" s="49">
        <v>291.8365714285714</v>
      </c>
      <c r="F10" s="49">
        <v>529.41085714285714</v>
      </c>
      <c r="G10" s="49">
        <v>529.41342857142854</v>
      </c>
    </row>
    <row r="11" spans="2:7">
      <c r="B11" s="13" t="str">
        <f>'Input capacity'!B25</f>
        <v>GRMS 01119</v>
      </c>
      <c r="C11" s="49">
        <v>1025.9254285714285</v>
      </c>
      <c r="D11" s="49">
        <v>1200.8571428571427</v>
      </c>
      <c r="E11" s="49">
        <v>270.46542857142856</v>
      </c>
      <c r="F11" s="49">
        <v>508.03971428571424</v>
      </c>
      <c r="G11" s="49">
        <v>508.0422857142857</v>
      </c>
    </row>
    <row r="12" spans="2:7">
      <c r="B12" s="13" t="str">
        <f>'Input capacity'!B26</f>
        <v>GRMS 01129</v>
      </c>
      <c r="C12" s="49">
        <v>1047.2939999999999</v>
      </c>
      <c r="D12" s="49">
        <v>1222.2257142857143</v>
      </c>
      <c r="E12" s="49">
        <v>291.83399999999995</v>
      </c>
      <c r="F12" s="49">
        <v>529.40828571428563</v>
      </c>
      <c r="G12" s="49">
        <v>529.41085714285714</v>
      </c>
    </row>
    <row r="13" spans="2:7">
      <c r="B13" s="13" t="str">
        <f>'Input capacity'!B27</f>
        <v>GRMS 01139</v>
      </c>
      <c r="C13" s="49">
        <v>972.90257142857138</v>
      </c>
      <c r="D13" s="49">
        <v>1147.8342857142857</v>
      </c>
      <c r="E13" s="49">
        <v>265.47685714285711</v>
      </c>
      <c r="F13" s="49">
        <v>455.01685714285708</v>
      </c>
      <c r="G13" s="49">
        <v>455.01942857142853</v>
      </c>
    </row>
    <row r="14" spans="2:7">
      <c r="B14" s="13" t="str">
        <f>'Input capacity'!B28</f>
        <v>GRMS 01149</v>
      </c>
      <c r="C14" s="49">
        <v>941.04257142857136</v>
      </c>
      <c r="D14" s="49">
        <v>1115.9742857142855</v>
      </c>
      <c r="E14" s="49">
        <v>297.33685714285713</v>
      </c>
      <c r="F14" s="49">
        <v>423.15685714285712</v>
      </c>
      <c r="G14" s="49">
        <v>423.15942857142858</v>
      </c>
    </row>
    <row r="15" spans="2:7">
      <c r="B15" s="13" t="str">
        <f>'Input capacity'!B29</f>
        <v>GRMS 01159</v>
      </c>
      <c r="C15" s="49">
        <v>1063.3911428571428</v>
      </c>
      <c r="D15" s="49">
        <v>1238.3228571428569</v>
      </c>
      <c r="E15" s="49">
        <v>307.93114285714285</v>
      </c>
      <c r="F15" s="49">
        <v>545.50542857142852</v>
      </c>
      <c r="G15" s="49">
        <v>545.50799999999992</v>
      </c>
    </row>
    <row r="16" spans="2:7">
      <c r="B16" s="13" t="str">
        <f>'Input capacity'!B30</f>
        <v>GRMS 01179</v>
      </c>
      <c r="C16" s="49">
        <v>898.0997142857143</v>
      </c>
      <c r="D16" s="49">
        <v>1073.0314285714285</v>
      </c>
      <c r="E16" s="49">
        <v>340.27971428571425</v>
      </c>
      <c r="F16" s="49">
        <v>380.21399999999994</v>
      </c>
      <c r="G16" s="49">
        <v>380.2165714285714</v>
      </c>
    </row>
    <row r="17" spans="2:7">
      <c r="B17" s="13" t="str">
        <f>'Input capacity'!B31</f>
        <v>GRMS 01189</v>
      </c>
      <c r="C17" s="49">
        <v>866.05971428571422</v>
      </c>
      <c r="D17" s="49">
        <v>1040.9914285714285</v>
      </c>
      <c r="E17" s="49">
        <v>372.31971428571421</v>
      </c>
      <c r="F17" s="49">
        <v>348.17399999999998</v>
      </c>
      <c r="G17" s="49">
        <v>348.17657142857138</v>
      </c>
    </row>
    <row r="18" spans="2:7">
      <c r="B18" s="13" t="str">
        <f>'Input capacity'!B32</f>
        <v>GRMS 01209</v>
      </c>
      <c r="C18" s="49">
        <v>941.30228571428563</v>
      </c>
      <c r="D18" s="49">
        <v>1116.2339999999999</v>
      </c>
      <c r="E18" s="49">
        <v>466.9508571428571</v>
      </c>
      <c r="F18" s="49">
        <v>423.41657142857139</v>
      </c>
      <c r="G18" s="49">
        <v>423.41914285714284</v>
      </c>
    </row>
    <row r="19" spans="2:7">
      <c r="B19" s="13" t="str">
        <f>'Input capacity'!B33</f>
        <v>GRMS 01219</v>
      </c>
      <c r="C19" s="49">
        <v>856.72542857142844</v>
      </c>
      <c r="D19" s="49">
        <v>1031.6571428571426</v>
      </c>
      <c r="E19" s="49">
        <v>382.37399999999997</v>
      </c>
      <c r="F19" s="49">
        <v>338.83971428571419</v>
      </c>
      <c r="G19" s="49">
        <v>338.84228571428565</v>
      </c>
    </row>
    <row r="20" spans="2:7">
      <c r="B20" s="13" t="str">
        <f>'Input capacity'!B34</f>
        <v>GRMS 01229</v>
      </c>
      <c r="C20" s="49">
        <v>910.16228571428564</v>
      </c>
      <c r="D20" s="49">
        <v>1085.0939999999998</v>
      </c>
      <c r="E20" s="49">
        <v>435.81085714285712</v>
      </c>
      <c r="F20" s="49">
        <v>392.27657142857134</v>
      </c>
      <c r="G20" s="49">
        <v>392.2791428571428</v>
      </c>
    </row>
    <row r="21" spans="2:7">
      <c r="B21" s="13" t="str">
        <f>'Input capacity'!B35</f>
        <v>GRMS 01239</v>
      </c>
      <c r="C21" s="49">
        <v>927.57342857142851</v>
      </c>
      <c r="D21" s="49">
        <v>1102.5051428571428</v>
      </c>
      <c r="E21" s="49">
        <v>453.22199999999992</v>
      </c>
      <c r="F21" s="49">
        <v>409.68771428571426</v>
      </c>
      <c r="G21" s="49">
        <v>409.69028571428572</v>
      </c>
    </row>
    <row r="22" spans="2:7">
      <c r="B22" s="13" t="str">
        <f>'Input capacity'!B36</f>
        <v>GRMS 01259</v>
      </c>
      <c r="C22" s="49">
        <v>850.11685714285704</v>
      </c>
      <c r="D22" s="49">
        <v>1025.0485714285712</v>
      </c>
      <c r="E22" s="49">
        <v>388.26257142857145</v>
      </c>
      <c r="F22" s="49">
        <v>332.2311428571428</v>
      </c>
      <c r="G22" s="49">
        <v>332.23371428571426</v>
      </c>
    </row>
    <row r="23" spans="2:7">
      <c r="B23" s="13" t="str">
        <f>'Input capacity'!B37</f>
        <v>GRMS 01269</v>
      </c>
      <c r="C23" s="49">
        <v>856.72799999999995</v>
      </c>
      <c r="D23" s="49">
        <v>1031.6597142857142</v>
      </c>
      <c r="E23" s="49">
        <v>382.37657142857137</v>
      </c>
      <c r="F23" s="49">
        <v>338.84228571428565</v>
      </c>
      <c r="G23" s="49">
        <v>338.84485714285711</v>
      </c>
    </row>
    <row r="24" spans="2:7">
      <c r="B24" s="13" t="str">
        <f>'Input capacity'!B38</f>
        <v>GRMS 01279</v>
      </c>
      <c r="C24" s="49">
        <v>927.57085714285699</v>
      </c>
      <c r="D24" s="49">
        <v>1102.5025714285712</v>
      </c>
      <c r="E24" s="49">
        <v>453.21942857142852</v>
      </c>
      <c r="F24" s="49">
        <v>409.68514285714281</v>
      </c>
      <c r="G24" s="49">
        <v>409.68771428571426</v>
      </c>
    </row>
    <row r="25" spans="2:7">
      <c r="B25" s="13" t="str">
        <f>'Input capacity'!B39</f>
        <v>GRMS 01309</v>
      </c>
      <c r="C25" s="49">
        <v>844.43399999999997</v>
      </c>
      <c r="D25" s="49">
        <v>1019.3657142857143</v>
      </c>
      <c r="E25" s="49">
        <v>452.72828571428568</v>
      </c>
      <c r="F25" s="49">
        <v>326.54828571428567</v>
      </c>
      <c r="G25" s="49">
        <v>326.55085714285713</v>
      </c>
    </row>
    <row r="26" spans="2:7">
      <c r="B26" s="13" t="str">
        <f>'Input capacity'!B40</f>
        <v>GRMS 01319</v>
      </c>
      <c r="C26" s="49">
        <v>815.04257142857136</v>
      </c>
      <c r="D26" s="49">
        <v>989.97428571428566</v>
      </c>
      <c r="E26" s="49">
        <v>423.33685714285713</v>
      </c>
      <c r="F26" s="49">
        <v>297.15685714285712</v>
      </c>
      <c r="G26" s="49">
        <v>297.15942857142852</v>
      </c>
    </row>
    <row r="27" spans="2:7">
      <c r="B27" s="13" t="str">
        <f>'Input capacity'!B41</f>
        <v>GRMS 01359</v>
      </c>
      <c r="C27" s="49">
        <v>876.06514285714275</v>
      </c>
      <c r="D27" s="49">
        <v>1050.9968571428572</v>
      </c>
      <c r="E27" s="49">
        <v>484.35942857142851</v>
      </c>
      <c r="F27" s="49">
        <v>358.17942857142856</v>
      </c>
      <c r="G27" s="49">
        <v>358.18199999999996</v>
      </c>
    </row>
    <row r="28" spans="2:7">
      <c r="B28" s="13" t="str">
        <f>'Input capacity'!B42</f>
        <v>GRMS 01369</v>
      </c>
      <c r="C28" s="49">
        <v>876.06257142857123</v>
      </c>
      <c r="D28" s="49">
        <v>1050.9942857142858</v>
      </c>
      <c r="E28" s="49">
        <v>484.35685714285705</v>
      </c>
      <c r="F28" s="49">
        <v>358.1768571428571</v>
      </c>
      <c r="G28" s="49">
        <v>358.17942857142856</v>
      </c>
    </row>
    <row r="29" spans="2:7">
      <c r="B29" s="13" t="str">
        <f>'Input capacity'!B43</f>
        <v>GRMS 01409</v>
      </c>
      <c r="C29" s="49">
        <v>751.7854285714285</v>
      </c>
      <c r="D29" s="49">
        <v>926.71714285714268</v>
      </c>
      <c r="E29" s="49">
        <v>486.59399999999994</v>
      </c>
      <c r="F29" s="49">
        <v>233.89971428571425</v>
      </c>
      <c r="G29" s="49">
        <v>233.90228571428571</v>
      </c>
    </row>
    <row r="30" spans="2:7">
      <c r="B30" s="13" t="str">
        <f>'Input capacity'!B44</f>
        <v>GRMS 02069</v>
      </c>
      <c r="C30" s="49">
        <v>664.51114285714277</v>
      </c>
      <c r="D30" s="49">
        <v>839.44285714285706</v>
      </c>
      <c r="E30" s="49">
        <v>573.86828571428566</v>
      </c>
      <c r="F30" s="49">
        <v>146.62542857142856</v>
      </c>
      <c r="G30" s="49">
        <v>146.62799999999999</v>
      </c>
    </row>
    <row r="31" spans="2:7">
      <c r="B31" s="13" t="str">
        <f>'Input capacity'!B45</f>
        <v>GRMS 02089</v>
      </c>
      <c r="C31" s="49">
        <v>631.9054285714285</v>
      </c>
      <c r="D31" s="49">
        <v>806.83714285714268</v>
      </c>
      <c r="E31" s="49">
        <v>606.47399999999993</v>
      </c>
      <c r="F31" s="49">
        <v>114.01971428571427</v>
      </c>
      <c r="G31" s="49">
        <v>114.0222857142857</v>
      </c>
    </row>
    <row r="32" spans="2:7">
      <c r="B32" s="13" t="str">
        <f>'Input capacity'!B46</f>
        <v>GRMS 02159</v>
      </c>
      <c r="C32" s="49">
        <v>615.01114285714277</v>
      </c>
      <c r="D32" s="49">
        <v>789.94285714285706</v>
      </c>
      <c r="E32" s="49">
        <v>623.36828571428566</v>
      </c>
      <c r="F32" s="49">
        <v>97.125428571428557</v>
      </c>
      <c r="G32" s="49">
        <v>97.127999999999986</v>
      </c>
    </row>
    <row r="33" spans="2:7">
      <c r="B33" s="13" t="str">
        <f>'Input capacity'!B47</f>
        <v>GRMS 02509</v>
      </c>
      <c r="C33" s="49">
        <v>615.91114285714275</v>
      </c>
      <c r="D33" s="49">
        <v>790.84285714285704</v>
      </c>
      <c r="E33" s="49">
        <v>720.49114285714268</v>
      </c>
      <c r="F33" s="49">
        <v>2.5714285714282885E-3</v>
      </c>
      <c r="G33" s="49">
        <v>5.1428571428565771E-3</v>
      </c>
    </row>
    <row r="34" spans="2:7">
      <c r="B34" s="13" t="str">
        <f>'Input capacity'!B48</f>
        <v>GRMS 02519</v>
      </c>
      <c r="C34" s="49">
        <v>641.39400000000001</v>
      </c>
      <c r="D34" s="49">
        <v>816.32571428571418</v>
      </c>
      <c r="E34" s="49">
        <v>745.97399999999993</v>
      </c>
      <c r="F34" s="49">
        <v>25.485428571428567</v>
      </c>
      <c r="G34" s="49">
        <v>25.488</v>
      </c>
    </row>
    <row r="35" spans="2:7">
      <c r="B35" s="13" t="str">
        <f>'Input capacity'!B49</f>
        <v>GRMS 02539</v>
      </c>
      <c r="C35" s="49">
        <v>641.6768571428571</v>
      </c>
      <c r="D35" s="49">
        <v>816.60857142857128</v>
      </c>
      <c r="E35" s="49">
        <v>746.25685714285714</v>
      </c>
      <c r="F35" s="49">
        <v>25.768285714285714</v>
      </c>
      <c r="G35" s="49">
        <v>25.770857142857142</v>
      </c>
    </row>
    <row r="36" spans="2:7">
      <c r="B36" s="13" t="str">
        <f>'Input capacity'!B50</f>
        <v>GRMS 02549</v>
      </c>
      <c r="C36" s="49">
        <v>675.2854285714285</v>
      </c>
      <c r="D36" s="49">
        <v>850.21714285714279</v>
      </c>
      <c r="E36" s="49">
        <v>779.86542857142854</v>
      </c>
      <c r="F36" s="49">
        <v>59.376857142857141</v>
      </c>
      <c r="G36" s="49">
        <v>59.379428571428562</v>
      </c>
    </row>
    <row r="37" spans="2:7">
      <c r="B37" s="13" t="str">
        <f>'Input capacity'!B51</f>
        <v>GRMS 02559</v>
      </c>
      <c r="C37" s="49">
        <v>590.65971428571424</v>
      </c>
      <c r="D37" s="49">
        <v>718.07142857142856</v>
      </c>
      <c r="E37" s="49">
        <v>695.23971428571417</v>
      </c>
      <c r="F37" s="49">
        <v>72.773999999999987</v>
      </c>
      <c r="G37" s="49">
        <v>72.776571428571415</v>
      </c>
    </row>
    <row r="38" spans="2:7">
      <c r="B38" s="13" t="str">
        <f>'Input capacity'!B52</f>
        <v>GRMS 02569</v>
      </c>
      <c r="C38" s="49">
        <v>675.28800000000001</v>
      </c>
      <c r="D38" s="49">
        <v>850.2197142857143</v>
      </c>
      <c r="E38" s="49">
        <v>779.86799999999982</v>
      </c>
      <c r="F38" s="49">
        <v>59.379428571428562</v>
      </c>
      <c r="G38" s="49">
        <v>59.381999999999991</v>
      </c>
    </row>
    <row r="39" spans="2:7">
      <c r="B39" s="13" t="str">
        <f>'Input capacity'!B53</f>
        <v>GRMS 02709</v>
      </c>
      <c r="C39" s="49">
        <v>650.49685714285704</v>
      </c>
      <c r="D39" s="49">
        <v>681.73714285714277</v>
      </c>
      <c r="E39" s="49">
        <v>755.07685714285708</v>
      </c>
      <c r="F39" s="49">
        <v>132.61114285714285</v>
      </c>
      <c r="G39" s="49">
        <v>132.61371428571428</v>
      </c>
    </row>
    <row r="40" spans="2:7">
      <c r="B40" s="13" t="str">
        <f>'Input capacity'!B54</f>
        <v>GRMS 02719</v>
      </c>
      <c r="C40" s="49">
        <v>676.00542857142852</v>
      </c>
      <c r="D40" s="49">
        <v>707.24571428571426</v>
      </c>
      <c r="E40" s="49">
        <v>780.58542857142845</v>
      </c>
      <c r="F40" s="49">
        <v>158.11971428571428</v>
      </c>
      <c r="G40" s="49">
        <v>158.12228571428568</v>
      </c>
    </row>
    <row r="41" spans="2:7">
      <c r="B41" s="13" t="str">
        <f>'Input capacity'!B55</f>
        <v>GRMS 02739</v>
      </c>
      <c r="C41" s="49">
        <v>665.48828571428567</v>
      </c>
      <c r="D41" s="49">
        <v>643.24285714285713</v>
      </c>
      <c r="E41" s="49">
        <v>770.06828571428559</v>
      </c>
      <c r="F41" s="49">
        <v>147.60257142857142</v>
      </c>
      <c r="G41" s="49">
        <v>147.60514285714285</v>
      </c>
    </row>
    <row r="42" spans="2:7">
      <c r="B42" s="13" t="str">
        <f>'Input capacity'!B56</f>
        <v>GRMS 03009</v>
      </c>
      <c r="C42" s="49">
        <v>680.01685714285713</v>
      </c>
      <c r="D42" s="49">
        <v>628.71428571428567</v>
      </c>
      <c r="E42" s="49">
        <v>784.59685714285706</v>
      </c>
      <c r="F42" s="49">
        <v>162.13114285714283</v>
      </c>
      <c r="G42" s="49">
        <v>162.13371428571426</v>
      </c>
    </row>
    <row r="43" spans="2:7">
      <c r="B43" s="13" t="str">
        <f>'Input capacity'!B57</f>
        <v>GRMS 03059</v>
      </c>
      <c r="C43" s="49">
        <v>715.14257142857139</v>
      </c>
      <c r="D43" s="49">
        <v>593.58857142857141</v>
      </c>
      <c r="E43" s="49">
        <v>819.72257142857131</v>
      </c>
      <c r="F43" s="49">
        <v>197.25685714285711</v>
      </c>
      <c r="G43" s="49">
        <v>197.25942857142857</v>
      </c>
    </row>
    <row r="44" spans="2:7">
      <c r="B44" s="13" t="str">
        <f>'Input capacity'!B58</f>
        <v>GRMS 03069</v>
      </c>
      <c r="C44" s="49">
        <v>733.39971428571425</v>
      </c>
      <c r="D44" s="49">
        <v>575.33142857142855</v>
      </c>
      <c r="E44" s="49">
        <v>837.97971428571418</v>
      </c>
      <c r="F44" s="49">
        <v>215.51400000000001</v>
      </c>
      <c r="G44" s="49">
        <v>215.51657142857141</v>
      </c>
    </row>
    <row r="45" spans="2:7">
      <c r="B45" s="13" t="str">
        <f>'Input capacity'!B59</f>
        <v>GRMS 03109</v>
      </c>
      <c r="C45" s="49">
        <v>745.84542857142844</v>
      </c>
      <c r="D45" s="49">
        <v>562.88571428571424</v>
      </c>
      <c r="E45" s="49">
        <v>850.42542857142848</v>
      </c>
      <c r="F45" s="49">
        <v>227.95971428571426</v>
      </c>
      <c r="G45" s="49">
        <v>227.96228571428568</v>
      </c>
    </row>
    <row r="46" spans="2:7">
      <c r="B46" s="13" t="str">
        <f>'Input capacity'!B60</f>
        <v>GRMS 03169</v>
      </c>
      <c r="C46" s="49">
        <v>758.6768571428571</v>
      </c>
      <c r="D46" s="49">
        <v>550.0542857142857</v>
      </c>
      <c r="E46" s="49">
        <v>863.25685714285714</v>
      </c>
      <c r="F46" s="49">
        <v>240.79114285714286</v>
      </c>
      <c r="G46" s="49">
        <v>240.79371428571426</v>
      </c>
    </row>
    <row r="47" spans="2:7">
      <c r="B47" s="13" t="str">
        <f>'Input capacity'!B61</f>
        <v>GRMS 03219</v>
      </c>
      <c r="C47" s="49">
        <v>800.66828571428562</v>
      </c>
      <c r="D47" s="49">
        <v>508.06285714285713</v>
      </c>
      <c r="E47" s="49">
        <v>905.24828571428566</v>
      </c>
      <c r="F47" s="49">
        <v>282.78257142857143</v>
      </c>
      <c r="G47" s="49">
        <v>282.78514285714283</v>
      </c>
    </row>
    <row r="48" spans="2:7">
      <c r="B48" s="13" t="str">
        <f>'Input capacity'!B62</f>
        <v>GRMS 03229</v>
      </c>
      <c r="C48" s="49">
        <v>818.87400000000002</v>
      </c>
      <c r="D48" s="49">
        <v>489.85714285714283</v>
      </c>
      <c r="E48" s="49">
        <v>923.45399999999984</v>
      </c>
      <c r="F48" s="49">
        <v>300.98828571428567</v>
      </c>
      <c r="G48" s="49">
        <v>300.99085714285712</v>
      </c>
    </row>
    <row r="49" spans="2:7">
      <c r="B49" s="13" t="str">
        <f>'Input capacity'!B63</f>
        <v>GRMS 03259</v>
      </c>
      <c r="C49" s="49">
        <v>851.84228571428559</v>
      </c>
      <c r="D49" s="49">
        <v>493.61399999999998</v>
      </c>
      <c r="E49" s="49">
        <v>956.42228571428564</v>
      </c>
      <c r="F49" s="49">
        <v>333.95657142857141</v>
      </c>
      <c r="G49" s="49">
        <v>333.95914285714281</v>
      </c>
    </row>
    <row r="50" spans="2:7">
      <c r="B50" s="13" t="str">
        <f>'Input capacity'!B64</f>
        <v>GRMS 03269</v>
      </c>
      <c r="C50" s="49">
        <v>851.83971428571419</v>
      </c>
      <c r="D50" s="49">
        <v>493.61142857142852</v>
      </c>
      <c r="E50" s="49">
        <v>956.41971428571412</v>
      </c>
      <c r="F50" s="49">
        <v>333.95400000000001</v>
      </c>
      <c r="G50" s="49">
        <v>333.95657142857141</v>
      </c>
    </row>
    <row r="51" spans="2:7">
      <c r="B51" s="13" t="str">
        <f>'Input capacity'!B65</f>
        <v>GRMS 03309</v>
      </c>
      <c r="C51" s="49">
        <v>863.46257142857132</v>
      </c>
      <c r="D51" s="49">
        <v>445.26857142857136</v>
      </c>
      <c r="E51" s="49">
        <v>968.04257142857136</v>
      </c>
      <c r="F51" s="49">
        <v>345.57685714285708</v>
      </c>
      <c r="G51" s="49">
        <v>345.57942857142854</v>
      </c>
    </row>
    <row r="52" spans="2:7">
      <c r="B52" s="13" t="str">
        <f>'Input capacity'!B66</f>
        <v>GRMS 03359</v>
      </c>
      <c r="C52" s="49">
        <v>885.99085714285707</v>
      </c>
      <c r="D52" s="49">
        <v>422.74542857142853</v>
      </c>
      <c r="E52" s="49">
        <v>990.57085714285699</v>
      </c>
      <c r="F52" s="49">
        <v>368.10514285714277</v>
      </c>
      <c r="G52" s="49">
        <v>368.10771428571422</v>
      </c>
    </row>
    <row r="53" spans="2:7">
      <c r="B53" s="13" t="str">
        <f>'Input capacity'!B67</f>
        <v>GRMS 03369</v>
      </c>
      <c r="C53" s="49">
        <v>885.98828571428555</v>
      </c>
      <c r="D53" s="49">
        <v>422.74285714285713</v>
      </c>
      <c r="E53" s="49">
        <v>990.56828571428559</v>
      </c>
      <c r="F53" s="49">
        <v>368.10257142857142</v>
      </c>
      <c r="G53" s="49">
        <v>368.10514285714277</v>
      </c>
    </row>
    <row r="54" spans="2:7">
      <c r="B54" s="13" t="str">
        <f>'Input capacity'!B68</f>
        <v>GRMS 03459</v>
      </c>
      <c r="C54" s="49">
        <v>919.8282857142857</v>
      </c>
      <c r="D54" s="49">
        <v>388.9028571428571</v>
      </c>
      <c r="E54" s="49">
        <v>1024.4082857142855</v>
      </c>
      <c r="F54" s="49">
        <v>401.9425714285714</v>
      </c>
      <c r="G54" s="49">
        <v>401.94514285714286</v>
      </c>
    </row>
    <row r="55" spans="2:7">
      <c r="B55" s="13" t="str">
        <f>'Input capacity'!B69</f>
        <v>GRMS 03559</v>
      </c>
      <c r="C55" s="49">
        <v>964.98257142857142</v>
      </c>
      <c r="D55" s="49">
        <v>343.74857142857144</v>
      </c>
      <c r="E55" s="49">
        <v>1069.5625714285713</v>
      </c>
      <c r="F55" s="49">
        <v>447.09685714285712</v>
      </c>
      <c r="G55" s="49">
        <v>447.09942857142858</v>
      </c>
    </row>
    <row r="56" spans="2:7">
      <c r="B56" s="13" t="str">
        <f>'Input capacity'!B70</f>
        <v>GRMS 03609</v>
      </c>
      <c r="C56" s="49">
        <v>1001.9854285714284</v>
      </c>
      <c r="D56" s="49">
        <v>350.15142857142848</v>
      </c>
      <c r="E56" s="49">
        <v>1106.5654285714286</v>
      </c>
      <c r="F56" s="49">
        <v>484.09971428571424</v>
      </c>
      <c r="G56" s="49">
        <v>484.10228571428564</v>
      </c>
    </row>
    <row r="57" spans="2:7">
      <c r="B57" s="13" t="str">
        <f>'Input capacity'!B71</f>
        <v>GRMS 03619</v>
      </c>
      <c r="C57" s="49">
        <v>994.93971428571422</v>
      </c>
      <c r="D57" s="49">
        <v>343.10571428571427</v>
      </c>
      <c r="E57" s="49">
        <v>1099.5197142857141</v>
      </c>
      <c r="F57" s="49">
        <v>477.05399999999992</v>
      </c>
      <c r="G57" s="49">
        <v>477.05657142857137</v>
      </c>
    </row>
    <row r="58" spans="2:7">
      <c r="B58" s="13" t="str">
        <f>'Input capacity'!B72</f>
        <v>GRMS 03659</v>
      </c>
      <c r="C58" s="49">
        <v>1006.9997142857142</v>
      </c>
      <c r="D58" s="49">
        <v>337.78285714285715</v>
      </c>
      <c r="E58" s="49">
        <v>1111.5797142857141</v>
      </c>
      <c r="F58" s="49">
        <v>489.11399999999998</v>
      </c>
      <c r="G58" s="49">
        <v>489.11657142857138</v>
      </c>
    </row>
    <row r="59" spans="2:7">
      <c r="B59" s="13" t="str">
        <f>'Input capacity'!B73</f>
        <v>GRMS 04059</v>
      </c>
      <c r="C59" s="49">
        <v>1023.3539999999999</v>
      </c>
      <c r="D59" s="49">
        <v>285.37714285714281</v>
      </c>
      <c r="E59" s="49">
        <v>1127.934</v>
      </c>
      <c r="F59" s="49">
        <v>505.46828571428568</v>
      </c>
      <c r="G59" s="49">
        <v>505.47085714285708</v>
      </c>
    </row>
    <row r="60" spans="2:7">
      <c r="B60" s="13" t="str">
        <f>'Input capacity'!B74</f>
        <v>GRMS 04109</v>
      </c>
      <c r="C60" s="49">
        <v>1047.7568571428571</v>
      </c>
      <c r="D60" s="49">
        <v>260.97428571428566</v>
      </c>
      <c r="E60" s="49">
        <v>1152.3368571428568</v>
      </c>
      <c r="F60" s="49">
        <v>529.87114285714279</v>
      </c>
      <c r="G60" s="49">
        <v>529.8737142857143</v>
      </c>
    </row>
    <row r="61" spans="2:7">
      <c r="B61" s="13" t="str">
        <f>'Input capacity'!B75</f>
        <v>GRMS 04149</v>
      </c>
      <c r="C61" s="49">
        <v>1128.2682857142856</v>
      </c>
      <c r="D61" s="49">
        <v>302.5542857142857</v>
      </c>
      <c r="E61" s="49">
        <v>1232.8482857142856</v>
      </c>
      <c r="F61" s="49">
        <v>610.3825714285714</v>
      </c>
      <c r="G61" s="49">
        <v>610.3851428571428</v>
      </c>
    </row>
    <row r="62" spans="2:7">
      <c r="B62" s="13" t="str">
        <f>'Input capacity'!B76</f>
        <v>GRMS 04159</v>
      </c>
      <c r="C62" s="49">
        <v>1074.2425714285714</v>
      </c>
      <c r="D62" s="49">
        <v>234.48857142857139</v>
      </c>
      <c r="E62" s="49">
        <v>1178.8225714285713</v>
      </c>
      <c r="F62" s="49">
        <v>556.35685714285705</v>
      </c>
      <c r="G62" s="49">
        <v>556.35942857142845</v>
      </c>
    </row>
    <row r="63" spans="2:7">
      <c r="B63" s="13" t="str">
        <f>'Input capacity'!B77</f>
        <v>GRMS 04209</v>
      </c>
      <c r="C63" s="49">
        <v>1097.616857142857</v>
      </c>
      <c r="D63" s="49">
        <v>211.11428571428567</v>
      </c>
      <c r="E63" s="49">
        <v>1202.196857142857</v>
      </c>
      <c r="F63" s="49">
        <v>579.7311428571428</v>
      </c>
      <c r="G63" s="49">
        <v>579.7337142857142</v>
      </c>
    </row>
    <row r="64" spans="2:7">
      <c r="B64" s="13" t="str">
        <f>'Input capacity'!B78</f>
        <v>GRMS 05009</v>
      </c>
      <c r="C64" s="49">
        <v>1133.9511428571427</v>
      </c>
      <c r="D64" s="49">
        <v>208.20857142857142</v>
      </c>
      <c r="E64" s="49">
        <v>1238.5311428571429</v>
      </c>
      <c r="F64" s="49">
        <v>616.06542857142847</v>
      </c>
      <c r="G64" s="49">
        <v>616.06799999999987</v>
      </c>
    </row>
    <row r="65" spans="2:7">
      <c r="B65" s="13" t="str">
        <f>'Input capacity'!B79</f>
        <v>GRMS 05119</v>
      </c>
      <c r="C65" s="49">
        <v>1154.2139999999999</v>
      </c>
      <c r="D65" s="49">
        <v>154.51714285714286</v>
      </c>
      <c r="E65" s="49">
        <v>1258.7939999999999</v>
      </c>
      <c r="F65" s="49">
        <v>636.3282857142857</v>
      </c>
      <c r="G65" s="49">
        <v>636.3308571428571</v>
      </c>
    </row>
    <row r="66" spans="2:7">
      <c r="B66" s="13" t="str">
        <f>'Input capacity'!B80</f>
        <v>GRMS 05179</v>
      </c>
      <c r="C66" s="49">
        <v>1225.1082857142856</v>
      </c>
      <c r="D66" s="49">
        <v>184.32</v>
      </c>
      <c r="E66" s="49">
        <v>1329.6882857142855</v>
      </c>
      <c r="F66" s="49">
        <v>707.22257142857143</v>
      </c>
      <c r="G66" s="49">
        <v>707.22514285714271</v>
      </c>
    </row>
    <row r="67" spans="2:7">
      <c r="B67" s="13" t="str">
        <f>'Input capacity'!B81</f>
        <v>GRMS 05309</v>
      </c>
      <c r="C67" s="49">
        <v>1219.7082857142857</v>
      </c>
      <c r="D67" s="49">
        <v>89.022857142857134</v>
      </c>
      <c r="E67" s="49">
        <v>1324.2882857142856</v>
      </c>
      <c r="F67" s="49">
        <v>701.82257142857134</v>
      </c>
      <c r="G67" s="49">
        <v>701.82514285714285</v>
      </c>
    </row>
    <row r="68" spans="2:7">
      <c r="B68" s="13" t="str">
        <f>'Input capacity'!B82</f>
        <v>GRMS 05609</v>
      </c>
      <c r="C68" s="49">
        <v>1296.4397142857142</v>
      </c>
      <c r="D68" s="49">
        <v>12.29142857142857</v>
      </c>
      <c r="E68" s="49">
        <v>1401.0197142857141</v>
      </c>
      <c r="F68" s="49">
        <v>778.55399999999997</v>
      </c>
      <c r="G68" s="49">
        <v>778.55657142857137</v>
      </c>
    </row>
    <row r="69" spans="2:7">
      <c r="B69" s="13" t="str">
        <f>'Input capacity'!B83</f>
        <v>GRMS 07009</v>
      </c>
      <c r="C69" s="49">
        <v>0.61971428571428566</v>
      </c>
      <c r="D69" s="49">
        <v>1308.1114285714284</v>
      </c>
      <c r="E69" s="49">
        <v>1237.7597142857142</v>
      </c>
      <c r="F69" s="49">
        <v>615.29399999999998</v>
      </c>
      <c r="G69" s="49">
        <v>615.29657142857138</v>
      </c>
    </row>
    <row r="70" spans="2:7">
      <c r="B70" s="13" t="str">
        <f>'Input capacity'!B84</f>
        <v>GRMS 08009</v>
      </c>
      <c r="C70" s="49">
        <v>266.45399999999995</v>
      </c>
      <c r="D70" s="49">
        <v>1042.2771428571427</v>
      </c>
      <c r="E70" s="49">
        <v>971.92542857142848</v>
      </c>
      <c r="F70" s="49">
        <v>349.45971428571426</v>
      </c>
      <c r="G70" s="49">
        <v>349.46228571428566</v>
      </c>
    </row>
    <row r="71" spans="2:7">
      <c r="B71" s="13" t="str">
        <f>'Input capacity'!B85</f>
        <v>GRMS 08109</v>
      </c>
      <c r="C71" s="49">
        <v>324.54257142857142</v>
      </c>
      <c r="D71" s="49">
        <v>984.18857142857132</v>
      </c>
      <c r="E71" s="49">
        <v>913.83685714285696</v>
      </c>
      <c r="F71" s="49">
        <v>291.37114285714284</v>
      </c>
      <c r="G71" s="49">
        <v>291.37371428571424</v>
      </c>
    </row>
    <row r="72" spans="2:7">
      <c r="B72" s="13" t="str">
        <f>'Input capacity'!B86</f>
        <v>GRMS 08119</v>
      </c>
      <c r="C72" s="49">
        <v>337.55399999999992</v>
      </c>
      <c r="D72" s="49">
        <v>997.19999999999993</v>
      </c>
      <c r="E72" s="49">
        <v>926.84828571428557</v>
      </c>
      <c r="F72" s="49">
        <v>304.3825714285714</v>
      </c>
      <c r="G72" s="49">
        <v>304.38514285714285</v>
      </c>
    </row>
    <row r="73" spans="2:7">
      <c r="B73" s="13" t="str">
        <f>'Input capacity'!B87</f>
        <v>GRMS 08209</v>
      </c>
      <c r="C73" s="49">
        <v>375.68828571428566</v>
      </c>
      <c r="D73" s="49">
        <v>933.04285714285709</v>
      </c>
      <c r="E73" s="49">
        <v>862.69114285714272</v>
      </c>
      <c r="F73" s="49">
        <v>240.22542857142855</v>
      </c>
      <c r="G73" s="49">
        <v>240.22799999999998</v>
      </c>
    </row>
    <row r="74" spans="2:7">
      <c r="B74" s="13" t="str">
        <f>'Input capacity'!B88</f>
        <v>GRMS 08309</v>
      </c>
      <c r="C74" s="49">
        <v>422.43685714285709</v>
      </c>
      <c r="D74" s="49">
        <v>886.29428571428571</v>
      </c>
      <c r="E74" s="49">
        <v>815.94257142857134</v>
      </c>
      <c r="F74" s="49">
        <v>193.47685714285711</v>
      </c>
      <c r="G74" s="49">
        <v>193.47942857142857</v>
      </c>
    </row>
    <row r="75" spans="2:7">
      <c r="B75" s="13" t="str">
        <f>'Input capacity'!B89</f>
        <v>GRMS 08409</v>
      </c>
      <c r="C75" s="49">
        <v>471.39685714285707</v>
      </c>
      <c r="D75" s="49">
        <v>837.33428571428567</v>
      </c>
      <c r="E75" s="49">
        <v>766.98257142857142</v>
      </c>
      <c r="F75" s="49">
        <v>144.51685714285713</v>
      </c>
      <c r="G75" s="49">
        <v>144.51942857142856</v>
      </c>
    </row>
    <row r="76" spans="2:7">
      <c r="B76" s="13" t="str">
        <f>'Input capacity'!B90</f>
        <v>GRMS 08559</v>
      </c>
      <c r="C76" s="49">
        <v>556.84542857142844</v>
      </c>
      <c r="D76" s="49">
        <v>751.88571428571413</v>
      </c>
      <c r="E76" s="49">
        <v>681.53399999999988</v>
      </c>
      <c r="F76" s="49">
        <v>59.068285714285707</v>
      </c>
      <c r="G76" s="49">
        <v>59.070857142857143</v>
      </c>
    </row>
    <row r="77" spans="2:7">
      <c r="B77" s="13" t="str">
        <f>'Input capacity'!B91</f>
        <v>GRMS 10079</v>
      </c>
      <c r="C77" s="49">
        <v>183.96257142857141</v>
      </c>
      <c r="D77" s="49">
        <v>1237.6028571428571</v>
      </c>
      <c r="E77" s="49">
        <v>1167.2511428571427</v>
      </c>
      <c r="F77" s="49">
        <v>544.7854285714285</v>
      </c>
      <c r="G77" s="49">
        <v>544.7879999999999</v>
      </c>
    </row>
    <row r="78" spans="2:7">
      <c r="B78" s="13" t="str">
        <f>'Input capacity'!B92</f>
        <v>GRMS 10159</v>
      </c>
      <c r="C78" s="49">
        <v>286.45971428571426</v>
      </c>
      <c r="D78" s="49">
        <v>1235.4942857142858</v>
      </c>
      <c r="E78" s="49">
        <v>1269.7482857142857</v>
      </c>
      <c r="F78" s="49">
        <v>647.28257142857137</v>
      </c>
      <c r="G78" s="49">
        <v>647.28514285714277</v>
      </c>
    </row>
    <row r="79" spans="2:7">
      <c r="B79" s="13" t="str">
        <f>'Input capacity'!B93</f>
        <v>GRMS 10209</v>
      </c>
      <c r="C79" s="49">
        <v>350.41114285714281</v>
      </c>
      <c r="D79" s="49">
        <v>1171.542857142857</v>
      </c>
      <c r="E79" s="49">
        <v>1333.699714285714</v>
      </c>
      <c r="F79" s="49">
        <v>711.23399999999992</v>
      </c>
      <c r="G79" s="49">
        <v>711.23657142857132</v>
      </c>
    </row>
    <row r="80" spans="2:7">
      <c r="B80" s="13" t="str">
        <f>'Input capacity'!B94</f>
        <v>GRMS 10309</v>
      </c>
      <c r="C80" s="49">
        <v>471.52542857142856</v>
      </c>
      <c r="D80" s="49">
        <v>1050.4285714285713</v>
      </c>
      <c r="E80" s="49">
        <v>1363.6311428571428</v>
      </c>
      <c r="F80" s="49">
        <v>741.16542857142849</v>
      </c>
      <c r="G80" s="49">
        <v>741.16800000000001</v>
      </c>
    </row>
    <row r="81" spans="2:7">
      <c r="B81" s="13" t="str">
        <f>'Input capacity'!B95</f>
        <v>GRMS 10359</v>
      </c>
      <c r="C81" s="49">
        <v>499.24542857142853</v>
      </c>
      <c r="D81" s="49">
        <v>1022.7085714285714</v>
      </c>
      <c r="E81" s="49">
        <v>1335.9111428571425</v>
      </c>
      <c r="F81" s="49">
        <v>713.44542857142858</v>
      </c>
      <c r="G81" s="49">
        <v>713.44799999999998</v>
      </c>
    </row>
    <row r="82" spans="2:7">
      <c r="B82" s="13" t="str">
        <f>'Input capacity'!B96</f>
        <v>GRMS 10459</v>
      </c>
      <c r="C82" s="49">
        <v>600.89400000000001</v>
      </c>
      <c r="D82" s="49">
        <v>921.06</v>
      </c>
      <c r="E82" s="49">
        <v>1234.2625714285712</v>
      </c>
      <c r="F82" s="49">
        <v>611.79685714285711</v>
      </c>
      <c r="G82" s="49">
        <v>611.79942857142851</v>
      </c>
    </row>
    <row r="83" spans="2:7">
      <c r="B83" s="13" t="str">
        <f>'Input capacity'!B97</f>
        <v>GRMS 11109</v>
      </c>
      <c r="C83" s="49">
        <v>817.1768571428571</v>
      </c>
      <c r="D83" s="49">
        <v>608.5542857142857</v>
      </c>
      <c r="E83" s="49">
        <v>921.75685714285703</v>
      </c>
      <c r="F83" s="49">
        <v>299.29114285714286</v>
      </c>
      <c r="G83" s="49">
        <v>299.29371428571426</v>
      </c>
    </row>
    <row r="84" spans="2:7">
      <c r="B84" s="13" t="str">
        <f>'Input capacity'!B98</f>
        <v>GRMS 11159</v>
      </c>
      <c r="C84" s="49">
        <v>841.70828571428569</v>
      </c>
      <c r="D84" s="49">
        <v>633.08571428571418</v>
      </c>
      <c r="E84" s="49">
        <v>946.28828571428551</v>
      </c>
      <c r="F84" s="49">
        <v>323.82257142857139</v>
      </c>
      <c r="G84" s="49">
        <v>323.82514285714285</v>
      </c>
    </row>
    <row r="85" spans="2:7">
      <c r="B85" s="13" t="str">
        <f>'Input capacity'!B99</f>
        <v>GRMS 11209</v>
      </c>
      <c r="C85" s="49">
        <v>859.81114285714273</v>
      </c>
      <c r="D85" s="49">
        <v>662.14285714285711</v>
      </c>
      <c r="E85" s="49">
        <v>975.34542857142844</v>
      </c>
      <c r="F85" s="49">
        <v>352.87971428571421</v>
      </c>
      <c r="G85" s="49">
        <v>352.88228571428567</v>
      </c>
    </row>
    <row r="86" spans="2:7">
      <c r="B86" s="13" t="str">
        <f>'Input capacity'!B100</f>
        <v>GRMS 11279</v>
      </c>
      <c r="C86" s="49">
        <v>844.69114285714272</v>
      </c>
      <c r="D86" s="49">
        <v>719.28</v>
      </c>
      <c r="E86" s="49">
        <v>1032.4825714285714</v>
      </c>
      <c r="F86" s="49">
        <v>410.01685714285708</v>
      </c>
      <c r="G86" s="49">
        <v>410.01942857142853</v>
      </c>
    </row>
    <row r="87" spans="2:7">
      <c r="B87" s="13" t="str">
        <f>'Input capacity'!B101</f>
        <v>GRMS 11309</v>
      </c>
      <c r="C87" s="49">
        <v>797.17114285714285</v>
      </c>
      <c r="D87" s="49">
        <v>724.7828571428571</v>
      </c>
      <c r="E87" s="49">
        <v>1037.9854285714284</v>
      </c>
      <c r="F87" s="49">
        <v>415.51971428571426</v>
      </c>
      <c r="G87" s="49">
        <v>415.52228571428572</v>
      </c>
    </row>
    <row r="88" spans="2:7">
      <c r="B88" s="13" t="str">
        <f>'Input capacity'!B102</f>
        <v>GRMS 12209</v>
      </c>
      <c r="C88" s="49">
        <v>1027.5968571428571</v>
      </c>
      <c r="D88" s="49">
        <v>1202.5285714285712</v>
      </c>
      <c r="E88" s="49">
        <v>210.78257142857143</v>
      </c>
      <c r="F88" s="49">
        <v>509.71114285714282</v>
      </c>
      <c r="G88" s="49">
        <v>509.71371428571427</v>
      </c>
    </row>
    <row r="89" spans="2:7">
      <c r="B89" s="13" t="str">
        <f>'Input capacity'!B103</f>
        <v>GRMS 12609</v>
      </c>
      <c r="C89" s="49">
        <v>1220.1454285714283</v>
      </c>
      <c r="D89" s="49">
        <v>1395.0771428571427</v>
      </c>
      <c r="E89" s="49">
        <v>18.233999999999998</v>
      </c>
      <c r="F89" s="49">
        <v>702.25971428571427</v>
      </c>
      <c r="G89" s="49">
        <v>702.26228571428555</v>
      </c>
    </row>
    <row r="90" spans="2:7">
      <c r="B90" s="13" t="str">
        <f>'Input capacity'!B104</f>
        <v>GRMS 12619</v>
      </c>
      <c r="C90" s="49">
        <v>1220.1479999999999</v>
      </c>
      <c r="D90" s="49">
        <v>1395.0797142857141</v>
      </c>
      <c r="E90" s="49">
        <v>18.236571428571427</v>
      </c>
      <c r="F90" s="49">
        <v>702.26228571428555</v>
      </c>
      <c r="G90" s="49">
        <v>702.26485714285707</v>
      </c>
    </row>
    <row r="91" spans="2:7">
      <c r="B91" s="13" t="str">
        <f>'Input capacity'!B105</f>
        <v>GRMS 12619B</v>
      </c>
      <c r="C91" s="49">
        <v>1223.5422857142855</v>
      </c>
      <c r="D91" s="49">
        <v>1398.4739999999999</v>
      </c>
      <c r="E91" s="49">
        <v>21.630857142857142</v>
      </c>
      <c r="F91" s="49">
        <v>705.6565714285714</v>
      </c>
      <c r="G91" s="49">
        <v>705.6591428571428</v>
      </c>
    </row>
    <row r="92" spans="2:7">
      <c r="B92" s="13" t="str">
        <f>'Input capacity'!B106</f>
        <v>GRMS 12629</v>
      </c>
      <c r="C92" s="49">
        <v>1220.1479999999999</v>
      </c>
      <c r="D92" s="49">
        <v>1395.0797142857141</v>
      </c>
      <c r="E92" s="49">
        <v>18.236571428571427</v>
      </c>
      <c r="F92" s="49">
        <v>702.26228571428555</v>
      </c>
      <c r="G92" s="49">
        <v>702.26485714285707</v>
      </c>
    </row>
    <row r="93" spans="2:7">
      <c r="B93" s="13" t="str">
        <f>'Input capacity'!B107</f>
        <v>GRMS 12809</v>
      </c>
      <c r="C93" s="49">
        <v>1238.376857142857</v>
      </c>
      <c r="D93" s="49">
        <v>1413.3085714285712</v>
      </c>
      <c r="E93" s="49">
        <v>2.5714285714282885E-3</v>
      </c>
      <c r="F93" s="49">
        <v>720.49114285714268</v>
      </c>
      <c r="G93" s="49">
        <v>720.49371428571419</v>
      </c>
    </row>
    <row r="96" spans="2:7">
      <c r="B96" s="2" t="str">
        <f>'Distance Matrix_Entry'!B12</f>
        <v>Economic value</v>
      </c>
      <c r="C96" s="37" t="s">
        <v>2</v>
      </c>
      <c r="D96" s="38"/>
      <c r="E96" s="38"/>
      <c r="F96" s="38"/>
      <c r="G96" s="40"/>
    </row>
    <row r="97" spans="2:7">
      <c r="B97" s="42" t="s">
        <v>1</v>
      </c>
      <c r="C97" s="13" t="str">
        <f t="shared" ref="C97:G97" si="0">C4</f>
        <v>CTS Campo Maior</v>
      </c>
      <c r="D97" s="13" t="str">
        <f t="shared" si="0"/>
        <v>CTS Valença do Minho</v>
      </c>
      <c r="E97" s="13" t="str">
        <f t="shared" si="0"/>
        <v>LNG Terminal Sines</v>
      </c>
      <c r="F97" s="13" t="str">
        <f t="shared" si="0"/>
        <v>Underground storage Carriço</v>
      </c>
      <c r="G97" s="13" t="str">
        <f t="shared" si="0"/>
        <v>Gas producers</v>
      </c>
    </row>
    <row r="98" spans="2:7">
      <c r="B98" s="13" t="str">
        <f>B5</f>
        <v>CTS Campo Maior</v>
      </c>
      <c r="C98" s="62">
        <f t="array" ref="C98:C186">TRANSPOSE('Distance Matrix_Entry'!C14:CM14)</f>
        <v>1</v>
      </c>
      <c r="D98" s="62">
        <f t="array" ref="D98:D186">TRANSPOSE('Distance Matrix_Entry'!C15:CM15)</f>
        <v>1</v>
      </c>
      <c r="E98" s="62">
        <f t="array" ref="E98:E186">TRANSPOSE('Distance Matrix_Entry'!C16:CM16)</f>
        <v>1</v>
      </c>
      <c r="F98" s="62">
        <f t="array" ref="F98:F186">TRANSPOSE('Distance Matrix_Entry'!C17:CM17)</f>
        <v>1</v>
      </c>
      <c r="G98" s="62">
        <f t="array" ref="G98:G186">TRANSPOSE('Distance Matrix_Entry'!C18:CM18)</f>
        <v>1</v>
      </c>
    </row>
    <row r="99" spans="2:7">
      <c r="B99" s="13" t="str">
        <f t="shared" ref="B99:B162" si="1">B6</f>
        <v>CTS Valença do Minho</v>
      </c>
      <c r="C99" s="62">
        <v>1</v>
      </c>
      <c r="D99" s="62">
        <v>1</v>
      </c>
      <c r="E99" s="62">
        <v>1</v>
      </c>
      <c r="F99" s="62">
        <v>1</v>
      </c>
      <c r="G99" s="62">
        <v>1</v>
      </c>
    </row>
    <row r="100" spans="2:7">
      <c r="B100" s="13" t="str">
        <f t="shared" si="1"/>
        <v>LNG Terminal Sines</v>
      </c>
      <c r="C100" s="62">
        <v>1</v>
      </c>
      <c r="D100" s="62">
        <v>1</v>
      </c>
      <c r="E100" s="62">
        <v>1</v>
      </c>
      <c r="F100" s="62">
        <v>1</v>
      </c>
      <c r="G100" s="62">
        <v>1</v>
      </c>
    </row>
    <row r="101" spans="2:7">
      <c r="B101" s="13" t="str">
        <f t="shared" si="1"/>
        <v>Underground storage Carriço</v>
      </c>
      <c r="C101" s="62">
        <v>1</v>
      </c>
      <c r="D101" s="62">
        <v>1</v>
      </c>
      <c r="E101" s="62">
        <v>1</v>
      </c>
      <c r="F101" s="62">
        <v>1</v>
      </c>
      <c r="G101" s="62">
        <v>1</v>
      </c>
    </row>
    <row r="102" spans="2:7">
      <c r="B102" s="13" t="str">
        <f t="shared" si="1"/>
        <v>GRMS 01059</v>
      </c>
      <c r="C102" s="62">
        <v>2.5714285714285712</v>
      </c>
      <c r="D102" s="62">
        <v>2.5714285714285712</v>
      </c>
      <c r="E102" s="62">
        <v>2.5714285714285712</v>
      </c>
      <c r="F102" s="62">
        <v>2.5714285714285712</v>
      </c>
      <c r="G102" s="62">
        <v>2.5714285714285712</v>
      </c>
    </row>
    <row r="103" spans="2:7">
      <c r="B103" s="13" t="str">
        <f t="shared" si="1"/>
        <v>GRMS 01109</v>
      </c>
      <c r="C103" s="62">
        <v>2.5714285714285712</v>
      </c>
      <c r="D103" s="62">
        <v>2.5714285714285712</v>
      </c>
      <c r="E103" s="62">
        <v>2.5714285714285712</v>
      </c>
      <c r="F103" s="62">
        <v>2.5714285714285712</v>
      </c>
      <c r="G103" s="62">
        <v>2.5714285714285712</v>
      </c>
    </row>
    <row r="104" spans="2:7">
      <c r="B104" s="13" t="str">
        <f t="shared" si="1"/>
        <v>GRMS 01119</v>
      </c>
      <c r="C104" s="62">
        <v>2.5714285714285712</v>
      </c>
      <c r="D104" s="62">
        <v>2.5714285714285712</v>
      </c>
      <c r="E104" s="62">
        <v>2.5714285714285712</v>
      </c>
      <c r="F104" s="62">
        <v>2.5714285714285712</v>
      </c>
      <c r="G104" s="62">
        <v>2.5714285714285712</v>
      </c>
    </row>
    <row r="105" spans="2:7">
      <c r="B105" s="13" t="str">
        <f t="shared" si="1"/>
        <v>GRMS 01129</v>
      </c>
      <c r="C105" s="62">
        <v>2.5714285714285712</v>
      </c>
      <c r="D105" s="62">
        <v>2.5714285714285712</v>
      </c>
      <c r="E105" s="62">
        <v>2.5714285714285712</v>
      </c>
      <c r="F105" s="62">
        <v>2.5714285714285712</v>
      </c>
      <c r="G105" s="62">
        <v>2.5714285714285712</v>
      </c>
    </row>
    <row r="106" spans="2:7">
      <c r="B106" s="13" t="str">
        <f t="shared" si="1"/>
        <v>GRMS 01139</v>
      </c>
      <c r="C106" s="62">
        <v>2.5714285714285712</v>
      </c>
      <c r="D106" s="62">
        <v>2.5714285714285712</v>
      </c>
      <c r="E106" s="62">
        <v>2.5714285714285712</v>
      </c>
      <c r="F106" s="62">
        <v>2.5714285714285712</v>
      </c>
      <c r="G106" s="62">
        <v>2.5714285714285712</v>
      </c>
    </row>
    <row r="107" spans="2:7">
      <c r="B107" s="13" t="str">
        <f t="shared" si="1"/>
        <v>GRMS 01149</v>
      </c>
      <c r="C107" s="62">
        <v>2.5714285714285712</v>
      </c>
      <c r="D107" s="62">
        <v>2.5714285714285712</v>
      </c>
      <c r="E107" s="62">
        <v>2.5714285714285712</v>
      </c>
      <c r="F107" s="62">
        <v>2.5714285714285712</v>
      </c>
      <c r="G107" s="62">
        <v>2.5714285714285712</v>
      </c>
    </row>
    <row r="108" spans="2:7">
      <c r="B108" s="13" t="str">
        <f t="shared" si="1"/>
        <v>GRMS 01159</v>
      </c>
      <c r="C108" s="62">
        <v>2.5714285714285712</v>
      </c>
      <c r="D108" s="62">
        <v>2.5714285714285712</v>
      </c>
      <c r="E108" s="62">
        <v>2.5714285714285712</v>
      </c>
      <c r="F108" s="62">
        <v>2.5714285714285712</v>
      </c>
      <c r="G108" s="62">
        <v>2.5714285714285712</v>
      </c>
    </row>
    <row r="109" spans="2:7">
      <c r="B109" s="13" t="str">
        <f t="shared" si="1"/>
        <v>GRMS 01179</v>
      </c>
      <c r="C109" s="62">
        <v>2.5714285714285712</v>
      </c>
      <c r="D109" s="62">
        <v>2.5714285714285712</v>
      </c>
      <c r="E109" s="62">
        <v>2.5714285714285712</v>
      </c>
      <c r="F109" s="62">
        <v>2.5714285714285712</v>
      </c>
      <c r="G109" s="62">
        <v>2.5714285714285712</v>
      </c>
    </row>
    <row r="110" spans="2:7">
      <c r="B110" s="13" t="str">
        <f t="shared" si="1"/>
        <v>GRMS 01189</v>
      </c>
      <c r="C110" s="62">
        <v>2.5714285714285712</v>
      </c>
      <c r="D110" s="62">
        <v>2.5714285714285712</v>
      </c>
      <c r="E110" s="62">
        <v>2.5714285714285712</v>
      </c>
      <c r="F110" s="62">
        <v>2.5714285714285712</v>
      </c>
      <c r="G110" s="62">
        <v>2.5714285714285712</v>
      </c>
    </row>
    <row r="111" spans="2:7">
      <c r="B111" s="13" t="str">
        <f t="shared" si="1"/>
        <v>GRMS 01209</v>
      </c>
      <c r="C111" s="62">
        <v>2.5714285714285712</v>
      </c>
      <c r="D111" s="62">
        <v>2.5714285714285712</v>
      </c>
      <c r="E111" s="62">
        <v>2.5714285714285712</v>
      </c>
      <c r="F111" s="62">
        <v>2.5714285714285712</v>
      </c>
      <c r="G111" s="62">
        <v>2.5714285714285712</v>
      </c>
    </row>
    <row r="112" spans="2:7">
      <c r="B112" s="13" t="str">
        <f t="shared" si="1"/>
        <v>GRMS 01219</v>
      </c>
      <c r="C112" s="62">
        <v>2.5714285714285712</v>
      </c>
      <c r="D112" s="62">
        <v>2.5714285714285712</v>
      </c>
      <c r="E112" s="62">
        <v>2.5714285714285712</v>
      </c>
      <c r="F112" s="62">
        <v>2.5714285714285712</v>
      </c>
      <c r="G112" s="62">
        <v>2.5714285714285712</v>
      </c>
    </row>
    <row r="113" spans="2:7">
      <c r="B113" s="13" t="str">
        <f t="shared" si="1"/>
        <v>GRMS 01229</v>
      </c>
      <c r="C113" s="62">
        <v>2.5714285714285712</v>
      </c>
      <c r="D113" s="62">
        <v>2.5714285714285712</v>
      </c>
      <c r="E113" s="62">
        <v>2.5714285714285712</v>
      </c>
      <c r="F113" s="62">
        <v>2.5714285714285712</v>
      </c>
      <c r="G113" s="62">
        <v>2.5714285714285712</v>
      </c>
    </row>
    <row r="114" spans="2:7">
      <c r="B114" s="13" t="str">
        <f t="shared" si="1"/>
        <v>GRMS 01239</v>
      </c>
      <c r="C114" s="62">
        <v>2.5714285714285712</v>
      </c>
      <c r="D114" s="62">
        <v>2.5714285714285712</v>
      </c>
      <c r="E114" s="62">
        <v>2.5714285714285712</v>
      </c>
      <c r="F114" s="62">
        <v>2.5714285714285712</v>
      </c>
      <c r="G114" s="62">
        <v>2.5714285714285712</v>
      </c>
    </row>
    <row r="115" spans="2:7">
      <c r="B115" s="13" t="str">
        <f t="shared" si="1"/>
        <v>GRMS 01259</v>
      </c>
      <c r="C115" s="62">
        <v>2.5714285714285712</v>
      </c>
      <c r="D115" s="62">
        <v>2.5714285714285712</v>
      </c>
      <c r="E115" s="62">
        <v>2.5714285714285712</v>
      </c>
      <c r="F115" s="62">
        <v>2.5714285714285712</v>
      </c>
      <c r="G115" s="62">
        <v>2.5714285714285712</v>
      </c>
    </row>
    <row r="116" spans="2:7">
      <c r="B116" s="13" t="str">
        <f t="shared" si="1"/>
        <v>GRMS 01269</v>
      </c>
      <c r="C116" s="62">
        <v>2.5714285714285712</v>
      </c>
      <c r="D116" s="62">
        <v>2.5714285714285712</v>
      </c>
      <c r="E116" s="62">
        <v>2.5714285714285712</v>
      </c>
      <c r="F116" s="62">
        <v>2.5714285714285712</v>
      </c>
      <c r="G116" s="62">
        <v>2.5714285714285712</v>
      </c>
    </row>
    <row r="117" spans="2:7">
      <c r="B117" s="13" t="str">
        <f t="shared" si="1"/>
        <v>GRMS 01279</v>
      </c>
      <c r="C117" s="62">
        <v>2.5714285714285712</v>
      </c>
      <c r="D117" s="62">
        <v>2.5714285714285712</v>
      </c>
      <c r="E117" s="62">
        <v>2.5714285714285712</v>
      </c>
      <c r="F117" s="62">
        <v>2.5714285714285712</v>
      </c>
      <c r="G117" s="62">
        <v>2.5714285714285712</v>
      </c>
    </row>
    <row r="118" spans="2:7">
      <c r="B118" s="13" t="str">
        <f t="shared" si="1"/>
        <v>GRMS 01309</v>
      </c>
      <c r="C118" s="62">
        <v>2.5714285714285712</v>
      </c>
      <c r="D118" s="62">
        <v>2.5714285714285712</v>
      </c>
      <c r="E118" s="62">
        <v>2.5714285714285712</v>
      </c>
      <c r="F118" s="62">
        <v>2.5714285714285712</v>
      </c>
      <c r="G118" s="62">
        <v>2.5714285714285712</v>
      </c>
    </row>
    <row r="119" spans="2:7">
      <c r="B119" s="13" t="str">
        <f t="shared" si="1"/>
        <v>GRMS 01319</v>
      </c>
      <c r="C119" s="62">
        <v>2.5714285714285712</v>
      </c>
      <c r="D119" s="62">
        <v>2.5714285714285712</v>
      </c>
      <c r="E119" s="62">
        <v>2.5714285714285712</v>
      </c>
      <c r="F119" s="62">
        <v>2.5714285714285712</v>
      </c>
      <c r="G119" s="62">
        <v>2.5714285714285712</v>
      </c>
    </row>
    <row r="120" spans="2:7">
      <c r="B120" s="13" t="str">
        <f t="shared" si="1"/>
        <v>GRMS 01359</v>
      </c>
      <c r="C120" s="62">
        <v>2.5714285714285712</v>
      </c>
      <c r="D120" s="62">
        <v>2.5714285714285712</v>
      </c>
      <c r="E120" s="62">
        <v>2.5714285714285712</v>
      </c>
      <c r="F120" s="62">
        <v>2.5714285714285712</v>
      </c>
      <c r="G120" s="62">
        <v>2.5714285714285712</v>
      </c>
    </row>
    <row r="121" spans="2:7">
      <c r="B121" s="13" t="str">
        <f t="shared" si="1"/>
        <v>GRMS 01369</v>
      </c>
      <c r="C121" s="62">
        <v>2.5714285714285712</v>
      </c>
      <c r="D121" s="62">
        <v>2.5714285714285712</v>
      </c>
      <c r="E121" s="62">
        <v>2.5714285714285712</v>
      </c>
      <c r="F121" s="62">
        <v>2.5714285714285712</v>
      </c>
      <c r="G121" s="62">
        <v>2.5714285714285712</v>
      </c>
    </row>
    <row r="122" spans="2:7">
      <c r="B122" s="13" t="str">
        <f t="shared" si="1"/>
        <v>GRMS 01409</v>
      </c>
      <c r="C122" s="62">
        <v>2.5714285714285712</v>
      </c>
      <c r="D122" s="62">
        <v>2.5714285714285712</v>
      </c>
      <c r="E122" s="62">
        <v>2.5714285714285712</v>
      </c>
      <c r="F122" s="62">
        <v>2.5714285714285712</v>
      </c>
      <c r="G122" s="62">
        <v>2.5714285714285712</v>
      </c>
    </row>
    <row r="123" spans="2:7">
      <c r="B123" s="13" t="str">
        <f t="shared" si="1"/>
        <v>GRMS 02069</v>
      </c>
      <c r="C123" s="62">
        <v>2.5714285714285712</v>
      </c>
      <c r="D123" s="62">
        <v>2.5714285714285712</v>
      </c>
      <c r="E123" s="62">
        <v>2.5714285714285712</v>
      </c>
      <c r="F123" s="62">
        <v>2.5714285714285712</v>
      </c>
      <c r="G123" s="62">
        <v>2.5714285714285712</v>
      </c>
    </row>
    <row r="124" spans="2:7">
      <c r="B124" s="13" t="str">
        <f t="shared" si="1"/>
        <v>GRMS 02089</v>
      </c>
      <c r="C124" s="62">
        <v>2.5714285714285712</v>
      </c>
      <c r="D124" s="62">
        <v>2.5714285714285712</v>
      </c>
      <c r="E124" s="62">
        <v>2.5714285714285712</v>
      </c>
      <c r="F124" s="62">
        <v>2.5714285714285712</v>
      </c>
      <c r="G124" s="62">
        <v>2.5714285714285712</v>
      </c>
    </row>
    <row r="125" spans="2:7">
      <c r="B125" s="13" t="str">
        <f t="shared" si="1"/>
        <v>GRMS 02159</v>
      </c>
      <c r="C125" s="62">
        <v>2.5714285714285712</v>
      </c>
      <c r="D125" s="62">
        <v>2.5714285714285712</v>
      </c>
      <c r="E125" s="62">
        <v>2.5714285714285712</v>
      </c>
      <c r="F125" s="62">
        <v>2.5714285714285712</v>
      </c>
      <c r="G125" s="62">
        <v>2.5714285714285712</v>
      </c>
    </row>
    <row r="126" spans="2:7">
      <c r="B126" s="13" t="str">
        <f t="shared" si="1"/>
        <v>GRMS 02509</v>
      </c>
      <c r="C126" s="62">
        <v>2.5714285714285712</v>
      </c>
      <c r="D126" s="62">
        <v>2.5714285714285712</v>
      </c>
      <c r="E126" s="62">
        <v>2.5714285714285712</v>
      </c>
      <c r="F126" s="62">
        <v>2.5714285714285712</v>
      </c>
      <c r="G126" s="62">
        <v>2.5714285714285712</v>
      </c>
    </row>
    <row r="127" spans="2:7">
      <c r="B127" s="13" t="str">
        <f t="shared" si="1"/>
        <v>GRMS 02519</v>
      </c>
      <c r="C127" s="62">
        <v>2.5714285714285712</v>
      </c>
      <c r="D127" s="62">
        <v>2.5714285714285712</v>
      </c>
      <c r="E127" s="62">
        <v>2.5714285714285712</v>
      </c>
      <c r="F127" s="62">
        <v>2.5714285714285712</v>
      </c>
      <c r="G127" s="62">
        <v>2.5714285714285712</v>
      </c>
    </row>
    <row r="128" spans="2:7">
      <c r="B128" s="13" t="str">
        <f t="shared" si="1"/>
        <v>GRMS 02539</v>
      </c>
      <c r="C128" s="62">
        <v>2.5714285714285712</v>
      </c>
      <c r="D128" s="62">
        <v>2.5714285714285712</v>
      </c>
      <c r="E128" s="62">
        <v>2.5714285714285712</v>
      </c>
      <c r="F128" s="62">
        <v>2.5714285714285712</v>
      </c>
      <c r="G128" s="62">
        <v>2.5714285714285712</v>
      </c>
    </row>
    <row r="129" spans="2:7">
      <c r="B129" s="13" t="str">
        <f t="shared" si="1"/>
        <v>GRMS 02549</v>
      </c>
      <c r="C129" s="62">
        <v>2.5714285714285712</v>
      </c>
      <c r="D129" s="62">
        <v>2.5714285714285712</v>
      </c>
      <c r="E129" s="62">
        <v>2.5714285714285712</v>
      </c>
      <c r="F129" s="62">
        <v>2.5714285714285712</v>
      </c>
      <c r="G129" s="62">
        <v>2.5714285714285712</v>
      </c>
    </row>
    <row r="130" spans="2:7">
      <c r="B130" s="13" t="str">
        <f t="shared" si="1"/>
        <v>GRMS 02559</v>
      </c>
      <c r="C130" s="62">
        <v>2.5714285714285712</v>
      </c>
      <c r="D130" s="62">
        <v>2.5714285714285712</v>
      </c>
      <c r="E130" s="62">
        <v>2.5714285714285712</v>
      </c>
      <c r="F130" s="62">
        <v>2.5714285714285712</v>
      </c>
      <c r="G130" s="62">
        <v>2.5714285714285712</v>
      </c>
    </row>
    <row r="131" spans="2:7">
      <c r="B131" s="13" t="str">
        <f t="shared" si="1"/>
        <v>GRMS 02569</v>
      </c>
      <c r="C131" s="62">
        <v>2.5714285714285712</v>
      </c>
      <c r="D131" s="62">
        <v>2.5714285714285712</v>
      </c>
      <c r="E131" s="62">
        <v>2.5714285714285712</v>
      </c>
      <c r="F131" s="62">
        <v>2.5714285714285712</v>
      </c>
      <c r="G131" s="62">
        <v>2.5714285714285712</v>
      </c>
    </row>
    <row r="132" spans="2:7">
      <c r="B132" s="13" t="str">
        <f t="shared" si="1"/>
        <v>GRMS 02709</v>
      </c>
      <c r="C132" s="62">
        <v>2.5714285714285712</v>
      </c>
      <c r="D132" s="62">
        <v>2.5714285714285712</v>
      </c>
      <c r="E132" s="62">
        <v>2.5714285714285712</v>
      </c>
      <c r="F132" s="62">
        <v>2.5714285714285712</v>
      </c>
      <c r="G132" s="62">
        <v>2.5714285714285712</v>
      </c>
    </row>
    <row r="133" spans="2:7">
      <c r="B133" s="13" t="str">
        <f t="shared" si="1"/>
        <v>GRMS 02719</v>
      </c>
      <c r="C133" s="62">
        <v>2.5714285714285712</v>
      </c>
      <c r="D133" s="62">
        <v>2.5714285714285712</v>
      </c>
      <c r="E133" s="62">
        <v>2.5714285714285712</v>
      </c>
      <c r="F133" s="62">
        <v>2.5714285714285712</v>
      </c>
      <c r="G133" s="62">
        <v>2.5714285714285712</v>
      </c>
    </row>
    <row r="134" spans="2:7">
      <c r="B134" s="13" t="str">
        <f t="shared" si="1"/>
        <v>GRMS 02739</v>
      </c>
      <c r="C134" s="62">
        <v>2.5714285714285712</v>
      </c>
      <c r="D134" s="62">
        <v>2.5714285714285712</v>
      </c>
      <c r="E134" s="62">
        <v>2.5714285714285712</v>
      </c>
      <c r="F134" s="62">
        <v>2.5714285714285712</v>
      </c>
      <c r="G134" s="62">
        <v>2.5714285714285712</v>
      </c>
    </row>
    <row r="135" spans="2:7">
      <c r="B135" s="13" t="str">
        <f t="shared" si="1"/>
        <v>GRMS 03009</v>
      </c>
      <c r="C135" s="62">
        <v>2.5714285714285712</v>
      </c>
      <c r="D135" s="62">
        <v>2.5714285714285712</v>
      </c>
      <c r="E135" s="62">
        <v>2.5714285714285712</v>
      </c>
      <c r="F135" s="62">
        <v>2.5714285714285712</v>
      </c>
      <c r="G135" s="62">
        <v>2.5714285714285712</v>
      </c>
    </row>
    <row r="136" spans="2:7">
      <c r="B136" s="13" t="str">
        <f t="shared" si="1"/>
        <v>GRMS 03059</v>
      </c>
      <c r="C136" s="62">
        <v>2.5714285714285712</v>
      </c>
      <c r="D136" s="62">
        <v>2.5714285714285712</v>
      </c>
      <c r="E136" s="62">
        <v>2.5714285714285712</v>
      </c>
      <c r="F136" s="62">
        <v>2.5714285714285712</v>
      </c>
      <c r="G136" s="62">
        <v>2.5714285714285712</v>
      </c>
    </row>
    <row r="137" spans="2:7">
      <c r="B137" s="13" t="str">
        <f t="shared" si="1"/>
        <v>GRMS 03069</v>
      </c>
      <c r="C137" s="62">
        <v>2.5714285714285712</v>
      </c>
      <c r="D137" s="62">
        <v>2.5714285714285712</v>
      </c>
      <c r="E137" s="62">
        <v>2.5714285714285712</v>
      </c>
      <c r="F137" s="62">
        <v>2.5714285714285712</v>
      </c>
      <c r="G137" s="62">
        <v>2.5714285714285712</v>
      </c>
    </row>
    <row r="138" spans="2:7">
      <c r="B138" s="13" t="str">
        <f t="shared" si="1"/>
        <v>GRMS 03109</v>
      </c>
      <c r="C138" s="62">
        <v>2.5714285714285712</v>
      </c>
      <c r="D138" s="62">
        <v>2.5714285714285712</v>
      </c>
      <c r="E138" s="62">
        <v>2.5714285714285712</v>
      </c>
      <c r="F138" s="62">
        <v>2.5714285714285712</v>
      </c>
      <c r="G138" s="62">
        <v>2.5714285714285712</v>
      </c>
    </row>
    <row r="139" spans="2:7">
      <c r="B139" s="13" t="str">
        <f t="shared" si="1"/>
        <v>GRMS 03169</v>
      </c>
      <c r="C139" s="62">
        <v>2.5714285714285712</v>
      </c>
      <c r="D139" s="62">
        <v>2.5714285714285712</v>
      </c>
      <c r="E139" s="62">
        <v>2.5714285714285712</v>
      </c>
      <c r="F139" s="62">
        <v>2.5714285714285712</v>
      </c>
      <c r="G139" s="62">
        <v>2.5714285714285712</v>
      </c>
    </row>
    <row r="140" spans="2:7">
      <c r="B140" s="13" t="str">
        <f t="shared" si="1"/>
        <v>GRMS 03219</v>
      </c>
      <c r="C140" s="62">
        <v>2.5714285714285712</v>
      </c>
      <c r="D140" s="62">
        <v>2.5714285714285712</v>
      </c>
      <c r="E140" s="62">
        <v>2.5714285714285712</v>
      </c>
      <c r="F140" s="62">
        <v>2.5714285714285712</v>
      </c>
      <c r="G140" s="62">
        <v>2.5714285714285712</v>
      </c>
    </row>
    <row r="141" spans="2:7">
      <c r="B141" s="13" t="str">
        <f t="shared" si="1"/>
        <v>GRMS 03229</v>
      </c>
      <c r="C141" s="62">
        <v>2.5714285714285712</v>
      </c>
      <c r="D141" s="62">
        <v>2.5714285714285712</v>
      </c>
      <c r="E141" s="62">
        <v>2.5714285714285712</v>
      </c>
      <c r="F141" s="62">
        <v>2.5714285714285712</v>
      </c>
      <c r="G141" s="62">
        <v>2.5714285714285712</v>
      </c>
    </row>
    <row r="142" spans="2:7">
      <c r="B142" s="13" t="str">
        <f t="shared" si="1"/>
        <v>GRMS 03259</v>
      </c>
      <c r="C142" s="62">
        <v>2.5714285714285712</v>
      </c>
      <c r="D142" s="62">
        <v>2.5714285714285712</v>
      </c>
      <c r="E142" s="62">
        <v>2.5714285714285712</v>
      </c>
      <c r="F142" s="62">
        <v>2.5714285714285712</v>
      </c>
      <c r="G142" s="62">
        <v>2.5714285714285712</v>
      </c>
    </row>
    <row r="143" spans="2:7">
      <c r="B143" s="13" t="str">
        <f t="shared" si="1"/>
        <v>GRMS 03269</v>
      </c>
      <c r="C143" s="62">
        <v>2.5714285714285712</v>
      </c>
      <c r="D143" s="62">
        <v>2.5714285714285712</v>
      </c>
      <c r="E143" s="62">
        <v>2.5714285714285712</v>
      </c>
      <c r="F143" s="62">
        <v>2.5714285714285712</v>
      </c>
      <c r="G143" s="62">
        <v>2.5714285714285712</v>
      </c>
    </row>
    <row r="144" spans="2:7">
      <c r="B144" s="13" t="str">
        <f t="shared" si="1"/>
        <v>GRMS 03309</v>
      </c>
      <c r="C144" s="62">
        <v>2.5714285714285712</v>
      </c>
      <c r="D144" s="62">
        <v>2.5714285714285712</v>
      </c>
      <c r="E144" s="62">
        <v>2.5714285714285712</v>
      </c>
      <c r="F144" s="62">
        <v>2.5714285714285712</v>
      </c>
      <c r="G144" s="62">
        <v>2.5714285714285712</v>
      </c>
    </row>
    <row r="145" spans="2:7">
      <c r="B145" s="13" t="str">
        <f t="shared" si="1"/>
        <v>GRMS 03359</v>
      </c>
      <c r="C145" s="62">
        <v>2.5714285714285712</v>
      </c>
      <c r="D145" s="62">
        <v>2.5714285714285712</v>
      </c>
      <c r="E145" s="62">
        <v>2.5714285714285712</v>
      </c>
      <c r="F145" s="62">
        <v>2.5714285714285712</v>
      </c>
      <c r="G145" s="62">
        <v>2.5714285714285712</v>
      </c>
    </row>
    <row r="146" spans="2:7">
      <c r="B146" s="13" t="str">
        <f t="shared" si="1"/>
        <v>GRMS 03369</v>
      </c>
      <c r="C146" s="62">
        <v>2.5714285714285712</v>
      </c>
      <c r="D146" s="62">
        <v>2.5714285714285712</v>
      </c>
      <c r="E146" s="62">
        <v>2.5714285714285712</v>
      </c>
      <c r="F146" s="62">
        <v>2.5714285714285712</v>
      </c>
      <c r="G146" s="62">
        <v>2.5714285714285712</v>
      </c>
    </row>
    <row r="147" spans="2:7">
      <c r="B147" s="13" t="str">
        <f t="shared" si="1"/>
        <v>GRMS 03459</v>
      </c>
      <c r="C147" s="62">
        <v>2.5714285714285712</v>
      </c>
      <c r="D147" s="62">
        <v>2.5714285714285712</v>
      </c>
      <c r="E147" s="62">
        <v>2.5714285714285712</v>
      </c>
      <c r="F147" s="62">
        <v>2.5714285714285712</v>
      </c>
      <c r="G147" s="62">
        <v>2.5714285714285712</v>
      </c>
    </row>
    <row r="148" spans="2:7">
      <c r="B148" s="13" t="str">
        <f t="shared" si="1"/>
        <v>GRMS 03559</v>
      </c>
      <c r="C148" s="62">
        <v>2.5714285714285712</v>
      </c>
      <c r="D148" s="62">
        <v>2.5714285714285712</v>
      </c>
      <c r="E148" s="62">
        <v>2.5714285714285712</v>
      </c>
      <c r="F148" s="62">
        <v>2.5714285714285712</v>
      </c>
      <c r="G148" s="62">
        <v>2.5714285714285712</v>
      </c>
    </row>
    <row r="149" spans="2:7">
      <c r="B149" s="13" t="str">
        <f t="shared" si="1"/>
        <v>GRMS 03609</v>
      </c>
      <c r="C149" s="62">
        <v>2.5714285714285712</v>
      </c>
      <c r="D149" s="62">
        <v>2.5714285714285712</v>
      </c>
      <c r="E149" s="62">
        <v>2.5714285714285712</v>
      </c>
      <c r="F149" s="62">
        <v>2.5714285714285712</v>
      </c>
      <c r="G149" s="62">
        <v>2.5714285714285712</v>
      </c>
    </row>
    <row r="150" spans="2:7">
      <c r="B150" s="13" t="str">
        <f t="shared" si="1"/>
        <v>GRMS 03619</v>
      </c>
      <c r="C150" s="62">
        <v>2.5714285714285712</v>
      </c>
      <c r="D150" s="62">
        <v>2.5714285714285712</v>
      </c>
      <c r="E150" s="62">
        <v>2.5714285714285712</v>
      </c>
      <c r="F150" s="62">
        <v>2.5714285714285712</v>
      </c>
      <c r="G150" s="62">
        <v>2.5714285714285712</v>
      </c>
    </row>
    <row r="151" spans="2:7">
      <c r="B151" s="13" t="str">
        <f t="shared" si="1"/>
        <v>GRMS 03659</v>
      </c>
      <c r="C151" s="62">
        <v>2.5714285714285712</v>
      </c>
      <c r="D151" s="62">
        <v>2.5714285714285712</v>
      </c>
      <c r="E151" s="62">
        <v>2.5714285714285712</v>
      </c>
      <c r="F151" s="62">
        <v>2.5714285714285712</v>
      </c>
      <c r="G151" s="62">
        <v>2.5714285714285712</v>
      </c>
    </row>
    <row r="152" spans="2:7">
      <c r="B152" s="13" t="str">
        <f t="shared" si="1"/>
        <v>GRMS 04059</v>
      </c>
      <c r="C152" s="62">
        <v>2.5714285714285712</v>
      </c>
      <c r="D152" s="62">
        <v>2.5714285714285712</v>
      </c>
      <c r="E152" s="62">
        <v>2.5714285714285712</v>
      </c>
      <c r="F152" s="62">
        <v>2.5714285714285712</v>
      </c>
      <c r="G152" s="62">
        <v>2.5714285714285712</v>
      </c>
    </row>
    <row r="153" spans="2:7">
      <c r="B153" s="13" t="str">
        <f t="shared" si="1"/>
        <v>GRMS 04109</v>
      </c>
      <c r="C153" s="62">
        <v>2.5714285714285712</v>
      </c>
      <c r="D153" s="62">
        <v>2.5714285714285712</v>
      </c>
      <c r="E153" s="62">
        <v>2.5714285714285712</v>
      </c>
      <c r="F153" s="62">
        <v>2.5714285714285712</v>
      </c>
      <c r="G153" s="62">
        <v>2.5714285714285712</v>
      </c>
    </row>
    <row r="154" spans="2:7">
      <c r="B154" s="13" t="str">
        <f t="shared" si="1"/>
        <v>GRMS 04149</v>
      </c>
      <c r="C154" s="62">
        <v>2.5714285714285712</v>
      </c>
      <c r="D154" s="62">
        <v>2.5714285714285712</v>
      </c>
      <c r="E154" s="62">
        <v>2.5714285714285712</v>
      </c>
      <c r="F154" s="62">
        <v>2.5714285714285712</v>
      </c>
      <c r="G154" s="62">
        <v>2.5714285714285712</v>
      </c>
    </row>
    <row r="155" spans="2:7">
      <c r="B155" s="13" t="str">
        <f t="shared" si="1"/>
        <v>GRMS 04159</v>
      </c>
      <c r="C155" s="62">
        <v>2.5714285714285712</v>
      </c>
      <c r="D155" s="62">
        <v>2.5714285714285712</v>
      </c>
      <c r="E155" s="62">
        <v>2.5714285714285712</v>
      </c>
      <c r="F155" s="62">
        <v>2.5714285714285712</v>
      </c>
      <c r="G155" s="62">
        <v>2.5714285714285712</v>
      </c>
    </row>
    <row r="156" spans="2:7">
      <c r="B156" s="13" t="str">
        <f t="shared" si="1"/>
        <v>GRMS 04209</v>
      </c>
      <c r="C156" s="62">
        <v>2.5714285714285712</v>
      </c>
      <c r="D156" s="62">
        <v>2.5714285714285712</v>
      </c>
      <c r="E156" s="62">
        <v>2.5714285714285712</v>
      </c>
      <c r="F156" s="62">
        <v>2.5714285714285712</v>
      </c>
      <c r="G156" s="62">
        <v>2.5714285714285712</v>
      </c>
    </row>
    <row r="157" spans="2:7">
      <c r="B157" s="13" t="str">
        <f t="shared" si="1"/>
        <v>GRMS 05009</v>
      </c>
      <c r="C157" s="62">
        <v>2.5714285714285712</v>
      </c>
      <c r="D157" s="62">
        <v>2.5714285714285712</v>
      </c>
      <c r="E157" s="62">
        <v>2.5714285714285712</v>
      </c>
      <c r="F157" s="62">
        <v>2.5714285714285712</v>
      </c>
      <c r="G157" s="62">
        <v>2.5714285714285712</v>
      </c>
    </row>
    <row r="158" spans="2:7">
      <c r="B158" s="13" t="str">
        <f t="shared" si="1"/>
        <v>GRMS 05119</v>
      </c>
      <c r="C158" s="62">
        <v>2.5714285714285712</v>
      </c>
      <c r="D158" s="62">
        <v>2.5714285714285712</v>
      </c>
      <c r="E158" s="62">
        <v>2.5714285714285712</v>
      </c>
      <c r="F158" s="62">
        <v>2.5714285714285712</v>
      </c>
      <c r="G158" s="62">
        <v>2.5714285714285712</v>
      </c>
    </row>
    <row r="159" spans="2:7">
      <c r="B159" s="13" t="str">
        <f t="shared" si="1"/>
        <v>GRMS 05179</v>
      </c>
      <c r="C159" s="62">
        <v>2.5714285714285712</v>
      </c>
      <c r="D159" s="62">
        <v>2.5714285714285712</v>
      </c>
      <c r="E159" s="62">
        <v>2.5714285714285712</v>
      </c>
      <c r="F159" s="62">
        <v>2.5714285714285712</v>
      </c>
      <c r="G159" s="62">
        <v>2.5714285714285712</v>
      </c>
    </row>
    <row r="160" spans="2:7">
      <c r="B160" s="13" t="str">
        <f t="shared" si="1"/>
        <v>GRMS 05309</v>
      </c>
      <c r="C160" s="62">
        <v>2.5714285714285712</v>
      </c>
      <c r="D160" s="62">
        <v>2.5714285714285712</v>
      </c>
      <c r="E160" s="62">
        <v>2.5714285714285712</v>
      </c>
      <c r="F160" s="62">
        <v>2.5714285714285712</v>
      </c>
      <c r="G160" s="62">
        <v>2.5714285714285712</v>
      </c>
    </row>
    <row r="161" spans="2:7">
      <c r="B161" s="13" t="str">
        <f t="shared" si="1"/>
        <v>GRMS 05609</v>
      </c>
      <c r="C161" s="62">
        <v>2.5714285714285712</v>
      </c>
      <c r="D161" s="62">
        <v>2.5714285714285712</v>
      </c>
      <c r="E161" s="62">
        <v>2.5714285714285712</v>
      </c>
      <c r="F161" s="62">
        <v>2.5714285714285712</v>
      </c>
      <c r="G161" s="62">
        <v>2.5714285714285712</v>
      </c>
    </row>
    <row r="162" spans="2:7">
      <c r="B162" s="13" t="str">
        <f t="shared" si="1"/>
        <v>GRMS 07009</v>
      </c>
      <c r="C162" s="62">
        <v>2.5714285714285712</v>
      </c>
      <c r="D162" s="62">
        <v>2.5714285714285712</v>
      </c>
      <c r="E162" s="62">
        <v>2.5714285714285712</v>
      </c>
      <c r="F162" s="62">
        <v>2.5714285714285712</v>
      </c>
      <c r="G162" s="62">
        <v>2.5714285714285712</v>
      </c>
    </row>
    <row r="163" spans="2:7">
      <c r="B163" s="13" t="str">
        <f t="shared" ref="B163:B186" si="2">B70</f>
        <v>GRMS 08009</v>
      </c>
      <c r="C163" s="62">
        <v>2.5714285714285712</v>
      </c>
      <c r="D163" s="62">
        <v>2.5714285714285712</v>
      </c>
      <c r="E163" s="62">
        <v>2.5714285714285712</v>
      </c>
      <c r="F163" s="62">
        <v>2.5714285714285712</v>
      </c>
      <c r="G163" s="62">
        <v>2.5714285714285712</v>
      </c>
    </row>
    <row r="164" spans="2:7">
      <c r="B164" s="13" t="str">
        <f t="shared" si="2"/>
        <v>GRMS 08109</v>
      </c>
      <c r="C164" s="62">
        <v>2.5714285714285712</v>
      </c>
      <c r="D164" s="62">
        <v>2.5714285714285712</v>
      </c>
      <c r="E164" s="62">
        <v>2.5714285714285712</v>
      </c>
      <c r="F164" s="62">
        <v>2.5714285714285712</v>
      </c>
      <c r="G164" s="62">
        <v>2.5714285714285712</v>
      </c>
    </row>
    <row r="165" spans="2:7">
      <c r="B165" s="13" t="str">
        <f t="shared" si="2"/>
        <v>GRMS 08119</v>
      </c>
      <c r="C165" s="62">
        <v>2.5714285714285712</v>
      </c>
      <c r="D165" s="62">
        <v>2.5714285714285712</v>
      </c>
      <c r="E165" s="62">
        <v>2.5714285714285712</v>
      </c>
      <c r="F165" s="62">
        <v>2.5714285714285712</v>
      </c>
      <c r="G165" s="62">
        <v>2.5714285714285712</v>
      </c>
    </row>
    <row r="166" spans="2:7">
      <c r="B166" s="13" t="str">
        <f t="shared" si="2"/>
        <v>GRMS 08209</v>
      </c>
      <c r="C166" s="62">
        <v>2.5714285714285712</v>
      </c>
      <c r="D166" s="62">
        <v>2.5714285714285712</v>
      </c>
      <c r="E166" s="62">
        <v>2.5714285714285712</v>
      </c>
      <c r="F166" s="62">
        <v>2.5714285714285712</v>
      </c>
      <c r="G166" s="62">
        <v>2.5714285714285712</v>
      </c>
    </row>
    <row r="167" spans="2:7">
      <c r="B167" s="13" t="str">
        <f t="shared" si="2"/>
        <v>GRMS 08309</v>
      </c>
      <c r="C167" s="62">
        <v>2.5714285714285712</v>
      </c>
      <c r="D167" s="62">
        <v>2.5714285714285712</v>
      </c>
      <c r="E167" s="62">
        <v>2.5714285714285712</v>
      </c>
      <c r="F167" s="62">
        <v>2.5714285714285712</v>
      </c>
      <c r="G167" s="62">
        <v>2.5714285714285712</v>
      </c>
    </row>
    <row r="168" spans="2:7">
      <c r="B168" s="13" t="str">
        <f t="shared" si="2"/>
        <v>GRMS 08409</v>
      </c>
      <c r="C168" s="62">
        <v>2.5714285714285712</v>
      </c>
      <c r="D168" s="62">
        <v>2.5714285714285712</v>
      </c>
      <c r="E168" s="62">
        <v>2.5714285714285712</v>
      </c>
      <c r="F168" s="62">
        <v>2.5714285714285712</v>
      </c>
      <c r="G168" s="62">
        <v>2.5714285714285712</v>
      </c>
    </row>
    <row r="169" spans="2:7">
      <c r="B169" s="13" t="str">
        <f t="shared" si="2"/>
        <v>GRMS 08559</v>
      </c>
      <c r="C169" s="62">
        <v>2.5714285714285712</v>
      </c>
      <c r="D169" s="62">
        <v>2.5714285714285712</v>
      </c>
      <c r="E169" s="62">
        <v>2.5714285714285712</v>
      </c>
      <c r="F169" s="62">
        <v>2.5714285714285712</v>
      </c>
      <c r="G169" s="62">
        <v>2.5714285714285712</v>
      </c>
    </row>
    <row r="170" spans="2:7">
      <c r="B170" s="13" t="str">
        <f t="shared" si="2"/>
        <v>GRMS 10079</v>
      </c>
      <c r="C170" s="62">
        <v>2.5714285714285712</v>
      </c>
      <c r="D170" s="62">
        <v>2.5714285714285712</v>
      </c>
      <c r="E170" s="62">
        <v>2.5714285714285712</v>
      </c>
      <c r="F170" s="62">
        <v>2.5714285714285712</v>
      </c>
      <c r="G170" s="62">
        <v>2.5714285714285712</v>
      </c>
    </row>
    <row r="171" spans="2:7">
      <c r="B171" s="13" t="str">
        <f t="shared" si="2"/>
        <v>GRMS 10159</v>
      </c>
      <c r="C171" s="62">
        <v>2.5714285714285712</v>
      </c>
      <c r="D171" s="62">
        <v>2.5714285714285712</v>
      </c>
      <c r="E171" s="62">
        <v>2.5714285714285712</v>
      </c>
      <c r="F171" s="62">
        <v>2.5714285714285712</v>
      </c>
      <c r="G171" s="62">
        <v>2.5714285714285712</v>
      </c>
    </row>
    <row r="172" spans="2:7">
      <c r="B172" s="13" t="str">
        <f t="shared" si="2"/>
        <v>GRMS 10209</v>
      </c>
      <c r="C172" s="62">
        <v>2.5714285714285712</v>
      </c>
      <c r="D172" s="62">
        <v>2.5714285714285712</v>
      </c>
      <c r="E172" s="62">
        <v>2.5714285714285712</v>
      </c>
      <c r="F172" s="62">
        <v>2.5714285714285712</v>
      </c>
      <c r="G172" s="62">
        <v>2.5714285714285712</v>
      </c>
    </row>
    <row r="173" spans="2:7">
      <c r="B173" s="13" t="str">
        <f t="shared" si="2"/>
        <v>GRMS 10309</v>
      </c>
      <c r="C173" s="62">
        <v>2.5714285714285712</v>
      </c>
      <c r="D173" s="62">
        <v>2.5714285714285712</v>
      </c>
      <c r="E173" s="62">
        <v>2.5714285714285712</v>
      </c>
      <c r="F173" s="62">
        <v>2.5714285714285712</v>
      </c>
      <c r="G173" s="62">
        <v>2.5714285714285712</v>
      </c>
    </row>
    <row r="174" spans="2:7">
      <c r="B174" s="13" t="str">
        <f t="shared" si="2"/>
        <v>GRMS 10359</v>
      </c>
      <c r="C174" s="62">
        <v>2.5714285714285712</v>
      </c>
      <c r="D174" s="62">
        <v>2.5714285714285712</v>
      </c>
      <c r="E174" s="62">
        <v>2.5714285714285712</v>
      </c>
      <c r="F174" s="62">
        <v>2.5714285714285712</v>
      </c>
      <c r="G174" s="62">
        <v>2.5714285714285712</v>
      </c>
    </row>
    <row r="175" spans="2:7">
      <c r="B175" s="13" t="str">
        <f t="shared" si="2"/>
        <v>GRMS 10459</v>
      </c>
      <c r="C175" s="62">
        <v>2.5714285714285712</v>
      </c>
      <c r="D175" s="62">
        <v>2.5714285714285712</v>
      </c>
      <c r="E175" s="62">
        <v>2.5714285714285712</v>
      </c>
      <c r="F175" s="62">
        <v>2.5714285714285712</v>
      </c>
      <c r="G175" s="62">
        <v>2.5714285714285712</v>
      </c>
    </row>
    <row r="176" spans="2:7">
      <c r="B176" s="13" t="str">
        <f t="shared" si="2"/>
        <v>GRMS 11109</v>
      </c>
      <c r="C176" s="62">
        <v>2.5714285714285712</v>
      </c>
      <c r="D176" s="62">
        <v>2.5714285714285712</v>
      </c>
      <c r="E176" s="62">
        <v>2.5714285714285712</v>
      </c>
      <c r="F176" s="62">
        <v>2.5714285714285712</v>
      </c>
      <c r="G176" s="62">
        <v>2.5714285714285712</v>
      </c>
    </row>
    <row r="177" spans="2:7">
      <c r="B177" s="13" t="str">
        <f t="shared" si="2"/>
        <v>GRMS 11159</v>
      </c>
      <c r="C177" s="62">
        <v>2.5714285714285712</v>
      </c>
      <c r="D177" s="62">
        <v>2.5714285714285712</v>
      </c>
      <c r="E177" s="62">
        <v>2.5714285714285712</v>
      </c>
      <c r="F177" s="62">
        <v>2.5714285714285712</v>
      </c>
      <c r="G177" s="62">
        <v>2.5714285714285712</v>
      </c>
    </row>
    <row r="178" spans="2:7">
      <c r="B178" s="13" t="str">
        <f t="shared" si="2"/>
        <v>GRMS 11209</v>
      </c>
      <c r="C178" s="62">
        <v>2.5714285714285712</v>
      </c>
      <c r="D178" s="62">
        <v>2.5714285714285712</v>
      </c>
      <c r="E178" s="62">
        <v>2.5714285714285712</v>
      </c>
      <c r="F178" s="62">
        <v>2.5714285714285712</v>
      </c>
      <c r="G178" s="62">
        <v>2.5714285714285712</v>
      </c>
    </row>
    <row r="179" spans="2:7">
      <c r="B179" s="13" t="str">
        <f t="shared" si="2"/>
        <v>GRMS 11279</v>
      </c>
      <c r="C179" s="62">
        <v>2.5714285714285712</v>
      </c>
      <c r="D179" s="62">
        <v>2.5714285714285712</v>
      </c>
      <c r="E179" s="62">
        <v>2.5714285714285712</v>
      </c>
      <c r="F179" s="62">
        <v>2.5714285714285712</v>
      </c>
      <c r="G179" s="62">
        <v>2.5714285714285712</v>
      </c>
    </row>
    <row r="180" spans="2:7">
      <c r="B180" s="13" t="str">
        <f t="shared" si="2"/>
        <v>GRMS 11309</v>
      </c>
      <c r="C180" s="62">
        <v>2.5714285714285712</v>
      </c>
      <c r="D180" s="62">
        <v>2.5714285714285712</v>
      </c>
      <c r="E180" s="62">
        <v>2.5714285714285712</v>
      </c>
      <c r="F180" s="62">
        <v>2.5714285714285712</v>
      </c>
      <c r="G180" s="62">
        <v>2.5714285714285712</v>
      </c>
    </row>
    <row r="181" spans="2:7">
      <c r="B181" s="13" t="str">
        <f t="shared" si="2"/>
        <v>GRMS 12209</v>
      </c>
      <c r="C181" s="62">
        <v>2.5714285714285712</v>
      </c>
      <c r="D181" s="62">
        <v>2.5714285714285712</v>
      </c>
      <c r="E181" s="62">
        <v>2.5714285714285712</v>
      </c>
      <c r="F181" s="62">
        <v>2.5714285714285712</v>
      </c>
      <c r="G181" s="62">
        <v>2.5714285714285712</v>
      </c>
    </row>
    <row r="182" spans="2:7">
      <c r="B182" s="13" t="str">
        <f t="shared" si="2"/>
        <v>GRMS 12609</v>
      </c>
      <c r="C182" s="62">
        <v>2.5714285714285712</v>
      </c>
      <c r="D182" s="62">
        <v>2.5714285714285712</v>
      </c>
      <c r="E182" s="62">
        <v>2.5714285714285712</v>
      </c>
      <c r="F182" s="62">
        <v>2.5714285714285712</v>
      </c>
      <c r="G182" s="62">
        <v>2.5714285714285712</v>
      </c>
    </row>
    <row r="183" spans="2:7">
      <c r="B183" s="13" t="str">
        <f t="shared" si="2"/>
        <v>GRMS 12619</v>
      </c>
      <c r="C183" s="62">
        <v>2.5714285714285712</v>
      </c>
      <c r="D183" s="62">
        <v>2.5714285714285712</v>
      </c>
      <c r="E183" s="62">
        <v>2.5714285714285712</v>
      </c>
      <c r="F183" s="62">
        <v>2.5714285714285712</v>
      </c>
      <c r="G183" s="62">
        <v>2.5714285714285712</v>
      </c>
    </row>
    <row r="184" spans="2:7">
      <c r="B184" s="13" t="str">
        <f t="shared" si="2"/>
        <v>GRMS 12619B</v>
      </c>
      <c r="C184" s="62">
        <v>2.5714285714285712</v>
      </c>
      <c r="D184" s="62">
        <v>2.5714285714285712</v>
      </c>
      <c r="E184" s="62">
        <v>2.5714285714285712</v>
      </c>
      <c r="F184" s="62">
        <v>2.5714285714285712</v>
      </c>
      <c r="G184" s="62">
        <v>2.5714285714285712</v>
      </c>
    </row>
    <row r="185" spans="2:7">
      <c r="B185" s="13" t="str">
        <f t="shared" si="2"/>
        <v>GRMS 12629</v>
      </c>
      <c r="C185" s="62">
        <v>2.5714285714285712</v>
      </c>
      <c r="D185" s="62">
        <v>2.5714285714285712</v>
      </c>
      <c r="E185" s="62">
        <v>2.5714285714285712</v>
      </c>
      <c r="F185" s="62">
        <v>2.5714285714285712</v>
      </c>
      <c r="G185" s="62">
        <v>2.5714285714285712</v>
      </c>
    </row>
    <row r="186" spans="2:7">
      <c r="B186" s="13" t="str">
        <f t="shared" si="2"/>
        <v>GRMS 12809</v>
      </c>
      <c r="C186" s="62">
        <v>2.5714285714285712</v>
      </c>
      <c r="D186" s="62">
        <v>2.5714285714285712</v>
      </c>
      <c r="E186" s="62">
        <v>2.5714285714285712</v>
      </c>
      <c r="F186" s="62">
        <v>2.5714285714285712</v>
      </c>
      <c r="G186" s="62">
        <v>2.5714285714285712</v>
      </c>
    </row>
    <row r="189" spans="2:7">
      <c r="B189" s="2" t="str">
        <f>'Distance Matrix_Entry'!B21</f>
        <v>Distance, in km</v>
      </c>
      <c r="C189" s="37" t="s">
        <v>2</v>
      </c>
      <c r="D189" s="38"/>
      <c r="E189" s="38"/>
      <c r="F189" s="38"/>
      <c r="G189" s="40"/>
    </row>
    <row r="190" spans="2:7">
      <c r="B190" s="42" t="s">
        <v>1</v>
      </c>
      <c r="C190" s="13" t="str">
        <f t="shared" ref="C190:G190" si="3">C4</f>
        <v>CTS Campo Maior</v>
      </c>
      <c r="D190" s="13" t="str">
        <f t="shared" si="3"/>
        <v>CTS Valença do Minho</v>
      </c>
      <c r="E190" s="13" t="str">
        <f t="shared" si="3"/>
        <v>LNG Terminal Sines</v>
      </c>
      <c r="F190" s="13" t="str">
        <f t="shared" si="3"/>
        <v>Underground storage Carriço</v>
      </c>
      <c r="G190" s="13" t="str">
        <f t="shared" si="3"/>
        <v>Gas producers</v>
      </c>
    </row>
    <row r="191" spans="2:7">
      <c r="B191" s="13" t="str">
        <f>B5</f>
        <v>CTS Campo Maior</v>
      </c>
      <c r="C191" s="49">
        <f t="array" ref="C191:C279">TRANSPOSE('Distance Matrix_Entry'!C23:CM23)</f>
        <v>0</v>
      </c>
      <c r="D191" s="49">
        <f t="array" ref="D191:D279">TRANSPOSE('Distance Matrix_Entry'!C24:CM24)</f>
        <v>508.95100000000002</v>
      </c>
      <c r="E191" s="49">
        <f t="array" ref="E191:E279">TRANSPOSE('Distance Matrix_Entry'!C25:CM25)</f>
        <v>481.59199999999998</v>
      </c>
      <c r="F191" s="49">
        <f t="array" ref="F191:F279">TRANSPOSE('Distance Matrix_Entry'!C26:CM26)</f>
        <v>239.52199999999999</v>
      </c>
      <c r="G191" s="49">
        <f t="array" ref="G191:G279">TRANSPOSE('Distance Matrix_Entry'!C27:CM27)</f>
        <v>239.523</v>
      </c>
    </row>
    <row r="192" spans="2:7">
      <c r="B192" s="13" t="str">
        <f t="shared" ref="B192:B255" si="4">B6</f>
        <v>CTS Valença do Minho</v>
      </c>
      <c r="C192" s="49">
        <v>508.95100000000002</v>
      </c>
      <c r="D192" s="49">
        <v>0</v>
      </c>
      <c r="E192" s="49">
        <v>549.62099999999998</v>
      </c>
      <c r="F192" s="49">
        <v>307.55099999999999</v>
      </c>
      <c r="G192" s="49">
        <v>307.55200000000002</v>
      </c>
    </row>
    <row r="193" spans="2:7">
      <c r="B193" s="13" t="str">
        <f t="shared" si="4"/>
        <v>LNG Terminal Sines</v>
      </c>
      <c r="C193" s="49">
        <v>481.59199999999998</v>
      </c>
      <c r="D193" s="49">
        <v>549.62099999999998</v>
      </c>
      <c r="E193" s="49">
        <v>0</v>
      </c>
      <c r="F193" s="49">
        <v>280.19200000000001</v>
      </c>
      <c r="G193" s="49">
        <v>280.19299999999998</v>
      </c>
    </row>
    <row r="194" spans="2:7">
      <c r="B194" s="13" t="str">
        <f t="shared" si="4"/>
        <v>Underground storage Carriço</v>
      </c>
      <c r="C194" s="49">
        <v>239.52199999999999</v>
      </c>
      <c r="D194" s="49">
        <v>307.55099999999999</v>
      </c>
      <c r="E194" s="49">
        <v>280.19200000000001</v>
      </c>
      <c r="F194" s="49">
        <v>0</v>
      </c>
      <c r="G194" s="49">
        <v>9.9999999999989008E-4</v>
      </c>
    </row>
    <row r="195" spans="2:7">
      <c r="B195" s="13" t="str">
        <f t="shared" si="4"/>
        <v>GRMS 01059</v>
      </c>
      <c r="C195" s="49">
        <v>394.28100000000001</v>
      </c>
      <c r="D195" s="49">
        <v>462.31</v>
      </c>
      <c r="E195" s="49">
        <v>87.311000000000007</v>
      </c>
      <c r="F195" s="49">
        <v>192.881</v>
      </c>
      <c r="G195" s="49">
        <v>192.88200000000001</v>
      </c>
    </row>
    <row r="196" spans="2:7">
      <c r="B196" s="13" t="str">
        <f t="shared" si="4"/>
        <v>GRMS 01109</v>
      </c>
      <c r="C196" s="49">
        <v>407.28199999999998</v>
      </c>
      <c r="D196" s="49">
        <v>475.31099999999998</v>
      </c>
      <c r="E196" s="49">
        <v>113.492</v>
      </c>
      <c r="F196" s="49">
        <v>205.88200000000001</v>
      </c>
      <c r="G196" s="49">
        <v>205.88300000000001</v>
      </c>
    </row>
    <row r="197" spans="2:7">
      <c r="B197" s="13" t="str">
        <f t="shared" si="4"/>
        <v>GRMS 01119</v>
      </c>
      <c r="C197" s="49">
        <v>398.971</v>
      </c>
      <c r="D197" s="49">
        <v>467</v>
      </c>
      <c r="E197" s="49">
        <v>105.181</v>
      </c>
      <c r="F197" s="49">
        <v>197.571</v>
      </c>
      <c r="G197" s="49">
        <v>197.572</v>
      </c>
    </row>
    <row r="198" spans="2:7">
      <c r="B198" s="13" t="str">
        <f t="shared" si="4"/>
        <v>GRMS 01129</v>
      </c>
      <c r="C198" s="49">
        <v>407.28100000000001</v>
      </c>
      <c r="D198" s="49">
        <v>475.31</v>
      </c>
      <c r="E198" s="49">
        <v>113.491</v>
      </c>
      <c r="F198" s="49">
        <v>205.881</v>
      </c>
      <c r="G198" s="49">
        <v>205.88200000000001</v>
      </c>
    </row>
    <row r="199" spans="2:7">
      <c r="B199" s="13" t="str">
        <f t="shared" si="4"/>
        <v>GRMS 01139</v>
      </c>
      <c r="C199" s="49">
        <v>378.351</v>
      </c>
      <c r="D199" s="49">
        <v>446.38</v>
      </c>
      <c r="E199" s="49">
        <v>103.241</v>
      </c>
      <c r="F199" s="49">
        <v>176.95099999999999</v>
      </c>
      <c r="G199" s="49">
        <v>176.952</v>
      </c>
    </row>
    <row r="200" spans="2:7">
      <c r="B200" s="13" t="str">
        <f t="shared" si="4"/>
        <v>GRMS 01149</v>
      </c>
      <c r="C200" s="49">
        <v>365.96100000000001</v>
      </c>
      <c r="D200" s="49">
        <v>433.99</v>
      </c>
      <c r="E200" s="49">
        <v>115.631</v>
      </c>
      <c r="F200" s="49">
        <v>164.56100000000001</v>
      </c>
      <c r="G200" s="49">
        <v>164.56200000000001</v>
      </c>
    </row>
    <row r="201" spans="2:7">
      <c r="B201" s="13" t="str">
        <f t="shared" si="4"/>
        <v>GRMS 01159</v>
      </c>
      <c r="C201" s="49">
        <v>413.541</v>
      </c>
      <c r="D201" s="49">
        <v>481.57</v>
      </c>
      <c r="E201" s="49">
        <v>119.751</v>
      </c>
      <c r="F201" s="49">
        <v>212.14099999999999</v>
      </c>
      <c r="G201" s="49">
        <v>212.142</v>
      </c>
    </row>
    <row r="202" spans="2:7">
      <c r="B202" s="13" t="str">
        <f t="shared" si="4"/>
        <v>GRMS 01179</v>
      </c>
      <c r="C202" s="49">
        <v>349.26100000000002</v>
      </c>
      <c r="D202" s="49">
        <v>417.29</v>
      </c>
      <c r="E202" s="49">
        <v>132.33099999999999</v>
      </c>
      <c r="F202" s="49">
        <v>147.86099999999999</v>
      </c>
      <c r="G202" s="49">
        <v>147.86199999999999</v>
      </c>
    </row>
    <row r="203" spans="2:7">
      <c r="B203" s="13" t="str">
        <f t="shared" si="4"/>
        <v>GRMS 01189</v>
      </c>
      <c r="C203" s="49">
        <v>336.80099999999999</v>
      </c>
      <c r="D203" s="49">
        <v>404.83</v>
      </c>
      <c r="E203" s="49">
        <v>144.791</v>
      </c>
      <c r="F203" s="49">
        <v>135.40100000000001</v>
      </c>
      <c r="G203" s="49">
        <v>135.40199999999999</v>
      </c>
    </row>
    <row r="204" spans="2:7">
      <c r="B204" s="13" t="str">
        <f t="shared" si="4"/>
        <v>GRMS 01209</v>
      </c>
      <c r="C204" s="49">
        <v>366.06200000000001</v>
      </c>
      <c r="D204" s="49">
        <v>434.09100000000001</v>
      </c>
      <c r="E204" s="49">
        <v>181.59200000000001</v>
      </c>
      <c r="F204" s="49">
        <v>164.66200000000001</v>
      </c>
      <c r="G204" s="49">
        <v>164.66300000000001</v>
      </c>
    </row>
    <row r="205" spans="2:7">
      <c r="B205" s="13" t="str">
        <f t="shared" si="4"/>
        <v>GRMS 01219</v>
      </c>
      <c r="C205" s="49">
        <v>333.17099999999999</v>
      </c>
      <c r="D205" s="49">
        <v>401.2</v>
      </c>
      <c r="E205" s="49">
        <v>148.70099999999999</v>
      </c>
      <c r="F205" s="49">
        <v>131.77099999999999</v>
      </c>
      <c r="G205" s="49">
        <v>131.77199999999999</v>
      </c>
    </row>
    <row r="206" spans="2:7">
      <c r="B206" s="13" t="str">
        <f t="shared" si="4"/>
        <v>GRMS 01229</v>
      </c>
      <c r="C206" s="49">
        <v>353.952</v>
      </c>
      <c r="D206" s="49">
        <v>421.98099999999999</v>
      </c>
      <c r="E206" s="49">
        <v>169.482</v>
      </c>
      <c r="F206" s="49">
        <v>152.55199999999999</v>
      </c>
      <c r="G206" s="49">
        <v>152.553</v>
      </c>
    </row>
    <row r="207" spans="2:7">
      <c r="B207" s="13" t="str">
        <f t="shared" si="4"/>
        <v>GRMS 01239</v>
      </c>
      <c r="C207" s="49">
        <v>360.72300000000001</v>
      </c>
      <c r="D207" s="49">
        <v>428.75200000000001</v>
      </c>
      <c r="E207" s="49">
        <v>176.25299999999999</v>
      </c>
      <c r="F207" s="49">
        <v>159.32300000000001</v>
      </c>
      <c r="G207" s="49">
        <v>159.32400000000001</v>
      </c>
    </row>
    <row r="208" spans="2:7">
      <c r="B208" s="13" t="str">
        <f t="shared" si="4"/>
        <v>GRMS 01259</v>
      </c>
      <c r="C208" s="49">
        <v>330.601</v>
      </c>
      <c r="D208" s="49">
        <v>398.63</v>
      </c>
      <c r="E208" s="49">
        <v>150.99100000000001</v>
      </c>
      <c r="F208" s="49">
        <v>129.20099999999999</v>
      </c>
      <c r="G208" s="49">
        <v>129.202</v>
      </c>
    </row>
    <row r="209" spans="2:7">
      <c r="B209" s="13" t="str">
        <f t="shared" si="4"/>
        <v>GRMS 01269</v>
      </c>
      <c r="C209" s="49">
        <v>333.17200000000003</v>
      </c>
      <c r="D209" s="49">
        <v>401.20100000000002</v>
      </c>
      <c r="E209" s="49">
        <v>148.702</v>
      </c>
      <c r="F209" s="49">
        <v>131.77199999999999</v>
      </c>
      <c r="G209" s="49">
        <v>131.773</v>
      </c>
    </row>
    <row r="210" spans="2:7">
      <c r="B210" s="13" t="str">
        <f t="shared" si="4"/>
        <v>GRMS 01279</v>
      </c>
      <c r="C210" s="49">
        <v>360.72199999999998</v>
      </c>
      <c r="D210" s="49">
        <v>428.75099999999998</v>
      </c>
      <c r="E210" s="49">
        <v>176.25200000000001</v>
      </c>
      <c r="F210" s="49">
        <v>159.322</v>
      </c>
      <c r="G210" s="49">
        <v>159.32300000000001</v>
      </c>
    </row>
    <row r="211" spans="2:7">
      <c r="B211" s="13" t="str">
        <f t="shared" si="4"/>
        <v>GRMS 01309</v>
      </c>
      <c r="C211" s="49">
        <v>328.39100000000002</v>
      </c>
      <c r="D211" s="49">
        <v>396.42</v>
      </c>
      <c r="E211" s="49">
        <v>176.06100000000001</v>
      </c>
      <c r="F211" s="49">
        <v>126.991</v>
      </c>
      <c r="G211" s="49">
        <v>126.992</v>
      </c>
    </row>
    <row r="212" spans="2:7">
      <c r="B212" s="13" t="str">
        <f t="shared" si="4"/>
        <v>GRMS 01319</v>
      </c>
      <c r="C212" s="49">
        <v>316.96100000000001</v>
      </c>
      <c r="D212" s="49">
        <v>384.99</v>
      </c>
      <c r="E212" s="49">
        <v>164.631</v>
      </c>
      <c r="F212" s="49">
        <v>115.56100000000001</v>
      </c>
      <c r="G212" s="49">
        <v>115.562</v>
      </c>
    </row>
    <row r="213" spans="2:7">
      <c r="B213" s="13" t="str">
        <f t="shared" si="4"/>
        <v>GRMS 01359</v>
      </c>
      <c r="C213" s="49">
        <v>340.69200000000001</v>
      </c>
      <c r="D213" s="49">
        <v>408.721</v>
      </c>
      <c r="E213" s="49">
        <v>188.36199999999999</v>
      </c>
      <c r="F213" s="49">
        <v>139.292</v>
      </c>
      <c r="G213" s="49">
        <v>139.29300000000001</v>
      </c>
    </row>
    <row r="214" spans="2:7">
      <c r="B214" s="13" t="str">
        <f t="shared" si="4"/>
        <v>GRMS 01369</v>
      </c>
      <c r="C214" s="49">
        <v>340.69099999999997</v>
      </c>
      <c r="D214" s="49">
        <v>408.72</v>
      </c>
      <c r="E214" s="49">
        <v>188.36099999999999</v>
      </c>
      <c r="F214" s="49">
        <v>139.291</v>
      </c>
      <c r="G214" s="49">
        <v>139.292</v>
      </c>
    </row>
    <row r="215" spans="2:7">
      <c r="B215" s="13" t="str">
        <f t="shared" si="4"/>
        <v>GRMS 01409</v>
      </c>
      <c r="C215" s="49">
        <v>292.36099999999999</v>
      </c>
      <c r="D215" s="49">
        <v>360.39</v>
      </c>
      <c r="E215" s="49">
        <v>189.23099999999999</v>
      </c>
      <c r="F215" s="49">
        <v>90.960999999999999</v>
      </c>
      <c r="G215" s="49">
        <v>90.962000000000003</v>
      </c>
    </row>
    <row r="216" spans="2:7">
      <c r="B216" s="13" t="str">
        <f t="shared" si="4"/>
        <v>GRMS 02069</v>
      </c>
      <c r="C216" s="49">
        <v>258.42099999999999</v>
      </c>
      <c r="D216" s="49">
        <v>326.45</v>
      </c>
      <c r="E216" s="49">
        <v>223.17099999999999</v>
      </c>
      <c r="F216" s="49">
        <v>57.021000000000001</v>
      </c>
      <c r="G216" s="49">
        <v>57.021999999999998</v>
      </c>
    </row>
    <row r="217" spans="2:7">
      <c r="B217" s="13" t="str">
        <f t="shared" si="4"/>
        <v>GRMS 02089</v>
      </c>
      <c r="C217" s="49">
        <v>245.74100000000001</v>
      </c>
      <c r="D217" s="49">
        <v>313.77</v>
      </c>
      <c r="E217" s="49">
        <v>235.851</v>
      </c>
      <c r="F217" s="49">
        <v>44.341000000000001</v>
      </c>
      <c r="G217" s="49">
        <v>44.341999999999999</v>
      </c>
    </row>
    <row r="218" spans="2:7">
      <c r="B218" s="13" t="str">
        <f t="shared" si="4"/>
        <v>GRMS 02159</v>
      </c>
      <c r="C218" s="49">
        <v>239.17099999999999</v>
      </c>
      <c r="D218" s="49">
        <v>307.2</v>
      </c>
      <c r="E218" s="49">
        <v>242.42099999999999</v>
      </c>
      <c r="F218" s="49">
        <v>37.771000000000001</v>
      </c>
      <c r="G218" s="49">
        <v>37.771999999999998</v>
      </c>
    </row>
    <row r="219" spans="2:7">
      <c r="B219" s="13" t="str">
        <f t="shared" si="4"/>
        <v>GRMS 02509</v>
      </c>
      <c r="C219" s="49">
        <v>239.52099999999999</v>
      </c>
      <c r="D219" s="49">
        <v>307.55</v>
      </c>
      <c r="E219" s="49">
        <v>280.19099999999997</v>
      </c>
      <c r="F219" s="49">
        <v>9.9999999999989008E-4</v>
      </c>
      <c r="G219" s="49">
        <v>1.9999999999997802E-3</v>
      </c>
    </row>
    <row r="220" spans="2:7">
      <c r="B220" s="13" t="str">
        <f t="shared" si="4"/>
        <v>GRMS 02519</v>
      </c>
      <c r="C220" s="49">
        <v>249.43100000000001</v>
      </c>
      <c r="D220" s="49">
        <v>317.45999999999998</v>
      </c>
      <c r="E220" s="49">
        <v>290.101</v>
      </c>
      <c r="F220" s="49">
        <v>9.9109999999999996</v>
      </c>
      <c r="G220" s="49">
        <v>9.9120000000000008</v>
      </c>
    </row>
    <row r="221" spans="2:7">
      <c r="B221" s="13" t="str">
        <f t="shared" si="4"/>
        <v>GRMS 02539</v>
      </c>
      <c r="C221" s="49">
        <v>249.541</v>
      </c>
      <c r="D221" s="49">
        <v>317.57</v>
      </c>
      <c r="E221" s="49">
        <v>290.21100000000001</v>
      </c>
      <c r="F221" s="49">
        <v>10.021000000000001</v>
      </c>
      <c r="G221" s="49">
        <v>10.022</v>
      </c>
    </row>
    <row r="222" spans="2:7">
      <c r="B222" s="13" t="str">
        <f t="shared" si="4"/>
        <v>GRMS 02549</v>
      </c>
      <c r="C222" s="49">
        <v>262.61099999999999</v>
      </c>
      <c r="D222" s="49">
        <v>330.64</v>
      </c>
      <c r="E222" s="49">
        <v>303.28100000000001</v>
      </c>
      <c r="F222" s="49">
        <v>23.091000000000001</v>
      </c>
      <c r="G222" s="49">
        <v>23.091999999999999</v>
      </c>
    </row>
    <row r="223" spans="2:7">
      <c r="B223" s="13" t="str">
        <f t="shared" si="4"/>
        <v>GRMS 02559</v>
      </c>
      <c r="C223" s="49">
        <v>229.70099999999999</v>
      </c>
      <c r="D223" s="49">
        <v>279.25</v>
      </c>
      <c r="E223" s="49">
        <v>270.37099999999998</v>
      </c>
      <c r="F223" s="49">
        <v>28.300999999999998</v>
      </c>
      <c r="G223" s="49">
        <v>28.302</v>
      </c>
    </row>
    <row r="224" spans="2:7">
      <c r="B224" s="13" t="str">
        <f t="shared" si="4"/>
        <v>GRMS 02569</v>
      </c>
      <c r="C224" s="49">
        <v>262.61200000000002</v>
      </c>
      <c r="D224" s="49">
        <v>330.64100000000002</v>
      </c>
      <c r="E224" s="49">
        <v>303.28199999999998</v>
      </c>
      <c r="F224" s="49">
        <v>23.091999999999999</v>
      </c>
      <c r="G224" s="49">
        <v>23.093</v>
      </c>
    </row>
    <row r="225" spans="2:7">
      <c r="B225" s="13" t="str">
        <f t="shared" si="4"/>
        <v>GRMS 02709</v>
      </c>
      <c r="C225" s="49">
        <v>252.971</v>
      </c>
      <c r="D225" s="49">
        <v>265.12</v>
      </c>
      <c r="E225" s="49">
        <v>293.64100000000002</v>
      </c>
      <c r="F225" s="49">
        <v>51.570999999999998</v>
      </c>
      <c r="G225" s="49">
        <v>51.572000000000003</v>
      </c>
    </row>
    <row r="226" spans="2:7">
      <c r="B226" s="13" t="str">
        <f t="shared" si="4"/>
        <v>GRMS 02719</v>
      </c>
      <c r="C226" s="49">
        <v>262.89100000000002</v>
      </c>
      <c r="D226" s="49">
        <v>275.04000000000002</v>
      </c>
      <c r="E226" s="49">
        <v>303.56099999999998</v>
      </c>
      <c r="F226" s="49">
        <v>61.491</v>
      </c>
      <c r="G226" s="49">
        <v>61.491999999999997</v>
      </c>
    </row>
    <row r="227" spans="2:7">
      <c r="B227" s="13" t="str">
        <f t="shared" si="4"/>
        <v>GRMS 02739</v>
      </c>
      <c r="C227" s="49">
        <v>258.80099999999999</v>
      </c>
      <c r="D227" s="49">
        <v>250.15</v>
      </c>
      <c r="E227" s="49">
        <v>299.471</v>
      </c>
      <c r="F227" s="49">
        <v>57.401000000000003</v>
      </c>
      <c r="G227" s="49">
        <v>57.402000000000001</v>
      </c>
    </row>
    <row r="228" spans="2:7">
      <c r="B228" s="13" t="str">
        <f t="shared" si="4"/>
        <v>GRMS 03009</v>
      </c>
      <c r="C228" s="49">
        <v>264.45100000000002</v>
      </c>
      <c r="D228" s="49">
        <v>244.5</v>
      </c>
      <c r="E228" s="49">
        <v>305.12099999999998</v>
      </c>
      <c r="F228" s="49">
        <v>63.051000000000002</v>
      </c>
      <c r="G228" s="49">
        <v>63.052</v>
      </c>
    </row>
    <row r="229" spans="2:7">
      <c r="B229" s="13" t="str">
        <f t="shared" si="4"/>
        <v>GRMS 03059</v>
      </c>
      <c r="C229" s="49">
        <v>278.11099999999999</v>
      </c>
      <c r="D229" s="49">
        <v>230.84</v>
      </c>
      <c r="E229" s="49">
        <v>318.78100000000001</v>
      </c>
      <c r="F229" s="49">
        <v>76.710999999999999</v>
      </c>
      <c r="G229" s="49">
        <v>76.712000000000003</v>
      </c>
    </row>
    <row r="230" spans="2:7">
      <c r="B230" s="13" t="str">
        <f t="shared" si="4"/>
        <v>GRMS 03069</v>
      </c>
      <c r="C230" s="49">
        <v>285.21100000000001</v>
      </c>
      <c r="D230" s="49">
        <v>223.74</v>
      </c>
      <c r="E230" s="49">
        <v>325.88099999999997</v>
      </c>
      <c r="F230" s="49">
        <v>83.811000000000007</v>
      </c>
      <c r="G230" s="49">
        <v>83.811999999999998</v>
      </c>
    </row>
    <row r="231" spans="2:7">
      <c r="B231" s="13" t="str">
        <f t="shared" si="4"/>
        <v>GRMS 03109</v>
      </c>
      <c r="C231" s="49">
        <v>290.05099999999999</v>
      </c>
      <c r="D231" s="49">
        <v>218.9</v>
      </c>
      <c r="E231" s="49">
        <v>330.721</v>
      </c>
      <c r="F231" s="49">
        <v>88.650999999999996</v>
      </c>
      <c r="G231" s="49">
        <v>88.652000000000001</v>
      </c>
    </row>
    <row r="232" spans="2:7">
      <c r="B232" s="13" t="str">
        <f t="shared" si="4"/>
        <v>GRMS 03169</v>
      </c>
      <c r="C232" s="49">
        <v>295.041</v>
      </c>
      <c r="D232" s="49">
        <v>213.91</v>
      </c>
      <c r="E232" s="49">
        <v>335.71100000000001</v>
      </c>
      <c r="F232" s="49">
        <v>93.641000000000005</v>
      </c>
      <c r="G232" s="49">
        <v>93.641999999999996</v>
      </c>
    </row>
    <row r="233" spans="2:7">
      <c r="B233" s="13" t="str">
        <f t="shared" si="4"/>
        <v>GRMS 03219</v>
      </c>
      <c r="C233" s="49">
        <v>311.37099999999998</v>
      </c>
      <c r="D233" s="49">
        <v>197.58</v>
      </c>
      <c r="E233" s="49">
        <v>352.041</v>
      </c>
      <c r="F233" s="49">
        <v>109.971</v>
      </c>
      <c r="G233" s="49">
        <v>109.97199999999999</v>
      </c>
    </row>
    <row r="234" spans="2:7">
      <c r="B234" s="13" t="str">
        <f t="shared" si="4"/>
        <v>GRMS 03229</v>
      </c>
      <c r="C234" s="49">
        <v>318.45100000000002</v>
      </c>
      <c r="D234" s="49">
        <v>190.5</v>
      </c>
      <c r="E234" s="49">
        <v>359.12099999999998</v>
      </c>
      <c r="F234" s="49">
        <v>117.051</v>
      </c>
      <c r="G234" s="49">
        <v>117.05200000000001</v>
      </c>
    </row>
    <row r="235" spans="2:7">
      <c r="B235" s="13" t="str">
        <f t="shared" si="4"/>
        <v>GRMS 03259</v>
      </c>
      <c r="C235" s="49">
        <v>331.27199999999999</v>
      </c>
      <c r="D235" s="49">
        <v>191.96100000000001</v>
      </c>
      <c r="E235" s="49">
        <v>371.94200000000001</v>
      </c>
      <c r="F235" s="49">
        <v>129.87200000000001</v>
      </c>
      <c r="G235" s="49">
        <v>129.87299999999999</v>
      </c>
    </row>
    <row r="236" spans="2:7">
      <c r="B236" s="13" t="str">
        <f t="shared" si="4"/>
        <v>GRMS 03269</v>
      </c>
      <c r="C236" s="49">
        <v>331.27100000000002</v>
      </c>
      <c r="D236" s="49">
        <v>191.96</v>
      </c>
      <c r="E236" s="49">
        <v>371.94099999999997</v>
      </c>
      <c r="F236" s="49">
        <v>129.87100000000001</v>
      </c>
      <c r="G236" s="49">
        <v>129.87200000000001</v>
      </c>
    </row>
    <row r="237" spans="2:7">
      <c r="B237" s="13" t="str">
        <f t="shared" si="4"/>
        <v>GRMS 03309</v>
      </c>
      <c r="C237" s="49">
        <v>335.791</v>
      </c>
      <c r="D237" s="49">
        <v>173.16</v>
      </c>
      <c r="E237" s="49">
        <v>376.46100000000001</v>
      </c>
      <c r="F237" s="49">
        <v>134.39099999999999</v>
      </c>
      <c r="G237" s="49">
        <v>134.392</v>
      </c>
    </row>
    <row r="238" spans="2:7">
      <c r="B238" s="13" t="str">
        <f t="shared" si="4"/>
        <v>GRMS 03359</v>
      </c>
      <c r="C238" s="49">
        <v>344.55200000000002</v>
      </c>
      <c r="D238" s="49">
        <v>164.40100000000001</v>
      </c>
      <c r="E238" s="49">
        <v>385.22199999999998</v>
      </c>
      <c r="F238" s="49">
        <v>143.15199999999999</v>
      </c>
      <c r="G238" s="49">
        <v>143.15299999999999</v>
      </c>
    </row>
    <row r="239" spans="2:7">
      <c r="B239" s="13" t="str">
        <f t="shared" si="4"/>
        <v>GRMS 03369</v>
      </c>
      <c r="C239" s="49">
        <v>344.55099999999999</v>
      </c>
      <c r="D239" s="49">
        <v>164.4</v>
      </c>
      <c r="E239" s="49">
        <v>385.221</v>
      </c>
      <c r="F239" s="49">
        <v>143.15100000000001</v>
      </c>
      <c r="G239" s="49">
        <v>143.15199999999999</v>
      </c>
    </row>
    <row r="240" spans="2:7">
      <c r="B240" s="13" t="str">
        <f t="shared" si="4"/>
        <v>GRMS 03459</v>
      </c>
      <c r="C240" s="49">
        <v>357.71100000000001</v>
      </c>
      <c r="D240" s="49">
        <v>151.24</v>
      </c>
      <c r="E240" s="49">
        <v>398.38099999999997</v>
      </c>
      <c r="F240" s="49">
        <v>156.31100000000001</v>
      </c>
      <c r="G240" s="49">
        <v>156.31200000000001</v>
      </c>
    </row>
    <row r="241" spans="2:7">
      <c r="B241" s="13" t="str">
        <f t="shared" si="4"/>
        <v>GRMS 03559</v>
      </c>
      <c r="C241" s="49">
        <v>375.27100000000002</v>
      </c>
      <c r="D241" s="49">
        <v>133.68</v>
      </c>
      <c r="E241" s="49">
        <v>415.94099999999997</v>
      </c>
      <c r="F241" s="49">
        <v>173.87100000000001</v>
      </c>
      <c r="G241" s="49">
        <v>173.87200000000001</v>
      </c>
    </row>
    <row r="242" spans="2:7">
      <c r="B242" s="13" t="str">
        <f t="shared" si="4"/>
        <v>GRMS 03609</v>
      </c>
      <c r="C242" s="49">
        <v>389.661</v>
      </c>
      <c r="D242" s="49">
        <v>136.16999999999999</v>
      </c>
      <c r="E242" s="49">
        <v>430.33100000000002</v>
      </c>
      <c r="F242" s="49">
        <v>188.261</v>
      </c>
      <c r="G242" s="49">
        <v>188.262</v>
      </c>
    </row>
    <row r="243" spans="2:7">
      <c r="B243" s="13" t="str">
        <f t="shared" si="4"/>
        <v>GRMS 03619</v>
      </c>
      <c r="C243" s="49">
        <v>386.92099999999999</v>
      </c>
      <c r="D243" s="49">
        <v>133.43</v>
      </c>
      <c r="E243" s="49">
        <v>427.59100000000001</v>
      </c>
      <c r="F243" s="49">
        <v>185.52099999999999</v>
      </c>
      <c r="G243" s="49">
        <v>185.52199999999999</v>
      </c>
    </row>
    <row r="244" spans="2:7">
      <c r="B244" s="13" t="str">
        <f t="shared" si="4"/>
        <v>GRMS 03659</v>
      </c>
      <c r="C244" s="49">
        <v>391.61099999999999</v>
      </c>
      <c r="D244" s="49">
        <v>131.36000000000001</v>
      </c>
      <c r="E244" s="49">
        <v>432.28100000000001</v>
      </c>
      <c r="F244" s="49">
        <v>190.21100000000001</v>
      </c>
      <c r="G244" s="49">
        <v>190.21199999999999</v>
      </c>
    </row>
    <row r="245" spans="2:7">
      <c r="B245" s="13" t="str">
        <f t="shared" si="4"/>
        <v>GRMS 04059</v>
      </c>
      <c r="C245" s="49">
        <v>397.971</v>
      </c>
      <c r="D245" s="49">
        <v>110.98</v>
      </c>
      <c r="E245" s="49">
        <v>438.64100000000002</v>
      </c>
      <c r="F245" s="49">
        <v>196.571</v>
      </c>
      <c r="G245" s="49">
        <v>196.572</v>
      </c>
    </row>
    <row r="246" spans="2:7">
      <c r="B246" s="13" t="str">
        <f t="shared" si="4"/>
        <v>GRMS 04109</v>
      </c>
      <c r="C246" s="49">
        <v>407.46100000000001</v>
      </c>
      <c r="D246" s="49">
        <v>101.49</v>
      </c>
      <c r="E246" s="49">
        <v>448.13099999999997</v>
      </c>
      <c r="F246" s="49">
        <v>206.06100000000001</v>
      </c>
      <c r="G246" s="49">
        <v>206.06200000000001</v>
      </c>
    </row>
    <row r="247" spans="2:7">
      <c r="B247" s="13" t="str">
        <f t="shared" si="4"/>
        <v>GRMS 04149</v>
      </c>
      <c r="C247" s="49">
        <v>438.77100000000002</v>
      </c>
      <c r="D247" s="49">
        <v>117.66</v>
      </c>
      <c r="E247" s="49">
        <v>479.44099999999997</v>
      </c>
      <c r="F247" s="49">
        <v>237.37100000000001</v>
      </c>
      <c r="G247" s="49">
        <v>237.37200000000001</v>
      </c>
    </row>
    <row r="248" spans="2:7">
      <c r="B248" s="13" t="str">
        <f t="shared" si="4"/>
        <v>GRMS 04159</v>
      </c>
      <c r="C248" s="49">
        <v>417.76100000000002</v>
      </c>
      <c r="D248" s="49">
        <v>91.19</v>
      </c>
      <c r="E248" s="49">
        <v>458.43099999999998</v>
      </c>
      <c r="F248" s="49">
        <v>216.36099999999999</v>
      </c>
      <c r="G248" s="49">
        <v>216.36199999999999</v>
      </c>
    </row>
    <row r="249" spans="2:7">
      <c r="B249" s="13" t="str">
        <f t="shared" si="4"/>
        <v>GRMS 04209</v>
      </c>
      <c r="C249" s="49">
        <v>426.851</v>
      </c>
      <c r="D249" s="49">
        <v>82.1</v>
      </c>
      <c r="E249" s="49">
        <v>467.52100000000002</v>
      </c>
      <c r="F249" s="49">
        <v>225.45099999999999</v>
      </c>
      <c r="G249" s="49">
        <v>225.452</v>
      </c>
    </row>
    <row r="250" spans="2:7">
      <c r="B250" s="13" t="str">
        <f t="shared" si="4"/>
        <v>GRMS 05009</v>
      </c>
      <c r="C250" s="49">
        <v>440.98099999999999</v>
      </c>
      <c r="D250" s="49">
        <v>80.97</v>
      </c>
      <c r="E250" s="49">
        <v>481.65100000000001</v>
      </c>
      <c r="F250" s="49">
        <v>239.58099999999999</v>
      </c>
      <c r="G250" s="49">
        <v>239.58199999999999</v>
      </c>
    </row>
    <row r="251" spans="2:7">
      <c r="B251" s="13" t="str">
        <f t="shared" si="4"/>
        <v>GRMS 05119</v>
      </c>
      <c r="C251" s="49">
        <v>448.86099999999999</v>
      </c>
      <c r="D251" s="49">
        <v>60.09</v>
      </c>
      <c r="E251" s="49">
        <v>489.53100000000001</v>
      </c>
      <c r="F251" s="49">
        <v>247.46100000000001</v>
      </c>
      <c r="G251" s="49">
        <v>247.46199999999999</v>
      </c>
    </row>
    <row r="252" spans="2:7">
      <c r="B252" s="13" t="str">
        <f t="shared" si="4"/>
        <v>GRMS 05179</v>
      </c>
      <c r="C252" s="49">
        <v>476.43099999999998</v>
      </c>
      <c r="D252" s="49">
        <v>71.680000000000007</v>
      </c>
      <c r="E252" s="49">
        <v>517.101</v>
      </c>
      <c r="F252" s="49">
        <v>275.03100000000001</v>
      </c>
      <c r="G252" s="49">
        <v>275.03199999999998</v>
      </c>
    </row>
    <row r="253" spans="2:7">
      <c r="B253" s="13" t="str">
        <f t="shared" si="4"/>
        <v>GRMS 05309</v>
      </c>
      <c r="C253" s="49">
        <v>474.33100000000002</v>
      </c>
      <c r="D253" s="49">
        <v>34.619999999999997</v>
      </c>
      <c r="E253" s="49">
        <v>515.00099999999998</v>
      </c>
      <c r="F253" s="49">
        <v>272.93099999999998</v>
      </c>
      <c r="G253" s="49">
        <v>272.93200000000002</v>
      </c>
    </row>
    <row r="254" spans="2:7">
      <c r="B254" s="13" t="str">
        <f t="shared" si="4"/>
        <v>GRMS 05609</v>
      </c>
      <c r="C254" s="49">
        <v>504.17099999999999</v>
      </c>
      <c r="D254" s="49">
        <v>4.78</v>
      </c>
      <c r="E254" s="49">
        <v>544.84100000000001</v>
      </c>
      <c r="F254" s="49">
        <v>302.77100000000002</v>
      </c>
      <c r="G254" s="49">
        <v>302.77199999999999</v>
      </c>
    </row>
    <row r="255" spans="2:7">
      <c r="B255" s="13" t="str">
        <f t="shared" si="4"/>
        <v>GRMS 07009</v>
      </c>
      <c r="C255" s="49">
        <v>0.24099999999999999</v>
      </c>
      <c r="D255" s="49">
        <v>508.71</v>
      </c>
      <c r="E255" s="49">
        <v>481.351</v>
      </c>
      <c r="F255" s="49">
        <v>239.28100000000001</v>
      </c>
      <c r="G255" s="49">
        <v>239.28200000000001</v>
      </c>
    </row>
    <row r="256" spans="2:7">
      <c r="B256" s="13" t="str">
        <f t="shared" ref="B256:B279" si="5">B70</f>
        <v>GRMS 08009</v>
      </c>
      <c r="C256" s="49">
        <v>103.621</v>
      </c>
      <c r="D256" s="49">
        <v>405.33</v>
      </c>
      <c r="E256" s="49">
        <v>377.971</v>
      </c>
      <c r="F256" s="49">
        <v>135.90100000000001</v>
      </c>
      <c r="G256" s="49">
        <v>135.90199999999999</v>
      </c>
    </row>
    <row r="257" spans="2:7">
      <c r="B257" s="13" t="str">
        <f t="shared" si="5"/>
        <v>GRMS 08109</v>
      </c>
      <c r="C257" s="49">
        <v>126.211</v>
      </c>
      <c r="D257" s="49">
        <v>382.74</v>
      </c>
      <c r="E257" s="49">
        <v>355.38099999999997</v>
      </c>
      <c r="F257" s="49">
        <v>113.31100000000001</v>
      </c>
      <c r="G257" s="49">
        <v>113.312</v>
      </c>
    </row>
    <row r="258" spans="2:7">
      <c r="B258" s="13" t="str">
        <f t="shared" si="5"/>
        <v>GRMS 08119</v>
      </c>
      <c r="C258" s="49">
        <v>131.27099999999999</v>
      </c>
      <c r="D258" s="49">
        <v>387.8</v>
      </c>
      <c r="E258" s="49">
        <v>360.44099999999997</v>
      </c>
      <c r="F258" s="49">
        <v>118.371</v>
      </c>
      <c r="G258" s="49">
        <v>118.372</v>
      </c>
    </row>
    <row r="259" spans="2:7">
      <c r="B259" s="13" t="str">
        <f t="shared" si="5"/>
        <v>GRMS 08209</v>
      </c>
      <c r="C259" s="49">
        <v>146.101</v>
      </c>
      <c r="D259" s="49">
        <v>362.85</v>
      </c>
      <c r="E259" s="49">
        <v>335.49099999999999</v>
      </c>
      <c r="F259" s="49">
        <v>93.421000000000006</v>
      </c>
      <c r="G259" s="49">
        <v>93.421999999999997</v>
      </c>
    </row>
    <row r="260" spans="2:7">
      <c r="B260" s="13" t="str">
        <f t="shared" si="5"/>
        <v>GRMS 08309</v>
      </c>
      <c r="C260" s="49">
        <v>164.28100000000001</v>
      </c>
      <c r="D260" s="49">
        <v>344.67</v>
      </c>
      <c r="E260" s="49">
        <v>317.31099999999998</v>
      </c>
      <c r="F260" s="49">
        <v>75.241</v>
      </c>
      <c r="G260" s="49">
        <v>75.242000000000004</v>
      </c>
    </row>
    <row r="261" spans="2:7">
      <c r="B261" s="13" t="str">
        <f t="shared" si="5"/>
        <v>GRMS 08409</v>
      </c>
      <c r="C261" s="49">
        <v>183.321</v>
      </c>
      <c r="D261" s="49">
        <v>325.63</v>
      </c>
      <c r="E261" s="49">
        <v>298.27100000000002</v>
      </c>
      <c r="F261" s="49">
        <v>56.201000000000001</v>
      </c>
      <c r="G261" s="49">
        <v>56.201999999999998</v>
      </c>
    </row>
    <row r="262" spans="2:7">
      <c r="B262" s="13" t="str">
        <f t="shared" si="5"/>
        <v>GRMS 08559</v>
      </c>
      <c r="C262" s="49">
        <v>216.55099999999999</v>
      </c>
      <c r="D262" s="49">
        <v>292.39999999999998</v>
      </c>
      <c r="E262" s="49">
        <v>265.041</v>
      </c>
      <c r="F262" s="49">
        <v>22.971</v>
      </c>
      <c r="G262" s="49">
        <v>22.972000000000001</v>
      </c>
    </row>
    <row r="263" spans="2:7">
      <c r="B263" s="13" t="str">
        <f t="shared" si="5"/>
        <v>GRMS 10079</v>
      </c>
      <c r="C263" s="49">
        <v>71.540999999999997</v>
      </c>
      <c r="D263" s="49">
        <v>481.29</v>
      </c>
      <c r="E263" s="49">
        <v>453.93099999999998</v>
      </c>
      <c r="F263" s="49">
        <v>211.86099999999999</v>
      </c>
      <c r="G263" s="49">
        <v>211.86199999999999</v>
      </c>
    </row>
    <row r="264" spans="2:7">
      <c r="B264" s="13" t="str">
        <f t="shared" si="5"/>
        <v>GRMS 10159</v>
      </c>
      <c r="C264" s="49">
        <v>111.401</v>
      </c>
      <c r="D264" s="49">
        <v>480.47</v>
      </c>
      <c r="E264" s="49">
        <v>493.791</v>
      </c>
      <c r="F264" s="49">
        <v>251.721</v>
      </c>
      <c r="G264" s="49">
        <v>251.72200000000001</v>
      </c>
    </row>
    <row r="265" spans="2:7">
      <c r="B265" s="13" t="str">
        <f t="shared" si="5"/>
        <v>GRMS 10209</v>
      </c>
      <c r="C265" s="49">
        <v>136.27099999999999</v>
      </c>
      <c r="D265" s="49">
        <v>455.6</v>
      </c>
      <c r="E265" s="49">
        <v>518.66099999999994</v>
      </c>
      <c r="F265" s="49">
        <v>276.59100000000001</v>
      </c>
      <c r="G265" s="49">
        <v>276.59199999999998</v>
      </c>
    </row>
    <row r="266" spans="2:7">
      <c r="B266" s="13" t="str">
        <f t="shared" si="5"/>
        <v>GRMS 10309</v>
      </c>
      <c r="C266" s="49">
        <v>183.37100000000001</v>
      </c>
      <c r="D266" s="49">
        <v>408.5</v>
      </c>
      <c r="E266" s="49">
        <v>530.30100000000004</v>
      </c>
      <c r="F266" s="49">
        <v>288.23099999999999</v>
      </c>
      <c r="G266" s="49">
        <v>288.23200000000003</v>
      </c>
    </row>
    <row r="267" spans="2:7">
      <c r="B267" s="13" t="str">
        <f t="shared" si="5"/>
        <v>GRMS 10359</v>
      </c>
      <c r="C267" s="49">
        <v>194.15100000000001</v>
      </c>
      <c r="D267" s="49">
        <v>397.72</v>
      </c>
      <c r="E267" s="49">
        <v>519.52099999999996</v>
      </c>
      <c r="F267" s="49">
        <v>277.45100000000002</v>
      </c>
      <c r="G267" s="49">
        <v>277.452</v>
      </c>
    </row>
    <row r="268" spans="2:7">
      <c r="B268" s="13" t="str">
        <f t="shared" si="5"/>
        <v>GRMS 10459</v>
      </c>
      <c r="C268" s="49">
        <v>233.68100000000001</v>
      </c>
      <c r="D268" s="49">
        <v>358.19</v>
      </c>
      <c r="E268" s="49">
        <v>479.99099999999999</v>
      </c>
      <c r="F268" s="49">
        <v>237.92099999999999</v>
      </c>
      <c r="G268" s="49">
        <v>237.922</v>
      </c>
    </row>
    <row r="269" spans="2:7">
      <c r="B269" s="13" t="str">
        <f t="shared" si="5"/>
        <v>GRMS 11109</v>
      </c>
      <c r="C269" s="49">
        <v>317.791</v>
      </c>
      <c r="D269" s="49">
        <v>236.66</v>
      </c>
      <c r="E269" s="49">
        <v>358.46100000000001</v>
      </c>
      <c r="F269" s="49">
        <v>116.39100000000001</v>
      </c>
      <c r="G269" s="49">
        <v>116.392</v>
      </c>
    </row>
    <row r="270" spans="2:7">
      <c r="B270" s="13" t="str">
        <f t="shared" si="5"/>
        <v>GRMS 11159</v>
      </c>
      <c r="C270" s="49">
        <v>327.33100000000002</v>
      </c>
      <c r="D270" s="49">
        <v>246.2</v>
      </c>
      <c r="E270" s="49">
        <v>368.00099999999998</v>
      </c>
      <c r="F270" s="49">
        <v>125.931</v>
      </c>
      <c r="G270" s="49">
        <v>125.932</v>
      </c>
    </row>
    <row r="271" spans="2:7">
      <c r="B271" s="13" t="str">
        <f t="shared" si="5"/>
        <v>GRMS 11209</v>
      </c>
      <c r="C271" s="49">
        <v>334.37099999999998</v>
      </c>
      <c r="D271" s="49">
        <v>257.5</v>
      </c>
      <c r="E271" s="49">
        <v>379.30099999999999</v>
      </c>
      <c r="F271" s="49">
        <v>137.23099999999999</v>
      </c>
      <c r="G271" s="49">
        <v>137.232</v>
      </c>
    </row>
    <row r="272" spans="2:7">
      <c r="B272" s="13" t="str">
        <f t="shared" si="5"/>
        <v>GRMS 11279</v>
      </c>
      <c r="C272" s="49">
        <v>328.49099999999999</v>
      </c>
      <c r="D272" s="49">
        <v>279.72000000000003</v>
      </c>
      <c r="E272" s="49">
        <v>401.52100000000002</v>
      </c>
      <c r="F272" s="49">
        <v>159.45099999999999</v>
      </c>
      <c r="G272" s="49">
        <v>159.452</v>
      </c>
    </row>
    <row r="273" spans="2:7">
      <c r="B273" s="13" t="str">
        <f t="shared" si="5"/>
        <v>GRMS 11309</v>
      </c>
      <c r="C273" s="49">
        <v>310.01100000000002</v>
      </c>
      <c r="D273" s="49">
        <v>281.86</v>
      </c>
      <c r="E273" s="49">
        <v>403.661</v>
      </c>
      <c r="F273" s="49">
        <v>161.59100000000001</v>
      </c>
      <c r="G273" s="49">
        <v>161.59200000000001</v>
      </c>
    </row>
    <row r="274" spans="2:7">
      <c r="B274" s="13" t="str">
        <f t="shared" si="5"/>
        <v>GRMS 12209</v>
      </c>
      <c r="C274" s="49">
        <v>399.62099999999998</v>
      </c>
      <c r="D274" s="49">
        <v>467.65</v>
      </c>
      <c r="E274" s="49">
        <v>81.971000000000004</v>
      </c>
      <c r="F274" s="49">
        <v>198.221</v>
      </c>
      <c r="G274" s="49">
        <v>198.22200000000001</v>
      </c>
    </row>
    <row r="275" spans="2:7">
      <c r="B275" s="13" t="str">
        <f t="shared" si="5"/>
        <v>GRMS 12609</v>
      </c>
      <c r="C275" s="49">
        <v>474.50099999999998</v>
      </c>
      <c r="D275" s="49">
        <v>542.53</v>
      </c>
      <c r="E275" s="49">
        <v>7.0910000000000002</v>
      </c>
      <c r="F275" s="49">
        <v>273.101</v>
      </c>
      <c r="G275" s="49">
        <v>273.10199999999998</v>
      </c>
    </row>
    <row r="276" spans="2:7">
      <c r="B276" s="13" t="str">
        <f t="shared" si="5"/>
        <v>GRMS 12619</v>
      </c>
      <c r="C276" s="49">
        <v>474.50200000000001</v>
      </c>
      <c r="D276" s="49">
        <v>542.53099999999995</v>
      </c>
      <c r="E276" s="49">
        <v>7.0919999999999996</v>
      </c>
      <c r="F276" s="49">
        <v>273.10199999999998</v>
      </c>
      <c r="G276" s="49">
        <v>273.10300000000001</v>
      </c>
    </row>
    <row r="277" spans="2:7">
      <c r="B277" s="13" t="str">
        <f t="shared" si="5"/>
        <v>GRMS 12619B</v>
      </c>
      <c r="C277" s="49">
        <v>475.822</v>
      </c>
      <c r="D277" s="49">
        <v>543.851</v>
      </c>
      <c r="E277" s="49">
        <v>8.4120000000000008</v>
      </c>
      <c r="F277" s="49">
        <v>274.42200000000003</v>
      </c>
      <c r="G277" s="49">
        <v>274.423</v>
      </c>
    </row>
    <row r="278" spans="2:7">
      <c r="B278" s="13" t="str">
        <f t="shared" si="5"/>
        <v>GRMS 12629</v>
      </c>
      <c r="C278" s="49">
        <v>474.50200000000001</v>
      </c>
      <c r="D278" s="49">
        <v>542.53099999999995</v>
      </c>
      <c r="E278" s="49">
        <v>7.0919999999999996</v>
      </c>
      <c r="F278" s="49">
        <v>273.10199999999998</v>
      </c>
      <c r="G278" s="49">
        <v>273.10300000000001</v>
      </c>
    </row>
    <row r="279" spans="2:7">
      <c r="B279" s="13" t="str">
        <f t="shared" si="5"/>
        <v>GRMS 12809</v>
      </c>
      <c r="C279" s="49">
        <v>481.59100000000001</v>
      </c>
      <c r="D279" s="49">
        <v>549.62</v>
      </c>
      <c r="E279" s="49">
        <v>9.9999999999989008E-4</v>
      </c>
      <c r="F279" s="49">
        <v>280.19099999999997</v>
      </c>
      <c r="G279" s="49">
        <v>280.19200000000001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</sheetPr>
  <dimension ref="B2:O186"/>
  <sheetViews>
    <sheetView showGridLines="0" zoomScaleNormal="10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27.5703125" style="1" customWidth="1"/>
    <col min="4" max="7" width="11.7109375" style="1" customWidth="1"/>
    <col min="8" max="8" width="8.85546875" style="1"/>
    <col min="9" max="9" width="8.85546875" style="1" customWidth="1"/>
    <col min="10" max="10" width="11" style="1" bestFit="1" customWidth="1"/>
    <col min="11" max="15" width="8.85546875" style="1" customWidth="1"/>
    <col min="16" max="16384" width="8.85546875" style="1"/>
  </cols>
  <sheetData>
    <row r="2" spans="2:7" ht="28.9" customHeight="1">
      <c r="B2" s="31" t="s">
        <v>591</v>
      </c>
      <c r="C2" s="4"/>
      <c r="D2" s="4"/>
      <c r="E2" s="4"/>
      <c r="F2" s="4"/>
      <c r="G2" s="4"/>
    </row>
    <row r="3" spans="2:7" ht="14.45" customHeight="1">
      <c r="B3" s="35" t="s">
        <v>234</v>
      </c>
    </row>
    <row r="4" spans="2:7" ht="14.45" customHeight="1">
      <c r="B4" s="8" t="s">
        <v>2</v>
      </c>
      <c r="C4" s="8" t="s">
        <v>215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34" t="s">
        <v>0</v>
      </c>
      <c r="C7" s="3" t="s">
        <v>217</v>
      </c>
      <c r="D7" s="36">
        <f>'Input capacity'!D7</f>
        <v>30931240.224923894</v>
      </c>
      <c r="E7" s="36">
        <f>'Input capacity'!E7</f>
        <v>32002254.47123478</v>
      </c>
      <c r="F7" s="36">
        <f>'Input capacity'!F7</f>
        <v>18392748.289478596</v>
      </c>
      <c r="G7" s="36">
        <f>'Input capacity'!G7</f>
        <v>18476205.994802892</v>
      </c>
    </row>
    <row r="8" spans="2:7" ht="14.45" customHeight="1">
      <c r="B8" s="34" t="s">
        <v>216</v>
      </c>
      <c r="C8" s="3" t="s">
        <v>217</v>
      </c>
      <c r="D8" s="36">
        <f>'Input capacity'!D8</f>
        <v>2308301.5093226787</v>
      </c>
      <c r="E8" s="36">
        <f>'Input capacity'!E8</f>
        <v>2388227.9456145358</v>
      </c>
      <c r="F8" s="36">
        <f>'Input capacity'!F8</f>
        <v>1372593.1559312386</v>
      </c>
      <c r="G8" s="36">
        <f>'Input capacity'!G8</f>
        <v>1378821.3428957383</v>
      </c>
    </row>
    <row r="9" spans="2:7" ht="14.45" customHeight="1">
      <c r="B9" s="34" t="s">
        <v>218</v>
      </c>
      <c r="C9" s="3" t="s">
        <v>14</v>
      </c>
      <c r="D9" s="36">
        <f>'Input capacity'!D9</f>
        <v>200000000</v>
      </c>
      <c r="E9" s="36">
        <f>'Input capacity'!E9</f>
        <v>200000000</v>
      </c>
      <c r="F9" s="36">
        <f>'Input capacity'!F9</f>
        <v>182415826.68795082</v>
      </c>
      <c r="G9" s="36">
        <f>'Input capacity'!G9</f>
        <v>182763409.64134246</v>
      </c>
    </row>
    <row r="10" spans="2:7" ht="14.45" customHeight="1">
      <c r="B10" s="34" t="s">
        <v>219</v>
      </c>
      <c r="C10" s="3" t="s">
        <v>15</v>
      </c>
      <c r="D10" s="36">
        <f>'Input capacity'!D10</f>
        <v>8990275.9128767122</v>
      </c>
      <c r="E10" s="36">
        <f>'Input capacity'!E10</f>
        <v>7435783.7183561651</v>
      </c>
      <c r="F10" s="36">
        <f>'Input capacity'!F10</f>
        <v>7061251.0740085999</v>
      </c>
      <c r="G10" s="36">
        <f>'Input capacity'!G10</f>
        <v>7951906.2221917808</v>
      </c>
    </row>
    <row r="11" spans="2:7" ht="14.45" customHeight="1">
      <c r="B11" s="34" t="s">
        <v>26</v>
      </c>
      <c r="C11" s="3" t="s">
        <v>220</v>
      </c>
      <c r="D11" s="36">
        <f>'Input capacity'!D11</f>
        <v>1</v>
      </c>
      <c r="E11" s="36">
        <f>'Input capacity'!E11</f>
        <v>1</v>
      </c>
      <c r="F11" s="36">
        <f>'Input capacity'!F11</f>
        <v>1</v>
      </c>
      <c r="G11" s="36">
        <f>'Input capacity'!G11</f>
        <v>1</v>
      </c>
    </row>
    <row r="14" spans="2:7" ht="28.9" customHeight="1">
      <c r="B14" s="31" t="str">
        <f>IF('RPM &amp; Discounts'!$B$3&lt;&gt;'A0.Support'!$B$6,"2. "&amp;'Input data'!B219,"2. "&amp;'Input data'!B201)</f>
        <v>2. Commercial utilization factor at entry points</v>
      </c>
      <c r="C14" s="4"/>
      <c r="D14" s="4"/>
      <c r="E14" s="4"/>
      <c r="F14" s="4"/>
      <c r="G14" s="4"/>
    </row>
    <row r="15" spans="2:7" ht="14.45" customHeight="1">
      <c r="B15" s="35" t="s">
        <v>291</v>
      </c>
    </row>
    <row r="16" spans="2:7" ht="14.45" customHeight="1">
      <c r="B16" s="8" t="s">
        <v>2</v>
      </c>
      <c r="C16" s="8" t="s">
        <v>215</v>
      </c>
      <c r="D16" s="5"/>
      <c r="E16" s="5"/>
      <c r="F16" s="5"/>
      <c r="G16" s="5"/>
    </row>
    <row r="17" spans="2:15" ht="14.45" customHeight="1">
      <c r="B17" s="24"/>
      <c r="C17" s="24"/>
      <c r="D17" s="22" t="str">
        <f>'Input data'!D$5</f>
        <v>2023-24</v>
      </c>
      <c r="E17" s="22" t="str">
        <f>'Input data'!E$5</f>
        <v>2024-25</v>
      </c>
      <c r="F17" s="22" t="str">
        <f>'Input data'!F$5</f>
        <v>2025-26</v>
      </c>
      <c r="G17" s="22" t="str">
        <f>'Input data'!G$5</f>
        <v>2026-27</v>
      </c>
    </row>
    <row r="18" spans="2:15" ht="14.45" customHeight="1">
      <c r="B18" s="23"/>
      <c r="C18" s="23"/>
      <c r="D18" s="7"/>
      <c r="E18" s="7"/>
      <c r="F18" s="7"/>
      <c r="G18" s="7"/>
    </row>
    <row r="19" spans="2:15" ht="14.45" customHeight="1">
      <c r="B19" s="34" t="s">
        <v>0</v>
      </c>
      <c r="C19" s="3" t="s">
        <v>217</v>
      </c>
      <c r="D19" s="80">
        <f>IF('RPM &amp; Discounts'!$B$3&lt;&gt;'A0.Support'!$B$6,'Input data'!D222,'Input data'!D204)</f>
        <v>0.30096563478759114</v>
      </c>
      <c r="E19" s="80">
        <f>IF('RPM &amp; Discounts'!$B$3&lt;&gt;'A0.Support'!$B$6,'Input data'!E222,'Input data'!E204)</f>
        <v>0.30096563478759114</v>
      </c>
      <c r="F19" s="80">
        <f>IF('RPM &amp; Discounts'!$B$3&lt;&gt;'A0.Support'!$B$6,'Input data'!F222,'Input data'!F204)</f>
        <v>0.30096563478759114</v>
      </c>
      <c r="G19" s="80">
        <f>IF('RPM &amp; Discounts'!$B$3&lt;&gt;'A0.Support'!$B$6,'Input data'!G222,'Input data'!G204)</f>
        <v>0.30096563478759114</v>
      </c>
      <c r="J19"/>
      <c r="K19"/>
      <c r="L19"/>
      <c r="M19"/>
      <c r="N19"/>
      <c r="O19"/>
    </row>
    <row r="20" spans="2:15" ht="14.45" customHeight="1">
      <c r="B20" s="34" t="s">
        <v>216</v>
      </c>
      <c r="C20" s="3" t="s">
        <v>217</v>
      </c>
      <c r="D20" s="80">
        <f>IF('RPM &amp; Discounts'!$B$3&lt;&gt;'A0.Support'!$B$6,'Input data'!D222,'Input data'!D204)</f>
        <v>0.30096563478759114</v>
      </c>
      <c r="E20" s="80">
        <f>IF('RPM &amp; Discounts'!$B$3&lt;&gt;'A0.Support'!$B$6,'Input data'!E222,'Input data'!E204)</f>
        <v>0.30096563478759114</v>
      </c>
      <c r="F20" s="80">
        <f>IF('RPM &amp; Discounts'!$B$3&lt;&gt;'A0.Support'!$B$6,'Input data'!F222,'Input data'!F204)</f>
        <v>0.30096563478759114</v>
      </c>
      <c r="G20" s="80">
        <f>IF('RPM &amp; Discounts'!$B$3&lt;&gt;'A0.Support'!$B$6,'Input data'!G222,'Input data'!G204)</f>
        <v>0.30096563478759114</v>
      </c>
      <c r="J20"/>
      <c r="K20"/>
      <c r="L20"/>
      <c r="M20"/>
      <c r="N20"/>
      <c r="O20"/>
    </row>
    <row r="21" spans="2:15" ht="14.45" customHeight="1">
      <c r="B21" s="34" t="s">
        <v>218</v>
      </c>
      <c r="C21" s="3" t="s">
        <v>14</v>
      </c>
      <c r="D21" s="80">
        <f>IF('RPM &amp; Discounts'!$B$3&lt;&gt;'A0.Support'!$B$6,'Input data'!D223,'Input data'!D205)</f>
        <v>0.98663788917465756</v>
      </c>
      <c r="E21" s="80">
        <f>IF('RPM &amp; Discounts'!$B$3&lt;&gt;'A0.Support'!$B$6,'Input data'!E223,'Input data'!E205)</f>
        <v>0.98663788917465756</v>
      </c>
      <c r="F21" s="80">
        <f>IF('RPM &amp; Discounts'!$B$3&lt;&gt;'A0.Support'!$B$6,'Input data'!F223,'Input data'!F205)</f>
        <v>0.98663788917465756</v>
      </c>
      <c r="G21" s="80">
        <f>IF('RPM &amp; Discounts'!$B$3&lt;&gt;'A0.Support'!$B$6,'Input data'!G223,'Input data'!G205)</f>
        <v>0.98663788917465756</v>
      </c>
      <c r="J21"/>
      <c r="K21"/>
      <c r="L21"/>
      <c r="M21"/>
      <c r="N21"/>
      <c r="O21"/>
    </row>
    <row r="22" spans="2:15" ht="14.45" customHeight="1">
      <c r="B22" s="34" t="s">
        <v>219</v>
      </c>
      <c r="C22" s="3" t="s">
        <v>15</v>
      </c>
      <c r="D22" s="80">
        <f>IF('RPM &amp; Discounts'!$B$3&lt;&gt;'A0.Support'!$B$6,'Input data'!D224,'Input data'!D206)</f>
        <v>0.13127867462419943</v>
      </c>
      <c r="E22" s="80">
        <f>IF('RPM &amp; Discounts'!$B$3&lt;&gt;'A0.Support'!$B$6,'Input data'!E224,'Input data'!E206)</f>
        <v>0.13127867462419943</v>
      </c>
      <c r="F22" s="80">
        <f>IF('RPM &amp; Discounts'!$B$3&lt;&gt;'A0.Support'!$B$6,'Input data'!F224,'Input data'!F206)</f>
        <v>0.13127867462419943</v>
      </c>
      <c r="G22" s="80">
        <f>IF('RPM &amp; Discounts'!$B$3&lt;&gt;'A0.Support'!$B$6,'Input data'!G224,'Input data'!G206)</f>
        <v>0.13127867462419943</v>
      </c>
      <c r="J22"/>
      <c r="K22"/>
      <c r="L22"/>
      <c r="M22"/>
      <c r="N22"/>
      <c r="O22"/>
    </row>
    <row r="23" spans="2:15" ht="14.45" customHeight="1">
      <c r="B23" s="34" t="s">
        <v>26</v>
      </c>
      <c r="C23" s="3" t="s">
        <v>220</v>
      </c>
      <c r="D23" s="80">
        <f>IF('RPM &amp; Discounts'!$B$3&lt;&gt;'A0.Support'!$B$6,'Input data'!D225,'Input data'!D207)</f>
        <v>0.13127867462419943</v>
      </c>
      <c r="E23" s="80">
        <f>IF('RPM &amp; Discounts'!$B$3&lt;&gt;'A0.Support'!$B$6,'Input data'!E225,'Input data'!E207)</f>
        <v>0.13127867462419943</v>
      </c>
      <c r="F23" s="80">
        <f>IF('RPM &amp; Discounts'!$B$3&lt;&gt;'A0.Support'!$B$6,'Input data'!F225,'Input data'!F207)</f>
        <v>0.13127867462419943</v>
      </c>
      <c r="G23" s="80">
        <f>IF('RPM &amp; Discounts'!$B$3&lt;&gt;'A0.Support'!$B$6,'Input data'!G225,'Input data'!G207)</f>
        <v>0.13127867462419943</v>
      </c>
      <c r="J23"/>
      <c r="K23"/>
      <c r="L23"/>
      <c r="M23"/>
      <c r="N23"/>
      <c r="O23"/>
    </row>
    <row r="26" spans="2:15" ht="28.9" customHeight="1">
      <c r="B26" s="31" t="str">
        <f>IF('RPM &amp; Discounts'!$B$3&lt;&gt;'A0.Support'!$B$3,"3. Effective capacity at entry points","3. Forecasted capacity at entry points")&amp;", in kWh/day"</f>
        <v>3. Effective capacity at entry points, in kWh/day</v>
      </c>
      <c r="C26" s="4"/>
      <c r="D26" s="4"/>
      <c r="E26" s="4"/>
      <c r="F26" s="4"/>
      <c r="G26" s="4"/>
      <c r="J26"/>
    </row>
    <row r="27" spans="2:15" ht="14.45" customHeight="1">
      <c r="B27" s="35" t="s">
        <v>292</v>
      </c>
    </row>
    <row r="28" spans="2:15" ht="14.45" customHeight="1">
      <c r="B28" s="8" t="s">
        <v>2</v>
      </c>
      <c r="C28" s="8" t="s">
        <v>215</v>
      </c>
      <c r="D28" s="5"/>
      <c r="E28" s="5"/>
      <c r="F28" s="5"/>
      <c r="G28" s="5"/>
    </row>
    <row r="29" spans="2:15" ht="14.45" customHeight="1">
      <c r="B29" s="24"/>
      <c r="C29" s="24"/>
      <c r="D29" s="22" t="str">
        <f>'Input data'!D$5</f>
        <v>2023-24</v>
      </c>
      <c r="E29" s="22" t="str">
        <f>'Input data'!E$5</f>
        <v>2024-25</v>
      </c>
      <c r="F29" s="22" t="str">
        <f>'Input data'!F$5</f>
        <v>2025-26</v>
      </c>
      <c r="G29" s="22" t="str">
        <f>'Input data'!G$5</f>
        <v>2026-27</v>
      </c>
    </row>
    <row r="30" spans="2:15" ht="14.45" customHeight="1">
      <c r="B30" s="23"/>
      <c r="C30" s="23"/>
      <c r="D30" s="7"/>
      <c r="E30" s="7"/>
      <c r="F30" s="7"/>
      <c r="G30" s="7"/>
    </row>
    <row r="31" spans="2:15" ht="14.45" customHeight="1">
      <c r="B31" s="34" t="s">
        <v>0</v>
      </c>
      <c r="C31" s="3" t="s">
        <v>217</v>
      </c>
      <c r="D31" s="36">
        <f>IF(OR('RPM &amp; Discounts'!$B$3='A0.Support'!$B$3,'RPM &amp; Discounts'!$B$3='A0.Support'!$B$4),D7,D7*D19)</f>
        <v>9309240.349061694</v>
      </c>
      <c r="E31" s="36">
        <f>IF(OR('RPM &amp; Discounts'!$B$3='A0.Support'!$B$3,'RPM &amp; Discounts'!$B$3='A0.Support'!$B$4),E7,E7*E19)</f>
        <v>9631578.8315692022</v>
      </c>
      <c r="F31" s="36">
        <f>IF(OR('RPM &amp; Discounts'!$B$3='A0.Support'!$B$3,'RPM &amp; Discounts'!$B$3='A0.Support'!$B$4),F7,F7*F19)</f>
        <v>5535585.1644313065</v>
      </c>
      <c r="G31" s="36">
        <f>IF(OR('RPM &amp; Discounts'!$B$3='A0.Support'!$B$3,'RPM &amp; Discounts'!$B$3='A0.Support'!$B$4),G7,G7*G19)</f>
        <v>5560703.0656921491</v>
      </c>
      <c r="I31"/>
      <c r="J31"/>
      <c r="K31"/>
      <c r="L31"/>
      <c r="M31"/>
      <c r="N31"/>
      <c r="O31"/>
    </row>
    <row r="32" spans="2:15" ht="14.45" customHeight="1">
      <c r="B32" s="34" t="s">
        <v>216</v>
      </c>
      <c r="C32" s="3" t="s">
        <v>217</v>
      </c>
      <c r="D32" s="36">
        <f>IF(OR('RPM &amp; Discounts'!$B$3='A0.Support'!$B$3,'RPM &amp; Discounts'!$B$3='A0.Support'!$B$4),D8,D8*D20)</f>
        <v>694719.42903445475</v>
      </c>
      <c r="E32" s="36">
        <f>IF(OR('RPM &amp; Discounts'!$B$3='A0.Support'!$B$3,'RPM &amp; Discounts'!$B$3='A0.Support'!$B$4),E8,E8*E20)</f>
        <v>718774.5396693435</v>
      </c>
      <c r="F32" s="36">
        <f>IF(OR('RPM &amp; Discounts'!$B$3='A0.Support'!$B$3,'RPM &amp; Discounts'!$B$3='A0.Support'!$B$4),F8,F8*F20)</f>
        <v>413103.37047994829</v>
      </c>
      <c r="G32" s="36">
        <f>IF(OR('RPM &amp; Discounts'!$B$3='A0.Support'!$B$3,'RPM &amp; Discounts'!$B$3='A0.Support'!$B$4),G8,G8*G20)</f>
        <v>414977.84072329476</v>
      </c>
      <c r="J32"/>
      <c r="K32"/>
      <c r="L32"/>
      <c r="M32"/>
      <c r="N32"/>
      <c r="O32"/>
    </row>
    <row r="33" spans="2:15" ht="14.45" customHeight="1">
      <c r="B33" s="34" t="s">
        <v>218</v>
      </c>
      <c r="C33" s="3" t="s">
        <v>14</v>
      </c>
      <c r="D33" s="36">
        <f>IF(OR('RPM &amp; Discounts'!$B$3='A0.Support'!$B$3,'RPM &amp; Discounts'!$B$3='A0.Support'!$B$4),D9,D9*D21)</f>
        <v>197327577.83493152</v>
      </c>
      <c r="E33" s="36">
        <f>IF(OR('RPM &amp; Discounts'!$B$3='A0.Support'!$B$3,'RPM &amp; Discounts'!$B$3='A0.Support'!$B$4),E9,E9*E21)</f>
        <v>197327577.83493152</v>
      </c>
      <c r="F33" s="36">
        <f>IF(OR('RPM &amp; Discounts'!$B$3='A0.Support'!$B$3,'RPM &amp; Discounts'!$B$3='A0.Support'!$B$4),F9,F9*F21)</f>
        <v>179978366.19544995</v>
      </c>
      <c r="G33" s="36">
        <f>IF(OR('RPM &amp; Discounts'!$B$3='A0.Support'!$B$3,'RPM &amp; Discounts'!$B$3='A0.Support'!$B$4),G9,G9*G21)</f>
        <v>180321304.70689738</v>
      </c>
      <c r="J33"/>
      <c r="K33"/>
      <c r="L33"/>
      <c r="M33"/>
      <c r="N33"/>
      <c r="O33"/>
    </row>
    <row r="34" spans="2:15" ht="14.45" customHeight="1">
      <c r="B34" s="34" t="s">
        <v>219</v>
      </c>
      <c r="C34" s="3" t="s">
        <v>15</v>
      </c>
      <c r="D34" s="36">
        <f>IF(OR('RPM &amp; Discounts'!$B$3='A0.Support'!$B$3,'RPM &amp; Discounts'!$B$3='A0.Support'!$B$4),D10,D10*D22)</f>
        <v>1180231.5063483194</v>
      </c>
      <c r="E34" s="36">
        <f>IF(OR('RPM &amp; Discounts'!$B$3='A0.Support'!$B$3,'RPM &amp; Discounts'!$B$3='A0.Support'!$B$4),E10,E10*E22)</f>
        <v>976159.83133799874</v>
      </c>
      <c r="F34" s="36">
        <f>IF(OR('RPM &amp; Discounts'!$B$3='A0.Support'!$B$3,'RPM &amp; Discounts'!$B$3='A0.Support'!$B$4),F10,F10*F22)</f>
        <v>926991.68218455371</v>
      </c>
      <c r="G34" s="36">
        <f>IF(OR('RPM &amp; Discounts'!$B$3='A0.Support'!$B$3,'RPM &amp; Discounts'!$B$3='A0.Support'!$B$4),G10,G10*G22)</f>
        <v>1043915.7095852616</v>
      </c>
      <c r="J34"/>
      <c r="K34"/>
      <c r="L34"/>
      <c r="M34"/>
      <c r="N34"/>
      <c r="O34"/>
    </row>
    <row r="35" spans="2:15" ht="14.45" customHeight="1">
      <c r="B35" s="34" t="s">
        <v>26</v>
      </c>
      <c r="C35" s="3" t="s">
        <v>220</v>
      </c>
      <c r="D35" s="36">
        <f>IF(OR('RPM &amp; Discounts'!$B$3='A0.Support'!$B$3,'RPM &amp; Discounts'!$B$3='A0.Support'!$B$4),D11,D11*D23)</f>
        <v>0.13127867462419943</v>
      </c>
      <c r="E35" s="36">
        <f>IF(OR('RPM &amp; Discounts'!$B$3='A0.Support'!$B$3,'RPM &amp; Discounts'!$B$3='A0.Support'!$B$4),E11,E11*E23)</f>
        <v>0.13127867462419943</v>
      </c>
      <c r="F35" s="36">
        <f>IF(OR('RPM &amp; Discounts'!$B$3='A0.Support'!$B$3,'RPM &amp; Discounts'!$B$3='A0.Support'!$B$4),F11,F11*F23)</f>
        <v>0.13127867462419943</v>
      </c>
      <c r="G35" s="36">
        <f>IF(OR('RPM &amp; Discounts'!$B$3='A0.Support'!$B$3,'RPM &amp; Discounts'!$B$3='A0.Support'!$B$4),G11,G11*G23)</f>
        <v>0.13127867462419943</v>
      </c>
      <c r="J35"/>
      <c r="K35"/>
      <c r="L35"/>
      <c r="M35"/>
      <c r="N35"/>
      <c r="O35"/>
    </row>
    <row r="38" spans="2:15" ht="28.9" customHeight="1">
      <c r="B38" s="31" t="s">
        <v>592</v>
      </c>
      <c r="C38" s="4"/>
      <c r="D38" s="4"/>
      <c r="E38" s="4"/>
      <c r="F38" s="4"/>
      <c r="G38" s="4"/>
    </row>
    <row r="39" spans="2:15" ht="14.45" customHeight="1">
      <c r="B39" s="35"/>
    </row>
    <row r="40" spans="2:15" ht="14.45" customHeight="1">
      <c r="B40" s="8" t="s">
        <v>2</v>
      </c>
      <c r="C40" s="8" t="s">
        <v>215</v>
      </c>
      <c r="D40" s="5"/>
      <c r="E40" s="5"/>
      <c r="F40" s="5"/>
      <c r="G40" s="5"/>
    </row>
    <row r="41" spans="2:15" ht="14.45" customHeight="1">
      <c r="B41" s="24"/>
      <c r="C41" s="24"/>
      <c r="D41" s="22" t="str">
        <f>'Input data'!D$5</f>
        <v>2023-24</v>
      </c>
      <c r="E41" s="22" t="str">
        <f>'Input data'!E$5</f>
        <v>2024-25</v>
      </c>
      <c r="F41" s="22" t="str">
        <f>'Input data'!F$5</f>
        <v>2025-26</v>
      </c>
      <c r="G41" s="22" t="str">
        <f>'Input data'!G$5</f>
        <v>2026-27</v>
      </c>
    </row>
    <row r="42" spans="2:15" ht="14.45" customHeight="1">
      <c r="B42" s="23"/>
      <c r="C42" s="23"/>
      <c r="D42" s="7"/>
      <c r="E42" s="7"/>
      <c r="F42" s="7"/>
      <c r="G42" s="7"/>
    </row>
    <row r="43" spans="2:15" ht="14.45" customHeight="1">
      <c r="B43" s="34" t="s">
        <v>0</v>
      </c>
      <c r="C43" s="3" t="s">
        <v>217</v>
      </c>
      <c r="D43" s="51">
        <f>SUMPRODUCT('Exit Tariff_1'!D$199:D$287,'Distance Matrix_Exit'!$C$5:$C$93)/SUMIFS('Exit Tariff_1'!D$199:D$287,'Distance Matrix_Exit'!$C$5:$C$93,"&gt;0")</f>
        <v>837.71348462728588</v>
      </c>
      <c r="E43" s="51">
        <f>SUMPRODUCT('Exit Tariff_1'!E$199:E$287,'Distance Matrix_Exit'!$C$5:$C$93)/SUMIFS('Exit Tariff_1'!E$199:E$287,'Distance Matrix_Exit'!$C$5:$C$93,"&gt;0")</f>
        <v>844.49509748834441</v>
      </c>
      <c r="F43" s="51">
        <f>SUMPRODUCT('Exit Tariff_1'!F$199:F$287,'Distance Matrix_Exit'!$C$5:$C$93)/SUMIFS('Exit Tariff_1'!F$199:F$287,'Distance Matrix_Exit'!$C$5:$C$93,"&gt;0")</f>
        <v>838.01946094260245</v>
      </c>
      <c r="G43" s="51">
        <f>SUMPRODUCT('Exit Tariff_1'!G$199:G$287,'Distance Matrix_Exit'!$C$5:$C$93)/SUMIFS('Exit Tariff_1'!G$199:G$287,'Distance Matrix_Exit'!$C$5:$C$93,"&gt;0")</f>
        <v>850.62447826895868</v>
      </c>
      <c r="I43"/>
      <c r="J43"/>
      <c r="K43"/>
      <c r="L43"/>
      <c r="M43"/>
    </row>
    <row r="44" spans="2:15" ht="14.45" customHeight="1">
      <c r="B44" s="34" t="s">
        <v>216</v>
      </c>
      <c r="C44" s="3" t="s">
        <v>217</v>
      </c>
      <c r="D44" s="51">
        <f>SUMPRODUCT('Exit Tariff_1'!D$199:D$287,'Distance Matrix_Exit'!$D$5:$D$93)/SUMIFS('Exit Tariff_1'!D$199:D$287,'Distance Matrix_Exit'!$D$5:$D$93,"&gt;0")</f>
        <v>767.12025662224858</v>
      </c>
      <c r="E44" s="51">
        <f>SUMPRODUCT('Exit Tariff_1'!E$199:E$287,'Distance Matrix_Exit'!$D$5:$D$93)/SUMIFS('Exit Tariff_1'!E$199:E$287,'Distance Matrix_Exit'!$D$5:$D$93,"&gt;0")</f>
        <v>769.52998977263121</v>
      </c>
      <c r="F44" s="51">
        <f>SUMPRODUCT('Exit Tariff_1'!F$199:F$287,'Distance Matrix_Exit'!$D$5:$D$93)/SUMIFS('Exit Tariff_1'!F$199:F$287,'Distance Matrix_Exit'!$D$5:$D$93,"&gt;0")</f>
        <v>761.40834052610603</v>
      </c>
      <c r="G44" s="51">
        <f>SUMPRODUCT('Exit Tariff_1'!G$199:G$287,'Distance Matrix_Exit'!$D$5:$D$93)/SUMIFS('Exit Tariff_1'!G$199:G$287,'Distance Matrix_Exit'!$D$5:$D$93,"&gt;0")</f>
        <v>776.62025380703255</v>
      </c>
      <c r="I44"/>
      <c r="J44"/>
      <c r="K44"/>
      <c r="L44"/>
      <c r="M44"/>
    </row>
    <row r="45" spans="2:15" ht="14.45" customHeight="1">
      <c r="B45" s="34" t="s">
        <v>218</v>
      </c>
      <c r="C45" s="3" t="s">
        <v>14</v>
      </c>
      <c r="D45" s="51">
        <f>SUMPRODUCT('Exit Tariff_1'!D$199:D$287,'Distance Matrix_Exit'!$E$5:$E$93)/SUMIFS('Exit Tariff_1'!D$199:D$287,'Distance Matrix_Exit'!$E$5:$E$93,"&gt;0")</f>
        <v>717.73809469931041</v>
      </c>
      <c r="E45" s="51">
        <f>SUMPRODUCT('Exit Tariff_1'!E$199:E$287,'Distance Matrix_Exit'!$E$5:$E$93)/SUMIFS('Exit Tariff_1'!E$199:E$287,'Distance Matrix_Exit'!$E$5:$E$93,"&gt;0")</f>
        <v>718.75731814420055</v>
      </c>
      <c r="F45" s="51">
        <f>SUMPRODUCT('Exit Tariff_1'!F$199:F$287,'Distance Matrix_Exit'!$E$5:$E$93)/SUMIFS('Exit Tariff_1'!F$199:F$287,'Distance Matrix_Exit'!$E$5:$E$93,"&gt;0")</f>
        <v>709.73735265661117</v>
      </c>
      <c r="G45" s="51">
        <f>SUMPRODUCT('Exit Tariff_1'!G$199:G$287,'Distance Matrix_Exit'!$E$5:$E$93)/SUMIFS('Exit Tariff_1'!G$199:G$287,'Distance Matrix_Exit'!$E$5:$E$93,"&gt;0")</f>
        <v>726.56144486144308</v>
      </c>
    </row>
    <row r="46" spans="2:15" ht="14.45" customHeight="1">
      <c r="B46" s="34" t="s">
        <v>219</v>
      </c>
      <c r="C46" s="3" t="s">
        <v>15</v>
      </c>
      <c r="D46" s="51">
        <f>SUMPRODUCT('Exit Tariff_1'!D$199:D$287,'Distance Matrix_Exit'!$F$5:$F$93)/SUMIFS('Exit Tariff_1'!D$199:D$287,'Distance Matrix_Exit'!$F$5:$F$93,"&gt;0")</f>
        <v>392.56334577280478</v>
      </c>
      <c r="E46" s="51">
        <f>SUMPRODUCT('Exit Tariff_1'!E$199:E$287,'Distance Matrix_Exit'!$F$5:$F$93)/SUMIFS('Exit Tariff_1'!E$199:E$287,'Distance Matrix_Exit'!$F$5:$F$93,"&gt;0")</f>
        <v>388.91599733082279</v>
      </c>
      <c r="F46" s="51">
        <f>SUMPRODUCT('Exit Tariff_1'!F$199:F$287,'Distance Matrix_Exit'!$F$5:$F$93)/SUMIFS('Exit Tariff_1'!F$199:F$287,'Distance Matrix_Exit'!$F$5:$F$93,"&gt;0")</f>
        <v>384.60132843447371</v>
      </c>
      <c r="G46" s="51">
        <f>SUMPRODUCT('Exit Tariff_1'!G$199:G$287,'Distance Matrix_Exit'!$F$5:$F$93)/SUMIFS('Exit Tariff_1'!G$199:G$287,'Distance Matrix_Exit'!$F$5:$F$93,"&gt;0")</f>
        <v>392.12554183818844</v>
      </c>
    </row>
    <row r="47" spans="2:15" ht="14.45" customHeight="1">
      <c r="B47" s="34" t="s">
        <v>26</v>
      </c>
      <c r="C47" s="3" t="s">
        <v>220</v>
      </c>
      <c r="D47" s="51">
        <f>SUMPRODUCT('Exit Tariff_1'!D$199:D$287,'Distance Matrix_Exit'!$G$5:$G$93)/SUMIFS('Exit Tariff_1'!D$199:D$287,'Distance Matrix_Exit'!$G$5:$G$93,"&gt;0")</f>
        <v>376.94611165460861</v>
      </c>
      <c r="E47" s="51">
        <f>SUMPRODUCT('Exit Tariff_1'!E$199:E$287,'Distance Matrix_Exit'!$G$5:$G$93)/SUMIFS('Exit Tariff_1'!E$199:E$287,'Distance Matrix_Exit'!$G$5:$G$93,"&gt;0")</f>
        <v>379.68750011414079</v>
      </c>
      <c r="F47" s="51">
        <f>SUMPRODUCT('Exit Tariff_1'!F$199:F$287,'Distance Matrix_Exit'!$G$5:$G$93)/SUMIFS('Exit Tariff_1'!F$199:F$287,'Distance Matrix_Exit'!$G$5:$G$93,"&gt;0")</f>
        <v>374.10623218895421</v>
      </c>
      <c r="G47" s="51">
        <f>SUMPRODUCT('Exit Tariff_1'!G$199:G$287,'Distance Matrix_Exit'!$G$5:$G$93)/SUMIFS('Exit Tariff_1'!G$199:G$287,'Distance Matrix_Exit'!$G$5:$G$93,"&gt;0")</f>
        <v>384.77221267141101</v>
      </c>
    </row>
    <row r="50" spans="2:14" ht="28.9" customHeight="1">
      <c r="B50" s="31" t="s">
        <v>224</v>
      </c>
      <c r="C50" s="4"/>
      <c r="D50" s="4"/>
      <c r="E50" s="4"/>
      <c r="F50" s="4"/>
      <c r="G50" s="4"/>
    </row>
    <row r="51" spans="2:14" ht="14.45" customHeight="1">
      <c r="B51" s="35"/>
    </row>
    <row r="52" spans="2:14" ht="14.45" customHeight="1">
      <c r="B52" s="8" t="s">
        <v>2</v>
      </c>
      <c r="C52" s="8" t="s">
        <v>215</v>
      </c>
      <c r="D52" s="5"/>
      <c r="E52" s="5"/>
      <c r="F52" s="5"/>
      <c r="G52" s="5"/>
    </row>
    <row r="53" spans="2:14" ht="14.45" customHeight="1">
      <c r="B53" s="24"/>
      <c r="C53" s="24"/>
      <c r="D53" s="22" t="str">
        <f>'Input data'!D$5</f>
        <v>2023-24</v>
      </c>
      <c r="E53" s="22" t="str">
        <f>'Input data'!E$5</f>
        <v>2024-25</v>
      </c>
      <c r="F53" s="22" t="str">
        <f>'Input data'!F$5</f>
        <v>2025-26</v>
      </c>
      <c r="G53" s="22" t="str">
        <f>'Input data'!G$5</f>
        <v>2026-27</v>
      </c>
    </row>
    <row r="54" spans="2:14" ht="14.45" customHeight="1">
      <c r="B54" s="23"/>
      <c r="C54" s="23"/>
      <c r="D54" s="7"/>
      <c r="E54" s="7"/>
      <c r="F54" s="7"/>
      <c r="G54" s="7"/>
    </row>
    <row r="55" spans="2:14" ht="14.45" customHeight="1">
      <c r="B55" s="34" t="s">
        <v>0</v>
      </c>
      <c r="C55" s="3" t="s">
        <v>217</v>
      </c>
      <c r="D55" s="52">
        <f t="shared" ref="D55:G55" si="0">D31*D43/SUMPRODUCT(D$31:D$35,D$43:D$47)</f>
        <v>5.1843213006975149E-2</v>
      </c>
      <c r="E55" s="52">
        <f t="shared" si="0"/>
        <v>5.3903053084597009E-2</v>
      </c>
      <c r="F55" s="52">
        <f t="shared" si="0"/>
        <v>3.4866742935820622E-2</v>
      </c>
      <c r="G55" s="52">
        <f t="shared" si="0"/>
        <v>3.4658570522011434E-2</v>
      </c>
      <c r="I55"/>
      <c r="J55"/>
      <c r="K55"/>
      <c r="L55"/>
      <c r="M55"/>
      <c r="N55"/>
    </row>
    <row r="56" spans="2:14" ht="14.45" customHeight="1">
      <c r="B56" s="34" t="s">
        <v>216</v>
      </c>
      <c r="C56" s="3" t="s">
        <v>217</v>
      </c>
      <c r="D56" s="52">
        <f t="shared" ref="D56:G56" si="1">D32*D44/SUMPRODUCT(D$31:D$35,D$43:D$47)</f>
        <v>3.5428686837002872E-3</v>
      </c>
      <c r="E56" s="52">
        <f t="shared" si="1"/>
        <v>3.6655317277806882E-3</v>
      </c>
      <c r="F56" s="52">
        <f t="shared" si="1"/>
        <v>2.3641232118251851E-3</v>
      </c>
      <c r="G56" s="52">
        <f t="shared" si="1"/>
        <v>2.3614387440906667E-3</v>
      </c>
      <c r="I56"/>
      <c r="J56"/>
      <c r="K56"/>
      <c r="L56"/>
      <c r="M56"/>
      <c r="N56"/>
    </row>
    <row r="57" spans="2:14" ht="14.45" customHeight="1">
      <c r="B57" s="34" t="s">
        <v>218</v>
      </c>
      <c r="C57" s="3" t="s">
        <v>14</v>
      </c>
      <c r="D57" s="52">
        <f t="shared" ref="D57:G57" si="2">D33*D45/SUMPRODUCT(D$31:D$35,D$43:D$47)</f>
        <v>0.94153385845211179</v>
      </c>
      <c r="E57" s="52">
        <f t="shared" si="2"/>
        <v>0.93991550261614631</v>
      </c>
      <c r="F57" s="52">
        <f t="shared" si="2"/>
        <v>0.96008946939430984</v>
      </c>
      <c r="G57" s="52">
        <f t="shared" si="2"/>
        <v>0.95998059559030147</v>
      </c>
      <c r="I57"/>
      <c r="J57"/>
      <c r="K57"/>
      <c r="L57"/>
      <c r="M57"/>
      <c r="N57"/>
    </row>
    <row r="58" spans="2:14" ht="14.45" customHeight="1">
      <c r="B58" s="34" t="s">
        <v>219</v>
      </c>
      <c r="C58" s="3" t="s">
        <v>15</v>
      </c>
      <c r="D58" s="52">
        <f t="shared" ref="D58:G58" si="3">D34*D46/SUMPRODUCT(D$31:D$35,D$43:D$47)</f>
        <v>3.0800595282432343E-3</v>
      </c>
      <c r="E58" s="52">
        <f t="shared" si="3"/>
        <v>2.5159122411527045E-3</v>
      </c>
      <c r="F58" s="52">
        <f t="shared" si="3"/>
        <v>2.679664088911377E-3</v>
      </c>
      <c r="G58" s="52">
        <f t="shared" si="3"/>
        <v>2.9993947734778064E-3</v>
      </c>
      <c r="I58"/>
      <c r="J58"/>
      <c r="K58"/>
      <c r="L58"/>
      <c r="M58"/>
      <c r="N58"/>
    </row>
    <row r="59" spans="2:14" ht="14.45" customHeight="1">
      <c r="B59" s="34" t="s">
        <v>26</v>
      </c>
      <c r="C59" s="3" t="s">
        <v>220</v>
      </c>
      <c r="D59" s="52">
        <f t="shared" ref="D59:G59" si="4">D35*D47/SUMPRODUCT(D$31:D$35,D$43:D$47)</f>
        <v>3.2896948202188751E-10</v>
      </c>
      <c r="E59" s="52">
        <f t="shared" si="4"/>
        <v>3.3032331734759926E-10</v>
      </c>
      <c r="F59" s="52">
        <f t="shared" si="4"/>
        <v>3.6913299423471809E-10</v>
      </c>
      <c r="G59" s="52">
        <f t="shared" si="4"/>
        <v>3.7011863312125252E-10</v>
      </c>
      <c r="I59"/>
      <c r="J59"/>
      <c r="K59"/>
      <c r="L59"/>
      <c r="M59"/>
      <c r="N59"/>
    </row>
    <row r="62" spans="2:14" ht="28.9" customHeight="1">
      <c r="B62" s="31" t="s">
        <v>594</v>
      </c>
      <c r="C62" s="4"/>
      <c r="D62" s="4"/>
      <c r="E62" s="4"/>
      <c r="F62" s="4"/>
      <c r="G62" s="4"/>
    </row>
    <row r="63" spans="2:14" ht="14.45" customHeight="1">
      <c r="B63" s="35"/>
    </row>
    <row r="64" spans="2:14" ht="14.45" customHeight="1">
      <c r="B64" s="8" t="s">
        <v>2</v>
      </c>
      <c r="C64" s="8" t="s">
        <v>215</v>
      </c>
      <c r="D64" s="5"/>
      <c r="E64" s="5"/>
      <c r="F64" s="5"/>
      <c r="G64" s="5"/>
    </row>
    <row r="65" spans="2:15" ht="14.45" customHeight="1">
      <c r="B65" s="24"/>
      <c r="C65" s="24"/>
      <c r="D65" s="22" t="str">
        <f>'Input data'!D$5</f>
        <v>2023-24</v>
      </c>
      <c r="E65" s="22" t="str">
        <f>'Input data'!E$5</f>
        <v>2024-25</v>
      </c>
      <c r="F65" s="22" t="str">
        <f>'Input data'!F$5</f>
        <v>2025-26</v>
      </c>
      <c r="G65" s="22" t="str">
        <f>'Input data'!G$5</f>
        <v>2026-27</v>
      </c>
    </row>
    <row r="66" spans="2:15" ht="14.45" customHeight="1">
      <c r="B66" s="23"/>
      <c r="C66" s="23"/>
      <c r="D66" s="7"/>
      <c r="E66" s="7"/>
      <c r="F66" s="7"/>
      <c r="G66" s="7"/>
    </row>
    <row r="67" spans="2:15" ht="14.45" customHeight="1">
      <c r="B67" s="34" t="s">
        <v>0</v>
      </c>
      <c r="C67" s="3" t="s">
        <v>217</v>
      </c>
      <c r="D67" s="53">
        <f>IF(D7=0,0,'Input data'!D$190*D55*'Input data'!D$7/D7)</f>
        <v>3.3261496370276991E-2</v>
      </c>
      <c r="E67" s="53">
        <f>IF(E7=0,0,'Input data'!E$190*E55*'Input data'!E$7/E7)</f>
        <v>3.5357916254839084E-2</v>
      </c>
      <c r="F67" s="53">
        <f>IF(F7=0,0,'Input data'!F$190*F55*'Input data'!F$7/F7)</f>
        <v>3.75042871472668E-2</v>
      </c>
      <c r="G67" s="53">
        <f>IF(G7=0,0,'Input data'!G$190*G55*'Input data'!G$7/G7)</f>
        <v>4.4059096233515394E-2</v>
      </c>
      <c r="I67"/>
      <c r="J67"/>
      <c r="K67"/>
      <c r="L67"/>
      <c r="M67"/>
      <c r="N67"/>
      <c r="O67"/>
    </row>
    <row r="68" spans="2:15" ht="14.45" customHeight="1">
      <c r="B68" s="34" t="s">
        <v>216</v>
      </c>
      <c r="C68" s="3" t="s">
        <v>217</v>
      </c>
      <c r="D68" s="53">
        <f>IF(D8=0,0,'Input data'!D$190*D56*'Input data'!D$7/D8)</f>
        <v>3.0458585303254633E-2</v>
      </c>
      <c r="E68" s="53">
        <f>IF(E8=0,0,'Input data'!E$190*E56*'Input data'!E$7/E8)</f>
        <v>3.2219224261800308E-2</v>
      </c>
      <c r="F68" s="53">
        <f>IF(F8=0,0,'Input data'!F$190*F56*'Input data'!F$7/F8)</f>
        <v>3.4075672905370454E-2</v>
      </c>
      <c r="G68" s="53">
        <f>IF(G8=0,0,'Input data'!G$190*G56*'Input data'!G$7/G8)</f>
        <v>4.0225960307436713E-2</v>
      </c>
      <c r="I68"/>
      <c r="J68"/>
      <c r="K68"/>
      <c r="L68"/>
      <c r="M68"/>
      <c r="N68"/>
      <c r="O68"/>
    </row>
    <row r="69" spans="2:15" ht="14.45" customHeight="1">
      <c r="B69" s="34" t="s">
        <v>218</v>
      </c>
      <c r="C69" s="3" t="s">
        <v>14</v>
      </c>
      <c r="D69" s="53">
        <f>IF(D9=0,0,'Input data'!D$190*D57*'Input data'!D$7/D9)</f>
        <v>9.3422859179546597E-2</v>
      </c>
      <c r="E69" s="53">
        <f>IF(E9=0,0,'Input data'!E$190*E57*'Input data'!E$7/E9)</f>
        <v>9.8653543640295493E-2</v>
      </c>
      <c r="F69" s="53">
        <f>IF(F9=0,0,'Input data'!F$190*F57*'Input data'!F$7/F9)</f>
        <v>0.10412747884022977</v>
      </c>
      <c r="G69" s="53">
        <f>IF(G9=0,0,'Input data'!G$190*G57*'Input data'!G$7/G9)</f>
        <v>0.12337038967554961</v>
      </c>
      <c r="J69"/>
      <c r="K69"/>
      <c r="L69"/>
      <c r="M69"/>
      <c r="N69"/>
      <c r="O69"/>
    </row>
    <row r="70" spans="2:15" ht="14.45" customHeight="1">
      <c r="B70" s="34" t="s">
        <v>219</v>
      </c>
      <c r="C70" s="3" t="s">
        <v>15</v>
      </c>
      <c r="D70" s="53">
        <f>IF(D10=0,0,'Input data'!D$190*D58*'Input data'!D$7/D10)</f>
        <v>6.7988161548929258E-3</v>
      </c>
      <c r="E70" s="53">
        <f>IF(E10=0,0,'Input data'!E$190*E58*'Input data'!E$7/E10)</f>
        <v>7.1026859374761072E-3</v>
      </c>
      <c r="F70" s="53">
        <f>IF(F10=0,0,'Input data'!F$190*F58*'Input data'!F$7/F10)</f>
        <v>7.5078375167306442E-3</v>
      </c>
      <c r="G70" s="53">
        <f>IF(G10=0,0,'Input data'!G$190*G58*'Input data'!G$7/G10)</f>
        <v>8.8593143996088062E-3</v>
      </c>
      <c r="J70"/>
      <c r="K70"/>
      <c r="L70"/>
      <c r="M70"/>
      <c r="N70"/>
      <c r="O70"/>
    </row>
    <row r="71" spans="2:15" ht="14.45" customHeight="1">
      <c r="B71" s="34" t="s">
        <v>26</v>
      </c>
      <c r="C71" s="3" t="s">
        <v>220</v>
      </c>
      <c r="D71" s="53">
        <f>IF(D11=0,0,'Input data'!D$190*D59*'Input data'!D$7/D11)</f>
        <v>6.5283408169356525E-3</v>
      </c>
      <c r="E71" s="53">
        <f>IF(E11=0,0,'Input data'!E$190*E59*'Input data'!E$7/E11)</f>
        <v>6.9341479553544604E-3</v>
      </c>
      <c r="F71" s="53">
        <f>IF(F11=0,0,'Input data'!F$190*F59*'Input data'!F$7/F11)</f>
        <v>7.3029617882599479E-3</v>
      </c>
      <c r="G71" s="53">
        <f>IF(G11=0,0,'Input data'!G$190*G59*'Input data'!G$7/G11)</f>
        <v>8.6931802205729072E-3</v>
      </c>
      <c r="J71"/>
      <c r="K71"/>
      <c r="L71"/>
      <c r="M71"/>
      <c r="N71"/>
      <c r="O71"/>
    </row>
    <row r="74" spans="2:15" ht="28.9" customHeight="1">
      <c r="B74" s="31" t="s">
        <v>595</v>
      </c>
      <c r="C74" s="4"/>
      <c r="D74" s="4"/>
      <c r="E74" s="4"/>
      <c r="F74" s="4"/>
      <c r="G74" s="4"/>
    </row>
    <row r="75" spans="2:15" ht="14.45" customHeight="1">
      <c r="B75" s="35" t="s">
        <v>288</v>
      </c>
    </row>
    <row r="76" spans="2:15" ht="14.45" customHeight="1">
      <c r="B76" s="8" t="s">
        <v>2</v>
      </c>
      <c r="C76" s="8" t="s">
        <v>215</v>
      </c>
      <c r="D76" s="5"/>
      <c r="E76" s="5"/>
      <c r="F76" s="5"/>
      <c r="G76" s="5"/>
    </row>
    <row r="77" spans="2:15" ht="14.45" customHeight="1">
      <c r="B77" s="24"/>
      <c r="C77" s="24"/>
      <c r="D77" s="22" t="str">
        <f>'Input data'!D$5</f>
        <v>2023-24</v>
      </c>
      <c r="E77" s="22" t="str">
        <f>'Input data'!E$5</f>
        <v>2024-25</v>
      </c>
      <c r="F77" s="22" t="str">
        <f>'Input data'!F$5</f>
        <v>2025-26</v>
      </c>
      <c r="G77" s="22" t="str">
        <f>'Input data'!G$5</f>
        <v>2026-27</v>
      </c>
    </row>
    <row r="78" spans="2:15" ht="14.45" customHeight="1">
      <c r="B78" s="23"/>
      <c r="C78" s="23"/>
      <c r="D78" s="7"/>
      <c r="E78" s="7"/>
      <c r="F78" s="7"/>
      <c r="G78" s="7"/>
    </row>
    <row r="79" spans="2:15" ht="14.45" customHeight="1">
      <c r="B79" s="34" t="s">
        <v>226</v>
      </c>
      <c r="C79" s="3" t="s">
        <v>225</v>
      </c>
      <c r="D79" s="53">
        <f>IF('RPM &amp; Discounts'!$B$3='A0.Support'!$B$5,1,SUMPRODUCT(D$67:D$68,D$7:D$8)/SUM(D$7:D$8))</f>
        <v>3.3066849768400436E-2</v>
      </c>
      <c r="E79" s="53">
        <f>IF('RPM &amp; Discounts'!$B$3='A0.Support'!$B$5,1,SUMPRODUCT(E$67:E$68,E$7:E$8)/SUM(E$7:E$8))</f>
        <v>3.5139951533100282E-2</v>
      </c>
      <c r="F79" s="53">
        <f>IF('RPM &amp; Discounts'!$B$3='A0.Support'!$B$5,1,SUMPRODUCT(F$67:F$68,F$7:F$8)/SUM(F$7:F$8))</f>
        <v>3.7266188936024E-2</v>
      </c>
      <c r="G79" s="53">
        <f>IF('RPM &amp; Discounts'!$B$3='A0.Support'!$B$5,1,SUMPRODUCT(G$67:G$68,G$7:G$8)/SUM(G$7:G$8))</f>
        <v>4.3792906238648815E-2</v>
      </c>
      <c r="I79"/>
      <c r="J79"/>
      <c r="K79"/>
      <c r="L79"/>
      <c r="M79"/>
      <c r="N79"/>
    </row>
    <row r="80" spans="2:15" ht="14.45" customHeight="1">
      <c r="B80" s="34" t="s">
        <v>218</v>
      </c>
      <c r="C80" s="3" t="s">
        <v>14</v>
      </c>
      <c r="D80" s="53">
        <f>IF('RPM &amp; Discounts'!$B$3='A0.Support'!$B$5,1,D69)</f>
        <v>9.3422859179546597E-2</v>
      </c>
      <c r="E80" s="53">
        <f>IF('RPM &amp; Discounts'!$B$3='A0.Support'!$B$5,1,E69)</f>
        <v>9.8653543640295493E-2</v>
      </c>
      <c r="F80" s="53">
        <f>IF('RPM &amp; Discounts'!$B$3='A0.Support'!$B$5,1,F69)</f>
        <v>0.10412747884022977</v>
      </c>
      <c r="G80" s="53">
        <f>IF('RPM &amp; Discounts'!$B$3='A0.Support'!$B$5,1,G69)</f>
        <v>0.12337038967554961</v>
      </c>
      <c r="I80"/>
      <c r="J80"/>
      <c r="K80"/>
      <c r="L80"/>
      <c r="M80"/>
      <c r="N80"/>
    </row>
    <row r="81" spans="2:14" ht="14.45" customHeight="1">
      <c r="B81" s="34" t="s">
        <v>219</v>
      </c>
      <c r="C81" s="3" t="s">
        <v>15</v>
      </c>
      <c r="D81" s="53">
        <f>IF('RPM &amp; Discounts'!$B$3='A0.Support'!$B$5,1,D70)</f>
        <v>6.7988161548929258E-3</v>
      </c>
      <c r="E81" s="53">
        <f>IF('RPM &amp; Discounts'!$B$3='A0.Support'!$B$5,1,E70)</f>
        <v>7.1026859374761072E-3</v>
      </c>
      <c r="F81" s="53">
        <f>IF('RPM &amp; Discounts'!$B$3='A0.Support'!$B$5,1,F70)</f>
        <v>7.5078375167306442E-3</v>
      </c>
      <c r="G81" s="53">
        <f>IF('RPM &amp; Discounts'!$B$3='A0.Support'!$B$5,1,G70)</f>
        <v>8.8593143996088062E-3</v>
      </c>
      <c r="I81"/>
      <c r="J81"/>
      <c r="K81"/>
      <c r="L81"/>
      <c r="M81"/>
      <c r="N81"/>
    </row>
    <row r="82" spans="2:14" ht="14.45" customHeight="1">
      <c r="B82" s="34" t="s">
        <v>26</v>
      </c>
      <c r="C82" s="3" t="s">
        <v>220</v>
      </c>
      <c r="D82" s="53">
        <f>IF('RPM &amp; Discounts'!$B$3='A0.Support'!$B$5,1,D71)</f>
        <v>6.5283408169356525E-3</v>
      </c>
      <c r="E82" s="53">
        <f>IF('RPM &amp; Discounts'!$B$3='A0.Support'!$B$5,1,E71)</f>
        <v>6.9341479553544604E-3</v>
      </c>
      <c r="F82" s="53">
        <f>IF('RPM &amp; Discounts'!$B$3='A0.Support'!$B$5,1,F71)</f>
        <v>7.3029617882599479E-3</v>
      </c>
      <c r="G82" s="53">
        <f>IF('RPM &amp; Discounts'!$B$3='A0.Support'!$B$5,1,G71)</f>
        <v>8.6931802205729072E-3</v>
      </c>
      <c r="I82"/>
      <c r="J82"/>
      <c r="K82"/>
      <c r="L82"/>
      <c r="M82"/>
      <c r="N82"/>
    </row>
    <row r="85" spans="2:14" ht="28.9" customHeight="1">
      <c r="B85" s="31" t="s">
        <v>596</v>
      </c>
      <c r="C85" s="4"/>
      <c r="D85" s="4"/>
      <c r="E85" s="4"/>
      <c r="F85" s="4"/>
      <c r="G85" s="4"/>
    </row>
    <row r="86" spans="2:14" ht="14.45" customHeight="1">
      <c r="B86" s="35"/>
    </row>
    <row r="87" spans="2:14" ht="14.45" customHeight="1">
      <c r="B87" s="8" t="s">
        <v>2</v>
      </c>
      <c r="C87" s="8" t="s">
        <v>239</v>
      </c>
      <c r="D87" s="5"/>
      <c r="E87" s="5"/>
      <c r="F87" s="5"/>
      <c r="G87" s="5"/>
    </row>
    <row r="88" spans="2:14" ht="14.45" customHeight="1">
      <c r="B88" s="24"/>
      <c r="C88" s="24"/>
      <c r="D88" s="22" t="str">
        <f>'Input data'!D$5</f>
        <v>2023-24</v>
      </c>
      <c r="E88" s="22" t="str">
        <f>'Input data'!E$5</f>
        <v>2024-25</v>
      </c>
      <c r="F88" s="22" t="str">
        <f>'Input data'!F$5</f>
        <v>2025-26</v>
      </c>
      <c r="G88" s="22" t="str">
        <f>'Input data'!G$5</f>
        <v>2026-27</v>
      </c>
    </row>
    <row r="89" spans="2:14" ht="14.45" customHeight="1">
      <c r="B89" s="23"/>
      <c r="C89" s="23"/>
      <c r="D89" s="7"/>
      <c r="E89" s="7"/>
      <c r="F89" s="7"/>
      <c r="G89" s="7"/>
    </row>
    <row r="90" spans="2:14" ht="14.45" customHeight="1">
      <c r="B90" s="34" t="s">
        <v>226</v>
      </c>
      <c r="C90" s="3" t="s">
        <v>225</v>
      </c>
      <c r="D90" s="53">
        <f t="shared" ref="D90:G90" si="5">D79</f>
        <v>3.3066849768400436E-2</v>
      </c>
      <c r="E90" s="53">
        <f t="shared" si="5"/>
        <v>3.5139951533100282E-2</v>
      </c>
      <c r="F90" s="53">
        <f t="shared" si="5"/>
        <v>3.7266188936024E-2</v>
      </c>
      <c r="G90" s="53">
        <f t="shared" si="5"/>
        <v>4.3792906238648815E-2</v>
      </c>
    </row>
    <row r="91" spans="2:14" ht="14.45" customHeight="1">
      <c r="B91" s="34" t="s">
        <v>218</v>
      </c>
      <c r="C91" s="3" t="s">
        <v>14</v>
      </c>
      <c r="D91" s="53">
        <f t="shared" ref="D91:G93" si="6">D80</f>
        <v>9.3422859179546597E-2</v>
      </c>
      <c r="E91" s="53">
        <f t="shared" si="6"/>
        <v>9.8653543640295493E-2</v>
      </c>
      <c r="F91" s="53">
        <f t="shared" si="6"/>
        <v>0.10412747884022977</v>
      </c>
      <c r="G91" s="53">
        <f t="shared" si="6"/>
        <v>0.12337038967554961</v>
      </c>
    </row>
    <row r="92" spans="2:14" ht="14.45" customHeight="1">
      <c r="B92" s="34" t="s">
        <v>219</v>
      </c>
      <c r="C92" s="3" t="s">
        <v>15</v>
      </c>
      <c r="D92" s="53">
        <f t="shared" si="6"/>
        <v>6.7988161548929258E-3</v>
      </c>
      <c r="E92" s="53">
        <f t="shared" si="6"/>
        <v>7.1026859374761072E-3</v>
      </c>
      <c r="F92" s="53">
        <f t="shared" si="6"/>
        <v>7.5078375167306442E-3</v>
      </c>
      <c r="G92" s="53">
        <f t="shared" si="6"/>
        <v>8.8593143996088062E-3</v>
      </c>
    </row>
    <row r="93" spans="2:14" ht="14.45" customHeight="1">
      <c r="B93" s="34" t="s">
        <v>26</v>
      </c>
      <c r="C93" s="3" t="s">
        <v>220</v>
      </c>
      <c r="D93" s="53">
        <f t="shared" si="6"/>
        <v>6.5283408169356525E-3</v>
      </c>
      <c r="E93" s="53">
        <f t="shared" si="6"/>
        <v>6.9341479553544604E-3</v>
      </c>
      <c r="F93" s="53">
        <f t="shared" si="6"/>
        <v>7.3029617882599479E-3</v>
      </c>
      <c r="G93" s="53">
        <f t="shared" si="6"/>
        <v>8.6931802205729072E-3</v>
      </c>
    </row>
    <row r="94" spans="2:14" ht="14.45" customHeight="1">
      <c r="B94" s="8" t="s">
        <v>2</v>
      </c>
      <c r="C94" s="8" t="s">
        <v>240</v>
      </c>
      <c r="D94" s="5"/>
      <c r="E94" s="5"/>
      <c r="F94" s="5"/>
      <c r="G94" s="5"/>
    </row>
    <row r="95" spans="2:14" ht="14.45" customHeight="1">
      <c r="B95" s="24"/>
      <c r="C95" s="24"/>
      <c r="D95" s="22" t="str">
        <f>'Input data'!D$5</f>
        <v>2023-24</v>
      </c>
      <c r="E95" s="22" t="str">
        <f>'Input data'!E$5</f>
        <v>2024-25</v>
      </c>
      <c r="F95" s="22" t="str">
        <f>'Input data'!F$5</f>
        <v>2025-26</v>
      </c>
      <c r="G95" s="22" t="str">
        <f>'Input data'!G$5</f>
        <v>2026-27</v>
      </c>
    </row>
    <row r="96" spans="2:14" ht="14.45" customHeight="1">
      <c r="B96" s="23"/>
      <c r="C96" s="23"/>
      <c r="D96" s="7"/>
      <c r="E96" s="7"/>
      <c r="F96" s="7"/>
      <c r="G96" s="7"/>
    </row>
    <row r="97" spans="2:7" ht="14.45" customHeight="1">
      <c r="B97" s="34" t="s">
        <v>226</v>
      </c>
      <c r="C97" s="3" t="s">
        <v>225</v>
      </c>
      <c r="D97" s="53">
        <f t="shared" ref="D97:G97" si="7">D79</f>
        <v>3.3066849768400436E-2</v>
      </c>
      <c r="E97" s="53">
        <f t="shared" si="7"/>
        <v>3.5139951533100282E-2</v>
      </c>
      <c r="F97" s="53">
        <f t="shared" si="7"/>
        <v>3.7266188936024E-2</v>
      </c>
      <c r="G97" s="53">
        <f t="shared" si="7"/>
        <v>4.3792906238648815E-2</v>
      </c>
    </row>
    <row r="98" spans="2:7" ht="14.45" customHeight="1">
      <c r="B98" s="34" t="s">
        <v>218</v>
      </c>
      <c r="C98" s="3" t="s">
        <v>14</v>
      </c>
      <c r="D98" s="53">
        <f t="shared" ref="D98:G99" si="8">D80</f>
        <v>9.3422859179546597E-2</v>
      </c>
      <c r="E98" s="53">
        <f t="shared" si="8"/>
        <v>9.8653543640295493E-2</v>
      </c>
      <c r="F98" s="53">
        <f t="shared" si="8"/>
        <v>0.10412747884022977</v>
      </c>
      <c r="G98" s="53">
        <f t="shared" si="8"/>
        <v>0.12337038967554961</v>
      </c>
    </row>
    <row r="99" spans="2:7" ht="14.45" customHeight="1">
      <c r="B99" s="34" t="s">
        <v>219</v>
      </c>
      <c r="C99" s="3" t="s">
        <v>15</v>
      </c>
      <c r="D99" s="53">
        <f t="shared" si="8"/>
        <v>6.7988161548929258E-3</v>
      </c>
      <c r="E99" s="53">
        <f t="shared" si="8"/>
        <v>7.1026859374761072E-3</v>
      </c>
      <c r="F99" s="53">
        <f t="shared" si="8"/>
        <v>7.5078375167306442E-3</v>
      </c>
      <c r="G99" s="53">
        <f t="shared" si="8"/>
        <v>8.8593143996088062E-3</v>
      </c>
    </row>
    <row r="102" spans="2:7" ht="28.9" customHeight="1">
      <c r="B102" s="31" t="s">
        <v>235</v>
      </c>
      <c r="C102" s="4"/>
      <c r="D102" s="4"/>
      <c r="E102" s="4"/>
      <c r="F102" s="4"/>
      <c r="G102" s="4"/>
    </row>
    <row r="103" spans="2:7" ht="14.45" customHeight="1">
      <c r="B103" s="35"/>
    </row>
    <row r="104" spans="2:7" ht="14.45" customHeight="1">
      <c r="B104" s="8" t="s">
        <v>2</v>
      </c>
      <c r="C104" s="8" t="s">
        <v>239</v>
      </c>
      <c r="D104" s="5"/>
      <c r="E104" s="5"/>
      <c r="F104" s="5"/>
      <c r="G104" s="5"/>
    </row>
    <row r="105" spans="2:7" ht="14.45" customHeight="1">
      <c r="B105" s="24"/>
      <c r="C105" s="24"/>
      <c r="D105" s="22" t="str">
        <f>'Input data'!D$5</f>
        <v>2023-24</v>
      </c>
      <c r="E105" s="22" t="str">
        <f>'Input data'!E$5</f>
        <v>2024-25</v>
      </c>
      <c r="F105" s="22" t="str">
        <f>'Input data'!F$5</f>
        <v>2025-26</v>
      </c>
      <c r="G105" s="22" t="str">
        <f>'Input data'!G$5</f>
        <v>2026-27</v>
      </c>
    </row>
    <row r="106" spans="2:7" ht="14.45" customHeight="1">
      <c r="B106" s="23"/>
      <c r="C106" s="23"/>
      <c r="D106" s="7"/>
      <c r="E106" s="7"/>
      <c r="F106" s="7"/>
      <c r="G106" s="7"/>
    </row>
    <row r="107" spans="2:7" ht="14.45" customHeight="1">
      <c r="B107" s="34" t="s">
        <v>226</v>
      </c>
      <c r="C107" s="3" t="s">
        <v>225</v>
      </c>
      <c r="D107" s="50">
        <v>0</v>
      </c>
      <c r="E107" s="50">
        <v>0</v>
      </c>
      <c r="F107" s="50">
        <v>0</v>
      </c>
      <c r="G107" s="50">
        <v>0</v>
      </c>
    </row>
    <row r="108" spans="2:7" ht="14.45" customHeight="1">
      <c r="B108" s="34" t="s">
        <v>218</v>
      </c>
      <c r="C108" s="3" t="s">
        <v>14</v>
      </c>
      <c r="D108" s="50">
        <v>0</v>
      </c>
      <c r="E108" s="50">
        <v>0</v>
      </c>
      <c r="F108" s="50">
        <v>0</v>
      </c>
      <c r="G108" s="50">
        <v>0</v>
      </c>
    </row>
    <row r="109" spans="2:7" ht="14.45" customHeight="1">
      <c r="B109" s="34" t="s">
        <v>219</v>
      </c>
      <c r="C109" s="3" t="s">
        <v>15</v>
      </c>
      <c r="D109" s="50">
        <f>IF('RPM &amp; Discounts'!$B$8='A0.Support'!$B$12,'Input data'!D155,IF('RPM &amp; Discounts'!$B$8='A0.Support'!$B$13,0,"Error"))</f>
        <v>1</v>
      </c>
      <c r="E109" s="50">
        <f>IF('RPM &amp; Discounts'!$B$8='A0.Support'!$B$12,'Input data'!E155,IF('RPM &amp; Discounts'!$B$8='A0.Support'!$B$13,0,"Error"))</f>
        <v>1</v>
      </c>
      <c r="F109" s="50">
        <f>IF('RPM &amp; Discounts'!$B$8='A0.Support'!$B$12,'Input data'!F155,IF('RPM &amp; Discounts'!$B$8='A0.Support'!$B$13,0,"Error"))</f>
        <v>1</v>
      </c>
      <c r="G109" s="50">
        <f>IF('RPM &amp; Discounts'!$B$8='A0.Support'!$B$12,'Input data'!G155,IF('RPM &amp; Discounts'!$B$8='A0.Support'!$B$13,0,"Error"))</f>
        <v>1</v>
      </c>
    </row>
    <row r="110" spans="2:7" ht="14.45" customHeight="1">
      <c r="B110" s="34" t="s">
        <v>26</v>
      </c>
      <c r="C110" s="3" t="s">
        <v>220</v>
      </c>
      <c r="D110" s="50">
        <v>0</v>
      </c>
      <c r="E110" s="50">
        <v>0</v>
      </c>
      <c r="F110" s="50">
        <v>0</v>
      </c>
      <c r="G110" s="50">
        <v>0</v>
      </c>
    </row>
    <row r="111" spans="2:7" ht="14.45" customHeight="1">
      <c r="B111" s="8" t="s">
        <v>2</v>
      </c>
      <c r="C111" s="8" t="s">
        <v>240</v>
      </c>
      <c r="D111" s="5"/>
      <c r="E111" s="5"/>
      <c r="F111" s="5"/>
      <c r="G111" s="5"/>
    </row>
    <row r="112" spans="2:7" ht="14.45" customHeight="1">
      <c r="B112" s="24"/>
      <c r="C112" s="24"/>
      <c r="D112" s="22" t="str">
        <f>'Input data'!D$5</f>
        <v>2023-24</v>
      </c>
      <c r="E112" s="22" t="str">
        <f>'Input data'!E$5</f>
        <v>2024-25</v>
      </c>
      <c r="F112" s="22" t="str">
        <f>'Input data'!F$5</f>
        <v>2025-26</v>
      </c>
      <c r="G112" s="22" t="str">
        <f>'Input data'!G$5</f>
        <v>2026-27</v>
      </c>
    </row>
    <row r="113" spans="2:9" ht="14.45" customHeight="1">
      <c r="B113" s="23"/>
      <c r="C113" s="23"/>
      <c r="D113" s="7"/>
      <c r="E113" s="7"/>
      <c r="F113" s="7"/>
      <c r="G113" s="7"/>
    </row>
    <row r="114" spans="2:9" ht="14.45" customHeight="1">
      <c r="B114" s="34" t="s">
        <v>226</v>
      </c>
      <c r="C114" s="3" t="s">
        <v>225</v>
      </c>
      <c r="D114" s="50">
        <f>IF('RPM &amp; Discounts'!$B$8='A0.Support'!$B$12,1-(1-D107)*(1-'Input data'!D162),IF('RPM &amp; Discounts'!$B$8='A0.Support'!$B$13,0,"Error"))</f>
        <v>4.6000000000000041E-2</v>
      </c>
      <c r="E114" s="50">
        <f>IF('RPM &amp; Discounts'!$B$8='A0.Support'!$B$12,1-(1-E107)*(1-'Input data'!E162),IF('RPM &amp; Discounts'!$B$8='A0.Support'!$B$13,0,"Error"))</f>
        <v>4.6000000000000041E-2</v>
      </c>
      <c r="F114" s="50">
        <f>IF('RPM &amp; Discounts'!$B$8='A0.Support'!$B$12,1-(1-F107)*(1-'Input data'!F162),IF('RPM &amp; Discounts'!$B$8='A0.Support'!$B$13,0,"Error"))</f>
        <v>4.6000000000000041E-2</v>
      </c>
      <c r="G114" s="50">
        <f>IF('RPM &amp; Discounts'!$B$8='A0.Support'!$B$12,1-(1-G107)*(1-'Input data'!G162),IF('RPM &amp; Discounts'!$B$8='A0.Support'!$B$13,0,"Error"))</f>
        <v>4.6000000000000041E-2</v>
      </c>
      <c r="I114"/>
    </row>
    <row r="115" spans="2:9" ht="14.45" customHeight="1">
      <c r="B115" s="34" t="s">
        <v>218</v>
      </c>
      <c r="C115" s="3" t="s">
        <v>14</v>
      </c>
      <c r="D115" s="50">
        <f>IF('RPM &amp; Discounts'!$B$8='A0.Support'!$B$12,1-(1-D108)*(1-'Input data'!D164),IF('RPM &amp; Discounts'!$B$8='A0.Support'!$B$13,0,"Error"))</f>
        <v>0.15300000000000002</v>
      </c>
      <c r="E115" s="50">
        <f>IF('RPM &amp; Discounts'!$B$8='A0.Support'!$B$12,1-(1-E108)*(1-'Input data'!E164),IF('RPM &amp; Discounts'!$B$8='A0.Support'!$B$13,0,"Error"))</f>
        <v>0.13500000000000001</v>
      </c>
      <c r="F115" s="50">
        <f>IF('RPM &amp; Discounts'!$B$8='A0.Support'!$B$12,1-(1-F108)*(1-'Input data'!F164),IF('RPM &amp; Discounts'!$B$8='A0.Support'!$B$13,0,"Error"))</f>
        <v>7.5999999999999956E-2</v>
      </c>
      <c r="G115" s="50">
        <f>IF('RPM &amp; Discounts'!$B$8='A0.Support'!$B$12,1-(1-G108)*(1-'Input data'!G164),IF('RPM &amp; Discounts'!$B$8='A0.Support'!$B$13,0,"Error"))</f>
        <v>7.5999999999999956E-2</v>
      </c>
    </row>
    <row r="116" spans="2:9" ht="14.45" customHeight="1">
      <c r="B116" s="34" t="s">
        <v>219</v>
      </c>
      <c r="C116" s="3" t="s">
        <v>15</v>
      </c>
      <c r="D116" s="50">
        <f>IF('RPM &amp; Discounts'!$B$8='A0.Support'!$B$12,1-(1-D109)*(1-'Input data'!D165),IF('RPM &amp; Discounts'!$B$8='A0.Support'!$B$13,0,"Error"))</f>
        <v>1</v>
      </c>
      <c r="E116" s="50">
        <f>IF('RPM &amp; Discounts'!$B$8='A0.Support'!$B$12,1-(1-E109)*(1-'Input data'!E165),IF('RPM &amp; Discounts'!$B$8='A0.Support'!$B$13,0,"Error"))</f>
        <v>1</v>
      </c>
      <c r="F116" s="50">
        <f>IF('RPM &amp; Discounts'!$B$8='A0.Support'!$B$12,1-(1-F109)*(1-'Input data'!F165),IF('RPM &amp; Discounts'!$B$8='A0.Support'!$B$13,0,"Error"))</f>
        <v>1</v>
      </c>
      <c r="G116" s="50">
        <f>IF('RPM &amp; Discounts'!$B$8='A0.Support'!$B$12,1-(1-G109)*(1-'Input data'!G165),IF('RPM &amp; Discounts'!$B$8='A0.Support'!$B$13,0,"Error"))</f>
        <v>1</v>
      </c>
    </row>
    <row r="119" spans="2:9" ht="28.9" customHeight="1">
      <c r="B119" s="31" t="s">
        <v>597</v>
      </c>
      <c r="C119" s="4"/>
      <c r="D119" s="4"/>
      <c r="E119" s="4"/>
      <c r="F119" s="4"/>
      <c r="G119" s="4"/>
    </row>
    <row r="120" spans="2:9" ht="14.45" customHeight="1">
      <c r="B120" s="35" t="s">
        <v>236</v>
      </c>
    </row>
    <row r="121" spans="2:9" ht="14.45" customHeight="1">
      <c r="B121" s="8" t="s">
        <v>2</v>
      </c>
      <c r="C121" s="8" t="s">
        <v>239</v>
      </c>
      <c r="D121" s="5"/>
      <c r="E121" s="5"/>
      <c r="F121" s="5"/>
      <c r="G121" s="5"/>
    </row>
    <row r="122" spans="2:9" ht="14.45" customHeight="1">
      <c r="B122" s="24"/>
      <c r="C122" s="24"/>
      <c r="D122" s="22" t="str">
        <f>'Input data'!D$5</f>
        <v>2023-24</v>
      </c>
      <c r="E122" s="22" t="str">
        <f>'Input data'!E$5</f>
        <v>2024-25</v>
      </c>
      <c r="F122" s="22" t="str">
        <f>'Input data'!F$5</f>
        <v>2025-26</v>
      </c>
      <c r="G122" s="22" t="str">
        <f>'Input data'!G$5</f>
        <v>2026-27</v>
      </c>
    </row>
    <row r="123" spans="2:9" ht="14.45" customHeight="1">
      <c r="B123" s="23"/>
      <c r="C123" s="23"/>
      <c r="D123" s="7"/>
      <c r="E123" s="7"/>
      <c r="F123" s="7"/>
      <c r="G123" s="7"/>
    </row>
    <row r="124" spans="2:9" ht="14.45" customHeight="1">
      <c r="B124" s="34" t="s">
        <v>226</v>
      </c>
      <c r="C124" s="3" t="s">
        <v>225</v>
      </c>
      <c r="D124" s="53">
        <f t="shared" ref="D124:G124" si="9">D90*(1-D107)</f>
        <v>3.3066849768400436E-2</v>
      </c>
      <c r="E124" s="53">
        <f t="shared" si="9"/>
        <v>3.5139951533100282E-2</v>
      </c>
      <c r="F124" s="53">
        <f t="shared" si="9"/>
        <v>3.7266188936024E-2</v>
      </c>
      <c r="G124" s="53">
        <f t="shared" si="9"/>
        <v>4.3792906238648815E-2</v>
      </c>
    </row>
    <row r="125" spans="2:9" ht="14.45" customHeight="1">
      <c r="B125" s="34" t="s">
        <v>218</v>
      </c>
      <c r="C125" s="3" t="s">
        <v>14</v>
      </c>
      <c r="D125" s="53">
        <f t="shared" ref="D125:G127" si="10">D91*(1-D108)</f>
        <v>9.3422859179546597E-2</v>
      </c>
      <c r="E125" s="53">
        <f t="shared" si="10"/>
        <v>9.8653543640295493E-2</v>
      </c>
      <c r="F125" s="53">
        <f t="shared" si="10"/>
        <v>0.10412747884022977</v>
      </c>
      <c r="G125" s="53">
        <f t="shared" si="10"/>
        <v>0.12337038967554961</v>
      </c>
    </row>
    <row r="126" spans="2:9" ht="14.45" customHeight="1">
      <c r="B126" s="34" t="s">
        <v>219</v>
      </c>
      <c r="C126" s="3" t="s">
        <v>15</v>
      </c>
      <c r="D126" s="53">
        <f t="shared" si="10"/>
        <v>0</v>
      </c>
      <c r="E126" s="53">
        <f t="shared" si="10"/>
        <v>0</v>
      </c>
      <c r="F126" s="53">
        <f t="shared" si="10"/>
        <v>0</v>
      </c>
      <c r="G126" s="53">
        <f t="shared" si="10"/>
        <v>0</v>
      </c>
    </row>
    <row r="127" spans="2:9" ht="14.45" customHeight="1">
      <c r="B127" s="34" t="s">
        <v>26</v>
      </c>
      <c r="C127" s="3" t="s">
        <v>220</v>
      </c>
      <c r="D127" s="53">
        <f t="shared" si="10"/>
        <v>6.5283408169356525E-3</v>
      </c>
      <c r="E127" s="53">
        <f t="shared" si="10"/>
        <v>6.9341479553544604E-3</v>
      </c>
      <c r="F127" s="53">
        <f t="shared" si="10"/>
        <v>7.3029617882599479E-3</v>
      </c>
      <c r="G127" s="53">
        <f t="shared" si="10"/>
        <v>8.6931802205729072E-3</v>
      </c>
    </row>
    <row r="128" spans="2:9" ht="14.45" customHeight="1">
      <c r="B128" s="8" t="s">
        <v>2</v>
      </c>
      <c r="C128" s="8" t="s">
        <v>240</v>
      </c>
      <c r="D128" s="5"/>
      <c r="E128" s="5"/>
      <c r="F128" s="5"/>
      <c r="G128" s="5"/>
    </row>
    <row r="129" spans="2:7" ht="14.45" customHeight="1">
      <c r="B129" s="24"/>
      <c r="C129" s="24"/>
      <c r="D129" s="22" t="str">
        <f>'Input data'!D$5</f>
        <v>2023-24</v>
      </c>
      <c r="E129" s="22" t="str">
        <f>'Input data'!E$5</f>
        <v>2024-25</v>
      </c>
      <c r="F129" s="22" t="str">
        <f>'Input data'!F$5</f>
        <v>2025-26</v>
      </c>
      <c r="G129" s="22" t="str">
        <f>'Input data'!G$5</f>
        <v>2026-27</v>
      </c>
    </row>
    <row r="130" spans="2:7" ht="14.45" customHeight="1">
      <c r="B130" s="23"/>
      <c r="C130" s="23"/>
      <c r="D130" s="7"/>
      <c r="E130" s="7"/>
      <c r="F130" s="7"/>
      <c r="G130" s="7"/>
    </row>
    <row r="131" spans="2:7" ht="14.45" customHeight="1">
      <c r="B131" s="34" t="s">
        <v>226</v>
      </c>
      <c r="C131" s="3" t="s">
        <v>225</v>
      </c>
      <c r="D131" s="53">
        <f t="shared" ref="D131:G133" si="11">D97*(1-D114)</f>
        <v>3.1545774679054013E-2</v>
      </c>
      <c r="E131" s="53">
        <f t="shared" si="11"/>
        <v>3.3523513762577666E-2</v>
      </c>
      <c r="F131" s="53">
        <f t="shared" si="11"/>
        <v>3.5551944244966896E-2</v>
      </c>
      <c r="G131" s="53">
        <f t="shared" si="11"/>
        <v>4.177843255167097E-2</v>
      </c>
    </row>
    <row r="132" spans="2:7" ht="14.45" customHeight="1">
      <c r="B132" s="34" t="s">
        <v>218</v>
      </c>
      <c r="C132" s="3" t="s">
        <v>14</v>
      </c>
      <c r="D132" s="53">
        <f t="shared" si="11"/>
        <v>7.9129161725075961E-2</v>
      </c>
      <c r="E132" s="53">
        <f t="shared" si="11"/>
        <v>8.5335315248855598E-2</v>
      </c>
      <c r="F132" s="53">
        <f t="shared" si="11"/>
        <v>9.6213790448372319E-2</v>
      </c>
      <c r="G132" s="53">
        <f t="shared" si="11"/>
        <v>0.11399424006020785</v>
      </c>
    </row>
    <row r="133" spans="2:7" ht="14.45" customHeight="1">
      <c r="B133" s="34" t="s">
        <v>219</v>
      </c>
      <c r="C133" s="3" t="s">
        <v>15</v>
      </c>
      <c r="D133" s="53">
        <f t="shared" si="11"/>
        <v>0</v>
      </c>
      <c r="E133" s="53">
        <f t="shared" si="11"/>
        <v>0</v>
      </c>
      <c r="F133" s="53">
        <f t="shared" si="11"/>
        <v>0</v>
      </c>
      <c r="G133" s="53">
        <f t="shared" si="11"/>
        <v>0</v>
      </c>
    </row>
    <row r="136" spans="2:7" ht="28.9" customHeight="1">
      <c r="B136" s="31" t="s">
        <v>598</v>
      </c>
      <c r="C136" s="4"/>
      <c r="D136" s="4"/>
      <c r="E136" s="4"/>
      <c r="F136" s="4"/>
      <c r="G136" s="4"/>
    </row>
    <row r="137" spans="2:7" ht="14.45" customHeight="1">
      <c r="B137" s="35"/>
    </row>
    <row r="138" spans="2:7" ht="14.45" customHeight="1">
      <c r="B138" s="8" t="s">
        <v>2</v>
      </c>
      <c r="C138" s="8" t="s">
        <v>239</v>
      </c>
      <c r="D138" s="5"/>
      <c r="E138" s="5"/>
      <c r="F138" s="5"/>
      <c r="G138" s="5"/>
    </row>
    <row r="139" spans="2:7" ht="14.45" customHeight="1">
      <c r="B139" s="24"/>
      <c r="C139" s="24"/>
      <c r="D139" s="22" t="str">
        <f>'Input data'!D$5</f>
        <v>2023-24</v>
      </c>
      <c r="E139" s="22" t="str">
        <f>'Input data'!E$5</f>
        <v>2024-25</v>
      </c>
      <c r="F139" s="22" t="str">
        <f>'Input data'!F$5</f>
        <v>2025-26</v>
      </c>
      <c r="G139" s="22" t="str">
        <f>'Input data'!G$5</f>
        <v>2026-27</v>
      </c>
    </row>
    <row r="140" spans="2:7" ht="14.45" customHeight="1">
      <c r="B140" s="23"/>
      <c r="C140" s="23"/>
      <c r="D140" s="7"/>
      <c r="E140" s="7"/>
      <c r="F140" s="7"/>
      <c r="G140" s="7"/>
    </row>
    <row r="141" spans="2:7" ht="14.45" customHeight="1">
      <c r="B141" s="34" t="s">
        <v>226</v>
      </c>
      <c r="C141" s="3" t="s">
        <v>225</v>
      </c>
      <c r="D141" s="36">
        <f>SUMPRODUCT('Input data'!D20:D24,'Input data'!D115:D119)</f>
        <v>33239541.734246574</v>
      </c>
      <c r="E141" s="36">
        <f>SUMPRODUCT('Input data'!E20:E24,'Input data'!E115:E119)</f>
        <v>34390482.416849315</v>
      </c>
      <c r="F141" s="36">
        <f>SUMPRODUCT('Input data'!F20:F24,'Input data'!F115:F119)</f>
        <v>19765341.445409834</v>
      </c>
      <c r="G141" s="36">
        <f>SUMPRODUCT('Input data'!G20:G24,'Input data'!G115:G119)</f>
        <v>19855027.337698631</v>
      </c>
    </row>
    <row r="142" spans="2:7" ht="14.45" customHeight="1">
      <c r="B142" s="34" t="s">
        <v>218</v>
      </c>
      <c r="C142" s="3" t="s">
        <v>14</v>
      </c>
      <c r="D142" s="36">
        <f>SUMPRODUCT('Input data'!D25:D29,'Input data'!D120:D124)</f>
        <v>200000000</v>
      </c>
      <c r="E142" s="36">
        <f>SUMPRODUCT('Input data'!E25:E29,'Input data'!E120:E124)</f>
        <v>200000000</v>
      </c>
      <c r="F142" s="36">
        <f>SUMPRODUCT('Input data'!F25:F29,'Input data'!F120:F124)</f>
        <v>182415826.68795082</v>
      </c>
      <c r="G142" s="36">
        <f>SUMPRODUCT('Input data'!G25:G29,'Input data'!G120:G124)</f>
        <v>182763409.64134246</v>
      </c>
    </row>
    <row r="143" spans="2:7" ht="14.45" customHeight="1">
      <c r="B143" s="34" t="s">
        <v>219</v>
      </c>
      <c r="C143" s="3" t="s">
        <v>15</v>
      </c>
      <c r="D143" s="36">
        <f>SUMPRODUCT('Input data'!D30:D31,'Input data'!D125:D126)</f>
        <v>8990275.9128767122</v>
      </c>
      <c r="E143" s="36">
        <f>SUMPRODUCT('Input data'!E30:E31,'Input data'!E125:E126)</f>
        <v>7435783.7183561651</v>
      </c>
      <c r="F143" s="36">
        <f>SUMPRODUCT('Input data'!F30:F31,'Input data'!F125:F126)</f>
        <v>7061251.0740085999</v>
      </c>
      <c r="G143" s="36">
        <f>SUMPRODUCT('Input data'!G30:G31,'Input data'!G125:G126)</f>
        <v>7951906.2221917808</v>
      </c>
    </row>
    <row r="144" spans="2:7" ht="14.45" customHeight="1">
      <c r="B144" s="34" t="s">
        <v>26</v>
      </c>
      <c r="C144" s="3" t="s">
        <v>220</v>
      </c>
      <c r="D144" s="36">
        <f>'Input data'!D32</f>
        <v>1</v>
      </c>
      <c r="E144" s="36">
        <f>'Input data'!E32</f>
        <v>1</v>
      </c>
      <c r="F144" s="36">
        <f>'Input data'!F32</f>
        <v>1</v>
      </c>
      <c r="G144" s="36">
        <f>'Input data'!G32</f>
        <v>1</v>
      </c>
    </row>
    <row r="145" spans="2:7" ht="14.45" customHeight="1">
      <c r="B145" s="8" t="s">
        <v>2</v>
      </c>
      <c r="C145" s="8" t="s">
        <v>240</v>
      </c>
      <c r="D145" s="5"/>
      <c r="E145" s="5"/>
      <c r="F145" s="5"/>
      <c r="G145" s="5"/>
    </row>
    <row r="146" spans="2:7" ht="14.45" customHeight="1">
      <c r="B146" s="24"/>
      <c r="C146" s="24"/>
      <c r="D146" s="22" t="str">
        <f>'Input data'!D$5</f>
        <v>2023-24</v>
      </c>
      <c r="E146" s="22" t="str">
        <f>'Input data'!E$5</f>
        <v>2024-25</v>
      </c>
      <c r="F146" s="22" t="str">
        <f>'Input data'!F$5</f>
        <v>2025-26</v>
      </c>
      <c r="G146" s="22" t="str">
        <f>'Input data'!G$5</f>
        <v>2026-27</v>
      </c>
    </row>
    <row r="147" spans="2:7" ht="14.45" customHeight="1">
      <c r="B147" s="23"/>
      <c r="C147" s="23"/>
      <c r="D147" s="7"/>
      <c r="E147" s="7"/>
      <c r="F147" s="7"/>
      <c r="G147" s="7"/>
    </row>
    <row r="148" spans="2:7" ht="14.45" customHeight="1">
      <c r="B148" s="34" t="s">
        <v>226</v>
      </c>
      <c r="C148" s="3" t="s">
        <v>225</v>
      </c>
      <c r="D148" s="36">
        <f>'Input data'!D40*'Input data'!D118+'Input data'!D41*'Input data'!D119</f>
        <v>0</v>
      </c>
      <c r="E148" s="36">
        <f>'Input data'!E40*'Input data'!E118+'Input data'!E41*'Input data'!E119</f>
        <v>0</v>
      </c>
      <c r="F148" s="36">
        <f>'Input data'!F40*'Input data'!F118+'Input data'!F41*'Input data'!F119</f>
        <v>0</v>
      </c>
      <c r="G148" s="36">
        <f>'Input data'!G40*'Input data'!G118+'Input data'!G41*'Input data'!G119</f>
        <v>0</v>
      </c>
    </row>
    <row r="149" spans="2:7" ht="14.45" customHeight="1">
      <c r="B149" s="34" t="s">
        <v>218</v>
      </c>
      <c r="C149" s="3" t="s">
        <v>14</v>
      </c>
      <c r="D149" s="36">
        <f>+'Input data'!D42*'Input data'!D124</f>
        <v>0</v>
      </c>
      <c r="E149" s="36">
        <f>+'Input data'!E42*'Input data'!E124</f>
        <v>0</v>
      </c>
      <c r="F149" s="36">
        <f>+'Input data'!F42*'Input data'!F124</f>
        <v>0</v>
      </c>
      <c r="G149" s="36">
        <f>+'Input data'!G42*'Input data'!G124</f>
        <v>0</v>
      </c>
    </row>
    <row r="150" spans="2:7" ht="14.45" customHeight="1">
      <c r="B150" s="34" t="s">
        <v>219</v>
      </c>
      <c r="C150" s="3" t="s">
        <v>15</v>
      </c>
      <c r="D150" s="36">
        <f>+'Input data'!D43*'Input data'!D126</f>
        <v>0</v>
      </c>
      <c r="E150" s="36">
        <f>+'Input data'!E43*'Input data'!E126</f>
        <v>0</v>
      </c>
      <c r="F150" s="36">
        <f>+'Input data'!F43*'Input data'!F126</f>
        <v>0</v>
      </c>
      <c r="G150" s="36">
        <f>+'Input data'!G43*'Input data'!G126</f>
        <v>0</v>
      </c>
    </row>
    <row r="153" spans="2:7" ht="28.9" customHeight="1">
      <c r="B153" s="31" t="s">
        <v>599</v>
      </c>
      <c r="C153" s="4"/>
      <c r="D153" s="4"/>
      <c r="E153" s="4"/>
      <c r="F153" s="4"/>
      <c r="G153" s="4"/>
    </row>
    <row r="154" spans="2:7" ht="14.45" customHeight="1">
      <c r="B154" s="35"/>
    </row>
    <row r="155" spans="2:7" ht="14.45" customHeight="1">
      <c r="B155" s="8" t="s">
        <v>2</v>
      </c>
      <c r="C155" s="8" t="s">
        <v>239</v>
      </c>
      <c r="D155" s="5"/>
      <c r="E155" s="5"/>
      <c r="F155" s="5"/>
      <c r="G155" s="5"/>
    </row>
    <row r="156" spans="2:7" ht="14.45" customHeight="1">
      <c r="B156" s="24"/>
      <c r="C156" s="24"/>
      <c r="D156" s="22" t="str">
        <f>'Input data'!D$5</f>
        <v>2023-24</v>
      </c>
      <c r="E156" s="22" t="str">
        <f>'Input data'!E$5</f>
        <v>2024-25</v>
      </c>
      <c r="F156" s="22" t="str">
        <f>'Input data'!F$5</f>
        <v>2025-26</v>
      </c>
      <c r="G156" s="22" t="str">
        <f>'Input data'!G$5</f>
        <v>2026-27</v>
      </c>
    </row>
    <row r="157" spans="2:7" ht="14.45" customHeight="1">
      <c r="B157" s="23"/>
      <c r="C157" s="23"/>
      <c r="D157" s="7"/>
      <c r="E157" s="7"/>
      <c r="F157" s="7"/>
      <c r="G157" s="7"/>
    </row>
    <row r="158" spans="2:7" ht="14.45" customHeight="1">
      <c r="B158" s="34" t="s">
        <v>226</v>
      </c>
      <c r="C158" s="3" t="s">
        <v>225</v>
      </c>
      <c r="D158" s="53">
        <f>D124*'Input data'!D$190*'Input data'!D$7/(SUMPRODUCT(D$124:D$127,D$141:D$144)+SUMPRODUCT(D$131:D$133,D$148:D$150))</f>
        <v>3.3169012300779878E-2</v>
      </c>
      <c r="E158" s="53">
        <f>E124*'Input data'!E$190*'Input data'!E$7/(SUMPRODUCT(E$124:E$127,E$141:E$144)+SUMPRODUCT(E$131:E$133,E$148:E$150))</f>
        <v>3.5228583557711593E-2</v>
      </c>
      <c r="F158" s="53">
        <f>F124*'Input data'!F$190*'Input data'!F$7/(SUMPRODUCT(F$124:F$127,F$141:F$144)+SUMPRODUCT(F$131:F$133,F$148:F$150))</f>
        <v>3.7366318116816469E-2</v>
      </c>
      <c r="G158" s="53">
        <f>G124*'Input data'!G$190*'Input data'!G$7/(SUMPRODUCT(G$124:G$127,G$141:G$144)+SUMPRODUCT(G$131:G$133,G$148:G$150))</f>
        <v>4.3924653615128845E-2</v>
      </c>
    </row>
    <row r="159" spans="2:7" ht="14.45" customHeight="1">
      <c r="B159" s="34" t="s">
        <v>218</v>
      </c>
      <c r="C159" s="3" t="s">
        <v>14</v>
      </c>
      <c r="D159" s="53">
        <f>D125*'Input data'!D$190*'Input data'!D$7/(SUMPRODUCT(D$124:D$127,D$141:D$144)+SUMPRODUCT(D$131:D$133,D$148:D$150))</f>
        <v>9.3711496166219307E-2</v>
      </c>
      <c r="E159" s="53">
        <f>E125*'Input data'!E$190*'Input data'!E$7/(SUMPRODUCT(E$124:E$127,E$141:E$144)+SUMPRODUCT(E$131:E$133,E$148:E$150))</f>
        <v>9.8902373332040619E-2</v>
      </c>
      <c r="F159" s="53">
        <f>F125*'Input data'!F$190*'Input data'!F$7/(SUMPRODUCT(F$124:F$127,F$141:F$144)+SUMPRODUCT(F$131:F$133,F$148:F$150))</f>
        <v>0.10440725521264489</v>
      </c>
      <c r="G159" s="53">
        <f>G125*'Input data'!G$190*'Input data'!G$7/(SUMPRODUCT(G$124:G$127,G$141:G$144)+SUMPRODUCT(G$131:G$133,G$148:G$150))</f>
        <v>0.12374153940209431</v>
      </c>
    </row>
    <row r="160" spans="2:7" ht="14.45" customHeight="1">
      <c r="B160" s="34" t="s">
        <v>219</v>
      </c>
      <c r="C160" s="3" t="s">
        <v>15</v>
      </c>
      <c r="D160" s="53">
        <f>D126*'Input data'!D$190*'Input data'!D$7/(SUMPRODUCT(D$124:D$127,D$141:D$144)+SUMPRODUCT(D$131:D$133,D$148:D$150))</f>
        <v>0</v>
      </c>
      <c r="E160" s="53">
        <f>E126*'Input data'!E$190*'Input data'!E$7/(SUMPRODUCT(E$124:E$127,E$141:E$144)+SUMPRODUCT(E$131:E$133,E$148:E$150))</f>
        <v>0</v>
      </c>
      <c r="F160" s="53">
        <f>F126*'Input data'!F$190*'Input data'!F$7/(SUMPRODUCT(F$124:F$127,F$141:F$144)+SUMPRODUCT(F$131:F$133,F$148:F$150))</f>
        <v>0</v>
      </c>
      <c r="G160" s="53">
        <f>G126*'Input data'!G$190*'Input data'!G$7/(SUMPRODUCT(G$124:G$127,G$141:G$144)+SUMPRODUCT(G$131:G$133,G$148:G$150))</f>
        <v>0</v>
      </c>
    </row>
    <row r="161" spans="2:10" ht="14.45" customHeight="1">
      <c r="B161" s="34" t="s">
        <v>26</v>
      </c>
      <c r="C161" s="3" t="s">
        <v>220</v>
      </c>
      <c r="D161" s="53">
        <f>D127*'Input data'!D$190*'Input data'!D$7/(SUMPRODUCT(D$124:D$127,D$141:D$144)+SUMPRODUCT(D$131:D$133,D$148:D$150))</f>
        <v>6.5485106194649381E-3</v>
      </c>
      <c r="E161" s="53">
        <f>E127*'Input data'!E$190*'Input data'!E$7/(SUMPRODUCT(E$124:E$127,E$141:E$144)+SUMPRODUCT(E$131:E$133,E$148:E$150))</f>
        <v>6.9516376656535359E-3</v>
      </c>
      <c r="F161" s="53">
        <f>F127*'Input data'!F$190*'Input data'!F$7/(SUMPRODUCT(F$124:F$127,F$141:F$144)+SUMPRODUCT(F$131:F$133,F$148:F$150))</f>
        <v>7.3225838532495419E-3</v>
      </c>
      <c r="G161" s="53">
        <f>G127*'Input data'!G$190*'Input data'!G$7/(SUMPRODUCT(G$124:G$127,G$141:G$144)+SUMPRODUCT(G$131:G$133,G$148:G$150))</f>
        <v>8.7193329422280367E-3</v>
      </c>
    </row>
    <row r="162" spans="2:10" ht="14.45" customHeight="1">
      <c r="B162" s="8" t="s">
        <v>2</v>
      </c>
      <c r="C162" s="8" t="s">
        <v>240</v>
      </c>
      <c r="D162" s="5"/>
      <c r="E162" s="5"/>
      <c r="F162" s="5"/>
      <c r="G162" s="5"/>
    </row>
    <row r="163" spans="2:10" ht="14.45" customHeight="1">
      <c r="B163" s="24"/>
      <c r="C163" s="24"/>
      <c r="D163" s="22" t="str">
        <f>'Input data'!D$5</f>
        <v>2023-24</v>
      </c>
      <c r="E163" s="22" t="str">
        <f>'Input data'!E$5</f>
        <v>2024-25</v>
      </c>
      <c r="F163" s="22" t="str">
        <f>'Input data'!F$5</f>
        <v>2025-26</v>
      </c>
      <c r="G163" s="22" t="str">
        <f>'Input data'!G$5</f>
        <v>2026-27</v>
      </c>
    </row>
    <row r="164" spans="2:10" ht="14.45" customHeight="1">
      <c r="B164" s="23"/>
      <c r="C164" s="23"/>
      <c r="D164" s="7"/>
      <c r="E164" s="7"/>
      <c r="F164" s="7"/>
      <c r="G164" s="7"/>
    </row>
    <row r="165" spans="2:10" ht="14.45" customHeight="1">
      <c r="B165" s="34" t="s">
        <v>226</v>
      </c>
      <c r="C165" s="3" t="s">
        <v>225</v>
      </c>
      <c r="D165" s="53">
        <f>D131*'Input data'!D$190*'Input data'!D$7/(SUMPRODUCT(D$124:D$127,D$141:D$144)+SUMPRODUCT(D$131:D$133,D$148:D$150))</f>
        <v>3.1643237734943999E-2</v>
      </c>
      <c r="E165" s="53">
        <f>E131*'Input data'!E$190*'Input data'!E$7/(SUMPRODUCT(E$124:E$127,E$141:E$144)+SUMPRODUCT(E$131:E$133,E$148:E$150))</f>
        <v>3.360806871405686E-2</v>
      </c>
      <c r="F165" s="53">
        <f>F131*'Input data'!F$190*'Input data'!F$7/(SUMPRODUCT(F$124:F$127,F$141:F$144)+SUMPRODUCT(F$131:F$133,F$148:F$150))</f>
        <v>3.5647467483442913E-2</v>
      </c>
      <c r="G165" s="53">
        <f>G131*'Input data'!G$190*'Input data'!G$7/(SUMPRODUCT(G$124:G$127,G$141:G$144)+SUMPRODUCT(G$131:G$133,G$148:G$150))</f>
        <v>4.190411954883292E-2</v>
      </c>
    </row>
    <row r="166" spans="2:10" ht="14.45" customHeight="1">
      <c r="B166" s="34" t="s">
        <v>218</v>
      </c>
      <c r="C166" s="3" t="s">
        <v>14</v>
      </c>
      <c r="D166" s="53">
        <f>D132*'Input data'!D$190*'Input data'!D$7/(SUMPRODUCT(D$124:D$127,D$141:D$144)+SUMPRODUCT(D$131:D$133,D$148:D$150))</f>
        <v>7.9373637252787732E-2</v>
      </c>
      <c r="E166" s="53">
        <f>E132*'Input data'!E$190*'Input data'!E$7/(SUMPRODUCT(E$124:E$127,E$141:E$144)+SUMPRODUCT(E$131:E$133,E$148:E$150))</f>
        <v>8.5550552932215126E-2</v>
      </c>
      <c r="F166" s="53">
        <f>F132*'Input data'!F$190*'Input data'!F$7/(SUMPRODUCT(F$124:F$127,F$141:F$144)+SUMPRODUCT(F$131:F$133,F$148:F$150))</f>
        <v>9.647230381648389E-2</v>
      </c>
      <c r="G166" s="53">
        <f>G132*'Input data'!G$190*'Input data'!G$7/(SUMPRODUCT(G$124:G$127,G$141:G$144)+SUMPRODUCT(G$131:G$133,G$148:G$150))</f>
        <v>0.11433718240753514</v>
      </c>
    </row>
    <row r="167" spans="2:10" ht="14.45" customHeight="1">
      <c r="B167" s="34" t="s">
        <v>219</v>
      </c>
      <c r="C167" s="3" t="s">
        <v>15</v>
      </c>
      <c r="D167" s="53">
        <f>D133*'Input data'!D$190*'Input data'!D$7/(SUMPRODUCT(D$124:D$127,D$141:D$144)+SUMPRODUCT(D$131:D$133,D$148:D$150))</f>
        <v>0</v>
      </c>
      <c r="E167" s="53">
        <f>E133*'Input data'!E$190*'Input data'!E$7/(SUMPRODUCT(E$124:E$127,E$141:E$144)+SUMPRODUCT(E$131:E$133,E$148:E$150))</f>
        <v>0</v>
      </c>
      <c r="F167" s="53">
        <f>F133*'Input data'!F$190*'Input data'!F$7/(SUMPRODUCT(F$124:F$127,F$141:F$144)+SUMPRODUCT(F$131:F$133,F$148:F$150))</f>
        <v>0</v>
      </c>
      <c r="G167" s="53">
        <f>G133*'Input data'!G$190*'Input data'!G$7/(SUMPRODUCT(G$124:G$127,G$141:G$144)+SUMPRODUCT(G$131:G$133,G$148:G$150))</f>
        <v>0</v>
      </c>
    </row>
    <row r="170" spans="2:10" ht="28.9" customHeight="1">
      <c r="B170" s="31" t="s">
        <v>600</v>
      </c>
      <c r="C170" s="4"/>
      <c r="D170" s="4"/>
      <c r="E170" s="4"/>
      <c r="F170" s="4"/>
      <c r="G170" s="4"/>
    </row>
    <row r="171" spans="2:10" ht="14.45" customHeight="1">
      <c r="B171" s="35"/>
    </row>
    <row r="172" spans="2:10" ht="14.45" customHeight="1">
      <c r="B172" s="8" t="s">
        <v>2</v>
      </c>
      <c r="C172" s="8" t="s">
        <v>239</v>
      </c>
      <c r="D172" s="5"/>
      <c r="E172" s="5"/>
      <c r="F172" s="5"/>
      <c r="G172" s="5"/>
    </row>
    <row r="173" spans="2:10" ht="14.45" customHeight="1">
      <c r="B173" s="24"/>
      <c r="C173" s="24"/>
      <c r="D173" s="22" t="str">
        <f>'Input data'!D$5</f>
        <v>2023-24</v>
      </c>
      <c r="E173" s="22" t="str">
        <f>'Input data'!E$5</f>
        <v>2024-25</v>
      </c>
      <c r="F173" s="22" t="str">
        <f>'Input data'!F$5</f>
        <v>2025-26</v>
      </c>
      <c r="G173" s="22" t="str">
        <f>'Input data'!G$5</f>
        <v>2026-27</v>
      </c>
    </row>
    <row r="174" spans="2:10" ht="14.45" customHeight="1">
      <c r="B174" s="23"/>
      <c r="C174" s="23"/>
      <c r="D174" s="7"/>
      <c r="E174" s="7"/>
      <c r="F174" s="7"/>
      <c r="G174" s="7"/>
    </row>
    <row r="175" spans="2:10" ht="14.45" customHeight="1">
      <c r="B175" s="34" t="s">
        <v>226</v>
      </c>
      <c r="C175" s="3" t="s">
        <v>225</v>
      </c>
      <c r="D175" s="36">
        <f t="shared" ref="D175:G175" si="12">D141*D158</f>
        <v>1102522.7686555109</v>
      </c>
      <c r="E175" s="36">
        <f t="shared" si="12"/>
        <v>1211527.9834119875</v>
      </c>
      <c r="F175" s="36">
        <f t="shared" si="12"/>
        <v>738558.03613668086</v>
      </c>
      <c r="G175" s="36">
        <f t="shared" si="12"/>
        <v>872125.19832732622</v>
      </c>
    </row>
    <row r="176" spans="2:10" ht="14.45" customHeight="1">
      <c r="B176" s="34" t="s">
        <v>218</v>
      </c>
      <c r="C176" s="3" t="s">
        <v>14</v>
      </c>
      <c r="D176" s="36">
        <f t="shared" ref="D176:G178" si="13">D142*D159</f>
        <v>18742299.23324386</v>
      </c>
      <c r="E176" s="36">
        <f t="shared" si="13"/>
        <v>19780474.666408125</v>
      </c>
      <c r="F176" s="36">
        <f t="shared" si="13"/>
        <v>19045535.771834482</v>
      </c>
      <c r="G176" s="36">
        <f t="shared" si="13"/>
        <v>22615425.655395281</v>
      </c>
      <c r="J176"/>
    </row>
    <row r="177" spans="2:7" ht="14.45" customHeight="1">
      <c r="B177" s="34" t="s">
        <v>219</v>
      </c>
      <c r="C177" s="3" t="s">
        <v>15</v>
      </c>
      <c r="D177" s="36">
        <f t="shared" si="13"/>
        <v>0</v>
      </c>
      <c r="E177" s="36">
        <f t="shared" si="13"/>
        <v>0</v>
      </c>
      <c r="F177" s="36">
        <f t="shared" si="13"/>
        <v>0</v>
      </c>
      <c r="G177" s="36">
        <f t="shared" si="13"/>
        <v>0</v>
      </c>
    </row>
    <row r="178" spans="2:7" ht="14.45" customHeight="1">
      <c r="B178" s="34" t="s">
        <v>26</v>
      </c>
      <c r="C178" s="3" t="s">
        <v>220</v>
      </c>
      <c r="D178" s="36">
        <f t="shared" si="13"/>
        <v>6.5485106194649381E-3</v>
      </c>
      <c r="E178" s="36">
        <f t="shared" si="13"/>
        <v>6.9516376656535359E-3</v>
      </c>
      <c r="F178" s="36">
        <f t="shared" si="13"/>
        <v>7.3225838532495419E-3</v>
      </c>
      <c r="G178" s="36">
        <f t="shared" si="13"/>
        <v>8.7193329422280367E-3</v>
      </c>
    </row>
    <row r="179" spans="2:7" ht="14.45" customHeight="1">
      <c r="B179" s="8" t="s">
        <v>2</v>
      </c>
      <c r="C179" s="8" t="s">
        <v>240</v>
      </c>
      <c r="D179" s="5"/>
      <c r="E179" s="5"/>
      <c r="F179" s="5"/>
      <c r="G179" s="5"/>
    </row>
    <row r="180" spans="2:7" ht="14.45" customHeight="1">
      <c r="B180" s="24"/>
      <c r="C180" s="24"/>
      <c r="D180" s="22" t="str">
        <f>'Input data'!D$5</f>
        <v>2023-24</v>
      </c>
      <c r="E180" s="22" t="str">
        <f>'Input data'!E$5</f>
        <v>2024-25</v>
      </c>
      <c r="F180" s="22" t="str">
        <f>'Input data'!F$5</f>
        <v>2025-26</v>
      </c>
      <c r="G180" s="22" t="str">
        <f>'Input data'!G$5</f>
        <v>2026-27</v>
      </c>
    </row>
    <row r="181" spans="2:7" ht="14.45" customHeight="1">
      <c r="B181" s="23"/>
      <c r="C181" s="23"/>
      <c r="D181" s="7"/>
      <c r="E181" s="7"/>
      <c r="F181" s="7"/>
      <c r="G181" s="7"/>
    </row>
    <row r="182" spans="2:7" ht="14.45" customHeight="1">
      <c r="B182" s="34" t="s">
        <v>226</v>
      </c>
      <c r="C182" s="3" t="s">
        <v>225</v>
      </c>
      <c r="D182" s="36">
        <f t="shared" ref="D182:G184" si="14">D148*D165</f>
        <v>0</v>
      </c>
      <c r="E182" s="36">
        <f t="shared" si="14"/>
        <v>0</v>
      </c>
      <c r="F182" s="36">
        <f t="shared" si="14"/>
        <v>0</v>
      </c>
      <c r="G182" s="36">
        <f t="shared" si="14"/>
        <v>0</v>
      </c>
    </row>
    <row r="183" spans="2:7" ht="14.45" customHeight="1">
      <c r="B183" s="34" t="s">
        <v>218</v>
      </c>
      <c r="C183" s="3" t="s">
        <v>14</v>
      </c>
      <c r="D183" s="36">
        <f t="shared" si="14"/>
        <v>0</v>
      </c>
      <c r="E183" s="36">
        <f t="shared" si="14"/>
        <v>0</v>
      </c>
      <c r="F183" s="36">
        <f t="shared" si="14"/>
        <v>0</v>
      </c>
      <c r="G183" s="36">
        <f t="shared" si="14"/>
        <v>0</v>
      </c>
    </row>
    <row r="184" spans="2:7" ht="14.45" customHeight="1">
      <c r="B184" s="34" t="s">
        <v>219</v>
      </c>
      <c r="C184" s="3" t="s">
        <v>15</v>
      </c>
      <c r="D184" s="36">
        <f t="shared" si="14"/>
        <v>0</v>
      </c>
      <c r="E184" s="36">
        <f t="shared" si="14"/>
        <v>0</v>
      </c>
      <c r="F184" s="36">
        <f t="shared" si="14"/>
        <v>0</v>
      </c>
      <c r="G184" s="36">
        <f t="shared" si="14"/>
        <v>0</v>
      </c>
    </row>
    <row r="185" spans="2:7" ht="14.45" customHeight="1">
      <c r="B185" s="20" t="s">
        <v>32</v>
      </c>
      <c r="C185" s="21"/>
      <c r="D185" s="19">
        <f t="shared" ref="D185:G185" si="15">SUM(D175:D178,D181:D184)</f>
        <v>19844822.008447882</v>
      </c>
      <c r="E185" s="19">
        <f t="shared" si="15"/>
        <v>20992002.656771749</v>
      </c>
      <c r="F185" s="19">
        <f t="shared" si="15"/>
        <v>19784093.815293744</v>
      </c>
      <c r="G185" s="19">
        <f t="shared" si="15"/>
        <v>23487550.862441938</v>
      </c>
    </row>
    <row r="186" spans="2:7" ht="14.45" customHeight="1">
      <c r="D186" s="57">
        <f>'Input data'!D190*'Input data'!D7-D185</f>
        <v>0</v>
      </c>
      <c r="E186" s="57">
        <f>'Input data'!E190*'Input data'!E7-E185</f>
        <v>0</v>
      </c>
      <c r="F186" s="57">
        <f>'Input data'!F190*'Input data'!F7-F185</f>
        <v>0</v>
      </c>
      <c r="G186" s="57">
        <f>'Input data'!G190*'Input data'!G7-G185</f>
        <v>0</v>
      </c>
    </row>
  </sheetData>
  <conditionalFormatting sqref="D186:G186">
    <cfRule type="cellIs" dxfId="46" priority="1" operator="equal">
      <formula>0</formula>
    </cfRule>
    <cfRule type="cellIs" dxfId="45" priority="2" operator="lessThan">
      <formula>0</formula>
    </cfRule>
    <cfRule type="cellIs" dxfId="44" priority="3" operator="greaterThan">
      <formula>0</formula>
    </cfRule>
  </conditionalFormatting>
  <pageMargins left="0.7" right="0.7" top="0.75" bottom="0.75" header="0.3" footer="0.3"/>
  <pageSetup orientation="portrait" r:id="rId1"/>
  <ignoredErrors>
    <ignoredError sqref="D141:G143" formulaRange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79998168889431442"/>
  </sheetPr>
  <dimension ref="B2:G218"/>
  <sheetViews>
    <sheetView showGridLines="0" topLeftCell="A161" zoomScale="130" zoomScaleNormal="13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28.7109375" style="1" bestFit="1" customWidth="1"/>
    <col min="4" max="7" width="11.7109375" style="1" customWidth="1"/>
    <col min="8" max="8" width="8.85546875" style="1"/>
    <col min="9" max="9" width="12" style="1" bestFit="1" customWidth="1"/>
    <col min="10" max="16384" width="8.85546875" style="1"/>
  </cols>
  <sheetData>
    <row r="2" spans="2:7" ht="28.9" customHeight="1">
      <c r="B2" s="31" t="s">
        <v>601</v>
      </c>
      <c r="C2" s="4"/>
      <c r="D2" s="4"/>
      <c r="E2" s="4"/>
      <c r="F2" s="4"/>
      <c r="G2" s="4"/>
    </row>
    <row r="3" spans="2:7" ht="14.45" customHeight="1">
      <c r="B3" s="35" t="s">
        <v>233</v>
      </c>
    </row>
    <row r="4" spans="2:7" ht="14.45" customHeight="1">
      <c r="B4" s="8" t="s">
        <v>2</v>
      </c>
      <c r="C4" s="8" t="s">
        <v>229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9" t="s">
        <v>8</v>
      </c>
      <c r="C7" s="3" t="s">
        <v>9</v>
      </c>
      <c r="D7" s="53">
        <f>'Entry Tariff_1'!D$79</f>
        <v>3.3066849768400436E-2</v>
      </c>
      <c r="E7" s="53">
        <f>'Entry Tariff_1'!E$79</f>
        <v>3.5139951533100282E-2</v>
      </c>
      <c r="F7" s="53">
        <f>'Entry Tariff_1'!F$79</f>
        <v>3.7266188936024E-2</v>
      </c>
      <c r="G7" s="53">
        <f>'Entry Tariff_1'!G$79</f>
        <v>4.3792906238648815E-2</v>
      </c>
    </row>
    <row r="8" spans="2:7" ht="14.45" customHeight="1">
      <c r="B8" s="10"/>
      <c r="C8" s="3" t="s">
        <v>10</v>
      </c>
      <c r="D8" s="53">
        <f>'Entry Tariff_1'!D$79</f>
        <v>3.3066849768400436E-2</v>
      </c>
      <c r="E8" s="53">
        <f>'Entry Tariff_1'!E$79</f>
        <v>3.5139951533100282E-2</v>
      </c>
      <c r="F8" s="53">
        <f>'Entry Tariff_1'!F$79</f>
        <v>3.7266188936024E-2</v>
      </c>
      <c r="G8" s="53">
        <f>'Entry Tariff_1'!G$79</f>
        <v>4.3792906238648815E-2</v>
      </c>
    </row>
    <row r="9" spans="2:7" ht="14.45" customHeight="1">
      <c r="B9" s="10"/>
      <c r="C9" s="3" t="s">
        <v>11</v>
      </c>
      <c r="D9" s="53">
        <f>'Entry Tariff_1'!D$79</f>
        <v>3.3066849768400436E-2</v>
      </c>
      <c r="E9" s="53">
        <f>'Entry Tariff_1'!E$79</f>
        <v>3.5139951533100282E-2</v>
      </c>
      <c r="F9" s="53">
        <f>'Entry Tariff_1'!F$79</f>
        <v>3.7266188936024E-2</v>
      </c>
      <c r="G9" s="53">
        <f>'Entry Tariff_1'!G$79</f>
        <v>4.3792906238648815E-2</v>
      </c>
    </row>
    <row r="10" spans="2:7" ht="14.45" customHeight="1">
      <c r="B10" s="10"/>
      <c r="C10" s="3" t="s">
        <v>12</v>
      </c>
      <c r="D10" s="53">
        <f>'Entry Tariff_1'!D$79</f>
        <v>3.3066849768400436E-2</v>
      </c>
      <c r="E10" s="53">
        <f>'Entry Tariff_1'!E$79</f>
        <v>3.5139951533100282E-2</v>
      </c>
      <c r="F10" s="53">
        <f>'Entry Tariff_1'!F$79</f>
        <v>3.7266188936024E-2</v>
      </c>
      <c r="G10" s="53">
        <f>'Entry Tariff_1'!G$79</f>
        <v>4.3792906238648815E-2</v>
      </c>
    </row>
    <row r="11" spans="2:7" ht="14.45" customHeight="1">
      <c r="B11" s="11"/>
      <c r="C11" s="3" t="s">
        <v>13</v>
      </c>
      <c r="D11" s="53">
        <f>'Entry Tariff_1'!D$79</f>
        <v>3.3066849768400436E-2</v>
      </c>
      <c r="E11" s="53">
        <f>'Entry Tariff_1'!E$79</f>
        <v>3.5139951533100282E-2</v>
      </c>
      <c r="F11" s="53">
        <f>'Entry Tariff_1'!F$79</f>
        <v>3.7266188936024E-2</v>
      </c>
      <c r="G11" s="53">
        <f>'Entry Tariff_1'!G$79</f>
        <v>4.3792906238648815E-2</v>
      </c>
    </row>
    <row r="12" spans="2:7" ht="14.45" customHeight="1">
      <c r="B12" s="9" t="s">
        <v>14</v>
      </c>
      <c r="C12" s="3" t="s">
        <v>9</v>
      </c>
      <c r="D12" s="53">
        <f>'Entry Tariff_1'!D$80</f>
        <v>9.3422859179546597E-2</v>
      </c>
      <c r="E12" s="53">
        <f>'Entry Tariff_1'!E$80</f>
        <v>9.8653543640295493E-2</v>
      </c>
      <c r="F12" s="53">
        <f>'Entry Tariff_1'!F$80</f>
        <v>0.10412747884022977</v>
      </c>
      <c r="G12" s="53">
        <f>'Entry Tariff_1'!G$80</f>
        <v>0.12337038967554961</v>
      </c>
    </row>
    <row r="13" spans="2:7" ht="14.45" customHeight="1">
      <c r="B13" s="12"/>
      <c r="C13" s="3" t="s">
        <v>10</v>
      </c>
      <c r="D13" s="53">
        <f>'Entry Tariff_1'!D$80</f>
        <v>9.3422859179546597E-2</v>
      </c>
      <c r="E13" s="53">
        <f>'Entry Tariff_1'!E$80</f>
        <v>9.8653543640295493E-2</v>
      </c>
      <c r="F13" s="53">
        <f>'Entry Tariff_1'!F$80</f>
        <v>0.10412747884022977</v>
      </c>
      <c r="G13" s="53">
        <f>'Entry Tariff_1'!G$80</f>
        <v>0.12337038967554961</v>
      </c>
    </row>
    <row r="14" spans="2:7" ht="14.45" customHeight="1">
      <c r="B14" s="12"/>
      <c r="C14" s="3" t="s">
        <v>11</v>
      </c>
      <c r="D14" s="53">
        <f>'Entry Tariff_1'!D$80</f>
        <v>9.3422859179546597E-2</v>
      </c>
      <c r="E14" s="53">
        <f>'Entry Tariff_1'!E$80</f>
        <v>9.8653543640295493E-2</v>
      </c>
      <c r="F14" s="53">
        <f>'Entry Tariff_1'!F$80</f>
        <v>0.10412747884022977</v>
      </c>
      <c r="G14" s="53">
        <f>'Entry Tariff_1'!G$80</f>
        <v>0.12337038967554961</v>
      </c>
    </row>
    <row r="15" spans="2:7" ht="14.45" customHeight="1">
      <c r="B15" s="12"/>
      <c r="C15" s="3" t="s">
        <v>12</v>
      </c>
      <c r="D15" s="53">
        <f>'Entry Tariff_1'!D$80</f>
        <v>9.3422859179546597E-2</v>
      </c>
      <c r="E15" s="53">
        <f>'Entry Tariff_1'!E$80</f>
        <v>9.8653543640295493E-2</v>
      </c>
      <c r="F15" s="53">
        <f>'Entry Tariff_1'!F$80</f>
        <v>0.10412747884022977</v>
      </c>
      <c r="G15" s="53">
        <f>'Entry Tariff_1'!G$80</f>
        <v>0.12337038967554961</v>
      </c>
    </row>
    <row r="16" spans="2:7" ht="14.45" customHeight="1">
      <c r="B16" s="13"/>
      <c r="C16" s="3" t="s">
        <v>13</v>
      </c>
      <c r="D16" s="53">
        <f>'Entry Tariff_1'!D$80</f>
        <v>9.3422859179546597E-2</v>
      </c>
      <c r="E16" s="53">
        <f>'Entry Tariff_1'!E$80</f>
        <v>9.8653543640295493E-2</v>
      </c>
      <c r="F16" s="53">
        <f>'Entry Tariff_1'!F$80</f>
        <v>0.10412747884022977</v>
      </c>
      <c r="G16" s="53">
        <f>'Entry Tariff_1'!G$80</f>
        <v>0.12337038967554961</v>
      </c>
    </row>
    <row r="17" spans="2:7" ht="14.45" customHeight="1">
      <c r="B17" s="9" t="s">
        <v>15</v>
      </c>
      <c r="C17" s="3" t="s">
        <v>12</v>
      </c>
      <c r="D17" s="53">
        <f>'Entry Tariff_1'!D$81</f>
        <v>6.7988161548929258E-3</v>
      </c>
      <c r="E17" s="53">
        <f>'Entry Tariff_1'!E$81</f>
        <v>7.1026859374761072E-3</v>
      </c>
      <c r="F17" s="53">
        <f>'Entry Tariff_1'!F$81</f>
        <v>7.5078375167306442E-3</v>
      </c>
      <c r="G17" s="53">
        <f>'Entry Tariff_1'!G$81</f>
        <v>8.8593143996088062E-3</v>
      </c>
    </row>
    <row r="18" spans="2:7" ht="14.45" customHeight="1">
      <c r="B18" s="13"/>
      <c r="C18" s="3" t="s">
        <v>13</v>
      </c>
      <c r="D18" s="53">
        <f>'Entry Tariff_1'!D$81</f>
        <v>6.7988161548929258E-3</v>
      </c>
      <c r="E18" s="53">
        <f>'Entry Tariff_1'!E$81</f>
        <v>7.1026859374761072E-3</v>
      </c>
      <c r="F18" s="53">
        <f>'Entry Tariff_1'!F$81</f>
        <v>7.5078375167306442E-3</v>
      </c>
      <c r="G18" s="53">
        <f>'Entry Tariff_1'!G$81</f>
        <v>8.8593143996088062E-3</v>
      </c>
    </row>
    <row r="19" spans="2:7" ht="14.45" customHeight="1">
      <c r="B19" s="14" t="s">
        <v>26</v>
      </c>
      <c r="C19" s="3" t="s">
        <v>27</v>
      </c>
      <c r="D19" s="53">
        <f>'Entry Tariff_1'!D82</f>
        <v>6.5283408169356525E-3</v>
      </c>
      <c r="E19" s="53">
        <f>'Entry Tariff_1'!E82</f>
        <v>6.9341479553544604E-3</v>
      </c>
      <c r="F19" s="53">
        <f>'Entry Tariff_1'!F82</f>
        <v>7.3029617882599479E-3</v>
      </c>
      <c r="G19" s="53">
        <f>'Entry Tariff_1'!G82</f>
        <v>8.6931802205729072E-3</v>
      </c>
    </row>
    <row r="20" spans="2:7" ht="14.45" customHeight="1">
      <c r="B20" s="8" t="s">
        <v>2</v>
      </c>
      <c r="C20" s="8" t="s">
        <v>230</v>
      </c>
      <c r="D20" s="5"/>
      <c r="E20" s="5"/>
      <c r="F20" s="5"/>
      <c r="G20" s="5"/>
    </row>
    <row r="21" spans="2:7" ht="14.45" customHeight="1">
      <c r="B21" s="24"/>
      <c r="C21" s="24"/>
      <c r="D21" s="22" t="str">
        <f>'Input data'!D$5</f>
        <v>2023-24</v>
      </c>
      <c r="E21" s="22" t="str">
        <f>'Input data'!E$5</f>
        <v>2024-25</v>
      </c>
      <c r="F21" s="22" t="str">
        <f>'Input data'!F$5</f>
        <v>2025-26</v>
      </c>
      <c r="G21" s="22" t="str">
        <f>'Input data'!G$5</f>
        <v>2026-27</v>
      </c>
    </row>
    <row r="22" spans="2:7" ht="14.45" customHeight="1">
      <c r="B22" s="23"/>
      <c r="C22" s="23"/>
      <c r="D22" s="7"/>
      <c r="E22" s="7"/>
      <c r="F22" s="7"/>
      <c r="G22" s="7"/>
    </row>
    <row r="23" spans="2:7" ht="14.45" customHeight="1">
      <c r="B23" s="9" t="s">
        <v>8</v>
      </c>
      <c r="C23" s="3" t="s">
        <v>12</v>
      </c>
      <c r="D23" s="53">
        <f>'Entry Tariff_1'!D$79</f>
        <v>3.3066849768400436E-2</v>
      </c>
      <c r="E23" s="53">
        <f>'Entry Tariff_1'!E$79</f>
        <v>3.5139951533100282E-2</v>
      </c>
      <c r="F23" s="53">
        <f>'Entry Tariff_1'!F$79</f>
        <v>3.7266188936024E-2</v>
      </c>
      <c r="G23" s="53">
        <f>'Entry Tariff_1'!G$79</f>
        <v>4.3792906238648815E-2</v>
      </c>
    </row>
    <row r="24" spans="2:7" ht="14.45" customHeight="1">
      <c r="B24" s="11"/>
      <c r="C24" s="3" t="s">
        <v>13</v>
      </c>
      <c r="D24" s="53">
        <f>'Entry Tariff_1'!D$79</f>
        <v>3.3066849768400436E-2</v>
      </c>
      <c r="E24" s="53">
        <f>'Entry Tariff_1'!E$79</f>
        <v>3.5139951533100282E-2</v>
      </c>
      <c r="F24" s="53">
        <f>'Entry Tariff_1'!F$79</f>
        <v>3.7266188936024E-2</v>
      </c>
      <c r="G24" s="53">
        <f>'Entry Tariff_1'!G$79</f>
        <v>4.3792906238648815E-2</v>
      </c>
    </row>
    <row r="25" spans="2:7" ht="14.45" customHeight="1">
      <c r="B25" s="14" t="s">
        <v>14</v>
      </c>
      <c r="C25" s="3" t="s">
        <v>13</v>
      </c>
      <c r="D25" s="53">
        <f>'Entry Tariff_1'!D$80</f>
        <v>9.3422859179546597E-2</v>
      </c>
      <c r="E25" s="53">
        <f>'Entry Tariff_1'!E$80</f>
        <v>9.8653543640295493E-2</v>
      </c>
      <c r="F25" s="53">
        <f>'Entry Tariff_1'!F$80</f>
        <v>0.10412747884022977</v>
      </c>
      <c r="G25" s="53">
        <f>'Entry Tariff_1'!G$80</f>
        <v>0.12337038967554961</v>
      </c>
    </row>
    <row r="26" spans="2:7" ht="14.45" customHeight="1">
      <c r="B26" s="14" t="s">
        <v>15</v>
      </c>
      <c r="C26" s="3" t="s">
        <v>13</v>
      </c>
      <c r="D26" s="53">
        <f>'Entry Tariff_1'!D$81</f>
        <v>6.7988161548929258E-3</v>
      </c>
      <c r="E26" s="53">
        <f>'Entry Tariff_1'!E$81</f>
        <v>7.1026859374761072E-3</v>
      </c>
      <c r="F26" s="53">
        <f>'Entry Tariff_1'!F$81</f>
        <v>7.5078375167306442E-3</v>
      </c>
      <c r="G26" s="53">
        <f>'Entry Tariff_1'!G$81</f>
        <v>8.8593143996088062E-3</v>
      </c>
    </row>
    <row r="29" spans="2:7" ht="28.9" customHeight="1">
      <c r="B29" s="31" t="s">
        <v>231</v>
      </c>
      <c r="C29" s="4"/>
      <c r="D29" s="4"/>
      <c r="E29" s="4"/>
      <c r="F29" s="4"/>
      <c r="G29" s="4"/>
    </row>
    <row r="30" spans="2:7" ht="14.45" customHeight="1">
      <c r="B30" s="35"/>
    </row>
    <row r="31" spans="2:7" ht="14.45" customHeight="1">
      <c r="B31" s="8" t="s">
        <v>2</v>
      </c>
      <c r="C31" s="8" t="s">
        <v>229</v>
      </c>
      <c r="D31" s="5"/>
      <c r="E31" s="5"/>
      <c r="F31" s="5"/>
      <c r="G31" s="5"/>
    </row>
    <row r="32" spans="2:7" ht="14.45" customHeight="1">
      <c r="B32" s="24"/>
      <c r="C32" s="24"/>
      <c r="D32" s="22" t="str">
        <f>'Input data'!D$5</f>
        <v>2023-24</v>
      </c>
      <c r="E32" s="22" t="str">
        <f>'Input data'!E$5</f>
        <v>2024-25</v>
      </c>
      <c r="F32" s="22" t="str">
        <f>'Input data'!F$5</f>
        <v>2025-26</v>
      </c>
      <c r="G32" s="22" t="str">
        <f>'Input data'!G$5</f>
        <v>2026-27</v>
      </c>
    </row>
    <row r="33" spans="2:7" ht="14.45" customHeight="1">
      <c r="B33" s="23"/>
      <c r="C33" s="23"/>
      <c r="D33" s="7"/>
      <c r="E33" s="7"/>
      <c r="F33" s="7"/>
      <c r="G33" s="7"/>
    </row>
    <row r="34" spans="2:7" ht="14.45" customHeight="1">
      <c r="B34" s="9" t="s">
        <v>8</v>
      </c>
      <c r="C34" s="3" t="s">
        <v>9</v>
      </c>
      <c r="D34" s="54">
        <f>'Input data'!D115</f>
        <v>1</v>
      </c>
      <c r="E34" s="54">
        <f>'Input data'!E115</f>
        <v>1</v>
      </c>
      <c r="F34" s="54">
        <f>'Input data'!F115</f>
        <v>1</v>
      </c>
      <c r="G34" s="54">
        <f>'Input data'!G115</f>
        <v>1</v>
      </c>
    </row>
    <row r="35" spans="2:7" ht="14.45" customHeight="1">
      <c r="B35" s="10"/>
      <c r="C35" s="3" t="s">
        <v>10</v>
      </c>
      <c r="D35" s="54">
        <f>'Input data'!D116</f>
        <v>1.3</v>
      </c>
      <c r="E35" s="54">
        <f>'Input data'!E116</f>
        <v>1.18</v>
      </c>
      <c r="F35" s="54">
        <f>'Input data'!F116</f>
        <v>1.18</v>
      </c>
      <c r="G35" s="54">
        <f>'Input data'!G116</f>
        <v>1.18</v>
      </c>
    </row>
    <row r="36" spans="2:7" ht="14.45" customHeight="1">
      <c r="B36" s="10"/>
      <c r="C36" s="3" t="s">
        <v>11</v>
      </c>
      <c r="D36" s="54">
        <f>'Input data'!D117</f>
        <v>1.5</v>
      </c>
      <c r="E36" s="54">
        <f>'Input data'!E117</f>
        <v>1.35</v>
      </c>
      <c r="F36" s="54">
        <f>'Input data'!F117</f>
        <v>1.35</v>
      </c>
      <c r="G36" s="54">
        <f>'Input data'!G117</f>
        <v>1.35</v>
      </c>
    </row>
    <row r="37" spans="2:7" ht="14.45" customHeight="1">
      <c r="B37" s="10"/>
      <c r="C37" s="3" t="s">
        <v>12</v>
      </c>
      <c r="D37" s="54">
        <f>'Input data'!D118</f>
        <v>2</v>
      </c>
      <c r="E37" s="54">
        <f>'Input data'!E118</f>
        <v>1.94</v>
      </c>
      <c r="F37" s="54">
        <f>'Input data'!F118</f>
        <v>1.94</v>
      </c>
      <c r="G37" s="54">
        <f>'Input data'!G118</f>
        <v>1.94</v>
      </c>
    </row>
    <row r="38" spans="2:7" ht="14.45" customHeight="1">
      <c r="B38" s="11"/>
      <c r="C38" s="3" t="s">
        <v>13</v>
      </c>
      <c r="D38" s="54">
        <f>'Input data'!D119</f>
        <v>2.2000000000000002</v>
      </c>
      <c r="E38" s="54">
        <f>'Input data'!E119</f>
        <v>2.13</v>
      </c>
      <c r="F38" s="54">
        <f>'Input data'!F119</f>
        <v>2.13</v>
      </c>
      <c r="G38" s="54">
        <f>'Input data'!G119</f>
        <v>2.13</v>
      </c>
    </row>
    <row r="39" spans="2:7" ht="14.45" customHeight="1">
      <c r="B39" s="9" t="s">
        <v>14</v>
      </c>
      <c r="C39" s="3" t="s">
        <v>9</v>
      </c>
      <c r="D39" s="54">
        <f>'Input data'!D120</f>
        <v>1</v>
      </c>
      <c r="E39" s="54">
        <f>'Input data'!E120</f>
        <v>1</v>
      </c>
      <c r="F39" s="54">
        <f>'Input data'!F120</f>
        <v>1</v>
      </c>
      <c r="G39" s="54">
        <f>'Input data'!G120</f>
        <v>1</v>
      </c>
    </row>
    <row r="40" spans="2:7" ht="14.45" customHeight="1">
      <c r="B40" s="12"/>
      <c r="C40" s="3" t="s">
        <v>10</v>
      </c>
      <c r="D40" s="54">
        <f>'Input data'!D121</f>
        <v>1.3</v>
      </c>
      <c r="E40" s="54">
        <f>'Input data'!E121</f>
        <v>1.18</v>
      </c>
      <c r="F40" s="54">
        <f>'Input data'!F121</f>
        <v>1.18</v>
      </c>
      <c r="G40" s="54">
        <f>'Input data'!G121</f>
        <v>1.18</v>
      </c>
    </row>
    <row r="41" spans="2:7" ht="14.45" customHeight="1">
      <c r="B41" s="12"/>
      <c r="C41" s="3" t="s">
        <v>11</v>
      </c>
      <c r="D41" s="54">
        <f>'Input data'!D122</f>
        <v>1.5</v>
      </c>
      <c r="E41" s="54">
        <f>'Input data'!E122</f>
        <v>1.35</v>
      </c>
      <c r="F41" s="54">
        <f>'Input data'!F122</f>
        <v>1.35</v>
      </c>
      <c r="G41" s="54">
        <f>'Input data'!G122</f>
        <v>1.35</v>
      </c>
    </row>
    <row r="42" spans="2:7" ht="14.45" customHeight="1">
      <c r="B42" s="12"/>
      <c r="C42" s="3" t="s">
        <v>12</v>
      </c>
      <c r="D42" s="54">
        <f>'Input data'!D123</f>
        <v>2</v>
      </c>
      <c r="E42" s="54">
        <f>'Input data'!E123</f>
        <v>1.94</v>
      </c>
      <c r="F42" s="54">
        <f>'Input data'!F123</f>
        <v>1.94</v>
      </c>
      <c r="G42" s="54">
        <f>'Input data'!G123</f>
        <v>1.94</v>
      </c>
    </row>
    <row r="43" spans="2:7" ht="14.45" customHeight="1">
      <c r="B43" s="13"/>
      <c r="C43" s="3" t="s">
        <v>13</v>
      </c>
      <c r="D43" s="54">
        <f>'Input data'!D124</f>
        <v>2.2000000000000002</v>
      </c>
      <c r="E43" s="54">
        <f>'Input data'!E124</f>
        <v>2.13</v>
      </c>
      <c r="F43" s="54">
        <f>'Input data'!F124</f>
        <v>2.13</v>
      </c>
      <c r="G43" s="54">
        <f>'Input data'!G124</f>
        <v>2.13</v>
      </c>
    </row>
    <row r="44" spans="2:7" ht="14.45" customHeight="1">
      <c r="B44" s="9" t="s">
        <v>15</v>
      </c>
      <c r="C44" s="3" t="s">
        <v>12</v>
      </c>
      <c r="D44" s="54">
        <f>'Input data'!D125</f>
        <v>1</v>
      </c>
      <c r="E44" s="54">
        <f>'Input data'!E125</f>
        <v>1</v>
      </c>
      <c r="F44" s="54">
        <f>'Input data'!F125</f>
        <v>1</v>
      </c>
      <c r="G44" s="54">
        <f>'Input data'!G125</f>
        <v>1</v>
      </c>
    </row>
    <row r="45" spans="2:7" ht="14.45" customHeight="1">
      <c r="B45" s="13"/>
      <c r="C45" s="3" t="s">
        <v>13</v>
      </c>
      <c r="D45" s="54">
        <f>'Input data'!D126</f>
        <v>1.1000000000000001</v>
      </c>
      <c r="E45" s="54">
        <f>'Input data'!E126</f>
        <v>1.1000000000000001</v>
      </c>
      <c r="F45" s="54">
        <f>'Input data'!F126</f>
        <v>1.1000000000000001</v>
      </c>
      <c r="G45" s="54">
        <f>'Input data'!G126</f>
        <v>1.1000000000000001</v>
      </c>
    </row>
    <row r="46" spans="2:7" ht="14.45" customHeight="1">
      <c r="B46" s="14" t="s">
        <v>26</v>
      </c>
      <c r="C46" s="3" t="s">
        <v>27</v>
      </c>
      <c r="D46" s="54">
        <f>'Input data'!D127</f>
        <v>1</v>
      </c>
      <c r="E46" s="54">
        <f>'Input data'!E127</f>
        <v>1</v>
      </c>
      <c r="F46" s="54">
        <f>'Input data'!F127</f>
        <v>1</v>
      </c>
      <c r="G46" s="54">
        <f>'Input data'!G127</f>
        <v>1</v>
      </c>
    </row>
    <row r="47" spans="2:7" ht="14.45" customHeight="1">
      <c r="B47" s="8" t="s">
        <v>2</v>
      </c>
      <c r="C47" s="8" t="s">
        <v>230</v>
      </c>
      <c r="D47" s="5"/>
      <c r="E47" s="5"/>
      <c r="F47" s="5"/>
      <c r="G47" s="5"/>
    </row>
    <row r="48" spans="2:7" ht="14.45" customHeight="1">
      <c r="B48" s="24"/>
      <c r="C48" s="24"/>
      <c r="D48" s="22" t="str">
        <f>'Input data'!D$5</f>
        <v>2023-24</v>
      </c>
      <c r="E48" s="22" t="str">
        <f>'Input data'!E$5</f>
        <v>2024-25</v>
      </c>
      <c r="F48" s="22" t="str">
        <f>'Input data'!F$5</f>
        <v>2025-26</v>
      </c>
      <c r="G48" s="22" t="str">
        <f>'Input data'!G$5</f>
        <v>2026-27</v>
      </c>
    </row>
    <row r="49" spans="2:7" ht="14.45" customHeight="1">
      <c r="B49" s="23"/>
      <c r="C49" s="23"/>
      <c r="D49" s="7"/>
      <c r="E49" s="7"/>
      <c r="F49" s="7"/>
      <c r="G49" s="7"/>
    </row>
    <row r="50" spans="2:7" ht="14.45" customHeight="1">
      <c r="B50" s="9" t="s">
        <v>8</v>
      </c>
      <c r="C50" s="3" t="s">
        <v>12</v>
      </c>
      <c r="D50" s="54">
        <f>'Input data'!D118</f>
        <v>2</v>
      </c>
      <c r="E50" s="54">
        <f>'Input data'!E118</f>
        <v>1.94</v>
      </c>
      <c r="F50" s="54">
        <f>'Input data'!F118</f>
        <v>1.94</v>
      </c>
      <c r="G50" s="54">
        <f>'Input data'!G118</f>
        <v>1.94</v>
      </c>
    </row>
    <row r="51" spans="2:7" ht="14.45" customHeight="1">
      <c r="B51" s="11"/>
      <c r="C51" s="3" t="s">
        <v>13</v>
      </c>
      <c r="D51" s="54">
        <f>'Input data'!D119</f>
        <v>2.2000000000000002</v>
      </c>
      <c r="E51" s="54">
        <f>'Input data'!E119</f>
        <v>2.13</v>
      </c>
      <c r="F51" s="54">
        <f>'Input data'!F119</f>
        <v>2.13</v>
      </c>
      <c r="G51" s="54">
        <f>'Input data'!G119</f>
        <v>2.13</v>
      </c>
    </row>
    <row r="52" spans="2:7" ht="14.45" customHeight="1">
      <c r="B52" s="14" t="s">
        <v>14</v>
      </c>
      <c r="C52" s="3" t="s">
        <v>13</v>
      </c>
      <c r="D52" s="54">
        <f>'Input data'!D124</f>
        <v>2.2000000000000002</v>
      </c>
      <c r="E52" s="54">
        <f>'Input data'!E124</f>
        <v>2.13</v>
      </c>
      <c r="F52" s="54">
        <f>'Input data'!F124</f>
        <v>2.13</v>
      </c>
      <c r="G52" s="54">
        <f>'Input data'!G124</f>
        <v>2.13</v>
      </c>
    </row>
    <row r="53" spans="2:7" ht="14.45" customHeight="1">
      <c r="B53" s="14" t="s">
        <v>15</v>
      </c>
      <c r="C53" s="3" t="s">
        <v>13</v>
      </c>
      <c r="D53" s="54">
        <f>'Input data'!D126</f>
        <v>1.1000000000000001</v>
      </c>
      <c r="E53" s="54">
        <f>'Input data'!E126</f>
        <v>1.1000000000000001</v>
      </c>
      <c r="F53" s="54">
        <f>'Input data'!F126</f>
        <v>1.1000000000000001</v>
      </c>
      <c r="G53" s="54">
        <f>'Input data'!G126</f>
        <v>1.1000000000000001</v>
      </c>
    </row>
    <row r="56" spans="2:7" ht="28.9" customHeight="1">
      <c r="B56" s="31" t="s">
        <v>232</v>
      </c>
      <c r="C56" s="4"/>
      <c r="D56" s="4"/>
      <c r="E56" s="4"/>
      <c r="F56" s="4"/>
      <c r="G56" s="4"/>
    </row>
    <row r="57" spans="2:7" ht="14.45" customHeight="1">
      <c r="B57" s="35"/>
    </row>
    <row r="58" spans="2:7" ht="14.45" customHeight="1">
      <c r="B58" s="8" t="s">
        <v>2</v>
      </c>
      <c r="C58" s="8" t="s">
        <v>229</v>
      </c>
      <c r="D58" s="5"/>
      <c r="E58" s="5"/>
      <c r="F58" s="5"/>
      <c r="G58" s="5"/>
    </row>
    <row r="59" spans="2:7" ht="14.45" customHeight="1">
      <c r="B59" s="24"/>
      <c r="C59" s="24"/>
      <c r="D59" s="22" t="str">
        <f>'Input data'!D$5</f>
        <v>2023-24</v>
      </c>
      <c r="E59" s="22" t="str">
        <f>'Input data'!E$5</f>
        <v>2024-25</v>
      </c>
      <c r="F59" s="22" t="str">
        <f>'Input data'!F$5</f>
        <v>2025-26</v>
      </c>
      <c r="G59" s="22" t="str">
        <f>'Input data'!G$5</f>
        <v>2026-27</v>
      </c>
    </row>
    <row r="60" spans="2:7" ht="14.45" customHeight="1">
      <c r="B60" s="23"/>
      <c r="C60" s="23"/>
      <c r="D60" s="7"/>
      <c r="E60" s="7"/>
      <c r="F60" s="7"/>
      <c r="G60" s="7"/>
    </row>
    <row r="61" spans="2:7" ht="14.45" customHeight="1">
      <c r="B61" s="9" t="s">
        <v>8</v>
      </c>
      <c r="C61" s="3" t="s">
        <v>9</v>
      </c>
      <c r="D61" s="50">
        <f>'Entry Tariff_1'!D$107</f>
        <v>0</v>
      </c>
      <c r="E61" s="50">
        <f>'Entry Tariff_1'!E$107</f>
        <v>0</v>
      </c>
      <c r="F61" s="50">
        <f>'Entry Tariff_1'!F$107</f>
        <v>0</v>
      </c>
      <c r="G61" s="50">
        <f>'Entry Tariff_1'!G$107</f>
        <v>0</v>
      </c>
    </row>
    <row r="62" spans="2:7" ht="14.45" customHeight="1">
      <c r="B62" s="10"/>
      <c r="C62" s="3" t="s">
        <v>10</v>
      </c>
      <c r="D62" s="50">
        <f>'Entry Tariff_1'!D$107</f>
        <v>0</v>
      </c>
      <c r="E62" s="50">
        <f>'Entry Tariff_1'!E$107</f>
        <v>0</v>
      </c>
      <c r="F62" s="50">
        <f>'Entry Tariff_1'!F$107</f>
        <v>0</v>
      </c>
      <c r="G62" s="50">
        <f>'Entry Tariff_1'!G$107</f>
        <v>0</v>
      </c>
    </row>
    <row r="63" spans="2:7" ht="14.45" customHeight="1">
      <c r="B63" s="10"/>
      <c r="C63" s="3" t="s">
        <v>11</v>
      </c>
      <c r="D63" s="50">
        <f>'Entry Tariff_1'!D$107</f>
        <v>0</v>
      </c>
      <c r="E63" s="50">
        <f>'Entry Tariff_1'!E$107</f>
        <v>0</v>
      </c>
      <c r="F63" s="50">
        <f>'Entry Tariff_1'!F$107</f>
        <v>0</v>
      </c>
      <c r="G63" s="50">
        <f>'Entry Tariff_1'!G$107</f>
        <v>0</v>
      </c>
    </row>
    <row r="64" spans="2:7" ht="14.45" customHeight="1">
      <c r="B64" s="10"/>
      <c r="C64" s="3" t="s">
        <v>12</v>
      </c>
      <c r="D64" s="50">
        <f>'Entry Tariff_1'!D$107</f>
        <v>0</v>
      </c>
      <c r="E64" s="50">
        <f>'Entry Tariff_1'!E$107</f>
        <v>0</v>
      </c>
      <c r="F64" s="50">
        <f>'Entry Tariff_1'!F$107</f>
        <v>0</v>
      </c>
      <c r="G64" s="50">
        <f>'Entry Tariff_1'!G$107</f>
        <v>0</v>
      </c>
    </row>
    <row r="65" spans="2:7" ht="14.45" customHeight="1">
      <c r="B65" s="11"/>
      <c r="C65" s="3" t="s">
        <v>13</v>
      </c>
      <c r="D65" s="50">
        <f>'Entry Tariff_1'!D$107</f>
        <v>0</v>
      </c>
      <c r="E65" s="50">
        <f>'Entry Tariff_1'!E$107</f>
        <v>0</v>
      </c>
      <c r="F65" s="50">
        <f>'Entry Tariff_1'!F$107</f>
        <v>0</v>
      </c>
      <c r="G65" s="50">
        <f>'Entry Tariff_1'!G$107</f>
        <v>0</v>
      </c>
    </row>
    <row r="66" spans="2:7" ht="14.45" customHeight="1">
      <c r="B66" s="9" t="s">
        <v>14</v>
      </c>
      <c r="C66" s="3" t="s">
        <v>9</v>
      </c>
      <c r="D66" s="50">
        <f>'Entry Tariff_1'!D$108</f>
        <v>0</v>
      </c>
      <c r="E66" s="50">
        <f>'Entry Tariff_1'!E$108</f>
        <v>0</v>
      </c>
      <c r="F66" s="50">
        <f>'Entry Tariff_1'!F$108</f>
        <v>0</v>
      </c>
      <c r="G66" s="50">
        <f>'Entry Tariff_1'!G$108</f>
        <v>0</v>
      </c>
    </row>
    <row r="67" spans="2:7" ht="14.45" customHeight="1">
      <c r="B67" s="12"/>
      <c r="C67" s="3" t="s">
        <v>10</v>
      </c>
      <c r="D67" s="50">
        <f>'Entry Tariff_1'!D$108</f>
        <v>0</v>
      </c>
      <c r="E67" s="50">
        <f>'Entry Tariff_1'!E$108</f>
        <v>0</v>
      </c>
      <c r="F67" s="50">
        <f>'Entry Tariff_1'!F$108</f>
        <v>0</v>
      </c>
      <c r="G67" s="50">
        <f>'Entry Tariff_1'!G$108</f>
        <v>0</v>
      </c>
    </row>
    <row r="68" spans="2:7" ht="14.45" customHeight="1">
      <c r="B68" s="12"/>
      <c r="C68" s="3" t="s">
        <v>11</v>
      </c>
      <c r="D68" s="50">
        <f>'Entry Tariff_1'!D$108</f>
        <v>0</v>
      </c>
      <c r="E68" s="50">
        <f>'Entry Tariff_1'!E$108</f>
        <v>0</v>
      </c>
      <c r="F68" s="50">
        <f>'Entry Tariff_1'!F$108</f>
        <v>0</v>
      </c>
      <c r="G68" s="50">
        <f>'Entry Tariff_1'!G$108</f>
        <v>0</v>
      </c>
    </row>
    <row r="69" spans="2:7" ht="14.45" customHeight="1">
      <c r="B69" s="12"/>
      <c r="C69" s="3" t="s">
        <v>12</v>
      </c>
      <c r="D69" s="50">
        <f>'Entry Tariff_1'!D$108</f>
        <v>0</v>
      </c>
      <c r="E69" s="50">
        <f>'Entry Tariff_1'!E$108</f>
        <v>0</v>
      </c>
      <c r="F69" s="50">
        <f>'Entry Tariff_1'!F$108</f>
        <v>0</v>
      </c>
      <c r="G69" s="50">
        <f>'Entry Tariff_1'!G$108</f>
        <v>0</v>
      </c>
    </row>
    <row r="70" spans="2:7" ht="14.45" customHeight="1">
      <c r="B70" s="13"/>
      <c r="C70" s="3" t="s">
        <v>13</v>
      </c>
      <c r="D70" s="50">
        <f>'Entry Tariff_1'!D$108</f>
        <v>0</v>
      </c>
      <c r="E70" s="50">
        <f>'Entry Tariff_1'!E$108</f>
        <v>0</v>
      </c>
      <c r="F70" s="50">
        <f>'Entry Tariff_1'!F$108</f>
        <v>0</v>
      </c>
      <c r="G70" s="50">
        <f>'Entry Tariff_1'!G$108</f>
        <v>0</v>
      </c>
    </row>
    <row r="71" spans="2:7" ht="14.45" customHeight="1">
      <c r="B71" s="9" t="s">
        <v>15</v>
      </c>
      <c r="C71" s="3" t="s">
        <v>12</v>
      </c>
      <c r="D71" s="50">
        <f>'Entry Tariff_1'!D$109</f>
        <v>1</v>
      </c>
      <c r="E71" s="50">
        <f>'Entry Tariff_1'!E$109</f>
        <v>1</v>
      </c>
      <c r="F71" s="50">
        <f>'Entry Tariff_1'!F$109</f>
        <v>1</v>
      </c>
      <c r="G71" s="50">
        <f>'Entry Tariff_1'!G$109</f>
        <v>1</v>
      </c>
    </row>
    <row r="72" spans="2:7" ht="14.45" customHeight="1">
      <c r="B72" s="13"/>
      <c r="C72" s="3" t="s">
        <v>13</v>
      </c>
      <c r="D72" s="50">
        <f>'Entry Tariff_1'!D$109</f>
        <v>1</v>
      </c>
      <c r="E72" s="50">
        <f>'Entry Tariff_1'!E$109</f>
        <v>1</v>
      </c>
      <c r="F72" s="50">
        <f>'Entry Tariff_1'!F$109</f>
        <v>1</v>
      </c>
      <c r="G72" s="50">
        <f>'Entry Tariff_1'!G$109</f>
        <v>1</v>
      </c>
    </row>
    <row r="73" spans="2:7" ht="14.45" customHeight="1">
      <c r="B73" s="14" t="s">
        <v>26</v>
      </c>
      <c r="C73" s="3" t="s">
        <v>27</v>
      </c>
      <c r="D73" s="50">
        <f>'Entry Tariff_1'!D$110</f>
        <v>0</v>
      </c>
      <c r="E73" s="50">
        <f>'Entry Tariff_1'!E$110</f>
        <v>0</v>
      </c>
      <c r="F73" s="50">
        <f>'Entry Tariff_1'!F$110</f>
        <v>0</v>
      </c>
      <c r="G73" s="50">
        <f>'Entry Tariff_1'!G$110</f>
        <v>0</v>
      </c>
    </row>
    <row r="74" spans="2:7" ht="14.45" customHeight="1">
      <c r="B74" s="8" t="s">
        <v>2</v>
      </c>
      <c r="C74" s="8" t="s">
        <v>230</v>
      </c>
      <c r="D74" s="5"/>
      <c r="E74" s="5"/>
      <c r="F74" s="5"/>
      <c r="G74" s="5"/>
    </row>
    <row r="75" spans="2:7" ht="14.45" customHeight="1">
      <c r="B75" s="24"/>
      <c r="C75" s="24"/>
      <c r="D75" s="22" t="str">
        <f>'Input data'!D$5</f>
        <v>2023-24</v>
      </c>
      <c r="E75" s="22" t="str">
        <f>'Input data'!E$5</f>
        <v>2024-25</v>
      </c>
      <c r="F75" s="22" t="str">
        <f>'Input data'!F$5</f>
        <v>2025-26</v>
      </c>
      <c r="G75" s="22" t="str">
        <f>'Input data'!G$5</f>
        <v>2026-27</v>
      </c>
    </row>
    <row r="76" spans="2:7" ht="14.45" customHeight="1">
      <c r="B76" s="23"/>
      <c r="C76" s="23"/>
      <c r="D76" s="7"/>
      <c r="E76" s="7"/>
      <c r="F76" s="7"/>
      <c r="G76" s="7"/>
    </row>
    <row r="77" spans="2:7" ht="14.45" customHeight="1">
      <c r="B77" s="9" t="s">
        <v>8</v>
      </c>
      <c r="C77" s="3" t="s">
        <v>12</v>
      </c>
      <c r="D77" s="52">
        <f>'Entry Tariff_1'!D$114</f>
        <v>4.6000000000000041E-2</v>
      </c>
      <c r="E77" s="52">
        <f>'Entry Tariff_1'!E$114</f>
        <v>4.6000000000000041E-2</v>
      </c>
      <c r="F77" s="52">
        <f>'Entry Tariff_1'!F$114</f>
        <v>4.6000000000000041E-2</v>
      </c>
      <c r="G77" s="52">
        <f>'Entry Tariff_1'!G$114</f>
        <v>4.6000000000000041E-2</v>
      </c>
    </row>
    <row r="78" spans="2:7" ht="14.45" customHeight="1">
      <c r="B78" s="11"/>
      <c r="C78" s="3" t="s">
        <v>13</v>
      </c>
      <c r="D78" s="52">
        <f>'Entry Tariff_1'!D$114</f>
        <v>4.6000000000000041E-2</v>
      </c>
      <c r="E78" s="52">
        <f>'Entry Tariff_1'!E$114</f>
        <v>4.6000000000000041E-2</v>
      </c>
      <c r="F78" s="52">
        <f>'Entry Tariff_1'!F$114</f>
        <v>4.6000000000000041E-2</v>
      </c>
      <c r="G78" s="52">
        <f>'Entry Tariff_1'!G$114</f>
        <v>4.6000000000000041E-2</v>
      </c>
    </row>
    <row r="79" spans="2:7" ht="14.45" customHeight="1">
      <c r="B79" s="14" t="s">
        <v>14</v>
      </c>
      <c r="C79" s="3" t="s">
        <v>13</v>
      </c>
      <c r="D79" s="52">
        <f>'Entry Tariff_1'!D$115</f>
        <v>0.15300000000000002</v>
      </c>
      <c r="E79" s="52">
        <f>'Entry Tariff_1'!E$115</f>
        <v>0.13500000000000001</v>
      </c>
      <c r="F79" s="52">
        <f>'Entry Tariff_1'!F$115</f>
        <v>7.5999999999999956E-2</v>
      </c>
      <c r="G79" s="52">
        <f>'Entry Tariff_1'!G$115</f>
        <v>7.5999999999999956E-2</v>
      </c>
    </row>
    <row r="80" spans="2:7" ht="14.45" customHeight="1">
      <c r="B80" s="14" t="s">
        <v>15</v>
      </c>
      <c r="C80" s="3" t="s">
        <v>13</v>
      </c>
      <c r="D80" s="52">
        <f>'Entry Tariff_1'!D$116</f>
        <v>1</v>
      </c>
      <c r="E80" s="52">
        <f>'Entry Tariff_1'!E$116</f>
        <v>1</v>
      </c>
      <c r="F80" s="52">
        <f>'Entry Tariff_1'!F$116</f>
        <v>1</v>
      </c>
      <c r="G80" s="52">
        <f>'Entry Tariff_1'!G$116</f>
        <v>1</v>
      </c>
    </row>
    <row r="83" spans="2:7" ht="28.9" customHeight="1">
      <c r="B83" s="31" t="s">
        <v>602</v>
      </c>
      <c r="C83" s="4"/>
      <c r="D83" s="4"/>
      <c r="E83" s="4"/>
      <c r="F83" s="4"/>
      <c r="G83" s="4"/>
    </row>
    <row r="84" spans="2:7" ht="14.45" customHeight="1">
      <c r="B84" s="35"/>
    </row>
    <row r="85" spans="2:7" ht="14.45" customHeight="1">
      <c r="B85" s="8" t="s">
        <v>2</v>
      </c>
      <c r="C85" s="8" t="s">
        <v>229</v>
      </c>
      <c r="D85" s="5"/>
      <c r="E85" s="5"/>
      <c r="F85" s="5"/>
      <c r="G85" s="5"/>
    </row>
    <row r="86" spans="2:7" ht="14.45" customHeight="1">
      <c r="B86" s="24"/>
      <c r="C86" s="24"/>
      <c r="D86" s="22" t="str">
        <f>'Input data'!D$5</f>
        <v>2023-24</v>
      </c>
      <c r="E86" s="22" t="str">
        <f>'Input data'!E$5</f>
        <v>2024-25</v>
      </c>
      <c r="F86" s="22" t="str">
        <f>'Input data'!F$5</f>
        <v>2025-26</v>
      </c>
      <c r="G86" s="22" t="str">
        <f>'Input data'!G$5</f>
        <v>2026-27</v>
      </c>
    </row>
    <row r="87" spans="2:7" ht="14.45" customHeight="1">
      <c r="B87" s="23"/>
      <c r="C87" s="23"/>
      <c r="D87" s="7"/>
      <c r="E87" s="7"/>
      <c r="F87" s="7"/>
      <c r="G87" s="7"/>
    </row>
    <row r="88" spans="2:7" ht="14.45" customHeight="1">
      <c r="B88" s="9" t="s">
        <v>8</v>
      </c>
      <c r="C88" s="3" t="s">
        <v>9</v>
      </c>
      <c r="D88" s="53">
        <f t="shared" ref="D88:G88" si="0">D7*D34*(1-D61)</f>
        <v>3.3066849768400436E-2</v>
      </c>
      <c r="E88" s="53">
        <f t="shared" si="0"/>
        <v>3.5139951533100282E-2</v>
      </c>
      <c r="F88" s="53">
        <f t="shared" si="0"/>
        <v>3.7266188936024E-2</v>
      </c>
      <c r="G88" s="53">
        <f t="shared" si="0"/>
        <v>4.3792906238648815E-2</v>
      </c>
    </row>
    <row r="89" spans="2:7" ht="14.45" customHeight="1">
      <c r="B89" s="10"/>
      <c r="C89" s="3" t="s">
        <v>10</v>
      </c>
      <c r="D89" s="53">
        <f t="shared" ref="D89:G100" si="1">D8*D35*(1-D62)</f>
        <v>4.2986904698920567E-2</v>
      </c>
      <c r="E89" s="53">
        <f t="shared" si="1"/>
        <v>4.1465142809058331E-2</v>
      </c>
      <c r="F89" s="53">
        <f t="shared" si="1"/>
        <v>4.397410294450832E-2</v>
      </c>
      <c r="G89" s="53">
        <f t="shared" si="1"/>
        <v>5.16756293616056E-2</v>
      </c>
    </row>
    <row r="90" spans="2:7" ht="14.45" customHeight="1">
      <c r="B90" s="10"/>
      <c r="C90" s="3" t="s">
        <v>11</v>
      </c>
      <c r="D90" s="53">
        <f t="shared" si="1"/>
        <v>4.9600274652600654E-2</v>
      </c>
      <c r="E90" s="53">
        <f t="shared" si="1"/>
        <v>4.7438934569685384E-2</v>
      </c>
      <c r="F90" s="53">
        <f t="shared" si="1"/>
        <v>5.0309355063632405E-2</v>
      </c>
      <c r="G90" s="53">
        <f t="shared" si="1"/>
        <v>5.9120423422175904E-2</v>
      </c>
    </row>
    <row r="91" spans="2:7" ht="14.45" customHeight="1">
      <c r="B91" s="10"/>
      <c r="C91" s="3" t="s">
        <v>12</v>
      </c>
      <c r="D91" s="53">
        <f t="shared" si="1"/>
        <v>6.6133699536800872E-2</v>
      </c>
      <c r="E91" s="53">
        <f t="shared" si="1"/>
        <v>6.817150597421455E-2</v>
      </c>
      <c r="F91" s="53">
        <f t="shared" si="1"/>
        <v>7.2296406535886565E-2</v>
      </c>
      <c r="G91" s="53">
        <f t="shared" si="1"/>
        <v>8.49582381029787E-2</v>
      </c>
    </row>
    <row r="92" spans="2:7" ht="14.45" customHeight="1">
      <c r="B92" s="11"/>
      <c r="C92" s="3" t="s">
        <v>13</v>
      </c>
      <c r="D92" s="53">
        <f t="shared" si="1"/>
        <v>7.2747069490480959E-2</v>
      </c>
      <c r="E92" s="53">
        <f t="shared" si="1"/>
        <v>7.4848096765503594E-2</v>
      </c>
      <c r="F92" s="53">
        <f t="shared" si="1"/>
        <v>7.9376982433731119E-2</v>
      </c>
      <c r="G92" s="53">
        <f t="shared" si="1"/>
        <v>9.3278890288321967E-2</v>
      </c>
    </row>
    <row r="93" spans="2:7" ht="14.45" customHeight="1">
      <c r="B93" s="9" t="s">
        <v>14</v>
      </c>
      <c r="C93" s="3" t="s">
        <v>9</v>
      </c>
      <c r="D93" s="53">
        <f t="shared" si="1"/>
        <v>9.3422859179546597E-2</v>
      </c>
      <c r="E93" s="53">
        <f t="shared" si="1"/>
        <v>9.8653543640295493E-2</v>
      </c>
      <c r="F93" s="53">
        <f t="shared" si="1"/>
        <v>0.10412747884022977</v>
      </c>
      <c r="G93" s="53">
        <f t="shared" si="1"/>
        <v>0.12337038967554961</v>
      </c>
    </row>
    <row r="94" spans="2:7" ht="14.45" customHeight="1">
      <c r="B94" s="12"/>
      <c r="C94" s="3" t="s">
        <v>10</v>
      </c>
      <c r="D94" s="53">
        <f t="shared" si="1"/>
        <v>0.12144971693341058</v>
      </c>
      <c r="E94" s="53">
        <f t="shared" si="1"/>
        <v>0.11641118149554867</v>
      </c>
      <c r="F94" s="53">
        <f t="shared" si="1"/>
        <v>0.12287042503147112</v>
      </c>
      <c r="G94" s="53">
        <f t="shared" si="1"/>
        <v>0.14557705981714852</v>
      </c>
    </row>
    <row r="95" spans="2:7" ht="14.45" customHeight="1">
      <c r="B95" s="12"/>
      <c r="C95" s="3" t="s">
        <v>11</v>
      </c>
      <c r="D95" s="53">
        <f t="shared" si="1"/>
        <v>0.14013428876931988</v>
      </c>
      <c r="E95" s="53">
        <f t="shared" si="1"/>
        <v>0.13318228391439893</v>
      </c>
      <c r="F95" s="53">
        <f t="shared" si="1"/>
        <v>0.14057209643431021</v>
      </c>
      <c r="G95" s="53">
        <f t="shared" si="1"/>
        <v>0.16655002606199198</v>
      </c>
    </row>
    <row r="96" spans="2:7" ht="14.45" customHeight="1">
      <c r="B96" s="12"/>
      <c r="C96" s="3" t="s">
        <v>12</v>
      </c>
      <c r="D96" s="53">
        <f t="shared" si="1"/>
        <v>0.18684571835909319</v>
      </c>
      <c r="E96" s="53">
        <f t="shared" si="1"/>
        <v>0.19138787466217325</v>
      </c>
      <c r="F96" s="53">
        <f t="shared" si="1"/>
        <v>0.20200730895004576</v>
      </c>
      <c r="G96" s="53">
        <f t="shared" si="1"/>
        <v>0.23933855597056625</v>
      </c>
    </row>
    <row r="97" spans="2:7" ht="14.45" customHeight="1">
      <c r="B97" s="13"/>
      <c r="C97" s="3" t="s">
        <v>13</v>
      </c>
      <c r="D97" s="53">
        <f t="shared" si="1"/>
        <v>0.20553029019500252</v>
      </c>
      <c r="E97" s="53">
        <f t="shared" si="1"/>
        <v>0.21013204795382939</v>
      </c>
      <c r="F97" s="53">
        <f t="shared" si="1"/>
        <v>0.2217915299296894</v>
      </c>
      <c r="G97" s="53">
        <f t="shared" si="1"/>
        <v>0.26277893000892066</v>
      </c>
    </row>
    <row r="98" spans="2:7" ht="14.45" customHeight="1">
      <c r="B98" s="9" t="s">
        <v>15</v>
      </c>
      <c r="C98" s="3" t="s">
        <v>12</v>
      </c>
      <c r="D98" s="53">
        <f t="shared" si="1"/>
        <v>0</v>
      </c>
      <c r="E98" s="53">
        <f t="shared" si="1"/>
        <v>0</v>
      </c>
      <c r="F98" s="53">
        <f t="shared" si="1"/>
        <v>0</v>
      </c>
      <c r="G98" s="53">
        <f t="shared" si="1"/>
        <v>0</v>
      </c>
    </row>
    <row r="99" spans="2:7" ht="14.45" customHeight="1">
      <c r="B99" s="13"/>
      <c r="C99" s="3" t="s">
        <v>13</v>
      </c>
      <c r="D99" s="53">
        <f t="shared" si="1"/>
        <v>0</v>
      </c>
      <c r="E99" s="53">
        <f t="shared" si="1"/>
        <v>0</v>
      </c>
      <c r="F99" s="53">
        <f t="shared" si="1"/>
        <v>0</v>
      </c>
      <c r="G99" s="53">
        <f t="shared" si="1"/>
        <v>0</v>
      </c>
    </row>
    <row r="100" spans="2:7" ht="14.45" customHeight="1">
      <c r="B100" s="14" t="s">
        <v>26</v>
      </c>
      <c r="C100" s="3" t="s">
        <v>27</v>
      </c>
      <c r="D100" s="53">
        <f t="shared" si="1"/>
        <v>6.5283408169356525E-3</v>
      </c>
      <c r="E100" s="53">
        <f t="shared" si="1"/>
        <v>6.9341479553544604E-3</v>
      </c>
      <c r="F100" s="53">
        <f t="shared" si="1"/>
        <v>7.3029617882599479E-3</v>
      </c>
      <c r="G100" s="53">
        <f t="shared" si="1"/>
        <v>8.6931802205729072E-3</v>
      </c>
    </row>
    <row r="101" spans="2:7" ht="14.45" customHeight="1">
      <c r="B101" s="8" t="s">
        <v>2</v>
      </c>
      <c r="C101" s="8" t="s">
        <v>230</v>
      </c>
      <c r="D101" s="5"/>
      <c r="E101" s="5"/>
      <c r="F101" s="5"/>
      <c r="G101" s="5"/>
    </row>
    <row r="102" spans="2:7" ht="14.45" customHeight="1">
      <c r="B102" s="24"/>
      <c r="C102" s="24"/>
      <c r="D102" s="22" t="str">
        <f>'Input data'!D$5</f>
        <v>2023-24</v>
      </c>
      <c r="E102" s="22" t="str">
        <f>'Input data'!E$5</f>
        <v>2024-25</v>
      </c>
      <c r="F102" s="22" t="str">
        <f>'Input data'!F$5</f>
        <v>2025-26</v>
      </c>
      <c r="G102" s="22" t="str">
        <f>'Input data'!G$5</f>
        <v>2026-27</v>
      </c>
    </row>
    <row r="103" spans="2:7" ht="14.45" customHeight="1">
      <c r="B103" s="23"/>
      <c r="C103" s="23"/>
      <c r="D103" s="7"/>
      <c r="E103" s="7"/>
      <c r="F103" s="7"/>
      <c r="G103" s="7"/>
    </row>
    <row r="104" spans="2:7" ht="14.45" customHeight="1">
      <c r="B104" s="9" t="s">
        <v>8</v>
      </c>
      <c r="C104" s="3" t="s">
        <v>12</v>
      </c>
      <c r="D104" s="53">
        <f t="shared" ref="D104:G107" si="2">D23*D50*(1-D77)</f>
        <v>6.3091549358108026E-2</v>
      </c>
      <c r="E104" s="53">
        <f t="shared" si="2"/>
        <v>6.5035616699400681E-2</v>
      </c>
      <c r="F104" s="53">
        <f t="shared" si="2"/>
        <v>6.8970771835235783E-2</v>
      </c>
      <c r="G104" s="53">
        <f t="shared" si="2"/>
        <v>8.1050159150241677E-2</v>
      </c>
    </row>
    <row r="105" spans="2:7" ht="14.45" customHeight="1">
      <c r="B105" s="11"/>
      <c r="C105" s="3" t="s">
        <v>13</v>
      </c>
      <c r="D105" s="53">
        <f t="shared" si="2"/>
        <v>6.9400704293918827E-2</v>
      </c>
      <c r="E105" s="53">
        <f t="shared" si="2"/>
        <v>7.1405084314290421E-2</v>
      </c>
      <c r="F105" s="53">
        <f t="shared" si="2"/>
        <v>7.5725641241779482E-2</v>
      </c>
      <c r="G105" s="53">
        <f t="shared" si="2"/>
        <v>8.8988061335059154E-2</v>
      </c>
    </row>
    <row r="106" spans="2:7" ht="14.45" customHeight="1">
      <c r="B106" s="14" t="s">
        <v>14</v>
      </c>
      <c r="C106" s="3" t="s">
        <v>13</v>
      </c>
      <c r="D106" s="53">
        <f t="shared" si="2"/>
        <v>0.17408415579516712</v>
      </c>
      <c r="E106" s="53">
        <f t="shared" si="2"/>
        <v>0.18176422148006241</v>
      </c>
      <c r="F106" s="53">
        <f t="shared" si="2"/>
        <v>0.204935373655033</v>
      </c>
      <c r="G106" s="53">
        <f t="shared" si="2"/>
        <v>0.24280773132824271</v>
      </c>
    </row>
    <row r="107" spans="2:7" ht="14.45" customHeight="1">
      <c r="B107" s="14" t="s">
        <v>15</v>
      </c>
      <c r="C107" s="3" t="s">
        <v>13</v>
      </c>
      <c r="D107" s="53">
        <f t="shared" si="2"/>
        <v>0</v>
      </c>
      <c r="E107" s="53">
        <f t="shared" si="2"/>
        <v>0</v>
      </c>
      <c r="F107" s="53">
        <f t="shared" si="2"/>
        <v>0</v>
      </c>
      <c r="G107" s="53">
        <f t="shared" si="2"/>
        <v>0</v>
      </c>
    </row>
    <row r="110" spans="2:7" ht="28.9" customHeight="1">
      <c r="B110" s="31" t="s">
        <v>603</v>
      </c>
      <c r="C110" s="4"/>
      <c r="D110" s="4"/>
      <c r="E110" s="4"/>
      <c r="F110" s="4"/>
      <c r="G110" s="4"/>
    </row>
    <row r="111" spans="2:7" ht="14.45" customHeight="1">
      <c r="B111" s="35"/>
    </row>
    <row r="112" spans="2:7" ht="14.45" customHeight="1">
      <c r="B112" s="8" t="s">
        <v>2</v>
      </c>
      <c r="C112" s="8" t="s">
        <v>229</v>
      </c>
      <c r="D112" s="5"/>
      <c r="E112" s="5"/>
      <c r="F112" s="5"/>
      <c r="G112" s="5"/>
    </row>
    <row r="113" spans="2:7" ht="14.45" customHeight="1">
      <c r="B113" s="24"/>
      <c r="C113" s="24"/>
      <c r="D113" s="22" t="str">
        <f>'Input data'!D$5</f>
        <v>2023-24</v>
      </c>
      <c r="E113" s="22" t="str">
        <f>'Input data'!E$5</f>
        <v>2024-25</v>
      </c>
      <c r="F113" s="22" t="str">
        <f>'Input data'!F$5</f>
        <v>2025-26</v>
      </c>
      <c r="G113" s="22" t="str">
        <f>'Input data'!G$5</f>
        <v>2026-27</v>
      </c>
    </row>
    <row r="114" spans="2:7" ht="14.45" customHeight="1">
      <c r="B114" s="23"/>
      <c r="C114" s="23"/>
      <c r="D114" s="7"/>
      <c r="E114" s="7"/>
      <c r="F114" s="7"/>
      <c r="G114" s="7"/>
    </row>
    <row r="115" spans="2:7" ht="14.45" customHeight="1">
      <c r="B115" s="9" t="s">
        <v>8</v>
      </c>
      <c r="C115" s="3" t="s">
        <v>9</v>
      </c>
      <c r="D115" s="36">
        <f>'Input data'!D20</f>
        <v>3052986</v>
      </c>
      <c r="E115" s="36">
        <f>'Input data'!E20</f>
        <v>4884702</v>
      </c>
      <c r="F115" s="36">
        <f>'Input data'!F20</f>
        <v>8676558</v>
      </c>
      <c r="G115" s="36">
        <f>'Input data'!G20</f>
        <v>7666326.0000000009</v>
      </c>
    </row>
    <row r="116" spans="2:7" ht="14.45" customHeight="1">
      <c r="B116" s="10"/>
      <c r="C116" s="3" t="s">
        <v>10</v>
      </c>
      <c r="D116" s="36">
        <f>'Input data'!D21</f>
        <v>1427387.9999999998</v>
      </c>
      <c r="E116" s="36">
        <f>'Input data'!E21</f>
        <v>3513912</v>
      </c>
      <c r="F116" s="36">
        <f>'Input data'!F21</f>
        <v>1596384</v>
      </c>
      <c r="G116" s="36">
        <f>'Input data'!G21</f>
        <v>207846</v>
      </c>
    </row>
    <row r="117" spans="2:7" ht="14.45" customHeight="1">
      <c r="B117" s="10"/>
      <c r="C117" s="3" t="s">
        <v>11</v>
      </c>
      <c r="D117" s="36">
        <f>'Input data'!D22</f>
        <v>2830358</v>
      </c>
      <c r="E117" s="36">
        <f>'Input data'!E22</f>
        <v>9185306</v>
      </c>
      <c r="F117" s="36">
        <f>'Input data'!F22</f>
        <v>2512022</v>
      </c>
      <c r="G117" s="36">
        <f>'Input data'!G22</f>
        <v>1265424</v>
      </c>
    </row>
    <row r="118" spans="2:7" ht="14.45" customHeight="1">
      <c r="B118" s="10"/>
      <c r="C118" s="3" t="s">
        <v>12</v>
      </c>
      <c r="D118" s="36">
        <f>'Input data'!D23</f>
        <v>10826796.701369863</v>
      </c>
      <c r="E118" s="36">
        <f>'Input data'!E23</f>
        <v>5947824.7013698621</v>
      </c>
      <c r="F118" s="36">
        <f>'Input data'!F23</f>
        <v>2568168.3524590163</v>
      </c>
      <c r="G118" s="36">
        <f>'Input data'!G23</f>
        <v>4962488.1095890403</v>
      </c>
    </row>
    <row r="119" spans="2:7" ht="14.45" customHeight="1">
      <c r="B119" s="11"/>
      <c r="C119" s="3" t="s">
        <v>13</v>
      </c>
      <c r="D119" s="36">
        <f>'Input data'!D24</f>
        <v>1105373.1506849315</v>
      </c>
      <c r="E119" s="36">
        <f>'Input data'!E24</f>
        <v>666864.43013698631</v>
      </c>
      <c r="F119" s="36">
        <f>'Input data'!F24</f>
        <v>390410.33879781421</v>
      </c>
      <c r="G119" s="36">
        <f>'Input data'!G24</f>
        <v>285396.11506849312</v>
      </c>
    </row>
    <row r="120" spans="2:7" ht="14.45" customHeight="1">
      <c r="B120" s="9" t="s">
        <v>14</v>
      </c>
      <c r="C120" s="3" t="s">
        <v>9</v>
      </c>
      <c r="D120" s="36">
        <f>'Input data'!D25</f>
        <v>200000000</v>
      </c>
      <c r="E120" s="36">
        <f>'Input data'!E25</f>
        <v>200000000</v>
      </c>
      <c r="F120" s="36">
        <f>'Input data'!F25</f>
        <v>182000000</v>
      </c>
      <c r="G120" s="36">
        <f>'Input data'!G25</f>
        <v>180500000</v>
      </c>
    </row>
    <row r="121" spans="2:7" ht="14.45" customHeight="1">
      <c r="B121" s="12"/>
      <c r="C121" s="3" t="s">
        <v>10</v>
      </c>
      <c r="D121" s="36">
        <f>'Input data'!D26</f>
        <v>0</v>
      </c>
      <c r="E121" s="36">
        <f>'Input data'!E26</f>
        <v>0</v>
      </c>
      <c r="F121" s="36">
        <f>'Input data'!F26</f>
        <v>0</v>
      </c>
      <c r="G121" s="36">
        <f>'Input data'!G26</f>
        <v>1250000</v>
      </c>
    </row>
    <row r="122" spans="2:7" ht="14.45" customHeight="1">
      <c r="B122" s="12"/>
      <c r="C122" s="3" t="s">
        <v>11</v>
      </c>
      <c r="D122" s="36">
        <f>'Input data'!D27</f>
        <v>0</v>
      </c>
      <c r="E122" s="36">
        <f>'Input data'!E27</f>
        <v>0</v>
      </c>
      <c r="F122" s="36">
        <f>'Input data'!F27</f>
        <v>0</v>
      </c>
      <c r="G122" s="36">
        <f>'Input data'!G27</f>
        <v>0</v>
      </c>
    </row>
    <row r="123" spans="2:7" ht="14.45" customHeight="1">
      <c r="B123" s="12"/>
      <c r="C123" s="3" t="s">
        <v>12</v>
      </c>
      <c r="D123" s="36">
        <f>'Input data'!D28</f>
        <v>0</v>
      </c>
      <c r="E123" s="36">
        <f>'Input data'!E28</f>
        <v>0</v>
      </c>
      <c r="F123" s="36">
        <f>'Input data'!F28</f>
        <v>16422.295081967215</v>
      </c>
      <c r="G123" s="36">
        <f>'Input data'!G28</f>
        <v>40397.589041095889</v>
      </c>
    </row>
    <row r="124" spans="2:7" ht="14.45" customHeight="1">
      <c r="B124" s="13"/>
      <c r="C124" s="3" t="s">
        <v>13</v>
      </c>
      <c r="D124" s="36">
        <f>'Input data'!D29</f>
        <v>0</v>
      </c>
      <c r="E124" s="36">
        <f>'Input data'!E29</f>
        <v>0</v>
      </c>
      <c r="F124" s="36">
        <f>'Input data'!F29</f>
        <v>180266.40163934426</v>
      </c>
      <c r="G124" s="36">
        <f>'Input data'!G29</f>
        <v>333351.3232876712</v>
      </c>
    </row>
    <row r="125" spans="2:7" ht="14.45" customHeight="1">
      <c r="B125" s="9" t="s">
        <v>15</v>
      </c>
      <c r="C125" s="3" t="s">
        <v>12</v>
      </c>
      <c r="D125" s="36">
        <f>'Input data'!D30</f>
        <v>4185610.9808219173</v>
      </c>
      <c r="E125" s="36">
        <f>'Input data'!E30</f>
        <v>4369884.2958904114</v>
      </c>
      <c r="F125" s="36">
        <f>'Input data'!F30</f>
        <v>4951057.1361363269</v>
      </c>
      <c r="G125" s="36">
        <f>'Input data'!G30</f>
        <v>5171351.98630137</v>
      </c>
    </row>
    <row r="126" spans="2:7" ht="14.45" customHeight="1">
      <c r="B126" s="13"/>
      <c r="C126" s="3" t="s">
        <v>13</v>
      </c>
      <c r="D126" s="36">
        <f>'Input data'!D31</f>
        <v>4367877.2109589046</v>
      </c>
      <c r="E126" s="36">
        <f>'Input data'!E31</f>
        <v>2787181.2931506848</v>
      </c>
      <c r="F126" s="36">
        <f>'Input data'!F31</f>
        <v>1918358.1253384296</v>
      </c>
      <c r="G126" s="36">
        <f>'Input data'!G31</f>
        <v>2527776.5780821918</v>
      </c>
    </row>
    <row r="127" spans="2:7" ht="14.45" customHeight="1">
      <c r="B127" s="14" t="s">
        <v>26</v>
      </c>
      <c r="C127" s="3" t="s">
        <v>27</v>
      </c>
      <c r="D127" s="36">
        <f>'Input data'!D32</f>
        <v>1</v>
      </c>
      <c r="E127" s="36">
        <f>'Input data'!E32</f>
        <v>1</v>
      </c>
      <c r="F127" s="36">
        <f>'Input data'!F32</f>
        <v>1</v>
      </c>
      <c r="G127" s="36">
        <f>'Input data'!G32</f>
        <v>1</v>
      </c>
    </row>
    <row r="128" spans="2:7" ht="14.45" customHeight="1">
      <c r="B128" s="8" t="s">
        <v>2</v>
      </c>
      <c r="C128" s="8" t="s">
        <v>230</v>
      </c>
      <c r="D128" s="5"/>
      <c r="E128" s="5"/>
      <c r="F128" s="5"/>
      <c r="G128" s="5"/>
    </row>
    <row r="129" spans="2:7" ht="14.45" customHeight="1">
      <c r="B129" s="24"/>
      <c r="C129" s="24"/>
      <c r="D129" s="22" t="str">
        <f>'Input data'!D$5</f>
        <v>2023-24</v>
      </c>
      <c r="E129" s="22" t="str">
        <f>'Input data'!E$5</f>
        <v>2024-25</v>
      </c>
      <c r="F129" s="22" t="str">
        <f>'Input data'!F$5</f>
        <v>2025-26</v>
      </c>
      <c r="G129" s="22" t="str">
        <f>'Input data'!G$5</f>
        <v>2026-27</v>
      </c>
    </row>
    <row r="130" spans="2:7" ht="14.45" customHeight="1">
      <c r="B130" s="23"/>
      <c r="C130" s="23"/>
      <c r="D130" s="7"/>
      <c r="E130" s="7"/>
      <c r="F130" s="7"/>
      <c r="G130" s="7"/>
    </row>
    <row r="131" spans="2:7" ht="14.45" customHeight="1">
      <c r="B131" s="9" t="s">
        <v>8</v>
      </c>
      <c r="C131" s="3" t="s">
        <v>12</v>
      </c>
      <c r="D131" s="36">
        <f>'Input data'!D40</f>
        <v>0</v>
      </c>
      <c r="E131" s="36">
        <f>'Input data'!E40</f>
        <v>0</v>
      </c>
      <c r="F131" s="36">
        <f>'Input data'!F40</f>
        <v>0</v>
      </c>
      <c r="G131" s="36">
        <f>'Input data'!G40</f>
        <v>0</v>
      </c>
    </row>
    <row r="132" spans="2:7" ht="14.45" customHeight="1">
      <c r="B132" s="11"/>
      <c r="C132" s="3" t="s">
        <v>13</v>
      </c>
      <c r="D132" s="36">
        <f>'Input data'!D41</f>
        <v>0</v>
      </c>
      <c r="E132" s="36">
        <f>'Input data'!E41</f>
        <v>0</v>
      </c>
      <c r="F132" s="36">
        <f>'Input data'!F41</f>
        <v>0</v>
      </c>
      <c r="G132" s="36">
        <f>'Input data'!G41</f>
        <v>0</v>
      </c>
    </row>
    <row r="133" spans="2:7" ht="14.45" customHeight="1">
      <c r="B133" s="14" t="s">
        <v>14</v>
      </c>
      <c r="C133" s="3" t="s">
        <v>13</v>
      </c>
      <c r="D133" s="36">
        <f>'Input data'!D42</f>
        <v>0</v>
      </c>
      <c r="E133" s="36">
        <f>'Input data'!E42</f>
        <v>0</v>
      </c>
      <c r="F133" s="36">
        <f>'Input data'!F42</f>
        <v>0</v>
      </c>
      <c r="G133" s="36">
        <f>'Input data'!G42</f>
        <v>0</v>
      </c>
    </row>
    <row r="134" spans="2:7" ht="14.45" customHeight="1">
      <c r="B134" s="14" t="s">
        <v>15</v>
      </c>
      <c r="C134" s="3" t="s">
        <v>13</v>
      </c>
      <c r="D134" s="36">
        <f>'Input data'!D43</f>
        <v>0</v>
      </c>
      <c r="E134" s="36">
        <f>'Input data'!E43</f>
        <v>0</v>
      </c>
      <c r="F134" s="36">
        <f>'Input data'!F43</f>
        <v>0</v>
      </c>
      <c r="G134" s="36">
        <f>'Input data'!G43</f>
        <v>0</v>
      </c>
    </row>
    <row r="137" spans="2:7" ht="28.9" customHeight="1">
      <c r="B137" s="31" t="s">
        <v>604</v>
      </c>
      <c r="C137" s="4"/>
      <c r="D137" s="4"/>
      <c r="E137" s="4"/>
      <c r="F137" s="4"/>
      <c r="G137" s="4"/>
    </row>
    <row r="138" spans="2:7" ht="14.45" customHeight="1">
      <c r="B138" s="35"/>
    </row>
    <row r="139" spans="2:7" ht="14.45" customHeight="1">
      <c r="B139" s="8" t="s">
        <v>2</v>
      </c>
      <c r="C139" s="8" t="s">
        <v>229</v>
      </c>
      <c r="D139" s="5"/>
      <c r="E139" s="5"/>
      <c r="F139" s="5"/>
      <c r="G139" s="5"/>
    </row>
    <row r="140" spans="2:7" ht="14.45" customHeight="1">
      <c r="B140" s="24"/>
      <c r="C140" s="24"/>
      <c r="D140" s="22" t="str">
        <f>'Input data'!D$5</f>
        <v>2023-24</v>
      </c>
      <c r="E140" s="22" t="str">
        <f>'Input data'!E$5</f>
        <v>2024-25</v>
      </c>
      <c r="F140" s="22" t="str">
        <f>'Input data'!F$5</f>
        <v>2025-26</v>
      </c>
      <c r="G140" s="22" t="str">
        <f>'Input data'!G$5</f>
        <v>2026-27</v>
      </c>
    </row>
    <row r="141" spans="2:7" ht="14.45" customHeight="1">
      <c r="B141" s="23"/>
      <c r="C141" s="23"/>
      <c r="D141" s="7"/>
      <c r="E141" s="7"/>
      <c r="F141" s="7"/>
      <c r="G141" s="7"/>
    </row>
    <row r="142" spans="2:7" ht="14.45" customHeight="1">
      <c r="B142" s="9" t="s">
        <v>8</v>
      </c>
      <c r="C142" s="3" t="s">
        <v>9</v>
      </c>
      <c r="D142" s="36">
        <f t="shared" ref="D142:G142" si="3">D88*D115</f>
        <v>100952.62940702977</v>
      </c>
      <c r="E142" s="36">
        <f t="shared" si="3"/>
        <v>171648.19153363802</v>
      </c>
      <c r="F142" s="36">
        <f t="shared" si="3"/>
        <v>323342.24974237051</v>
      </c>
      <c r="G142" s="36">
        <f t="shared" si="3"/>
        <v>335730.69571291568</v>
      </c>
    </row>
    <row r="143" spans="2:7" ht="14.45" customHeight="1">
      <c r="B143" s="10"/>
      <c r="C143" s="3" t="s">
        <v>10</v>
      </c>
      <c r="D143" s="36">
        <f t="shared" ref="D143:G154" si="4">D89*D116</f>
        <v>61358.991924382819</v>
      </c>
      <c r="E143" s="36">
        <f t="shared" si="4"/>
        <v>145704.86289846379</v>
      </c>
      <c r="F143" s="36">
        <f t="shared" si="4"/>
        <v>70199.554354965963</v>
      </c>
      <c r="G143" s="36">
        <f t="shared" si="4"/>
        <v>10740.572860292277</v>
      </c>
    </row>
    <row r="144" spans="2:7" ht="14.45" customHeight="1">
      <c r="B144" s="10"/>
      <c r="C144" s="3" t="s">
        <v>11</v>
      </c>
      <c r="D144" s="36">
        <f t="shared" si="4"/>
        <v>140386.53416518547</v>
      </c>
      <c r="E144" s="36">
        <f t="shared" si="4"/>
        <v>435741.1303365386</v>
      </c>
      <c r="F144" s="36">
        <f t="shared" si="4"/>
        <v>126378.206725656</v>
      </c>
      <c r="G144" s="36">
        <f t="shared" si="4"/>
        <v>74812.402688583519</v>
      </c>
    </row>
    <row r="145" spans="2:7" ht="14.45" customHeight="1">
      <c r="B145" s="10"/>
      <c r="C145" s="3" t="s">
        <v>12</v>
      </c>
      <c r="D145" s="36">
        <f t="shared" si="4"/>
        <v>716016.11999442137</v>
      </c>
      <c r="E145" s="36">
        <f t="shared" si="4"/>
        <v>405472.16716301645</v>
      </c>
      <c r="F145" s="36">
        <f t="shared" si="4"/>
        <v>185669.34326197507</v>
      </c>
      <c r="G145" s="36">
        <f t="shared" si="4"/>
        <v>421604.24639766634</v>
      </c>
    </row>
    <row r="146" spans="2:7" ht="14.45" customHeight="1">
      <c r="B146" s="11"/>
      <c r="C146" s="3" t="s">
        <v>13</v>
      </c>
      <c r="D146" s="36">
        <f t="shared" si="4"/>
        <v>80412.657405788603</v>
      </c>
      <c r="E146" s="36">
        <f t="shared" si="4"/>
        <v>49913.533396365565</v>
      </c>
      <c r="F146" s="36">
        <f t="shared" si="4"/>
        <v>30989.594604701113</v>
      </c>
      <c r="G146" s="36">
        <f t="shared" si="4"/>
        <v>26621.432906187281</v>
      </c>
    </row>
    <row r="147" spans="2:7" ht="14.45" customHeight="1">
      <c r="B147" s="9" t="s">
        <v>14</v>
      </c>
      <c r="C147" s="3" t="s">
        <v>9</v>
      </c>
      <c r="D147" s="36">
        <f t="shared" si="4"/>
        <v>18684571.835909318</v>
      </c>
      <c r="E147" s="36">
        <f t="shared" si="4"/>
        <v>19730708.728059098</v>
      </c>
      <c r="F147" s="36">
        <f t="shared" si="4"/>
        <v>18951201.148921818</v>
      </c>
      <c r="G147" s="36">
        <f t="shared" si="4"/>
        <v>22268355.336436704</v>
      </c>
    </row>
    <row r="148" spans="2:7" ht="14.45" customHeight="1">
      <c r="B148" s="12"/>
      <c r="C148" s="3" t="s">
        <v>10</v>
      </c>
      <c r="D148" s="36">
        <f t="shared" si="4"/>
        <v>0</v>
      </c>
      <c r="E148" s="36">
        <f t="shared" si="4"/>
        <v>0</v>
      </c>
      <c r="F148" s="36">
        <f t="shared" si="4"/>
        <v>0</v>
      </c>
      <c r="G148" s="36">
        <f t="shared" si="4"/>
        <v>181971.32477143567</v>
      </c>
    </row>
    <row r="149" spans="2:7" ht="14.45" customHeight="1">
      <c r="B149" s="12"/>
      <c r="C149" s="3" t="s">
        <v>11</v>
      </c>
      <c r="D149" s="36">
        <f t="shared" si="4"/>
        <v>0</v>
      </c>
      <c r="E149" s="36">
        <f t="shared" si="4"/>
        <v>0</v>
      </c>
      <c r="F149" s="36">
        <f t="shared" si="4"/>
        <v>0</v>
      </c>
      <c r="G149" s="36">
        <f t="shared" si="4"/>
        <v>0</v>
      </c>
    </row>
    <row r="150" spans="2:7" ht="14.45" customHeight="1">
      <c r="B150" s="12"/>
      <c r="C150" s="3" t="s">
        <v>12</v>
      </c>
      <c r="D150" s="36">
        <f t="shared" si="4"/>
        <v>0</v>
      </c>
      <c r="E150" s="36">
        <f t="shared" si="4"/>
        <v>0</v>
      </c>
      <c r="F150" s="36">
        <f t="shared" si="4"/>
        <v>3317.4236362917682</v>
      </c>
      <c r="G150" s="36">
        <f t="shared" si="4"/>
        <v>9668.7006257882622</v>
      </c>
    </row>
    <row r="151" spans="2:7" ht="14.45" customHeight="1">
      <c r="B151" s="13"/>
      <c r="C151" s="3" t="s">
        <v>13</v>
      </c>
      <c r="D151" s="36">
        <f t="shared" si="4"/>
        <v>0</v>
      </c>
      <c r="E151" s="36">
        <f t="shared" si="4"/>
        <v>0</v>
      </c>
      <c r="F151" s="36">
        <f t="shared" si="4"/>
        <v>39981.561014510029</v>
      </c>
      <c r="G151" s="36">
        <f t="shared" si="4"/>
        <v>87597.70405059203</v>
      </c>
    </row>
    <row r="152" spans="2:7" ht="14.45" customHeight="1">
      <c r="B152" s="9" t="s">
        <v>15</v>
      </c>
      <c r="C152" s="3" t="s">
        <v>12</v>
      </c>
      <c r="D152" s="36">
        <f t="shared" si="4"/>
        <v>0</v>
      </c>
      <c r="E152" s="36">
        <f t="shared" si="4"/>
        <v>0</v>
      </c>
      <c r="F152" s="36">
        <f t="shared" si="4"/>
        <v>0</v>
      </c>
      <c r="G152" s="36">
        <f t="shared" si="4"/>
        <v>0</v>
      </c>
    </row>
    <row r="153" spans="2:7" ht="14.45" customHeight="1">
      <c r="B153" s="13"/>
      <c r="C153" s="3" t="s">
        <v>13</v>
      </c>
      <c r="D153" s="36">
        <f t="shared" si="4"/>
        <v>0</v>
      </c>
      <c r="E153" s="36">
        <f t="shared" si="4"/>
        <v>0</v>
      </c>
      <c r="F153" s="36">
        <f t="shared" si="4"/>
        <v>0</v>
      </c>
      <c r="G153" s="36">
        <f t="shared" si="4"/>
        <v>0</v>
      </c>
    </row>
    <row r="154" spans="2:7" ht="14.45" customHeight="1">
      <c r="B154" s="14" t="s">
        <v>26</v>
      </c>
      <c r="C154" s="3" t="s">
        <v>27</v>
      </c>
      <c r="D154" s="36">
        <f t="shared" si="4"/>
        <v>6.5283408169356525E-3</v>
      </c>
      <c r="E154" s="36">
        <f t="shared" si="4"/>
        <v>6.9341479553544604E-3</v>
      </c>
      <c r="F154" s="36">
        <f t="shared" si="4"/>
        <v>7.3029617882599479E-3</v>
      </c>
      <c r="G154" s="36">
        <f t="shared" si="4"/>
        <v>8.6931802205729072E-3</v>
      </c>
    </row>
    <row r="155" spans="2:7" ht="14.45" customHeight="1">
      <c r="B155" s="8" t="s">
        <v>2</v>
      </c>
      <c r="C155" s="8" t="s">
        <v>230</v>
      </c>
      <c r="D155" s="5"/>
      <c r="E155" s="5"/>
      <c r="F155" s="5"/>
      <c r="G155" s="5"/>
    </row>
    <row r="156" spans="2:7" ht="14.45" customHeight="1">
      <c r="B156" s="24"/>
      <c r="C156" s="24"/>
      <c r="D156" s="22" t="str">
        <f>'Input data'!D$5</f>
        <v>2023-24</v>
      </c>
      <c r="E156" s="22" t="str">
        <f>'Input data'!E$5</f>
        <v>2024-25</v>
      </c>
      <c r="F156" s="22" t="str">
        <f>'Input data'!F$5</f>
        <v>2025-26</v>
      </c>
      <c r="G156" s="22" t="str">
        <f>'Input data'!G$5</f>
        <v>2026-27</v>
      </c>
    </row>
    <row r="157" spans="2:7" ht="14.45" customHeight="1">
      <c r="B157" s="23"/>
      <c r="C157" s="23"/>
      <c r="D157" s="7"/>
      <c r="E157" s="7"/>
      <c r="F157" s="7"/>
      <c r="G157" s="7"/>
    </row>
    <row r="158" spans="2:7" ht="14.45" customHeight="1">
      <c r="B158" s="9" t="s">
        <v>8</v>
      </c>
      <c r="C158" s="3" t="s">
        <v>12</v>
      </c>
      <c r="D158" s="36">
        <f t="shared" ref="D158:G161" si="5">D104*D131</f>
        <v>0</v>
      </c>
      <c r="E158" s="36">
        <f t="shared" si="5"/>
        <v>0</v>
      </c>
      <c r="F158" s="36">
        <f t="shared" si="5"/>
        <v>0</v>
      </c>
      <c r="G158" s="36">
        <f t="shared" si="5"/>
        <v>0</v>
      </c>
    </row>
    <row r="159" spans="2:7" ht="14.45" customHeight="1">
      <c r="B159" s="11"/>
      <c r="C159" s="3" t="s">
        <v>13</v>
      </c>
      <c r="D159" s="36">
        <f t="shared" si="5"/>
        <v>0</v>
      </c>
      <c r="E159" s="36">
        <f t="shared" si="5"/>
        <v>0</v>
      </c>
      <c r="F159" s="36">
        <f t="shared" si="5"/>
        <v>0</v>
      </c>
      <c r="G159" s="36">
        <f t="shared" si="5"/>
        <v>0</v>
      </c>
    </row>
    <row r="160" spans="2:7" ht="14.45" customHeight="1">
      <c r="B160" s="14" t="s">
        <v>14</v>
      </c>
      <c r="C160" s="3" t="s">
        <v>13</v>
      </c>
      <c r="D160" s="36">
        <f t="shared" si="5"/>
        <v>0</v>
      </c>
      <c r="E160" s="36">
        <f t="shared" si="5"/>
        <v>0</v>
      </c>
      <c r="F160" s="36">
        <f t="shared" si="5"/>
        <v>0</v>
      </c>
      <c r="G160" s="36">
        <f t="shared" si="5"/>
        <v>0</v>
      </c>
    </row>
    <row r="161" spans="2:7" ht="14.45" customHeight="1">
      <c r="B161" s="14" t="s">
        <v>15</v>
      </c>
      <c r="C161" s="3" t="s">
        <v>13</v>
      </c>
      <c r="D161" s="36">
        <f t="shared" si="5"/>
        <v>0</v>
      </c>
      <c r="E161" s="36">
        <f t="shared" si="5"/>
        <v>0</v>
      </c>
      <c r="F161" s="36">
        <f t="shared" si="5"/>
        <v>0</v>
      </c>
      <c r="G161" s="36">
        <f t="shared" si="5"/>
        <v>0</v>
      </c>
    </row>
    <row r="162" spans="2:7" ht="14.45" customHeight="1">
      <c r="B162" s="20" t="s">
        <v>32</v>
      </c>
      <c r="C162" s="21"/>
      <c r="D162" s="19">
        <f>SUM(D142:D154,D158:D161)</f>
        <v>19783698.775334466</v>
      </c>
      <c r="E162" s="19">
        <f t="shared" ref="E162:G162" si="6">SUM(E142:E154,E158:E161)</f>
        <v>20939188.620321266</v>
      </c>
      <c r="F162" s="19">
        <f t="shared" si="6"/>
        <v>19731079.089565251</v>
      </c>
      <c r="G162" s="19">
        <f t="shared" si="6"/>
        <v>23417102.425143346</v>
      </c>
    </row>
    <row r="163" spans="2:7" ht="14.45" customHeight="1">
      <c r="C163" s="56"/>
    </row>
    <row r="164" spans="2:7" ht="14.45" customHeight="1">
      <c r="C164" s="56"/>
    </row>
    <row r="165" spans="2:7" ht="28.9" customHeight="1">
      <c r="B165" s="31" t="s">
        <v>605</v>
      </c>
      <c r="C165" s="4"/>
      <c r="D165" s="4"/>
      <c r="E165" s="4"/>
      <c r="F165" s="4"/>
      <c r="G165" s="4"/>
    </row>
    <row r="166" spans="2:7" ht="14.45" customHeight="1">
      <c r="B166" s="35"/>
    </row>
    <row r="167" spans="2:7" ht="14.45" customHeight="1">
      <c r="B167" s="8" t="s">
        <v>2</v>
      </c>
      <c r="C167" s="8" t="s">
        <v>229</v>
      </c>
      <c r="D167" s="5"/>
      <c r="E167" s="5"/>
      <c r="F167" s="5"/>
      <c r="G167" s="5"/>
    </row>
    <row r="168" spans="2:7" ht="14.45" customHeight="1">
      <c r="B168" s="24"/>
      <c r="C168" s="24"/>
      <c r="D168" s="22" t="str">
        <f>'Input data'!D$5</f>
        <v>2023-24</v>
      </c>
      <c r="E168" s="22" t="str">
        <f>'Input data'!E$5</f>
        <v>2024-25</v>
      </c>
      <c r="F168" s="22" t="str">
        <f>'Input data'!F$5</f>
        <v>2025-26</v>
      </c>
      <c r="G168" s="22" t="str">
        <f>'Input data'!G$5</f>
        <v>2026-27</v>
      </c>
    </row>
    <row r="169" spans="2:7" ht="14.45" customHeight="1">
      <c r="B169" s="23"/>
      <c r="C169" s="23"/>
      <c r="D169" s="7"/>
      <c r="E169" s="7"/>
      <c r="F169" s="7"/>
      <c r="G169" s="7"/>
    </row>
    <row r="170" spans="2:7" ht="14.45" customHeight="1">
      <c r="B170" s="9" t="s">
        <v>8</v>
      </c>
      <c r="C170" s="3" t="s">
        <v>9</v>
      </c>
      <c r="D170" s="53">
        <f>D88*('Input data'!D$190*'Input data'!D$7)/D$162</f>
        <v>3.3169012300779871E-2</v>
      </c>
      <c r="E170" s="53">
        <f>E88*('Input data'!E$190*'Input data'!E$7)/E$162</f>
        <v>3.52285835577116E-2</v>
      </c>
      <c r="F170" s="53">
        <f>F88*('Input data'!F$190*'Input data'!F$7)/F$162</f>
        <v>3.7366318116816469E-2</v>
      </c>
      <c r="G170" s="53">
        <f>G88*('Input data'!G$190*'Input data'!G$7)/G$162</f>
        <v>4.3924653615128845E-2</v>
      </c>
    </row>
    <row r="171" spans="2:7" ht="14.45" customHeight="1">
      <c r="B171" s="10"/>
      <c r="C171" s="3" t="s">
        <v>10</v>
      </c>
      <c r="D171" s="53">
        <f>D89*('Input data'!D$190*'Input data'!D$7)/D$162</f>
        <v>4.3119715991013836E-2</v>
      </c>
      <c r="E171" s="53">
        <f>E89*('Input data'!E$190*'Input data'!E$7)/E$162</f>
        <v>4.1569728598099688E-2</v>
      </c>
      <c r="F171" s="53">
        <f>F89*('Input data'!F$190*'Input data'!F$7)/F$162</f>
        <v>4.4092255377843427E-2</v>
      </c>
      <c r="G171" s="53">
        <f>G89*('Input data'!G$190*'Input data'!G$7)/G$162</f>
        <v>5.1831091265852038E-2</v>
      </c>
    </row>
    <row r="172" spans="2:7" ht="14.45" customHeight="1">
      <c r="B172" s="10"/>
      <c r="C172" s="3" t="s">
        <v>11</v>
      </c>
      <c r="D172" s="53">
        <f>D90*('Input data'!D$190*'Input data'!D$7)/D$162</f>
        <v>4.9753518451169806E-2</v>
      </c>
      <c r="E172" s="53">
        <f>E90*('Input data'!E$190*'Input data'!E$7)/E$162</f>
        <v>4.7558587802910668E-2</v>
      </c>
      <c r="F172" s="53">
        <f>F90*('Input data'!F$190*'Input data'!F$7)/F$162</f>
        <v>5.0444529457702232E-2</v>
      </c>
      <c r="G172" s="53">
        <f>G90*('Input data'!G$190*'Input data'!G$7)/G$162</f>
        <v>5.9298282380423943E-2</v>
      </c>
    </row>
    <row r="173" spans="2:7" ht="14.45" customHeight="1">
      <c r="B173" s="10"/>
      <c r="C173" s="3" t="s">
        <v>12</v>
      </c>
      <c r="D173" s="53">
        <f>D91*('Input data'!D$190*'Input data'!D$7)/D$162</f>
        <v>6.6338024601559742E-2</v>
      </c>
      <c r="E173" s="53">
        <f>E91*('Input data'!E$190*'Input data'!E$7)/E$162</f>
        <v>6.8343452101960508E-2</v>
      </c>
      <c r="F173" s="53">
        <f>F91*('Input data'!F$190*'Input data'!F$7)/F$162</f>
        <v>7.2490657146623949E-2</v>
      </c>
      <c r="G173" s="53">
        <f>G91*('Input data'!G$190*'Input data'!G$7)/G$162</f>
        <v>8.5213828013349951E-2</v>
      </c>
    </row>
    <row r="174" spans="2:7" ht="14.45" customHeight="1">
      <c r="B174" s="11"/>
      <c r="C174" s="3" t="s">
        <v>13</v>
      </c>
      <c r="D174" s="53">
        <f>D92*('Input data'!D$190*'Input data'!D$7)/D$162</f>
        <v>7.2971827061715719E-2</v>
      </c>
      <c r="E174" s="53">
        <f>E92*('Input data'!E$190*'Input data'!E$7)/E$162</f>
        <v>7.5036882977925698E-2</v>
      </c>
      <c r="F174" s="53">
        <f>F92*('Input data'!F$190*'Input data'!F$7)/F$162</f>
        <v>7.9590257588819074E-2</v>
      </c>
      <c r="G174" s="53">
        <f>G92*('Input data'!G$190*'Input data'!G$7)/G$162</f>
        <v>9.3559512200224432E-2</v>
      </c>
    </row>
    <row r="175" spans="2:7" ht="14.45" customHeight="1">
      <c r="B175" s="9" t="s">
        <v>14</v>
      </c>
      <c r="C175" s="3" t="s">
        <v>9</v>
      </c>
      <c r="D175" s="53">
        <f>D93*('Input data'!D$190*'Input data'!D$7)/D$162</f>
        <v>9.3711496166219294E-2</v>
      </c>
      <c r="E175" s="53">
        <f>E93*('Input data'!E$190*'Input data'!E$7)/E$162</f>
        <v>9.8902373332040633E-2</v>
      </c>
      <c r="F175" s="53">
        <f>F93*('Input data'!F$190*'Input data'!F$7)/F$162</f>
        <v>0.10440725521264488</v>
      </c>
      <c r="G175" s="53">
        <f>G93*('Input data'!G$190*'Input data'!G$7)/G$162</f>
        <v>0.12374153940209431</v>
      </c>
    </row>
    <row r="176" spans="2:7" ht="14.45" customHeight="1">
      <c r="B176" s="12"/>
      <c r="C176" s="3" t="s">
        <v>10</v>
      </c>
      <c r="D176" s="53">
        <f>D94*('Input data'!D$190*'Input data'!D$7)/D$162</f>
        <v>0.1218249450160851</v>
      </c>
      <c r="E176" s="53">
        <f>E94*('Input data'!E$190*'Input data'!E$7)/E$162</f>
        <v>0.11670480053180794</v>
      </c>
      <c r="F176" s="53">
        <f>F94*('Input data'!F$190*'Input data'!F$7)/F$162</f>
        <v>0.12320056115092094</v>
      </c>
      <c r="G176" s="53">
        <f>G94*('Input data'!G$190*'Input data'!G$7)/G$162</f>
        <v>0.14601501649447127</v>
      </c>
    </row>
    <row r="177" spans="2:7" ht="14.45" customHeight="1">
      <c r="B177" s="12"/>
      <c r="C177" s="3" t="s">
        <v>11</v>
      </c>
      <c r="D177" s="53">
        <f>D95*('Input data'!D$190*'Input data'!D$7)/D$162</f>
        <v>0.14056724424932893</v>
      </c>
      <c r="E177" s="53">
        <f>E95*('Input data'!E$190*'Input data'!E$7)/E$162</f>
        <v>0.13351820399825487</v>
      </c>
      <c r="F177" s="53">
        <f>F95*('Input data'!F$190*'Input data'!F$7)/F$162</f>
        <v>0.1409497945370706</v>
      </c>
      <c r="G177" s="53">
        <f>G95*('Input data'!G$190*'Input data'!G$7)/G$162</f>
        <v>0.16705107819282733</v>
      </c>
    </row>
    <row r="178" spans="2:7" ht="14.45" customHeight="1">
      <c r="B178" s="12"/>
      <c r="C178" s="3" t="s">
        <v>12</v>
      </c>
      <c r="D178" s="53">
        <f>D96*('Input data'!D$190*'Input data'!D$7)/D$162</f>
        <v>0.18742299233243859</v>
      </c>
      <c r="E178" s="53">
        <f>E96*('Input data'!E$190*'Input data'!E$7)/E$162</f>
        <v>0.19187060426415883</v>
      </c>
      <c r="F178" s="53">
        <f>F96*('Input data'!F$190*'Input data'!F$7)/F$162</f>
        <v>0.20255007511253109</v>
      </c>
      <c r="G178" s="53">
        <f>G96*('Input data'!G$190*'Input data'!G$7)/G$162</f>
        <v>0.24005858644006298</v>
      </c>
    </row>
    <row r="179" spans="2:7" ht="14.45" customHeight="1">
      <c r="B179" s="13"/>
      <c r="C179" s="3" t="s">
        <v>13</v>
      </c>
      <c r="D179" s="53">
        <f>D97*('Input data'!D$190*'Input data'!D$7)/D$162</f>
        <v>0.20616529156568245</v>
      </c>
      <c r="E179" s="53">
        <f>E97*('Input data'!E$190*'Input data'!E$7)/E$162</f>
        <v>0.21066205519724651</v>
      </c>
      <c r="F179" s="53">
        <f>F97*('Input data'!F$190*'Input data'!F$7)/F$162</f>
        <v>0.22238745360293358</v>
      </c>
      <c r="G179" s="53">
        <f>G97*('Input data'!G$190*'Input data'!G$7)/G$162</f>
        <v>0.26356947892646088</v>
      </c>
    </row>
    <row r="180" spans="2:7" ht="14.45" customHeight="1">
      <c r="B180" s="9" t="s">
        <v>15</v>
      </c>
      <c r="C180" s="3" t="s">
        <v>12</v>
      </c>
      <c r="D180" s="53">
        <f>D98*('Input data'!D$190*'Input data'!D$7)/D$162</f>
        <v>0</v>
      </c>
      <c r="E180" s="53">
        <f>E98*('Input data'!E$190*'Input data'!E$7)/E$162</f>
        <v>0</v>
      </c>
      <c r="F180" s="53">
        <f>F98*('Input data'!F$190*'Input data'!F$7)/F$162</f>
        <v>0</v>
      </c>
      <c r="G180" s="53">
        <f>G98*('Input data'!G$190*'Input data'!G$7)/G$162</f>
        <v>0</v>
      </c>
    </row>
    <row r="181" spans="2:7" ht="14.45" customHeight="1">
      <c r="B181" s="13"/>
      <c r="C181" s="3" t="s">
        <v>13</v>
      </c>
      <c r="D181" s="53">
        <f>D99*('Input data'!D$190*'Input data'!D$7)/D$162</f>
        <v>0</v>
      </c>
      <c r="E181" s="53">
        <f>E99*('Input data'!E$190*'Input data'!E$7)/E$162</f>
        <v>0</v>
      </c>
      <c r="F181" s="53">
        <f>F99*('Input data'!F$190*'Input data'!F$7)/F$162</f>
        <v>0</v>
      </c>
      <c r="G181" s="53">
        <f>G99*('Input data'!G$190*'Input data'!G$7)/G$162</f>
        <v>0</v>
      </c>
    </row>
    <row r="182" spans="2:7" ht="14.45" customHeight="1">
      <c r="B182" s="14" t="s">
        <v>26</v>
      </c>
      <c r="C182" s="3" t="s">
        <v>27</v>
      </c>
      <c r="D182" s="53">
        <f>D100*('Input data'!D$190*'Input data'!D$7)/D$162</f>
        <v>6.5485106194649373E-3</v>
      </c>
      <c r="E182" s="53">
        <f>E100*('Input data'!E$190*'Input data'!E$7)/E$162</f>
        <v>6.9516376656535359E-3</v>
      </c>
      <c r="F182" s="53">
        <f>F100*('Input data'!F$190*'Input data'!F$7)/F$162</f>
        <v>7.3225838532495419E-3</v>
      </c>
      <c r="G182" s="53">
        <f>G100*('Input data'!G$190*'Input data'!G$7)/G$162</f>
        <v>8.7193329422280367E-3</v>
      </c>
    </row>
    <row r="183" spans="2:7" ht="14.45" customHeight="1">
      <c r="B183" s="8" t="s">
        <v>2</v>
      </c>
      <c r="C183" s="8" t="s">
        <v>230</v>
      </c>
      <c r="D183" s="5"/>
      <c r="E183" s="5"/>
      <c r="F183" s="5"/>
      <c r="G183" s="5"/>
    </row>
    <row r="184" spans="2:7" ht="14.45" customHeight="1">
      <c r="B184" s="24"/>
      <c r="C184" s="24"/>
      <c r="D184" s="22" t="str">
        <f>'Input data'!D$5</f>
        <v>2023-24</v>
      </c>
      <c r="E184" s="22" t="str">
        <f>'Input data'!E$5</f>
        <v>2024-25</v>
      </c>
      <c r="F184" s="22" t="str">
        <f>'Input data'!F$5</f>
        <v>2025-26</v>
      </c>
      <c r="G184" s="22" t="str">
        <f>'Input data'!G$5</f>
        <v>2026-27</v>
      </c>
    </row>
    <row r="185" spans="2:7" ht="14.45" customHeight="1">
      <c r="B185" s="23"/>
      <c r="C185" s="23"/>
      <c r="D185" s="7"/>
      <c r="E185" s="7"/>
      <c r="F185" s="7"/>
      <c r="G185" s="7"/>
    </row>
    <row r="186" spans="2:7" ht="14.45" customHeight="1">
      <c r="B186" s="9" t="s">
        <v>8</v>
      </c>
      <c r="C186" s="3" t="s">
        <v>12</v>
      </c>
      <c r="D186" s="53">
        <f>D104*('Input data'!D$190*'Input data'!D$7)/D$162</f>
        <v>6.3286475469887998E-2</v>
      </c>
      <c r="E186" s="53">
        <f>E104*('Input data'!E$190*'Input data'!E$7)/E$162</f>
        <v>6.5199653305270333E-2</v>
      </c>
      <c r="F186" s="53">
        <f>F104*('Input data'!F$190*'Input data'!F$7)/F$162</f>
        <v>6.915608691787925E-2</v>
      </c>
      <c r="G186" s="53">
        <f>G104*('Input data'!G$190*'Input data'!G$7)/G$162</f>
        <v>8.1293991924735853E-2</v>
      </c>
    </row>
    <row r="187" spans="2:7" ht="14.45" customHeight="1">
      <c r="B187" s="11"/>
      <c r="C187" s="3" t="s">
        <v>13</v>
      </c>
      <c r="D187" s="53">
        <f>D105*('Input data'!D$190*'Input data'!D$7)/D$162</f>
        <v>6.9615123016876793E-2</v>
      </c>
      <c r="E187" s="53">
        <f>E105*('Input data'!E$190*'Input data'!E$7)/E$162</f>
        <v>7.1585186360941119E-2</v>
      </c>
      <c r="F187" s="53">
        <f>F105*('Input data'!F$190*'Input data'!F$7)/F$162</f>
        <v>7.5929105739733382E-2</v>
      </c>
      <c r="G187" s="53">
        <f>G105*('Input data'!G$190*'Input data'!G$7)/G$162</f>
        <v>8.9255774639014102E-2</v>
      </c>
    </row>
    <row r="188" spans="2:7" ht="14.45" customHeight="1">
      <c r="B188" s="14" t="s">
        <v>14</v>
      </c>
      <c r="C188" s="3" t="s">
        <v>13</v>
      </c>
      <c r="D188" s="53">
        <f>D106*('Input data'!D$190*'Input data'!D$7)/D$162</f>
        <v>0.17462200195613301</v>
      </c>
      <c r="E188" s="53">
        <f>E106*('Input data'!E$190*'Input data'!E$7)/E$162</f>
        <v>0.18222267774561823</v>
      </c>
      <c r="F188" s="53">
        <f>F106*('Input data'!F$190*'Input data'!F$7)/F$162</f>
        <v>0.20548600712911064</v>
      </c>
      <c r="G188" s="53">
        <f>G106*('Input data'!G$190*'Input data'!G$7)/G$162</f>
        <v>0.24353819852804987</v>
      </c>
    </row>
    <row r="189" spans="2:7" ht="14.45" customHeight="1">
      <c r="B189" s="14" t="s">
        <v>15</v>
      </c>
      <c r="C189" s="3" t="s">
        <v>13</v>
      </c>
      <c r="D189" s="53">
        <f>D107*('Input data'!D$190*'Input data'!D$7)/D$162</f>
        <v>0</v>
      </c>
      <c r="E189" s="53">
        <f>E107*('Input data'!E$190*'Input data'!E$7)/E$162</f>
        <v>0</v>
      </c>
      <c r="F189" s="53">
        <f>F107*('Input data'!F$190*'Input data'!F$7)/F$162</f>
        <v>0</v>
      </c>
      <c r="G189" s="53">
        <f>G107*('Input data'!G$190*'Input data'!G$7)/G$162</f>
        <v>0</v>
      </c>
    </row>
    <row r="192" spans="2:7" ht="28.9" customHeight="1">
      <c r="B192" s="31" t="s">
        <v>606</v>
      </c>
      <c r="C192" s="4"/>
      <c r="D192" s="4"/>
      <c r="E192" s="4"/>
      <c r="F192" s="4"/>
      <c r="G192" s="4"/>
    </row>
    <row r="193" spans="2:7" ht="14.45" customHeight="1">
      <c r="B193" s="35"/>
    </row>
    <row r="194" spans="2:7" ht="14.45" customHeight="1">
      <c r="B194" s="8" t="s">
        <v>2</v>
      </c>
      <c r="C194" s="8" t="s">
        <v>229</v>
      </c>
      <c r="D194" s="5"/>
      <c r="E194" s="5"/>
      <c r="F194" s="5"/>
      <c r="G194" s="5"/>
    </row>
    <row r="195" spans="2:7" ht="14.45" customHeight="1">
      <c r="B195" s="24"/>
      <c r="C195" s="24"/>
      <c r="D195" s="22" t="str">
        <f>'Input data'!D$5</f>
        <v>2023-24</v>
      </c>
      <c r="E195" s="22" t="str">
        <f>'Input data'!E$5</f>
        <v>2024-25</v>
      </c>
      <c r="F195" s="22" t="str">
        <f>'Input data'!F$5</f>
        <v>2025-26</v>
      </c>
      <c r="G195" s="22" t="str">
        <f>'Input data'!G$5</f>
        <v>2026-27</v>
      </c>
    </row>
    <row r="196" spans="2:7" ht="14.45" customHeight="1">
      <c r="B196" s="23"/>
      <c r="C196" s="23"/>
      <c r="D196" s="7"/>
      <c r="E196" s="7"/>
      <c r="F196" s="7"/>
      <c r="G196" s="7"/>
    </row>
    <row r="197" spans="2:7" ht="14.45" customHeight="1">
      <c r="B197" s="9" t="s">
        <v>8</v>
      </c>
      <c r="C197" s="3" t="s">
        <v>9</v>
      </c>
      <c r="D197" s="36">
        <f t="shared" ref="D197:G197" si="7">D170*D115</f>
        <v>101264.53018810874</v>
      </c>
      <c r="E197" s="36">
        <f t="shared" si="7"/>
        <v>172081.13256152096</v>
      </c>
      <c r="F197" s="36">
        <f t="shared" si="7"/>
        <v>324211.02638700884</v>
      </c>
      <c r="G197" s="36">
        <f t="shared" si="7"/>
        <v>336740.7140506563</v>
      </c>
    </row>
    <row r="198" spans="2:7" ht="14.45" customHeight="1">
      <c r="B198" s="10"/>
      <c r="C198" s="3" t="s">
        <v>10</v>
      </c>
      <c r="D198" s="36">
        <f t="shared" ref="D198:G209" si="8">D171*D116</f>
        <v>61548.565168981251</v>
      </c>
      <c r="E198" s="36">
        <f t="shared" si="8"/>
        <v>146072.36815760567</v>
      </c>
      <c r="F198" s="36">
        <f t="shared" si="8"/>
        <v>70388.1710091032</v>
      </c>
      <c r="G198" s="36">
        <f t="shared" si="8"/>
        <v>10772.884995242282</v>
      </c>
    </row>
    <row r="199" spans="2:7" ht="14.45" customHeight="1">
      <c r="B199" s="10"/>
      <c r="C199" s="3" t="s">
        <v>11</v>
      </c>
      <c r="D199" s="36">
        <f t="shared" si="8"/>
        <v>140820.26897641606</v>
      </c>
      <c r="E199" s="36">
        <f t="shared" si="8"/>
        <v>436840.18189760216</v>
      </c>
      <c r="F199" s="36">
        <f t="shared" si="8"/>
        <v>126717.76777739607</v>
      </c>
      <c r="G199" s="36">
        <f t="shared" si="8"/>
        <v>75037.469682965588</v>
      </c>
    </row>
    <row r="200" spans="2:7" ht="14.45" customHeight="1">
      <c r="B200" s="10"/>
      <c r="C200" s="3" t="s">
        <v>12</v>
      </c>
      <c r="D200" s="36">
        <f t="shared" si="8"/>
        <v>718228.30593155988</v>
      </c>
      <c r="E200" s="36">
        <f t="shared" si="8"/>
        <v>406494.87258892873</v>
      </c>
      <c r="F200" s="36">
        <f t="shared" si="8"/>
        <v>186168.21153291664</v>
      </c>
      <c r="G200" s="36">
        <f t="shared" si="8"/>
        <v>422872.6082888146</v>
      </c>
    </row>
    <row r="201" spans="2:7" ht="14.45" customHeight="1">
      <c r="B201" s="11"/>
      <c r="C201" s="3" t="s">
        <v>13</v>
      </c>
      <c r="D201" s="36">
        <f t="shared" si="8"/>
        <v>80661.098390444662</v>
      </c>
      <c r="E201" s="36">
        <f t="shared" si="8"/>
        <v>50039.428206330151</v>
      </c>
      <c r="F201" s="36">
        <f t="shared" si="8"/>
        <v>31072.859430256158</v>
      </c>
      <c r="G201" s="36">
        <f t="shared" si="8"/>
        <v>26701.521309647338</v>
      </c>
    </row>
    <row r="202" spans="2:7" ht="14.45" customHeight="1">
      <c r="B202" s="9" t="s">
        <v>14</v>
      </c>
      <c r="C202" s="3" t="s">
        <v>9</v>
      </c>
      <c r="D202" s="36">
        <f t="shared" si="8"/>
        <v>18742299.23324386</v>
      </c>
      <c r="E202" s="36">
        <f t="shared" si="8"/>
        <v>19780474.666408125</v>
      </c>
      <c r="F202" s="36">
        <f t="shared" si="8"/>
        <v>19002120.448701367</v>
      </c>
      <c r="G202" s="36">
        <f t="shared" si="8"/>
        <v>22335347.862078022</v>
      </c>
    </row>
    <row r="203" spans="2:7" ht="14.45" customHeight="1">
      <c r="B203" s="12"/>
      <c r="C203" s="3" t="s">
        <v>10</v>
      </c>
      <c r="D203" s="36">
        <f t="shared" si="8"/>
        <v>0</v>
      </c>
      <c r="E203" s="36">
        <f t="shared" si="8"/>
        <v>0</v>
      </c>
      <c r="F203" s="36">
        <f t="shared" si="8"/>
        <v>0</v>
      </c>
      <c r="G203" s="36">
        <f t="shared" si="8"/>
        <v>182518.7706180891</v>
      </c>
    </row>
    <row r="204" spans="2:7" ht="14.45" customHeight="1">
      <c r="B204" s="12"/>
      <c r="C204" s="3" t="s">
        <v>11</v>
      </c>
      <c r="D204" s="36">
        <f t="shared" si="8"/>
        <v>0</v>
      </c>
      <c r="E204" s="36">
        <f t="shared" si="8"/>
        <v>0</v>
      </c>
      <c r="F204" s="36">
        <f t="shared" si="8"/>
        <v>0</v>
      </c>
      <c r="G204" s="36">
        <f t="shared" si="8"/>
        <v>0</v>
      </c>
    </row>
    <row r="205" spans="2:7" ht="14.45" customHeight="1">
      <c r="B205" s="12"/>
      <c r="C205" s="3" t="s">
        <v>12</v>
      </c>
      <c r="D205" s="36">
        <f t="shared" si="8"/>
        <v>0</v>
      </c>
      <c r="E205" s="36">
        <f t="shared" si="8"/>
        <v>0</v>
      </c>
      <c r="F205" s="36">
        <f t="shared" si="8"/>
        <v>3326.3371023726095</v>
      </c>
      <c r="G205" s="36">
        <f t="shared" si="8"/>
        <v>9697.7881207920582</v>
      </c>
    </row>
    <row r="206" spans="2:7" ht="14.45" customHeight="1">
      <c r="B206" s="13"/>
      <c r="C206" s="3" t="s">
        <v>13</v>
      </c>
      <c r="D206" s="36">
        <f t="shared" si="8"/>
        <v>0</v>
      </c>
      <c r="E206" s="36">
        <f t="shared" si="8"/>
        <v>0</v>
      </c>
      <c r="F206" s="36">
        <f t="shared" si="8"/>
        <v>40088.986030737462</v>
      </c>
      <c r="G206" s="36">
        <f t="shared" si="8"/>
        <v>87861.234578377698</v>
      </c>
    </row>
    <row r="207" spans="2:7" ht="14.45" customHeight="1">
      <c r="B207" s="9" t="s">
        <v>15</v>
      </c>
      <c r="C207" s="3" t="s">
        <v>12</v>
      </c>
      <c r="D207" s="36">
        <f t="shared" si="8"/>
        <v>0</v>
      </c>
      <c r="E207" s="36">
        <f t="shared" si="8"/>
        <v>0</v>
      </c>
      <c r="F207" s="36">
        <f t="shared" si="8"/>
        <v>0</v>
      </c>
      <c r="G207" s="36">
        <f t="shared" si="8"/>
        <v>0</v>
      </c>
    </row>
    <row r="208" spans="2:7" ht="14.45" customHeight="1">
      <c r="B208" s="13"/>
      <c r="C208" s="3" t="s">
        <v>13</v>
      </c>
      <c r="D208" s="36">
        <f t="shared" si="8"/>
        <v>0</v>
      </c>
      <c r="E208" s="36">
        <f t="shared" si="8"/>
        <v>0</v>
      </c>
      <c r="F208" s="36">
        <f t="shared" si="8"/>
        <v>0</v>
      </c>
      <c r="G208" s="36">
        <f t="shared" si="8"/>
        <v>0</v>
      </c>
    </row>
    <row r="209" spans="2:7" ht="14.45" customHeight="1">
      <c r="B209" s="14" t="s">
        <v>26</v>
      </c>
      <c r="C209" s="3" t="s">
        <v>27</v>
      </c>
      <c r="D209" s="36">
        <f t="shared" si="8"/>
        <v>6.5485106194649373E-3</v>
      </c>
      <c r="E209" s="36">
        <f t="shared" si="8"/>
        <v>6.9516376656535359E-3</v>
      </c>
      <c r="F209" s="36">
        <f t="shared" si="8"/>
        <v>7.3225838532495419E-3</v>
      </c>
      <c r="G209" s="36">
        <f t="shared" si="8"/>
        <v>8.7193329422280367E-3</v>
      </c>
    </row>
    <row r="210" spans="2:7" ht="14.45" customHeight="1">
      <c r="B210" s="8" t="s">
        <v>2</v>
      </c>
      <c r="C210" s="8" t="s">
        <v>230</v>
      </c>
      <c r="D210" s="5"/>
      <c r="E210" s="5"/>
      <c r="F210" s="5"/>
      <c r="G210" s="5"/>
    </row>
    <row r="211" spans="2:7" ht="14.45" customHeight="1">
      <c r="B211" s="24"/>
      <c r="C211" s="24"/>
      <c r="D211" s="22" t="str">
        <f>'Input data'!D$5</f>
        <v>2023-24</v>
      </c>
      <c r="E211" s="22" t="str">
        <f>'Input data'!E$5</f>
        <v>2024-25</v>
      </c>
      <c r="F211" s="22" t="str">
        <f>'Input data'!F$5</f>
        <v>2025-26</v>
      </c>
      <c r="G211" s="22" t="str">
        <f>'Input data'!G$5</f>
        <v>2026-27</v>
      </c>
    </row>
    <row r="212" spans="2:7" ht="14.45" customHeight="1">
      <c r="B212" s="23"/>
      <c r="C212" s="23"/>
      <c r="D212" s="7"/>
      <c r="E212" s="7"/>
      <c r="F212" s="7"/>
      <c r="G212" s="7"/>
    </row>
    <row r="213" spans="2:7" ht="14.45" customHeight="1">
      <c r="B213" s="9" t="s">
        <v>8</v>
      </c>
      <c r="C213" s="3" t="s">
        <v>12</v>
      </c>
      <c r="D213" s="36">
        <f t="shared" ref="D213:G216" si="9">D186*D131</f>
        <v>0</v>
      </c>
      <c r="E213" s="36">
        <f t="shared" si="9"/>
        <v>0</v>
      </c>
      <c r="F213" s="36">
        <f t="shared" si="9"/>
        <v>0</v>
      </c>
      <c r="G213" s="36">
        <f t="shared" si="9"/>
        <v>0</v>
      </c>
    </row>
    <row r="214" spans="2:7" ht="14.45" customHeight="1">
      <c r="B214" s="11"/>
      <c r="C214" s="3" t="s">
        <v>13</v>
      </c>
      <c r="D214" s="36">
        <f t="shared" si="9"/>
        <v>0</v>
      </c>
      <c r="E214" s="36">
        <f t="shared" si="9"/>
        <v>0</v>
      </c>
      <c r="F214" s="36">
        <f t="shared" si="9"/>
        <v>0</v>
      </c>
      <c r="G214" s="36">
        <f t="shared" si="9"/>
        <v>0</v>
      </c>
    </row>
    <row r="215" spans="2:7" ht="14.45" customHeight="1">
      <c r="B215" s="14" t="s">
        <v>14</v>
      </c>
      <c r="C215" s="3" t="s">
        <v>13</v>
      </c>
      <c r="D215" s="36">
        <f t="shared" si="9"/>
        <v>0</v>
      </c>
      <c r="E215" s="36">
        <f t="shared" si="9"/>
        <v>0</v>
      </c>
      <c r="F215" s="36">
        <f t="shared" si="9"/>
        <v>0</v>
      </c>
      <c r="G215" s="36">
        <f t="shared" si="9"/>
        <v>0</v>
      </c>
    </row>
    <row r="216" spans="2:7" ht="14.45" customHeight="1">
      <c r="B216" s="14" t="s">
        <v>15</v>
      </c>
      <c r="C216" s="3" t="s">
        <v>13</v>
      </c>
      <c r="D216" s="36">
        <f t="shared" si="9"/>
        <v>0</v>
      </c>
      <c r="E216" s="36">
        <f t="shared" si="9"/>
        <v>0</v>
      </c>
      <c r="F216" s="36">
        <f t="shared" si="9"/>
        <v>0</v>
      </c>
      <c r="G216" s="36">
        <f t="shared" si="9"/>
        <v>0</v>
      </c>
    </row>
    <row r="217" spans="2:7" ht="14.45" customHeight="1">
      <c r="B217" s="20" t="s">
        <v>32</v>
      </c>
      <c r="C217" s="21"/>
      <c r="D217" s="19">
        <f t="shared" ref="D217" si="10">SUM(D197:D209,D213:D216)</f>
        <v>19844822.008447878</v>
      </c>
      <c r="E217" s="19">
        <f t="shared" ref="E217" si="11">SUM(E197:E209,E213:E216)</f>
        <v>20992002.656771749</v>
      </c>
      <c r="F217" s="19">
        <f t="shared" ref="F217" si="12">SUM(F197:F209,F213:F216)</f>
        <v>19784093.81529374</v>
      </c>
      <c r="G217" s="19">
        <f t="shared" ref="G217" si="13">SUM(G197:G209,G213:G216)</f>
        <v>23487550.862441938</v>
      </c>
    </row>
    <row r="218" spans="2:7" ht="14.45" customHeight="1">
      <c r="D218" s="57">
        <f>'Input data'!D190*'Input data'!D7-D217</f>
        <v>0</v>
      </c>
      <c r="E218" s="57">
        <f>'Input data'!E190*'Input data'!E7-E217</f>
        <v>0</v>
      </c>
      <c r="F218" s="57">
        <f>'Input data'!F190*'Input data'!F7-F217</f>
        <v>0</v>
      </c>
      <c r="G218" s="57">
        <f>'Input data'!G190*'Input data'!G7-G217</f>
        <v>0</v>
      </c>
    </row>
  </sheetData>
  <conditionalFormatting sqref="D218:G218">
    <cfRule type="cellIs" dxfId="43" priority="1" operator="equal">
      <formula>0</formula>
    </cfRule>
    <cfRule type="cellIs" dxfId="42" priority="2" operator="lessThan">
      <formula>0</formula>
    </cfRule>
    <cfRule type="cellIs" dxfId="41" priority="3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79998168889431442"/>
  </sheetPr>
  <dimension ref="B2:U707"/>
  <sheetViews>
    <sheetView showGridLines="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27.5703125" style="1" customWidth="1"/>
    <col min="4" max="7" width="11.7109375" style="1" customWidth="1"/>
    <col min="8" max="8" width="8.85546875" style="1"/>
    <col min="9" max="10" width="11" style="1" bestFit="1" customWidth="1"/>
    <col min="11" max="15" width="8.85546875" style="1" customWidth="1"/>
    <col min="16" max="16384" width="8.85546875" style="1"/>
  </cols>
  <sheetData>
    <row r="2" spans="2:7" ht="28.9" customHeight="1">
      <c r="B2" s="31" t="s">
        <v>607</v>
      </c>
      <c r="C2" s="4"/>
      <c r="D2" s="4"/>
      <c r="E2" s="4"/>
      <c r="F2" s="4"/>
      <c r="G2" s="4"/>
    </row>
    <row r="3" spans="2:7" ht="14.45" customHeight="1">
      <c r="B3" s="35" t="s">
        <v>234</v>
      </c>
    </row>
    <row r="4" spans="2:7" ht="14.45" customHeight="1">
      <c r="B4" s="8" t="s">
        <v>1</v>
      </c>
      <c r="C4" s="8" t="s">
        <v>215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34" t="s">
        <v>0</v>
      </c>
      <c r="C7" s="3" t="s">
        <v>217</v>
      </c>
      <c r="D7" s="36">
        <f>'Input capacity'!D19</f>
        <v>16318269.820479449</v>
      </c>
      <c r="E7" s="36">
        <f>'Input capacity'!E19</f>
        <v>36565153.017457187</v>
      </c>
      <c r="F7" s="36">
        <f>'Input capacity'!F19</f>
        <v>53723308.416250005</v>
      </c>
      <c r="G7" s="36">
        <f>'Input capacity'!G19</f>
        <v>19405165.553125001</v>
      </c>
    </row>
    <row r="8" spans="2:7" ht="14.45" customHeight="1">
      <c r="B8" s="34" t="s">
        <v>216</v>
      </c>
      <c r="C8" s="3" t="s">
        <v>217</v>
      </c>
      <c r="D8" s="36">
        <f>'Input capacity'!D20</f>
        <v>7417395.3729452044</v>
      </c>
      <c r="E8" s="36">
        <f>'Input capacity'!E20</f>
        <v>16620524.098844176</v>
      </c>
      <c r="F8" s="36">
        <f>'Input capacity'!F20</f>
        <v>24419685.643750001</v>
      </c>
      <c r="G8" s="36">
        <f>'Input capacity'!G20</f>
        <v>8820529.796875</v>
      </c>
    </row>
    <row r="9" spans="2:7" ht="14.45" customHeight="1">
      <c r="B9" s="34" t="s">
        <v>218</v>
      </c>
      <c r="C9" s="3" t="s">
        <v>14</v>
      </c>
      <c r="D9" s="36">
        <f>'Input capacity'!D21</f>
        <v>2</v>
      </c>
      <c r="E9" s="36">
        <f>'Input capacity'!E21</f>
        <v>1.94</v>
      </c>
      <c r="F9" s="36">
        <f>'Input capacity'!F21</f>
        <v>1.94</v>
      </c>
      <c r="G9" s="36">
        <f>'Input capacity'!G21</f>
        <v>1.94</v>
      </c>
    </row>
    <row r="10" spans="2:7" ht="14.45" customHeight="1">
      <c r="B10" s="34" t="s">
        <v>219</v>
      </c>
      <c r="C10" s="3" t="s">
        <v>15</v>
      </c>
      <c r="D10" s="36">
        <f>'Input capacity'!D22</f>
        <v>11893399.989315068</v>
      </c>
      <c r="E10" s="36">
        <f>'Input capacity'!E22</f>
        <v>7121971.8712328775</v>
      </c>
      <c r="F10" s="36">
        <f>'Input capacity'!F22</f>
        <v>7345604.5458560269</v>
      </c>
      <c r="G10" s="36">
        <f>'Input capacity'!G22</f>
        <v>5706229.4995389394</v>
      </c>
    </row>
    <row r="11" spans="2:7" ht="14.45" customHeight="1">
      <c r="B11" s="34" t="s">
        <v>55</v>
      </c>
      <c r="C11" s="3" t="s">
        <v>221</v>
      </c>
      <c r="D11" s="36">
        <f>'Input capacity'!D23</f>
        <v>778231.03827960521</v>
      </c>
      <c r="E11" s="36">
        <f>'Input capacity'!E23</f>
        <v>772301.12642537442</v>
      </c>
      <c r="F11" s="36">
        <f>'Input capacity'!F23</f>
        <v>666910.5112026704</v>
      </c>
      <c r="G11" s="36">
        <f>'Input capacity'!G23</f>
        <v>806625.95540888084</v>
      </c>
    </row>
    <row r="12" spans="2:7" ht="14.45" customHeight="1">
      <c r="B12" s="34" t="s">
        <v>57</v>
      </c>
      <c r="C12" s="3" t="s">
        <v>221</v>
      </c>
      <c r="D12" s="36">
        <f>'Input capacity'!D24</f>
        <v>2721441.4963189051</v>
      </c>
      <c r="E12" s="36">
        <f>'Input capacity'!E24</f>
        <v>2700704.8417833927</v>
      </c>
      <c r="F12" s="36">
        <f>'Input capacity'!F24</f>
        <v>2332158.2540969248</v>
      </c>
      <c r="G12" s="36">
        <f>'Input capacity'!G24</f>
        <v>2820737.3377324976</v>
      </c>
    </row>
    <row r="13" spans="2:7" ht="14.45" customHeight="1">
      <c r="B13" s="34" t="s">
        <v>59</v>
      </c>
      <c r="C13" s="3" t="s">
        <v>221</v>
      </c>
      <c r="D13" s="36">
        <f>'Input capacity'!D25</f>
        <v>937349.00434786058</v>
      </c>
      <c r="E13" s="36">
        <f>'Input capacity'!E25</f>
        <v>930206.65625452122</v>
      </c>
      <c r="F13" s="36">
        <f>'Input capacity'!F25</f>
        <v>803267.76100691583</v>
      </c>
      <c r="G13" s="36">
        <f>'Input capacity'!G25</f>
        <v>971549.57717325829</v>
      </c>
    </row>
    <row r="14" spans="2:7" ht="14.45" customHeight="1">
      <c r="B14" s="34" t="s">
        <v>61</v>
      </c>
      <c r="C14" s="3" t="s">
        <v>221</v>
      </c>
      <c r="D14" s="36">
        <f>'Input capacity'!D26</f>
        <v>1551124.3972204293</v>
      </c>
      <c r="E14" s="36">
        <f>'Input capacity'!E26</f>
        <v>1539305.245197403</v>
      </c>
      <c r="F14" s="36">
        <f>'Input capacity'!F26</f>
        <v>1329246.8609014102</v>
      </c>
      <c r="G14" s="36">
        <f>'Input capacity'!G26</f>
        <v>1607719.4783079652</v>
      </c>
    </row>
    <row r="15" spans="2:7" ht="14.45" customHeight="1">
      <c r="B15" s="34" t="s">
        <v>62</v>
      </c>
      <c r="C15" s="3" t="s">
        <v>221</v>
      </c>
      <c r="D15" s="36">
        <f>'Input capacity'!D27</f>
        <v>402361.86818631936</v>
      </c>
      <c r="E15" s="36">
        <f>'Input capacity'!E27</f>
        <v>399295.97863104916</v>
      </c>
      <c r="F15" s="36">
        <f>'Input capacity'!F27</f>
        <v>344806.80672130937</v>
      </c>
      <c r="G15" s="36">
        <f>'Input capacity'!G27</f>
        <v>417042.6395012078</v>
      </c>
    </row>
    <row r="16" spans="2:7" ht="14.45" customHeight="1">
      <c r="B16" s="34" t="s">
        <v>64</v>
      </c>
      <c r="C16" s="3" t="s">
        <v>221</v>
      </c>
      <c r="D16" s="36">
        <f>'Input capacity'!D28</f>
        <v>880886.04402429983</v>
      </c>
      <c r="E16" s="36">
        <f>'Input capacity'!E28</f>
        <v>874173.92854991101</v>
      </c>
      <c r="F16" s="36">
        <f>'Input capacity'!F28</f>
        <v>754881.43370667647</v>
      </c>
      <c r="G16" s="36">
        <f>'Input capacity'!G28</f>
        <v>913026.48174790898</v>
      </c>
    </row>
    <row r="17" spans="2:7" ht="14.45" customHeight="1">
      <c r="B17" s="34" t="s">
        <v>66</v>
      </c>
      <c r="C17" s="3" t="s">
        <v>221</v>
      </c>
      <c r="D17" s="36">
        <f>'Input capacity'!D29</f>
        <v>2025042.8064868895</v>
      </c>
      <c r="E17" s="36">
        <f>'Input capacity'!E29</f>
        <v>2009612.5232511326</v>
      </c>
      <c r="F17" s="36">
        <f>'Input capacity'!F29</f>
        <v>1735374.5441289404</v>
      </c>
      <c r="G17" s="36">
        <f>'Input capacity'!G29</f>
        <v>2098929.5057382393</v>
      </c>
    </row>
    <row r="18" spans="2:7" ht="14.45" customHeight="1">
      <c r="B18" s="34" t="s">
        <v>68</v>
      </c>
      <c r="C18" s="3" t="s">
        <v>221</v>
      </c>
      <c r="D18" s="36">
        <f>'Input capacity'!D30</f>
        <v>2396530.6110709882</v>
      </c>
      <c r="E18" s="36">
        <f>'Input capacity'!E30</f>
        <v>2378269.6903667292</v>
      </c>
      <c r="F18" s="36">
        <f>'Input capacity'!F30</f>
        <v>2053723.6069065251</v>
      </c>
      <c r="G18" s="36">
        <f>'Input capacity'!G30</f>
        <v>2483971.5954983965</v>
      </c>
    </row>
    <row r="19" spans="2:7" ht="14.45" customHeight="1">
      <c r="B19" s="34" t="s">
        <v>70</v>
      </c>
      <c r="C19" s="3" t="s">
        <v>221</v>
      </c>
      <c r="D19" s="36">
        <f>'Input capacity'!D31</f>
        <v>1709426.9524517185</v>
      </c>
      <c r="E19" s="36">
        <f>'Input capacity'!E31</f>
        <v>1696401.5774015356</v>
      </c>
      <c r="F19" s="36">
        <f>'Input capacity'!F31</f>
        <v>1464905.3387068885</v>
      </c>
      <c r="G19" s="36">
        <f>'Input capacity'!G31</f>
        <v>1771797.9377579836</v>
      </c>
    </row>
    <row r="20" spans="2:7" ht="14.45" customHeight="1">
      <c r="B20" s="34" t="s">
        <v>72</v>
      </c>
      <c r="C20" s="3" t="s">
        <v>221</v>
      </c>
      <c r="D20" s="36">
        <f>'Input capacity'!D32</f>
        <v>12643653.782261247</v>
      </c>
      <c r="E20" s="36">
        <f>'Input capacity'!E32</f>
        <v>12547312.530426873</v>
      </c>
      <c r="F20" s="36">
        <f>'Input capacity'!F32</f>
        <v>10835067.213507725</v>
      </c>
      <c r="G20" s="36">
        <f>'Input capacity'!G32</f>
        <v>13104976.299225125</v>
      </c>
    </row>
    <row r="21" spans="2:7" ht="14.45" customHeight="1">
      <c r="B21" s="34" t="s">
        <v>74</v>
      </c>
      <c r="C21" s="3" t="s">
        <v>221</v>
      </c>
      <c r="D21" s="36">
        <f>'Input capacity'!D33</f>
        <v>0</v>
      </c>
      <c r="E21" s="36">
        <f>'Input capacity'!E33</f>
        <v>0</v>
      </c>
      <c r="F21" s="36">
        <f>'Input capacity'!F33</f>
        <v>0</v>
      </c>
      <c r="G21" s="36">
        <f>'Input capacity'!G33</f>
        <v>0</v>
      </c>
    </row>
    <row r="22" spans="2:7" ht="14.45" customHeight="1">
      <c r="B22" s="34" t="s">
        <v>76</v>
      </c>
      <c r="C22" s="3" t="s">
        <v>221</v>
      </c>
      <c r="D22" s="36">
        <f>'Input capacity'!D34</f>
        <v>672717.85446917627</v>
      </c>
      <c r="E22" s="36">
        <f>'Input capacity'!E34</f>
        <v>667591.92478563637</v>
      </c>
      <c r="F22" s="36">
        <f>'Input capacity'!F34</f>
        <v>576490.25308858522</v>
      </c>
      <c r="G22" s="36">
        <f>'Input capacity'!G34</f>
        <v>697262.96612555999</v>
      </c>
    </row>
    <row r="23" spans="2:7" ht="14.45" customHeight="1">
      <c r="B23" s="34" t="s">
        <v>78</v>
      </c>
      <c r="C23" s="3" t="s">
        <v>221</v>
      </c>
      <c r="D23" s="36">
        <f>'Input capacity'!D35</f>
        <v>2756026.0053936564</v>
      </c>
      <c r="E23" s="36">
        <f>'Input capacity'!E35</f>
        <v>2735025.8261717111</v>
      </c>
      <c r="F23" s="36">
        <f>'Input capacity'!F35</f>
        <v>2361795.6901438399</v>
      </c>
      <c r="G23" s="36">
        <f>'Input capacity'!G35</f>
        <v>2856583.7140688081</v>
      </c>
    </row>
    <row r="24" spans="2:7" ht="14.45" customHeight="1">
      <c r="B24" s="34" t="s">
        <v>80</v>
      </c>
      <c r="C24" s="3" t="s">
        <v>221</v>
      </c>
      <c r="D24" s="36">
        <f>'Input capacity'!D36</f>
        <v>1690923.9759036149</v>
      </c>
      <c r="E24" s="36">
        <f>'Input capacity'!E36</f>
        <v>1678039.5885737543</v>
      </c>
      <c r="F24" s="36">
        <f>'Input capacity'!F36</f>
        <v>1449049.0840196612</v>
      </c>
      <c r="G24" s="36">
        <f>'Input capacity'!G36</f>
        <v>1752619.8525854673</v>
      </c>
    </row>
    <row r="25" spans="2:7" ht="14.45" customHeight="1">
      <c r="B25" s="34" t="s">
        <v>82</v>
      </c>
      <c r="C25" s="3" t="s">
        <v>221</v>
      </c>
      <c r="D25" s="36">
        <f>'Input capacity'!D37</f>
        <v>38955917.439126588</v>
      </c>
      <c r="E25" s="36">
        <f>'Input capacity'!E37</f>
        <v>38659083.793008611</v>
      </c>
      <c r="F25" s="36">
        <f>'Input capacity'!F37</f>
        <v>33383544.906060047</v>
      </c>
      <c r="G25" s="36">
        <f>'Input capacity'!G37</f>
        <v>40377282.03777355</v>
      </c>
    </row>
    <row r="26" spans="2:7" ht="14.45" customHeight="1">
      <c r="B26" s="34" t="s">
        <v>83</v>
      </c>
      <c r="C26" s="3" t="s">
        <v>221</v>
      </c>
      <c r="D26" s="36">
        <f>'Input capacity'!D38</f>
        <v>659810.22708433529</v>
      </c>
      <c r="E26" s="36">
        <f>'Input capacity'!E38</f>
        <v>654782.65006070549</v>
      </c>
      <c r="F26" s="36">
        <f>'Input capacity'!F38</f>
        <v>565428.97185689898</v>
      </c>
      <c r="G26" s="36">
        <f>'Input capacity'!G38</f>
        <v>683884.38475417753</v>
      </c>
    </row>
    <row r="27" spans="2:7" ht="14.45" customHeight="1">
      <c r="B27" s="34" t="s">
        <v>84</v>
      </c>
      <c r="C27" s="3" t="s">
        <v>221</v>
      </c>
      <c r="D27" s="36">
        <f>'Input capacity'!D39</f>
        <v>475141.19935757492</v>
      </c>
      <c r="E27" s="36">
        <f>'Input capacity'!E39</f>
        <v>471520.75081220135</v>
      </c>
      <c r="F27" s="36">
        <f>'Input capacity'!F39</f>
        <v>407175.56171688158</v>
      </c>
      <c r="G27" s="36">
        <f>'Input capacity'!G39</f>
        <v>492477.43283688737</v>
      </c>
    </row>
    <row r="28" spans="2:7" ht="14.45" customHeight="1">
      <c r="B28" s="34" t="s">
        <v>86</v>
      </c>
      <c r="C28" s="3" t="s">
        <v>221</v>
      </c>
      <c r="D28" s="36">
        <f>'Input capacity'!D40</f>
        <v>46458.19551831967</v>
      </c>
      <c r="E28" s="36">
        <f>'Input capacity'!E40</f>
        <v>46104.19652473124</v>
      </c>
      <c r="F28" s="36">
        <f>'Input capacity'!F40</f>
        <v>39812.6743841645</v>
      </c>
      <c r="G28" s="36">
        <f>'Input capacity'!G40</f>
        <v>48153.291893085967</v>
      </c>
    </row>
    <row r="29" spans="2:7" ht="14.45" customHeight="1">
      <c r="B29" s="34" t="s">
        <v>88</v>
      </c>
      <c r="C29" s="3" t="s">
        <v>221</v>
      </c>
      <c r="D29" s="36">
        <f>'Input capacity'!D41</f>
        <v>0</v>
      </c>
      <c r="E29" s="36">
        <f>'Input capacity'!E41</f>
        <v>0</v>
      </c>
      <c r="F29" s="36">
        <f>'Input capacity'!F41</f>
        <v>0</v>
      </c>
      <c r="G29" s="36">
        <f>'Input capacity'!G41</f>
        <v>0</v>
      </c>
    </row>
    <row r="30" spans="2:7" ht="14.45" customHeight="1">
      <c r="B30" s="34" t="s">
        <v>90</v>
      </c>
      <c r="C30" s="3" t="s">
        <v>221</v>
      </c>
      <c r="D30" s="36">
        <f>'Input capacity'!D42</f>
        <v>1530398.6107307556</v>
      </c>
      <c r="E30" s="36">
        <f>'Input capacity'!E42</f>
        <v>1518737.3836438321</v>
      </c>
      <c r="F30" s="36">
        <f>'Input capacity'!F42</f>
        <v>1311485.7537455433</v>
      </c>
      <c r="G30" s="36">
        <f>'Input capacity'!G42</f>
        <v>1586237.4806665054</v>
      </c>
    </row>
    <row r="31" spans="2:7" ht="14.45" customHeight="1">
      <c r="B31" s="34" t="s">
        <v>91</v>
      </c>
      <c r="C31" s="3" t="s">
        <v>221</v>
      </c>
      <c r="D31" s="36">
        <f>'Input capacity'!D43</f>
        <v>868322.19384832378</v>
      </c>
      <c r="E31" s="36">
        <f>'Input capacity'!E43</f>
        <v>861705.8115436862</v>
      </c>
      <c r="F31" s="36">
        <f>'Input capacity'!F43</f>
        <v>744114.75474967051</v>
      </c>
      <c r="G31" s="36">
        <f>'Input capacity'!G43</f>
        <v>900004.22080826038</v>
      </c>
    </row>
    <row r="32" spans="2:7" ht="14.45" customHeight="1">
      <c r="B32" s="34" t="s">
        <v>93</v>
      </c>
      <c r="C32" s="3" t="s">
        <v>221</v>
      </c>
      <c r="D32" s="36">
        <f>'Input capacity'!D44</f>
        <v>1575749.4783324753</v>
      </c>
      <c r="E32" s="36">
        <f>'Input capacity'!E44</f>
        <v>1563742.6897937937</v>
      </c>
      <c r="F32" s="36">
        <f>'Input capacity'!F44</f>
        <v>1350349.4957553819</v>
      </c>
      <c r="G32" s="36">
        <f>'Input capacity'!G44</f>
        <v>1633243.0421366913</v>
      </c>
    </row>
    <row r="33" spans="2:7" ht="14.45" customHeight="1">
      <c r="B33" s="34" t="s">
        <v>95</v>
      </c>
      <c r="C33" s="3" t="s">
        <v>221</v>
      </c>
      <c r="D33" s="36">
        <f>'Input capacity'!D45</f>
        <v>1602787.5231932716</v>
      </c>
      <c r="E33" s="36">
        <f>'Input capacity'!E45</f>
        <v>1590574.7120021272</v>
      </c>
      <c r="F33" s="36">
        <f>'Input capacity'!F45</f>
        <v>1373519.9367081057</v>
      </c>
      <c r="G33" s="36">
        <f>'Input capacity'!G45</f>
        <v>1661267.6102860696</v>
      </c>
    </row>
    <row r="34" spans="2:7" ht="14.45" customHeight="1">
      <c r="B34" s="34" t="s">
        <v>97</v>
      </c>
      <c r="C34" s="3" t="s">
        <v>221</v>
      </c>
      <c r="D34" s="36">
        <f>'Input capacity'!D46</f>
        <v>4113892.1632950576</v>
      </c>
      <c r="E34" s="36">
        <f>'Input capacity'!E46</f>
        <v>4082545.4080177564</v>
      </c>
      <c r="F34" s="36">
        <f>'Input capacity'!F46</f>
        <v>3525428.5561790178</v>
      </c>
      <c r="G34" s="36">
        <f>'Input capacity'!G46</f>
        <v>4263993.6387049481</v>
      </c>
    </row>
    <row r="35" spans="2:7" ht="14.45" customHeight="1">
      <c r="B35" s="34" t="s">
        <v>99</v>
      </c>
      <c r="C35" s="3" t="s">
        <v>221</v>
      </c>
      <c r="D35" s="36">
        <f>'Input capacity'!D47</f>
        <v>0</v>
      </c>
      <c r="E35" s="36">
        <f>'Input capacity'!E47</f>
        <v>0</v>
      </c>
      <c r="F35" s="36">
        <f>'Input capacity'!F47</f>
        <v>0</v>
      </c>
      <c r="G35" s="36">
        <f>'Input capacity'!G47</f>
        <v>0</v>
      </c>
    </row>
    <row r="36" spans="2:7" ht="14.45" customHeight="1">
      <c r="B36" s="34" t="s">
        <v>101</v>
      </c>
      <c r="C36" s="3" t="s">
        <v>221</v>
      </c>
      <c r="D36" s="36">
        <f>'Input capacity'!D48</f>
        <v>9147753.9905232135</v>
      </c>
      <c r="E36" s="36">
        <f>'Input capacity'!E48</f>
        <v>9078050.557789525</v>
      </c>
      <c r="F36" s="36">
        <f>'Input capacity'!F48</f>
        <v>7839231.5264920266</v>
      </c>
      <c r="G36" s="36">
        <f>'Input capacity'!G48</f>
        <v>9481523.4030798264</v>
      </c>
    </row>
    <row r="37" spans="2:7" ht="14.45" customHeight="1">
      <c r="B37" s="34" t="s">
        <v>103</v>
      </c>
      <c r="C37" s="3" t="s">
        <v>221</v>
      </c>
      <c r="D37" s="36">
        <f>'Input capacity'!D49</f>
        <v>0</v>
      </c>
      <c r="E37" s="36">
        <f>'Input capacity'!E49</f>
        <v>0</v>
      </c>
      <c r="F37" s="36">
        <f>'Input capacity'!F49</f>
        <v>0</v>
      </c>
      <c r="G37" s="36">
        <f>'Input capacity'!G49</f>
        <v>0</v>
      </c>
    </row>
    <row r="38" spans="2:7" ht="14.45" customHeight="1">
      <c r="B38" s="34" t="s">
        <v>104</v>
      </c>
      <c r="C38" s="3" t="s">
        <v>221</v>
      </c>
      <c r="D38" s="36">
        <f>'Input capacity'!D50</f>
        <v>33600536.835732296</v>
      </c>
      <c r="E38" s="36">
        <f>'Input capacity'!E50</f>
        <v>33344509.75394024</v>
      </c>
      <c r="F38" s="36">
        <f>'Input capacity'!F50</f>
        <v>28794214.18007151</v>
      </c>
      <c r="G38" s="36">
        <f>'Input capacity'!G50</f>
        <v>34826502.406392306</v>
      </c>
    </row>
    <row r="39" spans="2:7" ht="14.45" customHeight="1">
      <c r="B39" s="34" t="s">
        <v>106</v>
      </c>
      <c r="C39" s="3" t="s">
        <v>221</v>
      </c>
      <c r="D39" s="36">
        <f>'Input capacity'!D51</f>
        <v>1204905.8483095798</v>
      </c>
      <c r="E39" s="36">
        <f>'Input capacity'!E51</f>
        <v>1195724.7888019583</v>
      </c>
      <c r="F39" s="36">
        <f>'Input capacity'!F51</f>
        <v>1032552.4628568233</v>
      </c>
      <c r="G39" s="36">
        <f>'Input capacity'!G51</f>
        <v>1248868.6306048778</v>
      </c>
    </row>
    <row r="40" spans="2:7" ht="14.45" customHeight="1">
      <c r="B40" s="34" t="s">
        <v>108</v>
      </c>
      <c r="C40" s="3" t="s">
        <v>221</v>
      </c>
      <c r="D40" s="36">
        <f>'Input capacity'!D52</f>
        <v>0</v>
      </c>
      <c r="E40" s="36">
        <f>'Input capacity'!E52</f>
        <v>0</v>
      </c>
      <c r="F40" s="36">
        <f>'Input capacity'!F52</f>
        <v>0</v>
      </c>
      <c r="G40" s="36">
        <f>'Input capacity'!G52</f>
        <v>0</v>
      </c>
    </row>
    <row r="41" spans="2:7" ht="14.45" customHeight="1">
      <c r="B41" s="34" t="s">
        <v>109</v>
      </c>
      <c r="C41" s="3" t="s">
        <v>221</v>
      </c>
      <c r="D41" s="36">
        <f>'Input capacity'!D53</f>
        <v>44555.352789175216</v>
      </c>
      <c r="E41" s="36">
        <f>'Input capacity'!E53</f>
        <v>44215.852946997191</v>
      </c>
      <c r="F41" s="36">
        <f>'Input capacity'!F53</f>
        <v>38182.020047841215</v>
      </c>
      <c r="G41" s="36">
        <f>'Input capacity'!G53</f>
        <v>46181.021116297023</v>
      </c>
    </row>
    <row r="42" spans="2:7" ht="14.45" customHeight="1">
      <c r="B42" s="34" t="s">
        <v>111</v>
      </c>
      <c r="C42" s="3" t="s">
        <v>221</v>
      </c>
      <c r="D42" s="36">
        <f>'Input capacity'!D54</f>
        <v>1572261.1507719336</v>
      </c>
      <c r="E42" s="36">
        <f>'Input capacity'!E54</f>
        <v>1560280.9423539811</v>
      </c>
      <c r="F42" s="36">
        <f>'Input capacity'!F54</f>
        <v>1347360.1491446556</v>
      </c>
      <c r="G42" s="36">
        <f>'Input capacity'!G54</f>
        <v>1629627.4377558623</v>
      </c>
    </row>
    <row r="43" spans="2:7" ht="14.45" customHeight="1">
      <c r="B43" s="34" t="s">
        <v>113</v>
      </c>
      <c r="C43" s="3" t="s">
        <v>221</v>
      </c>
      <c r="D43" s="36">
        <f>'Input capacity'!D55</f>
        <v>448079.01833600411</v>
      </c>
      <c r="E43" s="36">
        <f>'Input capacity'!E55</f>
        <v>444664.77635416714</v>
      </c>
      <c r="F43" s="36">
        <f>'Input capacity'!F55</f>
        <v>383984.4371129942</v>
      </c>
      <c r="G43" s="36">
        <f>'Input capacity'!G55</f>
        <v>464427.847883004</v>
      </c>
    </row>
    <row r="44" spans="2:7" ht="14.45" customHeight="1">
      <c r="B44" s="34" t="s">
        <v>115</v>
      </c>
      <c r="C44" s="3" t="s">
        <v>221</v>
      </c>
      <c r="D44" s="36">
        <f>'Input capacity'!D56</f>
        <v>0</v>
      </c>
      <c r="E44" s="36">
        <f>'Input capacity'!E56</f>
        <v>0</v>
      </c>
      <c r="F44" s="36">
        <f>'Input capacity'!F56</f>
        <v>0</v>
      </c>
      <c r="G44" s="36">
        <f>'Input capacity'!G56</f>
        <v>0</v>
      </c>
    </row>
    <row r="45" spans="2:7" ht="14.45" customHeight="1">
      <c r="B45" s="34" t="s">
        <v>117</v>
      </c>
      <c r="C45" s="3" t="s">
        <v>221</v>
      </c>
      <c r="D45" s="36">
        <f>'Input capacity'!D57</f>
        <v>1066785.6897862097</v>
      </c>
      <c r="E45" s="36">
        <f>'Input capacity'!E57</f>
        <v>1058657.068854087</v>
      </c>
      <c r="F45" s="36">
        <f>'Input capacity'!F57</f>
        <v>914189.43054723344</v>
      </c>
      <c r="G45" s="36">
        <f>'Input capacity'!G57</f>
        <v>1105708.9526300305</v>
      </c>
    </row>
    <row r="46" spans="2:7" ht="14.45" customHeight="1">
      <c r="B46" s="34" t="s">
        <v>119</v>
      </c>
      <c r="C46" s="3" t="s">
        <v>221</v>
      </c>
      <c r="D46" s="36">
        <f>'Input capacity'!D58</f>
        <v>0</v>
      </c>
      <c r="E46" s="36">
        <f>'Input capacity'!E58</f>
        <v>0</v>
      </c>
      <c r="F46" s="36">
        <f>'Input capacity'!F58</f>
        <v>0</v>
      </c>
      <c r="G46" s="36">
        <f>'Input capacity'!G58</f>
        <v>0</v>
      </c>
    </row>
    <row r="47" spans="2:7" ht="14.45" customHeight="1">
      <c r="B47" s="34" t="s">
        <v>121</v>
      </c>
      <c r="C47" s="3" t="s">
        <v>221</v>
      </c>
      <c r="D47" s="36">
        <f>'Input capacity'!D59</f>
        <v>479616.82635951531</v>
      </c>
      <c r="E47" s="36">
        <f>'Input capacity'!E59</f>
        <v>475962.27473638149</v>
      </c>
      <c r="F47" s="36">
        <f>'Input capacity'!F59</f>
        <v>411010.98146371538</v>
      </c>
      <c r="G47" s="36">
        <f>'Input capacity'!G59</f>
        <v>497116.35974794289</v>
      </c>
    </row>
    <row r="48" spans="2:7" ht="14.45" customHeight="1">
      <c r="B48" s="34" t="s">
        <v>123</v>
      </c>
      <c r="C48" s="3" t="s">
        <v>221</v>
      </c>
      <c r="D48" s="36">
        <f>'Input capacity'!D60</f>
        <v>1364039.7964302399</v>
      </c>
      <c r="E48" s="36">
        <f>'Input capacity'!E60</f>
        <v>1353646.1789045555</v>
      </c>
      <c r="F48" s="36">
        <f>'Input capacity'!F60</f>
        <v>1168923.4085922446</v>
      </c>
      <c r="G48" s="36">
        <f>'Input capacity'!G60</f>
        <v>1413808.8175506168</v>
      </c>
    </row>
    <row r="49" spans="2:7" ht="14.45" customHeight="1">
      <c r="B49" s="34" t="s">
        <v>125</v>
      </c>
      <c r="C49" s="3" t="s">
        <v>221</v>
      </c>
      <c r="D49" s="36">
        <f>'Input capacity'!D61</f>
        <v>2840252.0738942451</v>
      </c>
      <c r="E49" s="36">
        <f>'Input capacity'!E61</f>
        <v>2818610.1146128187</v>
      </c>
      <c r="F49" s="36">
        <f>'Input capacity'!F61</f>
        <v>2433973.8064581072</v>
      </c>
      <c r="G49" s="36">
        <f>'Input capacity'!G61</f>
        <v>2943882.8959734645</v>
      </c>
    </row>
    <row r="50" spans="2:7" ht="14.45" customHeight="1">
      <c r="B50" s="34" t="s">
        <v>127</v>
      </c>
      <c r="C50" s="3" t="s">
        <v>221</v>
      </c>
      <c r="D50" s="36">
        <f>'Input capacity'!D62</f>
        <v>730122.45122726576</v>
      </c>
      <c r="E50" s="36">
        <f>'Input capacity'!E62</f>
        <v>724559.11390761356</v>
      </c>
      <c r="F50" s="36">
        <f>'Input capacity'!F62</f>
        <v>625683.52229300095</v>
      </c>
      <c r="G50" s="36">
        <f>'Input capacity'!G62</f>
        <v>756762.05499153154</v>
      </c>
    </row>
    <row r="51" spans="2:7" ht="14.45" customHeight="1">
      <c r="B51" s="34" t="s">
        <v>129</v>
      </c>
      <c r="C51" s="3" t="s">
        <v>221</v>
      </c>
      <c r="D51" s="36">
        <f>'Input capacity'!D63</f>
        <v>2709487.8996133143</v>
      </c>
      <c r="E51" s="36">
        <f>'Input capacity'!E63</f>
        <v>2688842.3282797285</v>
      </c>
      <c r="F51" s="36">
        <f>'Input capacity'!F63</f>
        <v>2321914.5361037962</v>
      </c>
      <c r="G51" s="36">
        <f>'Input capacity'!G63</f>
        <v>2808347.5962689151</v>
      </c>
    </row>
    <row r="52" spans="2:7" ht="14.45" customHeight="1">
      <c r="B52" s="34" t="s">
        <v>131</v>
      </c>
      <c r="C52" s="3" t="s">
        <v>221</v>
      </c>
      <c r="D52" s="36">
        <f>'Input capacity'!D64</f>
        <v>2023703.2495639212</v>
      </c>
      <c r="E52" s="36">
        <f>'Input capacity'!E64</f>
        <v>2008283.1733927585</v>
      </c>
      <c r="F52" s="36">
        <f>'Input capacity'!F64</f>
        <v>1734226.6014893656</v>
      </c>
      <c r="G52" s="36">
        <f>'Input capacity'!G64</f>
        <v>2097541.0730882096</v>
      </c>
    </row>
    <row r="53" spans="2:7" ht="14.45" customHeight="1">
      <c r="B53" s="34" t="s">
        <v>132</v>
      </c>
      <c r="C53" s="3" t="s">
        <v>221</v>
      </c>
      <c r="D53" s="36">
        <f>'Input capacity'!D65</f>
        <v>64356.463389728931</v>
      </c>
      <c r="E53" s="36">
        <f>'Input capacity'!E65</f>
        <v>63866.08439380148</v>
      </c>
      <c r="F53" s="36">
        <f>'Input capacity'!F65</f>
        <v>55150.719757105908</v>
      </c>
      <c r="G53" s="36">
        <f>'Input capacity'!G65</f>
        <v>66704.604693273359</v>
      </c>
    </row>
    <row r="54" spans="2:7" ht="14.45" customHeight="1">
      <c r="B54" s="34" t="s">
        <v>134</v>
      </c>
      <c r="C54" s="3" t="s">
        <v>221</v>
      </c>
      <c r="D54" s="36">
        <f>'Input capacity'!D66</f>
        <v>2720442.128797119</v>
      </c>
      <c r="E54" s="36">
        <f>'Input capacity'!E66</f>
        <v>2699713.0891741747</v>
      </c>
      <c r="F54" s="36">
        <f>'Input capacity'!F66</f>
        <v>2331301.8391352356</v>
      </c>
      <c r="G54" s="36">
        <f>'Input capacity'!G66</f>
        <v>2819701.5068000183</v>
      </c>
    </row>
    <row r="55" spans="2:7" ht="14.45" customHeight="1">
      <c r="B55" s="34" t="s">
        <v>136</v>
      </c>
      <c r="C55" s="3" t="s">
        <v>221</v>
      </c>
      <c r="D55" s="36">
        <f>'Input capacity'!D67</f>
        <v>2114136.5515198307</v>
      </c>
      <c r="E55" s="36">
        <f>'Input capacity'!E67</f>
        <v>2098027.3978345264</v>
      </c>
      <c r="F55" s="36">
        <f>'Input capacity'!F67</f>
        <v>1811724.0497670483</v>
      </c>
      <c r="G55" s="36">
        <f>'Input capacity'!G67</f>
        <v>2191273.9685946945</v>
      </c>
    </row>
    <row r="56" spans="2:7" ht="14.45" customHeight="1">
      <c r="B56" s="34" t="s">
        <v>137</v>
      </c>
      <c r="C56" s="3" t="s">
        <v>221</v>
      </c>
      <c r="D56" s="36">
        <f>'Input capacity'!D68</f>
        <v>3494551.4283780269</v>
      </c>
      <c r="E56" s="36">
        <f>'Input capacity'!E68</f>
        <v>3467923.883444625</v>
      </c>
      <c r="F56" s="36">
        <f>'Input capacity'!F68</f>
        <v>2994680.1976385373</v>
      </c>
      <c r="G56" s="36">
        <f>'Input capacity'!G68</f>
        <v>3622055.3357422757</v>
      </c>
    </row>
    <row r="57" spans="2:7" ht="14.45" customHeight="1">
      <c r="B57" s="34" t="s">
        <v>139</v>
      </c>
      <c r="C57" s="3" t="s">
        <v>221</v>
      </c>
      <c r="D57" s="36">
        <f>'Input capacity'!D69</f>
        <v>789106.00953005673</v>
      </c>
      <c r="E57" s="36">
        <f>'Input capacity'!E69</f>
        <v>783093.23331066896</v>
      </c>
      <c r="F57" s="36">
        <f>'Input capacity'!F69</f>
        <v>676229.89359582961</v>
      </c>
      <c r="G57" s="36">
        <f>'Input capacity'!G69</f>
        <v>817897.71616302838</v>
      </c>
    </row>
    <row r="58" spans="2:7" ht="14.45" customHeight="1">
      <c r="B58" s="34" t="s">
        <v>141</v>
      </c>
      <c r="C58" s="3" t="s">
        <v>221</v>
      </c>
      <c r="D58" s="36">
        <f>'Input capacity'!D70</f>
        <v>1702348.5340581818</v>
      </c>
      <c r="E58" s="36">
        <f>'Input capacity'!E70</f>
        <v>1689377.0946583087</v>
      </c>
      <c r="F58" s="36">
        <f>'Input capacity'!F70</f>
        <v>1458839.4387399897</v>
      </c>
      <c r="G58" s="36">
        <f>'Input capacity'!G70</f>
        <v>1764461.252739493</v>
      </c>
    </row>
    <row r="59" spans="2:7" ht="14.45" customHeight="1">
      <c r="B59" s="34" t="s">
        <v>143</v>
      </c>
      <c r="C59" s="3" t="s">
        <v>221</v>
      </c>
      <c r="D59" s="36">
        <f>'Input capacity'!D71</f>
        <v>1490909.8947181541</v>
      </c>
      <c r="E59" s="36">
        <f>'Input capacity'!E71</f>
        <v>1479549.5610596258</v>
      </c>
      <c r="F59" s="36">
        <f>'Input capacity'!F71</f>
        <v>1277645.6233892427</v>
      </c>
      <c r="G59" s="36">
        <f>'Input capacity'!G71</f>
        <v>1545307.9601067116</v>
      </c>
    </row>
    <row r="60" spans="2:7" ht="14.45" customHeight="1">
      <c r="B60" s="34" t="s">
        <v>145</v>
      </c>
      <c r="C60" s="3" t="s">
        <v>221</v>
      </c>
      <c r="D60" s="36">
        <f>'Input capacity'!D72</f>
        <v>39665984.045407832</v>
      </c>
      <c r="E60" s="36">
        <f>'Input capacity'!E72</f>
        <v>39363739.88213136</v>
      </c>
      <c r="F60" s="36">
        <f>'Input capacity'!F72</f>
        <v>33992041.432271369</v>
      </c>
      <c r="G60" s="36">
        <f>'Input capacity'!G72</f>
        <v>41113256.480481103</v>
      </c>
    </row>
    <row r="61" spans="2:7" ht="14.45" customHeight="1">
      <c r="B61" s="34" t="s">
        <v>147</v>
      </c>
      <c r="C61" s="3" t="s">
        <v>221</v>
      </c>
      <c r="D61" s="36">
        <f>'Input capacity'!D73</f>
        <v>4875067.0900156731</v>
      </c>
      <c r="E61" s="36">
        <f>'Input capacity'!E73</f>
        <v>4837920.3858811762</v>
      </c>
      <c r="F61" s="36">
        <f>'Input capacity'!F73</f>
        <v>4177722.7137290742</v>
      </c>
      <c r="G61" s="36">
        <f>'Input capacity'!G73</f>
        <v>5052941.1649519121</v>
      </c>
    </row>
    <row r="62" spans="2:7" ht="14.45" customHeight="1">
      <c r="B62" s="34" t="s">
        <v>149</v>
      </c>
      <c r="C62" s="3" t="s">
        <v>221</v>
      </c>
      <c r="D62" s="36">
        <f>'Input capacity'!D74</f>
        <v>4153345.9797238368</v>
      </c>
      <c r="E62" s="36">
        <f>'Input capacity'!E74</f>
        <v>4121698.5969436122</v>
      </c>
      <c r="F62" s="36">
        <f>'Input capacity'!F74</f>
        <v>3559238.7790937712</v>
      </c>
      <c r="G62" s="36">
        <f>'Input capacity'!G74</f>
        <v>4304886.9863176867</v>
      </c>
    </row>
    <row r="63" spans="2:7" ht="14.45" customHeight="1">
      <c r="B63" s="34" t="s">
        <v>151</v>
      </c>
      <c r="C63" s="3" t="s">
        <v>221</v>
      </c>
      <c r="D63" s="36">
        <f>'Input capacity'!D75</f>
        <v>11686452.785676606</v>
      </c>
      <c r="E63" s="36">
        <f>'Input capacity'!E75</f>
        <v>11597405.148793746</v>
      </c>
      <c r="F63" s="36">
        <f>'Input capacity'!F75</f>
        <v>10014787.149418822</v>
      </c>
      <c r="G63" s="36">
        <f>'Input capacity'!G75</f>
        <v>12112850.400346475</v>
      </c>
    </row>
    <row r="64" spans="2:7" ht="14.45" customHeight="1">
      <c r="B64" s="34" t="s">
        <v>153</v>
      </c>
      <c r="C64" s="3" t="s">
        <v>221</v>
      </c>
      <c r="D64" s="36">
        <f>'Input capacity'!D76</f>
        <v>8126886.6942812502</v>
      </c>
      <c r="E64" s="36">
        <f>'Input capacity'!E76</f>
        <v>8064961.9966324084</v>
      </c>
      <c r="F64" s="36">
        <f>'Input capacity'!F76</f>
        <v>6964392.1832657726</v>
      </c>
      <c r="G64" s="36">
        <f>'Input capacity'!G76</f>
        <v>8423408.2448907755</v>
      </c>
    </row>
    <row r="65" spans="2:7" ht="14.45" customHeight="1">
      <c r="B65" s="34" t="s">
        <v>155</v>
      </c>
      <c r="C65" s="3" t="s">
        <v>221</v>
      </c>
      <c r="D65" s="36">
        <f>'Input capacity'!D77</f>
        <v>7472549.5047346326</v>
      </c>
      <c r="E65" s="36">
        <f>'Input capacity'!E77</f>
        <v>7415610.6810307996</v>
      </c>
      <c r="F65" s="36">
        <f>'Input capacity'!F77</f>
        <v>6403653.3690645993</v>
      </c>
      <c r="G65" s="36">
        <f>'Input capacity'!G77</f>
        <v>7745196.5895905765</v>
      </c>
    </row>
    <row r="66" spans="2:7" ht="14.45" customHeight="1">
      <c r="B66" s="34" t="s">
        <v>157</v>
      </c>
      <c r="C66" s="3" t="s">
        <v>221</v>
      </c>
      <c r="D66" s="36">
        <f>'Input capacity'!D78</f>
        <v>937467.72816572292</v>
      </c>
      <c r="E66" s="36">
        <f>'Input capacity'!E78</f>
        <v>930324.47542872338</v>
      </c>
      <c r="F66" s="36">
        <f>'Input capacity'!F78</f>
        <v>803369.50220993639</v>
      </c>
      <c r="G66" s="36">
        <f>'Input capacity'!G78</f>
        <v>971672.63280622906</v>
      </c>
    </row>
    <row r="67" spans="2:7" ht="14.45" customHeight="1">
      <c r="B67" s="34" t="s">
        <v>159</v>
      </c>
      <c r="C67" s="3" t="s">
        <v>221</v>
      </c>
      <c r="D67" s="36">
        <f>'Input capacity'!D79</f>
        <v>4007674.4645214905</v>
      </c>
      <c r="E67" s="36">
        <f>'Input capacity'!E79</f>
        <v>3977137.0596300066</v>
      </c>
      <c r="F67" s="36">
        <f>'Input capacity'!F79</f>
        <v>3434404.559057998</v>
      </c>
      <c r="G67" s="36">
        <f>'Input capacity'!G79</f>
        <v>4153900.4291820209</v>
      </c>
    </row>
    <row r="68" spans="2:7" ht="14.45" customHeight="1">
      <c r="B68" s="34" t="s">
        <v>161</v>
      </c>
      <c r="C68" s="3" t="s">
        <v>221</v>
      </c>
      <c r="D68" s="36">
        <f>'Input capacity'!D80</f>
        <v>5381390.5782718407</v>
      </c>
      <c r="E68" s="36">
        <f>'Input capacity'!E80</f>
        <v>5340385.824911085</v>
      </c>
      <c r="F68" s="36">
        <f>'Input capacity'!F80</f>
        <v>4611620.1552052135</v>
      </c>
      <c r="G68" s="36">
        <f>'Input capacity'!G80</f>
        <v>5577738.6188846771</v>
      </c>
    </row>
    <row r="69" spans="2:7" ht="14.45" customHeight="1">
      <c r="B69" s="34" t="s">
        <v>163</v>
      </c>
      <c r="C69" s="3" t="s">
        <v>221</v>
      </c>
      <c r="D69" s="36">
        <f>'Input capacity'!D81</f>
        <v>56850.117388952385</v>
      </c>
      <c r="E69" s="36">
        <f>'Input capacity'!E81</f>
        <v>56416.934736967174</v>
      </c>
      <c r="F69" s="36">
        <f>'Input capacity'!F81</f>
        <v>48718.104245253999</v>
      </c>
      <c r="G69" s="36">
        <f>'Input capacity'!G81</f>
        <v>58924.37849220707</v>
      </c>
    </row>
    <row r="70" spans="2:7" ht="14.45" customHeight="1">
      <c r="B70" s="34" t="s">
        <v>165</v>
      </c>
      <c r="C70" s="3" t="s">
        <v>221</v>
      </c>
      <c r="D70" s="36">
        <f>'Input capacity'!D82</f>
        <v>192690.38721216487</v>
      </c>
      <c r="E70" s="36">
        <f>'Input capacity'!E82</f>
        <v>191222.13812529767</v>
      </c>
      <c r="F70" s="36">
        <f>'Input capacity'!F82</f>
        <v>165127.37004629069</v>
      </c>
      <c r="G70" s="36">
        <f>'Input capacity'!G82</f>
        <v>199720.98263610588</v>
      </c>
    </row>
    <row r="71" spans="2:7" ht="14.45" customHeight="1">
      <c r="B71" s="34" t="s">
        <v>167</v>
      </c>
      <c r="C71" s="3" t="s">
        <v>221</v>
      </c>
      <c r="D71" s="36">
        <f>'Input capacity'!D83</f>
        <v>173274.80285532883</v>
      </c>
      <c r="E71" s="36">
        <f>'Input capacity'!E83</f>
        <v>171954.4953156003</v>
      </c>
      <c r="F71" s="36">
        <f>'Input capacity'!F83</f>
        <v>148489.04973804319</v>
      </c>
      <c r="G71" s="36">
        <f>'Input capacity'!G83</f>
        <v>179596.99180135864</v>
      </c>
    </row>
    <row r="72" spans="2:7" ht="14.45" customHeight="1">
      <c r="B72" s="34" t="s">
        <v>169</v>
      </c>
      <c r="C72" s="3" t="s">
        <v>221</v>
      </c>
      <c r="D72" s="36">
        <f>'Input capacity'!D84</f>
        <v>60588.286829940473</v>
      </c>
      <c r="E72" s="36">
        <f>'Input capacity'!E84</f>
        <v>60126.620329084057</v>
      </c>
      <c r="F72" s="36">
        <f>'Input capacity'!F84</f>
        <v>51921.554596402631</v>
      </c>
      <c r="G72" s="36">
        <f>'Input capacity'!G84</f>
        <v>62798.940606156</v>
      </c>
    </row>
    <row r="73" spans="2:7" ht="14.45" customHeight="1">
      <c r="B73" s="34" t="s">
        <v>171</v>
      </c>
      <c r="C73" s="3" t="s">
        <v>221</v>
      </c>
      <c r="D73" s="36">
        <f>'Input capacity'!D85</f>
        <v>214127.53811600766</v>
      </c>
      <c r="E73" s="36">
        <f>'Input capacity'!E85</f>
        <v>212495.94368693122</v>
      </c>
      <c r="F73" s="36">
        <f>'Input capacity'!F85</f>
        <v>183498.085893882</v>
      </c>
      <c r="G73" s="36">
        <f>'Input capacity'!G85</f>
        <v>221940.29988061276</v>
      </c>
    </row>
    <row r="74" spans="2:7" ht="14.45" customHeight="1">
      <c r="B74" s="34" t="s">
        <v>173</v>
      </c>
      <c r="C74" s="3" t="s">
        <v>221</v>
      </c>
      <c r="D74" s="36">
        <f>'Input capacity'!D86</f>
        <v>30985631.700742044</v>
      </c>
      <c r="E74" s="36">
        <f>'Input capacity'!E86</f>
        <v>30749529.49497645</v>
      </c>
      <c r="F74" s="36">
        <f>'Input capacity'!F86</f>
        <v>26553353.003192723</v>
      </c>
      <c r="G74" s="36">
        <f>'Input capacity'!G86</f>
        <v>32116188.567615189</v>
      </c>
    </row>
    <row r="75" spans="2:7" ht="14.45" customHeight="1">
      <c r="B75" s="34" t="s">
        <v>175</v>
      </c>
      <c r="C75" s="3" t="s">
        <v>221</v>
      </c>
      <c r="D75" s="36">
        <f>'Input capacity'!D87</f>
        <v>490511.69363438879</v>
      </c>
      <c r="E75" s="36">
        <f>'Input capacity'!E87</f>
        <v>486774.1260437264</v>
      </c>
      <c r="F75" s="36">
        <f>'Input capacity'!F87</f>
        <v>420347.41389364447</v>
      </c>
      <c r="G75" s="36">
        <f>'Input capacity'!G87</f>
        <v>508408.74246256083</v>
      </c>
    </row>
    <row r="76" spans="2:7" ht="14.45" customHeight="1">
      <c r="B76" s="34" t="s">
        <v>177</v>
      </c>
      <c r="C76" s="3" t="s">
        <v>221</v>
      </c>
      <c r="D76" s="36">
        <f>'Input capacity'!D88</f>
        <v>2650342.237636135</v>
      </c>
      <c r="E76" s="36">
        <f>'Input capacity'!E88</f>
        <v>2630147.3403888205</v>
      </c>
      <c r="F76" s="36">
        <f>'Input capacity'!F88</f>
        <v>2271229.2489276128</v>
      </c>
      <c r="G76" s="36">
        <f>'Input capacity'!G88</f>
        <v>2747043.9168293239</v>
      </c>
    </row>
    <row r="77" spans="2:7" ht="14.45" customHeight="1">
      <c r="B77" s="34" t="s">
        <v>179</v>
      </c>
      <c r="C77" s="3" t="s">
        <v>221</v>
      </c>
      <c r="D77" s="36">
        <f>'Input capacity'!D89</f>
        <v>527535.58576900885</v>
      </c>
      <c r="E77" s="36">
        <f>'Input capacity'!E89</f>
        <v>523515.90604703873</v>
      </c>
      <c r="F77" s="36">
        <f>'Input capacity'!F89</f>
        <v>452075.29625207168</v>
      </c>
      <c r="G77" s="36">
        <f>'Input capacity'!G89</f>
        <v>546783.50637850922</v>
      </c>
    </row>
    <row r="78" spans="2:7" ht="14.45" customHeight="1">
      <c r="B78" s="34" t="s">
        <v>181</v>
      </c>
      <c r="C78" s="3" t="s">
        <v>221</v>
      </c>
      <c r="D78" s="36">
        <f>'Input capacity'!D90</f>
        <v>1511297.7749569886</v>
      </c>
      <c r="E78" s="36">
        <f>'Input capacity'!E90</f>
        <v>1499782.0911173904</v>
      </c>
      <c r="F78" s="36">
        <f>'Input capacity'!F90</f>
        <v>1295117.15942882</v>
      </c>
      <c r="G78" s="36">
        <f>'Input capacity'!G90</f>
        <v>1566439.7224851009</v>
      </c>
    </row>
    <row r="79" spans="2:7" ht="14.45" customHeight="1">
      <c r="B79" s="34" t="s">
        <v>183</v>
      </c>
      <c r="C79" s="3" t="s">
        <v>221</v>
      </c>
      <c r="D79" s="36">
        <f>'Input capacity'!D91</f>
        <v>460151.99118812644</v>
      </c>
      <c r="E79" s="36">
        <f>'Input capacity'!E91</f>
        <v>456645.75639013312</v>
      </c>
      <c r="F79" s="36">
        <f>'Input capacity'!F91</f>
        <v>394330.45532674226</v>
      </c>
      <c r="G79" s="36">
        <f>'Input capacity'!G91</f>
        <v>476941.32110940828</v>
      </c>
    </row>
    <row r="80" spans="2:7" ht="14.45" customHeight="1">
      <c r="B80" s="34" t="s">
        <v>185</v>
      </c>
      <c r="C80" s="3" t="s">
        <v>221</v>
      </c>
      <c r="D80" s="36">
        <f>'Input capacity'!D92</f>
        <v>1747372.2588321103</v>
      </c>
      <c r="E80" s="36">
        <f>'Input capacity'!E92</f>
        <v>1734057.7507211145</v>
      </c>
      <c r="F80" s="36">
        <f>'Input capacity'!F92</f>
        <v>1497422.8334239228</v>
      </c>
      <c r="G80" s="36">
        <f>'Input capacity'!G92</f>
        <v>1811127.7350891579</v>
      </c>
    </row>
    <row r="81" spans="2:7" ht="14.45" customHeight="1">
      <c r="B81" s="34" t="s">
        <v>187</v>
      </c>
      <c r="C81" s="3" t="s">
        <v>221</v>
      </c>
      <c r="D81" s="36">
        <f>'Input capacity'!D93</f>
        <v>270847.51593538024</v>
      </c>
      <c r="E81" s="36">
        <f>'Input capacity'!E93</f>
        <v>268783.73048294609</v>
      </c>
      <c r="F81" s="36">
        <f>'Input capacity'!F93</f>
        <v>232104.66612813275</v>
      </c>
      <c r="G81" s="36">
        <f>'Input capacity'!G93</f>
        <v>280729.79046744813</v>
      </c>
    </row>
    <row r="82" spans="2:7" ht="14.45" customHeight="1">
      <c r="B82" s="34" t="s">
        <v>189</v>
      </c>
      <c r="C82" s="3" t="s">
        <v>221</v>
      </c>
      <c r="D82" s="36">
        <f>'Input capacity'!D94</f>
        <v>75394.516807573702</v>
      </c>
      <c r="E82" s="36">
        <f>'Input capacity'!E94</f>
        <v>74820.030804098977</v>
      </c>
      <c r="F82" s="36">
        <f>'Input capacity'!F94</f>
        <v>64609.85655001858</v>
      </c>
      <c r="G82" s="36">
        <f>'Input capacity'!G94</f>
        <v>78145.397910292813</v>
      </c>
    </row>
    <row r="83" spans="2:7" ht="14.45" customHeight="1">
      <c r="B83" s="34" t="s">
        <v>191</v>
      </c>
      <c r="C83" s="3" t="s">
        <v>221</v>
      </c>
      <c r="D83" s="36">
        <f>'Input capacity'!D95</f>
        <v>418662.90931027912</v>
      </c>
      <c r="E83" s="36">
        <f>'Input capacity'!E95</f>
        <v>415472.81019224081</v>
      </c>
      <c r="F83" s="36">
        <f>'Input capacity'!F95</f>
        <v>358776.09750306542</v>
      </c>
      <c r="G83" s="36">
        <f>'Input capacity'!G95</f>
        <v>433938.44836002809</v>
      </c>
    </row>
    <row r="84" spans="2:7" ht="14.45" customHeight="1">
      <c r="B84" s="34" t="s">
        <v>193</v>
      </c>
      <c r="C84" s="3" t="s">
        <v>221</v>
      </c>
      <c r="D84" s="36">
        <f>'Input capacity'!D96</f>
        <v>426568.48045683431</v>
      </c>
      <c r="E84" s="36">
        <f>'Input capacity'!E96</f>
        <v>423318.14300628228</v>
      </c>
      <c r="F84" s="36">
        <f>'Input capacity'!F96</f>
        <v>365550.83178551379</v>
      </c>
      <c r="G84" s="36">
        <f>'Input capacity'!G96</f>
        <v>442132.46603020473</v>
      </c>
    </row>
    <row r="85" spans="2:7" ht="14.45" customHeight="1">
      <c r="B85" s="34" t="s">
        <v>195</v>
      </c>
      <c r="C85" s="3" t="s">
        <v>221</v>
      </c>
      <c r="D85" s="36">
        <f>'Input capacity'!D97</f>
        <v>294466.70623894472</v>
      </c>
      <c r="E85" s="36">
        <f>'Input capacity'!E97</f>
        <v>292222.94888911868</v>
      </c>
      <c r="F85" s="36">
        <f>'Input capacity'!F97</f>
        <v>252345.29584442524</v>
      </c>
      <c r="G85" s="36">
        <f>'Input capacity'!G97</f>
        <v>305210.76206518058</v>
      </c>
    </row>
    <row r="86" spans="2:7" ht="14.45" customHeight="1">
      <c r="B86" s="34" t="s">
        <v>197</v>
      </c>
      <c r="C86" s="3" t="s">
        <v>221</v>
      </c>
      <c r="D86" s="36">
        <f>'Input capacity'!D98</f>
        <v>174115.00218173882</v>
      </c>
      <c r="E86" s="36">
        <f>'Input capacity'!E98</f>
        <v>172788.29254841528</v>
      </c>
      <c r="F86" s="36">
        <f>'Input capacity'!F98</f>
        <v>149209.06440557295</v>
      </c>
      <c r="G86" s="36">
        <f>'Input capacity'!G98</f>
        <v>180467.84705007446</v>
      </c>
    </row>
    <row r="87" spans="2:7" ht="14.45" customHeight="1">
      <c r="B87" s="34" t="s">
        <v>199</v>
      </c>
      <c r="C87" s="3" t="s">
        <v>221</v>
      </c>
      <c r="D87" s="36">
        <f>'Input capacity'!D99</f>
        <v>211724.6854616355</v>
      </c>
      <c r="E87" s="36">
        <f>'Input capacity'!E99</f>
        <v>210111.40012553823</v>
      </c>
      <c r="F87" s="36">
        <f>'Input capacity'!F99</f>
        <v>181438.94456791464</v>
      </c>
      <c r="G87" s="36">
        <f>'Input capacity'!G99</f>
        <v>219449.77557265869</v>
      </c>
    </row>
    <row r="88" spans="2:7" ht="14.45" customHeight="1">
      <c r="B88" s="34" t="s">
        <v>201</v>
      </c>
      <c r="C88" s="3" t="s">
        <v>221</v>
      </c>
      <c r="D88" s="36">
        <f>'Input capacity'!D100</f>
        <v>698233.36421518959</v>
      </c>
      <c r="E88" s="36">
        <f>'Input capacity'!E100</f>
        <v>692913.01318854303</v>
      </c>
      <c r="F88" s="36">
        <f>'Input capacity'!F100</f>
        <v>598355.94696521095</v>
      </c>
      <c r="G88" s="36">
        <f>'Input capacity'!G100</f>
        <v>723709.44720156665</v>
      </c>
    </row>
    <row r="89" spans="2:7" ht="14.45" customHeight="1">
      <c r="B89" s="34" t="s">
        <v>203</v>
      </c>
      <c r="C89" s="3" t="s">
        <v>221</v>
      </c>
      <c r="D89" s="36">
        <f>'Input capacity'!D101</f>
        <v>874460.28046467097</v>
      </c>
      <c r="E89" s="36">
        <f>'Input capacity'!E101</f>
        <v>867797.127585746</v>
      </c>
      <c r="F89" s="36">
        <f>'Input capacity'!F101</f>
        <v>749374.83084759105</v>
      </c>
      <c r="G89" s="36">
        <f>'Input capacity'!G101</f>
        <v>906366.26464583178</v>
      </c>
    </row>
    <row r="90" spans="2:7" ht="14.45" customHeight="1">
      <c r="B90" s="34" t="s">
        <v>205</v>
      </c>
      <c r="C90" s="3" t="s">
        <v>221</v>
      </c>
      <c r="D90" s="36">
        <f>'Input capacity'!D102</f>
        <v>6302979.3219628185</v>
      </c>
      <c r="E90" s="36">
        <f>'Input capacity'!E102</f>
        <v>6254952.3094693245</v>
      </c>
      <c r="F90" s="36">
        <f>'Input capacity'!F102</f>
        <v>5401382.0510199564</v>
      </c>
      <c r="G90" s="36">
        <f>'Input capacity'!G102</f>
        <v>6532952.8988459986</v>
      </c>
    </row>
    <row r="91" spans="2:7" ht="14.45" customHeight="1">
      <c r="B91" s="34" t="s">
        <v>207</v>
      </c>
      <c r="C91" s="3" t="s">
        <v>221</v>
      </c>
      <c r="D91" s="36">
        <f>'Input capacity'!D103</f>
        <v>13577960.651858555</v>
      </c>
      <c r="E91" s="36">
        <f>'Input capacity'!E103</f>
        <v>13474500.232181991</v>
      </c>
      <c r="F91" s="36">
        <f>'Input capacity'!F103</f>
        <v>11635727.995941641</v>
      </c>
      <c r="G91" s="36">
        <f>'Input capacity'!G103</f>
        <v>14073372.744835973</v>
      </c>
    </row>
    <row r="92" spans="2:7" ht="14.45" customHeight="1">
      <c r="B92" s="34" t="s">
        <v>209</v>
      </c>
      <c r="C92" s="3" t="s">
        <v>221</v>
      </c>
      <c r="D92" s="36">
        <f>'Input capacity'!D104</f>
        <v>5725553.9657092011</v>
      </c>
      <c r="E92" s="36">
        <f>'Input capacity'!E104</f>
        <v>5681926.7796124434</v>
      </c>
      <c r="F92" s="36">
        <f>'Input capacity'!F104</f>
        <v>4906553.3683041083</v>
      </c>
      <c r="G92" s="36">
        <f>'Input capacity'!G104</f>
        <v>5934459.3194906535</v>
      </c>
    </row>
    <row r="93" spans="2:7" ht="14.45" customHeight="1">
      <c r="B93" s="34" t="s">
        <v>210</v>
      </c>
      <c r="C93" s="3" t="s">
        <v>221</v>
      </c>
      <c r="D93" s="36">
        <f>'Input capacity'!D105</f>
        <v>141385.71584325258</v>
      </c>
      <c r="E93" s="36">
        <f>'Input capacity'!E105</f>
        <v>140308.39459652972</v>
      </c>
      <c r="F93" s="36">
        <f>'Input capacity'!F105</f>
        <v>121161.4744102531</v>
      </c>
      <c r="G93" s="36">
        <f>'Input capacity'!G105</f>
        <v>146544.38401139376</v>
      </c>
    </row>
    <row r="94" spans="2:7" ht="14.45" customHeight="1">
      <c r="B94" s="34" t="s">
        <v>212</v>
      </c>
      <c r="C94" s="3" t="s">
        <v>221</v>
      </c>
      <c r="D94" s="36">
        <f>'Input capacity'!D106</f>
        <v>11117664.587172469</v>
      </c>
      <c r="E94" s="36">
        <f>'Input capacity'!E106</f>
        <v>11032950.963860068</v>
      </c>
      <c r="F94" s="36">
        <f>'Input capacity'!F106</f>
        <v>9527360.139222715</v>
      </c>
      <c r="G94" s="36">
        <f>'Input capacity'!G106</f>
        <v>11523309.118289748</v>
      </c>
    </row>
    <row r="95" spans="2:7" ht="14.45" customHeight="1">
      <c r="B95" s="34" t="s">
        <v>213</v>
      </c>
      <c r="C95" s="3" t="s">
        <v>221</v>
      </c>
      <c r="D95" s="36">
        <f>'Input capacity'!D107</f>
        <v>41463.967224068758</v>
      </c>
      <c r="E95" s="36">
        <f>'Input capacity'!E107</f>
        <v>41148.02291104188</v>
      </c>
      <c r="F95" s="36">
        <f>'Input capacity'!F107</f>
        <v>35532.835646114778</v>
      </c>
      <c r="G95" s="36">
        <f>'Input capacity'!G107</f>
        <v>42976.841750097985</v>
      </c>
    </row>
    <row r="98" spans="2:15" ht="28.9" customHeight="1">
      <c r="B98" s="31" t="str">
        <f>IF('RPM &amp; Discounts'!$B$3&lt;&gt;'A0.Support'!$B$6,"2. "&amp;'Input data'!B228,"2. "&amp;'Input data'!B210)</f>
        <v>2. Commercial utilization factor at exit points</v>
      </c>
      <c r="C98" s="4"/>
      <c r="D98" s="4"/>
      <c r="E98" s="4"/>
      <c r="F98" s="4"/>
      <c r="G98" s="4"/>
    </row>
    <row r="99" spans="2:15" ht="14.45" customHeight="1">
      <c r="B99" s="35" t="str">
        <f>'Entry Tariff_1'!B15</f>
        <v>Commercial utilization factor by default. Physical flow factor in mCWD.</v>
      </c>
    </row>
    <row r="100" spans="2:15" ht="14.45" customHeight="1">
      <c r="B100" s="8" t="s">
        <v>2</v>
      </c>
      <c r="C100" s="8" t="s">
        <v>215</v>
      </c>
      <c r="D100" s="5"/>
      <c r="E100" s="5"/>
      <c r="F100" s="5"/>
      <c r="G100" s="5"/>
    </row>
    <row r="101" spans="2:15" ht="14.45" customHeight="1">
      <c r="B101" s="24"/>
      <c r="C101" s="24"/>
      <c r="D101" s="22" t="str">
        <f>'Input data'!D$5</f>
        <v>2023-24</v>
      </c>
      <c r="E101" s="22" t="str">
        <f>'Input data'!E$5</f>
        <v>2024-25</v>
      </c>
      <c r="F101" s="22" t="str">
        <f>'Input data'!F$5</f>
        <v>2025-26</v>
      </c>
      <c r="G101" s="22" t="str">
        <f>'Input data'!G$5</f>
        <v>2026-27</v>
      </c>
    </row>
    <row r="102" spans="2:15" ht="14.45" customHeight="1">
      <c r="B102" s="23"/>
      <c r="C102" s="23"/>
      <c r="D102" s="7"/>
      <c r="E102" s="7"/>
      <c r="F102" s="7"/>
      <c r="G102" s="7"/>
    </row>
    <row r="103" spans="2:15" ht="14.45" customHeight="1">
      <c r="B103" s="34" t="str">
        <f>B7</f>
        <v>CTS Campo Maior</v>
      </c>
      <c r="C103" s="34" t="str">
        <f t="shared" ref="C103:C167" si="0">C7</f>
        <v>Interconnection point</v>
      </c>
      <c r="D103" s="80">
        <f>IF('RPM &amp; Discounts'!$B$3&lt;&gt;'A0.Support'!$B$6,'Input data'!D$231,'Input data'!D$213)</f>
        <v>0.14452116455577699</v>
      </c>
      <c r="E103" s="80">
        <f>IF('RPM &amp; Discounts'!$B$3&lt;&gt;'A0.Support'!$B$6,'Input data'!E$231,'Input data'!E$213)</f>
        <v>0.14452116455577699</v>
      </c>
      <c r="F103" s="80">
        <f>IF('RPM &amp; Discounts'!$B$3&lt;&gt;'A0.Support'!$B$6,'Input data'!F$231,'Input data'!F$213)</f>
        <v>0.14452116455577699</v>
      </c>
      <c r="G103" s="80">
        <f>IF('RPM &amp; Discounts'!$B$3&lt;&gt;'A0.Support'!$B$6,'Input data'!G$231,'Input data'!G$213)</f>
        <v>0.14452116455577699</v>
      </c>
      <c r="J103"/>
      <c r="K103"/>
      <c r="L103"/>
      <c r="M103"/>
      <c r="N103"/>
      <c r="O103"/>
    </row>
    <row r="104" spans="2:15" ht="14.45" customHeight="1">
      <c r="B104" s="34" t="str">
        <f t="shared" ref="B104" si="1">B8</f>
        <v>CTS Valença do Minho</v>
      </c>
      <c r="C104" s="34" t="str">
        <f t="shared" si="0"/>
        <v>Interconnection point</v>
      </c>
      <c r="D104" s="80">
        <f>IF('RPM &amp; Discounts'!$B$3&lt;&gt;'A0.Support'!$B$6,'Input data'!D$231,'Input data'!D$213)</f>
        <v>0.14452116455577699</v>
      </c>
      <c r="E104" s="80">
        <f>IF('RPM &amp; Discounts'!$B$3&lt;&gt;'A0.Support'!$B$6,'Input data'!E$231,'Input data'!E$213)</f>
        <v>0.14452116455577699</v>
      </c>
      <c r="F104" s="80">
        <f>IF('RPM &amp; Discounts'!$B$3&lt;&gt;'A0.Support'!$B$6,'Input data'!F$231,'Input data'!F$213)</f>
        <v>0.14452116455577699</v>
      </c>
      <c r="G104" s="80">
        <f>IF('RPM &amp; Discounts'!$B$3&lt;&gt;'A0.Support'!$B$6,'Input data'!G$231,'Input data'!G$213)</f>
        <v>0.14452116455577699</v>
      </c>
      <c r="J104"/>
      <c r="K104"/>
      <c r="L104"/>
      <c r="M104"/>
      <c r="N104"/>
      <c r="O104"/>
    </row>
    <row r="105" spans="2:15" ht="14.45" customHeight="1">
      <c r="B105" s="34" t="str">
        <f t="shared" ref="B105" si="2">B9</f>
        <v>LNG Terminal Sines</v>
      </c>
      <c r="C105" s="34" t="str">
        <f t="shared" si="0"/>
        <v>LNG terminal</v>
      </c>
      <c r="D105" s="80">
        <f>IF('RPM &amp; Discounts'!$B$3&lt;&gt;'A0.Support'!$B$6,'Input data'!D$232,'Input data'!D$214)</f>
        <v>0</v>
      </c>
      <c r="E105" s="80">
        <f>IF('RPM &amp; Discounts'!$B$3&lt;&gt;'A0.Support'!$B$6,'Input data'!E$232,'Input data'!E$214)</f>
        <v>0</v>
      </c>
      <c r="F105" s="80">
        <f>IF('RPM &amp; Discounts'!$B$3&lt;&gt;'A0.Support'!$B$6,'Input data'!F$232,'Input data'!F$214)</f>
        <v>0</v>
      </c>
      <c r="G105" s="80">
        <f>IF('RPM &amp; Discounts'!$B$3&lt;&gt;'A0.Support'!$B$6,'Input data'!G$232,'Input data'!G$214)</f>
        <v>0</v>
      </c>
      <c r="J105"/>
      <c r="K105"/>
      <c r="L105"/>
      <c r="M105"/>
      <c r="N105"/>
      <c r="O105"/>
    </row>
    <row r="106" spans="2:15" ht="14.45" customHeight="1">
      <c r="B106" s="34" t="str">
        <f t="shared" ref="B106" si="3">B10</f>
        <v>Underground storage Carriço</v>
      </c>
      <c r="C106" s="34" t="str">
        <f t="shared" si="0"/>
        <v>Underground storage</v>
      </c>
      <c r="D106" s="80">
        <f>IF('RPM &amp; Discounts'!$B$3&lt;&gt;'A0.Support'!$B$6,'Input data'!D$233,'Input data'!D$215)</f>
        <v>0.52817585734383188</v>
      </c>
      <c r="E106" s="80">
        <f>IF('RPM &amp; Discounts'!$B$3&lt;&gt;'A0.Support'!$B$6,'Input data'!E$233,'Input data'!E$215)</f>
        <v>0.52817585734383188</v>
      </c>
      <c r="F106" s="80">
        <f>IF('RPM &amp; Discounts'!$B$3&lt;&gt;'A0.Support'!$B$6,'Input data'!F$233,'Input data'!F$215)</f>
        <v>0.52817585734383188</v>
      </c>
      <c r="G106" s="80">
        <f>IF('RPM &amp; Discounts'!$B$3&lt;&gt;'A0.Support'!$B$6,'Input data'!G$233,'Input data'!G$215)</f>
        <v>0.52817585734383188</v>
      </c>
      <c r="J106"/>
      <c r="K106"/>
      <c r="L106"/>
      <c r="M106"/>
      <c r="N106"/>
      <c r="O106"/>
    </row>
    <row r="107" spans="2:15" ht="14.45" customHeight="1">
      <c r="B107" s="34" t="str">
        <f t="shared" ref="B107" si="4">B11</f>
        <v>GRMS 01059</v>
      </c>
      <c r="C107" s="34" t="str">
        <f t="shared" si="0"/>
        <v>Domestic exit</v>
      </c>
      <c r="D107" s="80">
        <f>IF('RPM &amp; Discounts'!$B$3&lt;&gt;'A0.Support'!$B$6,'Input data'!D$234,'Input data'!D$216)</f>
        <v>0.46838876692920056</v>
      </c>
      <c r="E107" s="80">
        <f>IF('RPM &amp; Discounts'!$B$3&lt;&gt;'A0.Support'!$B$6,'Input data'!E$234,'Input data'!E$216)</f>
        <v>0.46838876692920056</v>
      </c>
      <c r="F107" s="80">
        <f>IF('RPM &amp; Discounts'!$B$3&lt;&gt;'A0.Support'!$B$6,'Input data'!F$234,'Input data'!F$216)</f>
        <v>0.46838876692920056</v>
      </c>
      <c r="G107" s="80">
        <f>IF('RPM &amp; Discounts'!$B$3&lt;&gt;'A0.Support'!$B$6,'Input data'!G$234,'Input data'!G$216)</f>
        <v>0.46838876692920056</v>
      </c>
      <c r="J107"/>
      <c r="K107"/>
      <c r="L107"/>
      <c r="M107"/>
      <c r="N107"/>
      <c r="O107"/>
    </row>
    <row r="108" spans="2:15" ht="14.45" customHeight="1">
      <c r="B108" s="34" t="str">
        <f t="shared" ref="B108" si="5">B12</f>
        <v>GRMS 01109</v>
      </c>
      <c r="C108" s="34" t="str">
        <f t="shared" si="0"/>
        <v>Domestic exit</v>
      </c>
      <c r="D108" s="80">
        <f>IF('RPM &amp; Discounts'!$B$3&lt;&gt;'A0.Support'!$B$6,'Input data'!D$234,'Input data'!D$216)</f>
        <v>0.46838876692920056</v>
      </c>
      <c r="E108" s="80">
        <f>IF('RPM &amp; Discounts'!$B$3&lt;&gt;'A0.Support'!$B$6,'Input data'!E$234,'Input data'!E$216)</f>
        <v>0.46838876692920056</v>
      </c>
      <c r="F108" s="80">
        <f>IF('RPM &amp; Discounts'!$B$3&lt;&gt;'A0.Support'!$B$6,'Input data'!F$234,'Input data'!F$216)</f>
        <v>0.46838876692920056</v>
      </c>
      <c r="G108" s="80">
        <f>IF('RPM &amp; Discounts'!$B$3&lt;&gt;'A0.Support'!$B$6,'Input data'!G$234,'Input data'!G$216)</f>
        <v>0.46838876692920056</v>
      </c>
    </row>
    <row r="109" spans="2:15" ht="14.45" customHeight="1">
      <c r="B109" s="34" t="str">
        <f t="shared" ref="B109" si="6">B13</f>
        <v>GRMS 01119</v>
      </c>
      <c r="C109" s="34" t="str">
        <f t="shared" si="0"/>
        <v>Domestic exit</v>
      </c>
      <c r="D109" s="80">
        <f>IF('RPM &amp; Discounts'!$B$3&lt;&gt;'A0.Support'!$B$6,'Input data'!D$234,'Input data'!D$216)</f>
        <v>0.46838876692920056</v>
      </c>
      <c r="E109" s="80">
        <f>IF('RPM &amp; Discounts'!$B$3&lt;&gt;'A0.Support'!$B$6,'Input data'!E$234,'Input data'!E$216)</f>
        <v>0.46838876692920056</v>
      </c>
      <c r="F109" s="80">
        <f>IF('RPM &amp; Discounts'!$B$3&lt;&gt;'A0.Support'!$B$6,'Input data'!F$234,'Input data'!F$216)</f>
        <v>0.46838876692920056</v>
      </c>
      <c r="G109" s="80">
        <f>IF('RPM &amp; Discounts'!$B$3&lt;&gt;'A0.Support'!$B$6,'Input data'!G$234,'Input data'!G$216)</f>
        <v>0.46838876692920056</v>
      </c>
    </row>
    <row r="110" spans="2:15" ht="14.45" customHeight="1">
      <c r="B110" s="34" t="str">
        <f t="shared" ref="B110" si="7">B14</f>
        <v>GRMS 01129</v>
      </c>
      <c r="C110" s="34" t="str">
        <f t="shared" si="0"/>
        <v>Domestic exit</v>
      </c>
      <c r="D110" s="80">
        <f>IF('RPM &amp; Discounts'!$B$3&lt;&gt;'A0.Support'!$B$6,'Input data'!D$234,'Input data'!D$216)</f>
        <v>0.46838876692920056</v>
      </c>
      <c r="E110" s="80">
        <f>IF('RPM &amp; Discounts'!$B$3&lt;&gt;'A0.Support'!$B$6,'Input data'!E$234,'Input data'!E$216)</f>
        <v>0.46838876692920056</v>
      </c>
      <c r="F110" s="80">
        <f>IF('RPM &amp; Discounts'!$B$3&lt;&gt;'A0.Support'!$B$6,'Input data'!F$234,'Input data'!F$216)</f>
        <v>0.46838876692920056</v>
      </c>
      <c r="G110" s="80">
        <f>IF('RPM &amp; Discounts'!$B$3&lt;&gt;'A0.Support'!$B$6,'Input data'!G$234,'Input data'!G$216)</f>
        <v>0.46838876692920056</v>
      </c>
    </row>
    <row r="111" spans="2:15" ht="14.45" customHeight="1">
      <c r="B111" s="34" t="str">
        <f t="shared" ref="B111" si="8">B15</f>
        <v>GRMS 01139</v>
      </c>
      <c r="C111" s="34" t="str">
        <f t="shared" si="0"/>
        <v>Domestic exit</v>
      </c>
      <c r="D111" s="80">
        <f>IF('RPM &amp; Discounts'!$B$3&lt;&gt;'A0.Support'!$B$6,'Input data'!D$234,'Input data'!D$216)</f>
        <v>0.46838876692920056</v>
      </c>
      <c r="E111" s="80">
        <f>IF('RPM &amp; Discounts'!$B$3&lt;&gt;'A0.Support'!$B$6,'Input data'!E$234,'Input data'!E$216)</f>
        <v>0.46838876692920056</v>
      </c>
      <c r="F111" s="80">
        <f>IF('RPM &amp; Discounts'!$B$3&lt;&gt;'A0.Support'!$B$6,'Input data'!F$234,'Input data'!F$216)</f>
        <v>0.46838876692920056</v>
      </c>
      <c r="G111" s="80">
        <f>IF('RPM &amp; Discounts'!$B$3&lt;&gt;'A0.Support'!$B$6,'Input data'!G$234,'Input data'!G$216)</f>
        <v>0.46838876692920056</v>
      </c>
    </row>
    <row r="112" spans="2:15" ht="14.45" customHeight="1">
      <c r="B112" s="34" t="str">
        <f t="shared" ref="B112" si="9">B16</f>
        <v>GRMS 01149</v>
      </c>
      <c r="C112" s="34" t="str">
        <f t="shared" si="0"/>
        <v>Domestic exit</v>
      </c>
      <c r="D112" s="80">
        <f>IF('RPM &amp; Discounts'!$B$3&lt;&gt;'A0.Support'!$B$6,'Input data'!D$234,'Input data'!D$216)</f>
        <v>0.46838876692920056</v>
      </c>
      <c r="E112" s="80">
        <f>IF('RPM &amp; Discounts'!$B$3&lt;&gt;'A0.Support'!$B$6,'Input data'!E$234,'Input data'!E$216)</f>
        <v>0.46838876692920056</v>
      </c>
      <c r="F112" s="80">
        <f>IF('RPM &amp; Discounts'!$B$3&lt;&gt;'A0.Support'!$B$6,'Input data'!F$234,'Input data'!F$216)</f>
        <v>0.46838876692920056</v>
      </c>
      <c r="G112" s="80">
        <f>IF('RPM &amp; Discounts'!$B$3&lt;&gt;'A0.Support'!$B$6,'Input data'!G$234,'Input data'!G$216)</f>
        <v>0.46838876692920056</v>
      </c>
    </row>
    <row r="113" spans="2:7" ht="14.45" customHeight="1">
      <c r="B113" s="34" t="str">
        <f t="shared" ref="B113" si="10">B17</f>
        <v>GRMS 01159</v>
      </c>
      <c r="C113" s="34" t="str">
        <f t="shared" si="0"/>
        <v>Domestic exit</v>
      </c>
      <c r="D113" s="80">
        <f>IF('RPM &amp; Discounts'!$B$3&lt;&gt;'A0.Support'!$B$6,'Input data'!D$234,'Input data'!D$216)</f>
        <v>0.46838876692920056</v>
      </c>
      <c r="E113" s="80">
        <f>IF('RPM &amp; Discounts'!$B$3&lt;&gt;'A0.Support'!$B$6,'Input data'!E$234,'Input data'!E$216)</f>
        <v>0.46838876692920056</v>
      </c>
      <c r="F113" s="80">
        <f>IF('RPM &amp; Discounts'!$B$3&lt;&gt;'A0.Support'!$B$6,'Input data'!F$234,'Input data'!F$216)</f>
        <v>0.46838876692920056</v>
      </c>
      <c r="G113" s="80">
        <f>IF('RPM &amp; Discounts'!$B$3&lt;&gt;'A0.Support'!$B$6,'Input data'!G$234,'Input data'!G$216)</f>
        <v>0.46838876692920056</v>
      </c>
    </row>
    <row r="114" spans="2:7" ht="14.45" customHeight="1">
      <c r="B114" s="34" t="str">
        <f t="shared" ref="B114" si="11">B18</f>
        <v>GRMS 01179</v>
      </c>
      <c r="C114" s="34" t="str">
        <f t="shared" si="0"/>
        <v>Domestic exit</v>
      </c>
      <c r="D114" s="80">
        <f>IF('RPM &amp; Discounts'!$B$3&lt;&gt;'A0.Support'!$B$6,'Input data'!D$234,'Input data'!D$216)</f>
        <v>0.46838876692920056</v>
      </c>
      <c r="E114" s="80">
        <f>IF('RPM &amp; Discounts'!$B$3&lt;&gt;'A0.Support'!$B$6,'Input data'!E$234,'Input data'!E$216)</f>
        <v>0.46838876692920056</v>
      </c>
      <c r="F114" s="80">
        <f>IF('RPM &amp; Discounts'!$B$3&lt;&gt;'A0.Support'!$B$6,'Input data'!F$234,'Input data'!F$216)</f>
        <v>0.46838876692920056</v>
      </c>
      <c r="G114" s="80">
        <f>IF('RPM &amp; Discounts'!$B$3&lt;&gt;'A0.Support'!$B$6,'Input data'!G$234,'Input data'!G$216)</f>
        <v>0.46838876692920056</v>
      </c>
    </row>
    <row r="115" spans="2:7" ht="14.45" customHeight="1">
      <c r="B115" s="34" t="str">
        <f t="shared" ref="B115" si="12">B19</f>
        <v>GRMS 01189</v>
      </c>
      <c r="C115" s="34" t="str">
        <f t="shared" si="0"/>
        <v>Domestic exit</v>
      </c>
      <c r="D115" s="80">
        <f>IF('RPM &amp; Discounts'!$B$3&lt;&gt;'A0.Support'!$B$6,'Input data'!D$234,'Input data'!D$216)</f>
        <v>0.46838876692920056</v>
      </c>
      <c r="E115" s="80">
        <f>IF('RPM &amp; Discounts'!$B$3&lt;&gt;'A0.Support'!$B$6,'Input data'!E$234,'Input data'!E$216)</f>
        <v>0.46838876692920056</v>
      </c>
      <c r="F115" s="80">
        <f>IF('RPM &amp; Discounts'!$B$3&lt;&gt;'A0.Support'!$B$6,'Input data'!F$234,'Input data'!F$216)</f>
        <v>0.46838876692920056</v>
      </c>
      <c r="G115" s="80">
        <f>IF('RPM &amp; Discounts'!$B$3&lt;&gt;'A0.Support'!$B$6,'Input data'!G$234,'Input data'!G$216)</f>
        <v>0.46838876692920056</v>
      </c>
    </row>
    <row r="116" spans="2:7" ht="14.45" customHeight="1">
      <c r="B116" s="34" t="str">
        <f t="shared" ref="B116" si="13">B20</f>
        <v>GRMS 01209</v>
      </c>
      <c r="C116" s="34" t="str">
        <f t="shared" si="0"/>
        <v>Domestic exit</v>
      </c>
      <c r="D116" s="80">
        <f>IF('RPM &amp; Discounts'!$B$3&lt;&gt;'A0.Support'!$B$6,'Input data'!D$234,'Input data'!D$216)</f>
        <v>0.46838876692920056</v>
      </c>
      <c r="E116" s="80">
        <f>IF('RPM &amp; Discounts'!$B$3&lt;&gt;'A0.Support'!$B$6,'Input data'!E$234,'Input data'!E$216)</f>
        <v>0.46838876692920056</v>
      </c>
      <c r="F116" s="80">
        <f>IF('RPM &amp; Discounts'!$B$3&lt;&gt;'A0.Support'!$B$6,'Input data'!F$234,'Input data'!F$216)</f>
        <v>0.46838876692920056</v>
      </c>
      <c r="G116" s="80">
        <f>IF('RPM &amp; Discounts'!$B$3&lt;&gt;'A0.Support'!$B$6,'Input data'!G$234,'Input data'!G$216)</f>
        <v>0.46838876692920056</v>
      </c>
    </row>
    <row r="117" spans="2:7" ht="14.45" customHeight="1">
      <c r="B117" s="34" t="str">
        <f t="shared" ref="B117" si="14">B21</f>
        <v>GRMS 01219</v>
      </c>
      <c r="C117" s="34" t="str">
        <f t="shared" si="0"/>
        <v>Domestic exit</v>
      </c>
      <c r="D117" s="80">
        <f>IF('RPM &amp; Discounts'!$B$3&lt;&gt;'A0.Support'!$B$6,'Input data'!D$234,'Input data'!D$216)</f>
        <v>0.46838876692920056</v>
      </c>
      <c r="E117" s="80">
        <f>IF('RPM &amp; Discounts'!$B$3&lt;&gt;'A0.Support'!$B$6,'Input data'!E$234,'Input data'!E$216)</f>
        <v>0.46838876692920056</v>
      </c>
      <c r="F117" s="80">
        <f>IF('RPM &amp; Discounts'!$B$3&lt;&gt;'A0.Support'!$B$6,'Input data'!F$234,'Input data'!F$216)</f>
        <v>0.46838876692920056</v>
      </c>
      <c r="G117" s="80">
        <f>IF('RPM &amp; Discounts'!$B$3&lt;&gt;'A0.Support'!$B$6,'Input data'!G$234,'Input data'!G$216)</f>
        <v>0.46838876692920056</v>
      </c>
    </row>
    <row r="118" spans="2:7" ht="14.45" customHeight="1">
      <c r="B118" s="34" t="str">
        <f t="shared" ref="B118" si="15">B22</f>
        <v>GRMS 01229</v>
      </c>
      <c r="C118" s="34" t="str">
        <f t="shared" si="0"/>
        <v>Domestic exit</v>
      </c>
      <c r="D118" s="80">
        <f>IF('RPM &amp; Discounts'!$B$3&lt;&gt;'A0.Support'!$B$6,'Input data'!D$234,'Input data'!D$216)</f>
        <v>0.46838876692920056</v>
      </c>
      <c r="E118" s="80">
        <f>IF('RPM &amp; Discounts'!$B$3&lt;&gt;'A0.Support'!$B$6,'Input data'!E$234,'Input data'!E$216)</f>
        <v>0.46838876692920056</v>
      </c>
      <c r="F118" s="80">
        <f>IF('RPM &amp; Discounts'!$B$3&lt;&gt;'A0.Support'!$B$6,'Input data'!F$234,'Input data'!F$216)</f>
        <v>0.46838876692920056</v>
      </c>
      <c r="G118" s="80">
        <f>IF('RPM &amp; Discounts'!$B$3&lt;&gt;'A0.Support'!$B$6,'Input data'!G$234,'Input data'!G$216)</f>
        <v>0.46838876692920056</v>
      </c>
    </row>
    <row r="119" spans="2:7" ht="14.45" customHeight="1">
      <c r="B119" s="34" t="str">
        <f t="shared" ref="B119" si="16">B23</f>
        <v>GRMS 01239</v>
      </c>
      <c r="C119" s="34" t="str">
        <f t="shared" si="0"/>
        <v>Domestic exit</v>
      </c>
      <c r="D119" s="80">
        <f>IF('RPM &amp; Discounts'!$B$3&lt;&gt;'A0.Support'!$B$6,'Input data'!D$234,'Input data'!D$216)</f>
        <v>0.46838876692920056</v>
      </c>
      <c r="E119" s="80">
        <f>IF('RPM &amp; Discounts'!$B$3&lt;&gt;'A0.Support'!$B$6,'Input data'!E$234,'Input data'!E$216)</f>
        <v>0.46838876692920056</v>
      </c>
      <c r="F119" s="80">
        <f>IF('RPM &amp; Discounts'!$B$3&lt;&gt;'A0.Support'!$B$6,'Input data'!F$234,'Input data'!F$216)</f>
        <v>0.46838876692920056</v>
      </c>
      <c r="G119" s="80">
        <f>IF('RPM &amp; Discounts'!$B$3&lt;&gt;'A0.Support'!$B$6,'Input data'!G$234,'Input data'!G$216)</f>
        <v>0.46838876692920056</v>
      </c>
    </row>
    <row r="120" spans="2:7" ht="14.45" customHeight="1">
      <c r="B120" s="34" t="str">
        <f t="shared" ref="B120" si="17">B24</f>
        <v>GRMS 01259</v>
      </c>
      <c r="C120" s="34" t="str">
        <f t="shared" si="0"/>
        <v>Domestic exit</v>
      </c>
      <c r="D120" s="80">
        <f>IF('RPM &amp; Discounts'!$B$3&lt;&gt;'A0.Support'!$B$6,'Input data'!D$234,'Input data'!D$216)</f>
        <v>0.46838876692920056</v>
      </c>
      <c r="E120" s="80">
        <f>IF('RPM &amp; Discounts'!$B$3&lt;&gt;'A0.Support'!$B$6,'Input data'!E$234,'Input data'!E$216)</f>
        <v>0.46838876692920056</v>
      </c>
      <c r="F120" s="80">
        <f>IF('RPM &amp; Discounts'!$B$3&lt;&gt;'A0.Support'!$B$6,'Input data'!F$234,'Input data'!F$216)</f>
        <v>0.46838876692920056</v>
      </c>
      <c r="G120" s="80">
        <f>IF('RPM &amp; Discounts'!$B$3&lt;&gt;'A0.Support'!$B$6,'Input data'!G$234,'Input data'!G$216)</f>
        <v>0.46838876692920056</v>
      </c>
    </row>
    <row r="121" spans="2:7" ht="14.45" customHeight="1">
      <c r="B121" s="34" t="str">
        <f t="shared" ref="B121" si="18">B25</f>
        <v>GRMS 01269</v>
      </c>
      <c r="C121" s="34" t="str">
        <f t="shared" si="0"/>
        <v>Domestic exit</v>
      </c>
      <c r="D121" s="80">
        <f>IF('RPM &amp; Discounts'!$B$3&lt;&gt;'A0.Support'!$B$6,'Input data'!D$234,'Input data'!D$216)</f>
        <v>0.46838876692920056</v>
      </c>
      <c r="E121" s="80">
        <f>IF('RPM &amp; Discounts'!$B$3&lt;&gt;'A0.Support'!$B$6,'Input data'!E$234,'Input data'!E$216)</f>
        <v>0.46838876692920056</v>
      </c>
      <c r="F121" s="80">
        <f>IF('RPM &amp; Discounts'!$B$3&lt;&gt;'A0.Support'!$B$6,'Input data'!F$234,'Input data'!F$216)</f>
        <v>0.46838876692920056</v>
      </c>
      <c r="G121" s="80">
        <f>IF('RPM &amp; Discounts'!$B$3&lt;&gt;'A0.Support'!$B$6,'Input data'!G$234,'Input data'!G$216)</f>
        <v>0.46838876692920056</v>
      </c>
    </row>
    <row r="122" spans="2:7" ht="14.45" customHeight="1">
      <c r="B122" s="34" t="str">
        <f t="shared" ref="B122" si="19">B26</f>
        <v>GRMS 01279</v>
      </c>
      <c r="C122" s="34" t="str">
        <f t="shared" si="0"/>
        <v>Domestic exit</v>
      </c>
      <c r="D122" s="80">
        <f>IF('RPM &amp; Discounts'!$B$3&lt;&gt;'A0.Support'!$B$6,'Input data'!D$234,'Input data'!D$216)</f>
        <v>0.46838876692920056</v>
      </c>
      <c r="E122" s="80">
        <f>IF('RPM &amp; Discounts'!$B$3&lt;&gt;'A0.Support'!$B$6,'Input data'!E$234,'Input data'!E$216)</f>
        <v>0.46838876692920056</v>
      </c>
      <c r="F122" s="80">
        <f>IF('RPM &amp; Discounts'!$B$3&lt;&gt;'A0.Support'!$B$6,'Input data'!F$234,'Input data'!F$216)</f>
        <v>0.46838876692920056</v>
      </c>
      <c r="G122" s="80">
        <f>IF('RPM &amp; Discounts'!$B$3&lt;&gt;'A0.Support'!$B$6,'Input data'!G$234,'Input data'!G$216)</f>
        <v>0.46838876692920056</v>
      </c>
    </row>
    <row r="123" spans="2:7" ht="14.45" customHeight="1">
      <c r="B123" s="34" t="str">
        <f t="shared" ref="B123" si="20">B27</f>
        <v>GRMS 01309</v>
      </c>
      <c r="C123" s="34" t="str">
        <f t="shared" si="0"/>
        <v>Domestic exit</v>
      </c>
      <c r="D123" s="80">
        <f>IF('RPM &amp; Discounts'!$B$3&lt;&gt;'A0.Support'!$B$6,'Input data'!D$234,'Input data'!D$216)</f>
        <v>0.46838876692920056</v>
      </c>
      <c r="E123" s="80">
        <f>IF('RPM &amp; Discounts'!$B$3&lt;&gt;'A0.Support'!$B$6,'Input data'!E$234,'Input data'!E$216)</f>
        <v>0.46838876692920056</v>
      </c>
      <c r="F123" s="80">
        <f>IF('RPM &amp; Discounts'!$B$3&lt;&gt;'A0.Support'!$B$6,'Input data'!F$234,'Input data'!F$216)</f>
        <v>0.46838876692920056</v>
      </c>
      <c r="G123" s="80">
        <f>IF('RPM &amp; Discounts'!$B$3&lt;&gt;'A0.Support'!$B$6,'Input data'!G$234,'Input data'!G$216)</f>
        <v>0.46838876692920056</v>
      </c>
    </row>
    <row r="124" spans="2:7" ht="14.45" customHeight="1">
      <c r="B124" s="34" t="str">
        <f t="shared" ref="B124" si="21">B28</f>
        <v>GRMS 01319</v>
      </c>
      <c r="C124" s="34" t="str">
        <f t="shared" si="0"/>
        <v>Domestic exit</v>
      </c>
      <c r="D124" s="80">
        <f>IF('RPM &amp; Discounts'!$B$3&lt;&gt;'A0.Support'!$B$6,'Input data'!D$234,'Input data'!D$216)</f>
        <v>0.46838876692920056</v>
      </c>
      <c r="E124" s="80">
        <f>IF('RPM &amp; Discounts'!$B$3&lt;&gt;'A0.Support'!$B$6,'Input data'!E$234,'Input data'!E$216)</f>
        <v>0.46838876692920056</v>
      </c>
      <c r="F124" s="80">
        <f>IF('RPM &amp; Discounts'!$B$3&lt;&gt;'A0.Support'!$B$6,'Input data'!F$234,'Input data'!F$216)</f>
        <v>0.46838876692920056</v>
      </c>
      <c r="G124" s="80">
        <f>IF('RPM &amp; Discounts'!$B$3&lt;&gt;'A0.Support'!$B$6,'Input data'!G$234,'Input data'!G$216)</f>
        <v>0.46838876692920056</v>
      </c>
    </row>
    <row r="125" spans="2:7" ht="14.45" customHeight="1">
      <c r="B125" s="34" t="str">
        <f t="shared" ref="B125" si="22">B29</f>
        <v>GRMS 01359</v>
      </c>
      <c r="C125" s="34" t="str">
        <f t="shared" si="0"/>
        <v>Domestic exit</v>
      </c>
      <c r="D125" s="80">
        <f>IF('RPM &amp; Discounts'!$B$3&lt;&gt;'A0.Support'!$B$6,'Input data'!D$234,'Input data'!D$216)</f>
        <v>0.46838876692920056</v>
      </c>
      <c r="E125" s="80">
        <f>IF('RPM &amp; Discounts'!$B$3&lt;&gt;'A0.Support'!$B$6,'Input data'!E$234,'Input data'!E$216)</f>
        <v>0.46838876692920056</v>
      </c>
      <c r="F125" s="80">
        <f>IF('RPM &amp; Discounts'!$B$3&lt;&gt;'A0.Support'!$B$6,'Input data'!F$234,'Input data'!F$216)</f>
        <v>0.46838876692920056</v>
      </c>
      <c r="G125" s="80">
        <f>IF('RPM &amp; Discounts'!$B$3&lt;&gt;'A0.Support'!$B$6,'Input data'!G$234,'Input data'!G$216)</f>
        <v>0.46838876692920056</v>
      </c>
    </row>
    <row r="126" spans="2:7" ht="14.45" customHeight="1">
      <c r="B126" s="34" t="str">
        <f t="shared" ref="B126" si="23">B30</f>
        <v>GRMS 01369</v>
      </c>
      <c r="C126" s="34" t="str">
        <f t="shared" si="0"/>
        <v>Domestic exit</v>
      </c>
      <c r="D126" s="80">
        <f>IF('RPM &amp; Discounts'!$B$3&lt;&gt;'A0.Support'!$B$6,'Input data'!D$234,'Input data'!D$216)</f>
        <v>0.46838876692920056</v>
      </c>
      <c r="E126" s="80">
        <f>IF('RPM &amp; Discounts'!$B$3&lt;&gt;'A0.Support'!$B$6,'Input data'!E$234,'Input data'!E$216)</f>
        <v>0.46838876692920056</v>
      </c>
      <c r="F126" s="80">
        <f>IF('RPM &amp; Discounts'!$B$3&lt;&gt;'A0.Support'!$B$6,'Input data'!F$234,'Input data'!F$216)</f>
        <v>0.46838876692920056</v>
      </c>
      <c r="G126" s="80">
        <f>IF('RPM &amp; Discounts'!$B$3&lt;&gt;'A0.Support'!$B$6,'Input data'!G$234,'Input data'!G$216)</f>
        <v>0.46838876692920056</v>
      </c>
    </row>
    <row r="127" spans="2:7" ht="14.45" customHeight="1">
      <c r="B127" s="34" t="str">
        <f t="shared" ref="B127" si="24">B31</f>
        <v>GRMS 01409</v>
      </c>
      <c r="C127" s="34" t="str">
        <f t="shared" si="0"/>
        <v>Domestic exit</v>
      </c>
      <c r="D127" s="80">
        <f>IF('RPM &amp; Discounts'!$B$3&lt;&gt;'A0.Support'!$B$6,'Input data'!D$234,'Input data'!D$216)</f>
        <v>0.46838876692920056</v>
      </c>
      <c r="E127" s="80">
        <f>IF('RPM &amp; Discounts'!$B$3&lt;&gt;'A0.Support'!$B$6,'Input data'!E$234,'Input data'!E$216)</f>
        <v>0.46838876692920056</v>
      </c>
      <c r="F127" s="80">
        <f>IF('RPM &amp; Discounts'!$B$3&lt;&gt;'A0.Support'!$B$6,'Input data'!F$234,'Input data'!F$216)</f>
        <v>0.46838876692920056</v>
      </c>
      <c r="G127" s="80">
        <f>IF('RPM &amp; Discounts'!$B$3&lt;&gt;'A0.Support'!$B$6,'Input data'!G$234,'Input data'!G$216)</f>
        <v>0.46838876692920056</v>
      </c>
    </row>
    <row r="128" spans="2:7" ht="14.45" customHeight="1">
      <c r="B128" s="34" t="str">
        <f t="shared" ref="B128" si="25">B32</f>
        <v>GRMS 02069</v>
      </c>
      <c r="C128" s="34" t="str">
        <f t="shared" si="0"/>
        <v>Domestic exit</v>
      </c>
      <c r="D128" s="80">
        <f>IF('RPM &amp; Discounts'!$B$3&lt;&gt;'A0.Support'!$B$6,'Input data'!D$234,'Input data'!D$216)</f>
        <v>0.46838876692920056</v>
      </c>
      <c r="E128" s="80">
        <f>IF('RPM &amp; Discounts'!$B$3&lt;&gt;'A0.Support'!$B$6,'Input data'!E$234,'Input data'!E$216)</f>
        <v>0.46838876692920056</v>
      </c>
      <c r="F128" s="80">
        <f>IF('RPM &amp; Discounts'!$B$3&lt;&gt;'A0.Support'!$B$6,'Input data'!F$234,'Input data'!F$216)</f>
        <v>0.46838876692920056</v>
      </c>
      <c r="G128" s="80">
        <f>IF('RPM &amp; Discounts'!$B$3&lt;&gt;'A0.Support'!$B$6,'Input data'!G$234,'Input data'!G$216)</f>
        <v>0.46838876692920056</v>
      </c>
    </row>
    <row r="129" spans="2:7" ht="14.45" customHeight="1">
      <c r="B129" s="34" t="str">
        <f t="shared" ref="B129" si="26">B33</f>
        <v>GRMS 02089</v>
      </c>
      <c r="C129" s="34" t="str">
        <f t="shared" si="0"/>
        <v>Domestic exit</v>
      </c>
      <c r="D129" s="80">
        <f>IF('RPM &amp; Discounts'!$B$3&lt;&gt;'A0.Support'!$B$6,'Input data'!D$234,'Input data'!D$216)</f>
        <v>0.46838876692920056</v>
      </c>
      <c r="E129" s="80">
        <f>IF('RPM &amp; Discounts'!$B$3&lt;&gt;'A0.Support'!$B$6,'Input data'!E$234,'Input data'!E$216)</f>
        <v>0.46838876692920056</v>
      </c>
      <c r="F129" s="80">
        <f>IF('RPM &amp; Discounts'!$B$3&lt;&gt;'A0.Support'!$B$6,'Input data'!F$234,'Input data'!F$216)</f>
        <v>0.46838876692920056</v>
      </c>
      <c r="G129" s="80">
        <f>IF('RPM &amp; Discounts'!$B$3&lt;&gt;'A0.Support'!$B$6,'Input data'!G$234,'Input data'!G$216)</f>
        <v>0.46838876692920056</v>
      </c>
    </row>
    <row r="130" spans="2:7" ht="14.45" customHeight="1">
      <c r="B130" s="34" t="str">
        <f t="shared" ref="B130" si="27">B34</f>
        <v>GRMS 02159</v>
      </c>
      <c r="C130" s="34" t="str">
        <f t="shared" si="0"/>
        <v>Domestic exit</v>
      </c>
      <c r="D130" s="80">
        <f>IF('RPM &amp; Discounts'!$B$3&lt;&gt;'A0.Support'!$B$6,'Input data'!D$234,'Input data'!D$216)</f>
        <v>0.46838876692920056</v>
      </c>
      <c r="E130" s="80">
        <f>IF('RPM &amp; Discounts'!$B$3&lt;&gt;'A0.Support'!$B$6,'Input data'!E$234,'Input data'!E$216)</f>
        <v>0.46838876692920056</v>
      </c>
      <c r="F130" s="80">
        <f>IF('RPM &amp; Discounts'!$B$3&lt;&gt;'A0.Support'!$B$6,'Input data'!F$234,'Input data'!F$216)</f>
        <v>0.46838876692920056</v>
      </c>
      <c r="G130" s="80">
        <f>IF('RPM &amp; Discounts'!$B$3&lt;&gt;'A0.Support'!$B$6,'Input data'!G$234,'Input data'!G$216)</f>
        <v>0.46838876692920056</v>
      </c>
    </row>
    <row r="131" spans="2:7" ht="14.45" customHeight="1">
      <c r="B131" s="34" t="str">
        <f t="shared" ref="B131" si="28">B35</f>
        <v>GRMS 02509</v>
      </c>
      <c r="C131" s="34" t="str">
        <f t="shared" si="0"/>
        <v>Domestic exit</v>
      </c>
      <c r="D131" s="80">
        <f>IF('RPM &amp; Discounts'!$B$3&lt;&gt;'A0.Support'!$B$6,'Input data'!D$234,'Input data'!D$216)</f>
        <v>0.46838876692920056</v>
      </c>
      <c r="E131" s="80">
        <f>IF('RPM &amp; Discounts'!$B$3&lt;&gt;'A0.Support'!$B$6,'Input data'!E$234,'Input data'!E$216)</f>
        <v>0.46838876692920056</v>
      </c>
      <c r="F131" s="80">
        <f>IF('RPM &amp; Discounts'!$B$3&lt;&gt;'A0.Support'!$B$6,'Input data'!F$234,'Input data'!F$216)</f>
        <v>0.46838876692920056</v>
      </c>
      <c r="G131" s="80">
        <f>IF('RPM &amp; Discounts'!$B$3&lt;&gt;'A0.Support'!$B$6,'Input data'!G$234,'Input data'!G$216)</f>
        <v>0.46838876692920056</v>
      </c>
    </row>
    <row r="132" spans="2:7" ht="14.45" customHeight="1">
      <c r="B132" s="34" t="str">
        <f t="shared" ref="B132" si="29">B36</f>
        <v>GRMS 02519</v>
      </c>
      <c r="C132" s="34" t="str">
        <f t="shared" si="0"/>
        <v>Domestic exit</v>
      </c>
      <c r="D132" s="80">
        <f>IF('RPM &amp; Discounts'!$B$3&lt;&gt;'A0.Support'!$B$6,'Input data'!D$234,'Input data'!D$216)</f>
        <v>0.46838876692920056</v>
      </c>
      <c r="E132" s="80">
        <f>IF('RPM &amp; Discounts'!$B$3&lt;&gt;'A0.Support'!$B$6,'Input data'!E$234,'Input data'!E$216)</f>
        <v>0.46838876692920056</v>
      </c>
      <c r="F132" s="80">
        <f>IF('RPM &amp; Discounts'!$B$3&lt;&gt;'A0.Support'!$B$6,'Input data'!F$234,'Input data'!F$216)</f>
        <v>0.46838876692920056</v>
      </c>
      <c r="G132" s="80">
        <f>IF('RPM &amp; Discounts'!$B$3&lt;&gt;'A0.Support'!$B$6,'Input data'!G$234,'Input data'!G$216)</f>
        <v>0.46838876692920056</v>
      </c>
    </row>
    <row r="133" spans="2:7" ht="14.45" customHeight="1">
      <c r="B133" s="34" t="str">
        <f t="shared" ref="B133" si="30">B37</f>
        <v>GRMS 02539</v>
      </c>
      <c r="C133" s="34" t="str">
        <f t="shared" si="0"/>
        <v>Domestic exit</v>
      </c>
      <c r="D133" s="80">
        <f>IF('RPM &amp; Discounts'!$B$3&lt;&gt;'A0.Support'!$B$6,'Input data'!D$234,'Input data'!D$216)</f>
        <v>0.46838876692920056</v>
      </c>
      <c r="E133" s="80">
        <f>IF('RPM &amp; Discounts'!$B$3&lt;&gt;'A0.Support'!$B$6,'Input data'!E$234,'Input data'!E$216)</f>
        <v>0.46838876692920056</v>
      </c>
      <c r="F133" s="80">
        <f>IF('RPM &amp; Discounts'!$B$3&lt;&gt;'A0.Support'!$B$6,'Input data'!F$234,'Input data'!F$216)</f>
        <v>0.46838876692920056</v>
      </c>
      <c r="G133" s="80">
        <f>IF('RPM &amp; Discounts'!$B$3&lt;&gt;'A0.Support'!$B$6,'Input data'!G$234,'Input data'!G$216)</f>
        <v>0.46838876692920056</v>
      </c>
    </row>
    <row r="134" spans="2:7" ht="14.45" customHeight="1">
      <c r="B134" s="34" t="str">
        <f t="shared" ref="B134" si="31">B38</f>
        <v>GRMS 02549</v>
      </c>
      <c r="C134" s="34" t="str">
        <f t="shared" si="0"/>
        <v>Domestic exit</v>
      </c>
      <c r="D134" s="80">
        <f>IF('RPM &amp; Discounts'!$B$3&lt;&gt;'A0.Support'!$B$6,'Input data'!D$234,'Input data'!D$216)</f>
        <v>0.46838876692920056</v>
      </c>
      <c r="E134" s="80">
        <f>IF('RPM &amp; Discounts'!$B$3&lt;&gt;'A0.Support'!$B$6,'Input data'!E$234,'Input data'!E$216)</f>
        <v>0.46838876692920056</v>
      </c>
      <c r="F134" s="80">
        <f>IF('RPM &amp; Discounts'!$B$3&lt;&gt;'A0.Support'!$B$6,'Input data'!F$234,'Input data'!F$216)</f>
        <v>0.46838876692920056</v>
      </c>
      <c r="G134" s="80">
        <f>IF('RPM &amp; Discounts'!$B$3&lt;&gt;'A0.Support'!$B$6,'Input data'!G$234,'Input data'!G$216)</f>
        <v>0.46838876692920056</v>
      </c>
    </row>
    <row r="135" spans="2:7" ht="14.45" customHeight="1">
      <c r="B135" s="34" t="str">
        <f t="shared" ref="B135" si="32">B39</f>
        <v>GRMS 02559</v>
      </c>
      <c r="C135" s="34" t="str">
        <f t="shared" si="0"/>
        <v>Domestic exit</v>
      </c>
      <c r="D135" s="80">
        <f>IF('RPM &amp; Discounts'!$B$3&lt;&gt;'A0.Support'!$B$6,'Input data'!D$234,'Input data'!D$216)</f>
        <v>0.46838876692920056</v>
      </c>
      <c r="E135" s="80">
        <f>IF('RPM &amp; Discounts'!$B$3&lt;&gt;'A0.Support'!$B$6,'Input data'!E$234,'Input data'!E$216)</f>
        <v>0.46838876692920056</v>
      </c>
      <c r="F135" s="80">
        <f>IF('RPM &amp; Discounts'!$B$3&lt;&gt;'A0.Support'!$B$6,'Input data'!F$234,'Input data'!F$216)</f>
        <v>0.46838876692920056</v>
      </c>
      <c r="G135" s="80">
        <f>IF('RPM &amp; Discounts'!$B$3&lt;&gt;'A0.Support'!$B$6,'Input data'!G$234,'Input data'!G$216)</f>
        <v>0.46838876692920056</v>
      </c>
    </row>
    <row r="136" spans="2:7" ht="14.45" customHeight="1">
      <c r="B136" s="34" t="str">
        <f t="shared" ref="B136" si="33">B40</f>
        <v>GRMS 02569</v>
      </c>
      <c r="C136" s="34" t="str">
        <f t="shared" si="0"/>
        <v>Domestic exit</v>
      </c>
      <c r="D136" s="80">
        <f>IF('RPM &amp; Discounts'!$B$3&lt;&gt;'A0.Support'!$B$6,'Input data'!D$234,'Input data'!D$216)</f>
        <v>0.46838876692920056</v>
      </c>
      <c r="E136" s="80">
        <f>IF('RPM &amp; Discounts'!$B$3&lt;&gt;'A0.Support'!$B$6,'Input data'!E$234,'Input data'!E$216)</f>
        <v>0.46838876692920056</v>
      </c>
      <c r="F136" s="80">
        <f>IF('RPM &amp; Discounts'!$B$3&lt;&gt;'A0.Support'!$B$6,'Input data'!F$234,'Input data'!F$216)</f>
        <v>0.46838876692920056</v>
      </c>
      <c r="G136" s="80">
        <f>IF('RPM &amp; Discounts'!$B$3&lt;&gt;'A0.Support'!$B$6,'Input data'!G$234,'Input data'!G$216)</f>
        <v>0.46838876692920056</v>
      </c>
    </row>
    <row r="137" spans="2:7" ht="14.45" customHeight="1">
      <c r="B137" s="34" t="str">
        <f t="shared" ref="B137" si="34">B41</f>
        <v>GRMS 02709</v>
      </c>
      <c r="C137" s="34" t="str">
        <f t="shared" si="0"/>
        <v>Domestic exit</v>
      </c>
      <c r="D137" s="80">
        <f>IF('RPM &amp; Discounts'!$B$3&lt;&gt;'A0.Support'!$B$6,'Input data'!D$234,'Input data'!D$216)</f>
        <v>0.46838876692920056</v>
      </c>
      <c r="E137" s="80">
        <f>IF('RPM &amp; Discounts'!$B$3&lt;&gt;'A0.Support'!$B$6,'Input data'!E$234,'Input data'!E$216)</f>
        <v>0.46838876692920056</v>
      </c>
      <c r="F137" s="80">
        <f>IF('RPM &amp; Discounts'!$B$3&lt;&gt;'A0.Support'!$B$6,'Input data'!F$234,'Input data'!F$216)</f>
        <v>0.46838876692920056</v>
      </c>
      <c r="G137" s="80">
        <f>IF('RPM &amp; Discounts'!$B$3&lt;&gt;'A0.Support'!$B$6,'Input data'!G$234,'Input data'!G$216)</f>
        <v>0.46838876692920056</v>
      </c>
    </row>
    <row r="138" spans="2:7" ht="14.45" customHeight="1">
      <c r="B138" s="34" t="str">
        <f t="shared" ref="B138" si="35">B42</f>
        <v>GRMS 02719</v>
      </c>
      <c r="C138" s="34" t="str">
        <f t="shared" si="0"/>
        <v>Domestic exit</v>
      </c>
      <c r="D138" s="80">
        <f>IF('RPM &amp; Discounts'!$B$3&lt;&gt;'A0.Support'!$B$6,'Input data'!D$234,'Input data'!D$216)</f>
        <v>0.46838876692920056</v>
      </c>
      <c r="E138" s="80">
        <f>IF('RPM &amp; Discounts'!$B$3&lt;&gt;'A0.Support'!$B$6,'Input data'!E$234,'Input data'!E$216)</f>
        <v>0.46838876692920056</v>
      </c>
      <c r="F138" s="80">
        <f>IF('RPM &amp; Discounts'!$B$3&lt;&gt;'A0.Support'!$B$6,'Input data'!F$234,'Input data'!F$216)</f>
        <v>0.46838876692920056</v>
      </c>
      <c r="G138" s="80">
        <f>IF('RPM &amp; Discounts'!$B$3&lt;&gt;'A0.Support'!$B$6,'Input data'!G$234,'Input data'!G$216)</f>
        <v>0.46838876692920056</v>
      </c>
    </row>
    <row r="139" spans="2:7" ht="14.45" customHeight="1">
      <c r="B139" s="34" t="str">
        <f t="shared" ref="B139" si="36">B43</f>
        <v>GRMS 02739</v>
      </c>
      <c r="C139" s="34" t="str">
        <f t="shared" si="0"/>
        <v>Domestic exit</v>
      </c>
      <c r="D139" s="80">
        <f>IF('RPM &amp; Discounts'!$B$3&lt;&gt;'A0.Support'!$B$6,'Input data'!D$234,'Input data'!D$216)</f>
        <v>0.46838876692920056</v>
      </c>
      <c r="E139" s="80">
        <f>IF('RPM &amp; Discounts'!$B$3&lt;&gt;'A0.Support'!$B$6,'Input data'!E$234,'Input data'!E$216)</f>
        <v>0.46838876692920056</v>
      </c>
      <c r="F139" s="80">
        <f>IF('RPM &amp; Discounts'!$B$3&lt;&gt;'A0.Support'!$B$6,'Input data'!F$234,'Input data'!F$216)</f>
        <v>0.46838876692920056</v>
      </c>
      <c r="G139" s="80">
        <f>IF('RPM &amp; Discounts'!$B$3&lt;&gt;'A0.Support'!$B$6,'Input data'!G$234,'Input data'!G$216)</f>
        <v>0.46838876692920056</v>
      </c>
    </row>
    <row r="140" spans="2:7" ht="14.45" customHeight="1">
      <c r="B140" s="34" t="str">
        <f t="shared" ref="B140" si="37">B44</f>
        <v>GRMS 03009</v>
      </c>
      <c r="C140" s="34" t="str">
        <f t="shared" si="0"/>
        <v>Domestic exit</v>
      </c>
      <c r="D140" s="80">
        <f>IF('RPM &amp; Discounts'!$B$3&lt;&gt;'A0.Support'!$B$6,'Input data'!D$234,'Input data'!D$216)</f>
        <v>0.46838876692920056</v>
      </c>
      <c r="E140" s="80">
        <f>IF('RPM &amp; Discounts'!$B$3&lt;&gt;'A0.Support'!$B$6,'Input data'!E$234,'Input data'!E$216)</f>
        <v>0.46838876692920056</v>
      </c>
      <c r="F140" s="80">
        <f>IF('RPM &amp; Discounts'!$B$3&lt;&gt;'A0.Support'!$B$6,'Input data'!F$234,'Input data'!F$216)</f>
        <v>0.46838876692920056</v>
      </c>
      <c r="G140" s="80">
        <f>IF('RPM &amp; Discounts'!$B$3&lt;&gt;'A0.Support'!$B$6,'Input data'!G$234,'Input data'!G$216)</f>
        <v>0.46838876692920056</v>
      </c>
    </row>
    <row r="141" spans="2:7" ht="14.45" customHeight="1">
      <c r="B141" s="34" t="str">
        <f t="shared" ref="B141" si="38">B45</f>
        <v>GRMS 03059</v>
      </c>
      <c r="C141" s="34" t="str">
        <f t="shared" si="0"/>
        <v>Domestic exit</v>
      </c>
      <c r="D141" s="80">
        <f>IF('RPM &amp; Discounts'!$B$3&lt;&gt;'A0.Support'!$B$6,'Input data'!D$234,'Input data'!D$216)</f>
        <v>0.46838876692920056</v>
      </c>
      <c r="E141" s="80">
        <f>IF('RPM &amp; Discounts'!$B$3&lt;&gt;'A0.Support'!$B$6,'Input data'!E$234,'Input data'!E$216)</f>
        <v>0.46838876692920056</v>
      </c>
      <c r="F141" s="80">
        <f>IF('RPM &amp; Discounts'!$B$3&lt;&gt;'A0.Support'!$B$6,'Input data'!F$234,'Input data'!F$216)</f>
        <v>0.46838876692920056</v>
      </c>
      <c r="G141" s="80">
        <f>IF('RPM &amp; Discounts'!$B$3&lt;&gt;'A0.Support'!$B$6,'Input data'!G$234,'Input data'!G$216)</f>
        <v>0.46838876692920056</v>
      </c>
    </row>
    <row r="142" spans="2:7" ht="14.45" customHeight="1">
      <c r="B142" s="34" t="str">
        <f t="shared" ref="B142" si="39">B46</f>
        <v>GRMS 03069</v>
      </c>
      <c r="C142" s="34" t="str">
        <f t="shared" si="0"/>
        <v>Domestic exit</v>
      </c>
      <c r="D142" s="80">
        <f>IF('RPM &amp; Discounts'!$B$3&lt;&gt;'A0.Support'!$B$6,'Input data'!D$234,'Input data'!D$216)</f>
        <v>0.46838876692920056</v>
      </c>
      <c r="E142" s="80">
        <f>IF('RPM &amp; Discounts'!$B$3&lt;&gt;'A0.Support'!$B$6,'Input data'!E$234,'Input data'!E$216)</f>
        <v>0.46838876692920056</v>
      </c>
      <c r="F142" s="80">
        <f>IF('RPM &amp; Discounts'!$B$3&lt;&gt;'A0.Support'!$B$6,'Input data'!F$234,'Input data'!F$216)</f>
        <v>0.46838876692920056</v>
      </c>
      <c r="G142" s="80">
        <f>IF('RPM &amp; Discounts'!$B$3&lt;&gt;'A0.Support'!$B$6,'Input data'!G$234,'Input data'!G$216)</f>
        <v>0.46838876692920056</v>
      </c>
    </row>
    <row r="143" spans="2:7" ht="14.45" customHeight="1">
      <c r="B143" s="34" t="str">
        <f t="shared" ref="B143" si="40">B47</f>
        <v>GRMS 03109</v>
      </c>
      <c r="C143" s="34" t="str">
        <f t="shared" si="0"/>
        <v>Domestic exit</v>
      </c>
      <c r="D143" s="80">
        <f>IF('RPM &amp; Discounts'!$B$3&lt;&gt;'A0.Support'!$B$6,'Input data'!D$234,'Input data'!D$216)</f>
        <v>0.46838876692920056</v>
      </c>
      <c r="E143" s="80">
        <f>IF('RPM &amp; Discounts'!$B$3&lt;&gt;'A0.Support'!$B$6,'Input data'!E$234,'Input data'!E$216)</f>
        <v>0.46838876692920056</v>
      </c>
      <c r="F143" s="80">
        <f>IF('RPM &amp; Discounts'!$B$3&lt;&gt;'A0.Support'!$B$6,'Input data'!F$234,'Input data'!F$216)</f>
        <v>0.46838876692920056</v>
      </c>
      <c r="G143" s="80">
        <f>IF('RPM &amp; Discounts'!$B$3&lt;&gt;'A0.Support'!$B$6,'Input data'!G$234,'Input data'!G$216)</f>
        <v>0.46838876692920056</v>
      </c>
    </row>
    <row r="144" spans="2:7" ht="14.45" customHeight="1">
      <c r="B144" s="34" t="str">
        <f t="shared" ref="B144" si="41">B48</f>
        <v>GRMS 03169</v>
      </c>
      <c r="C144" s="34" t="str">
        <f t="shared" si="0"/>
        <v>Domestic exit</v>
      </c>
      <c r="D144" s="80">
        <f>IF('RPM &amp; Discounts'!$B$3&lt;&gt;'A0.Support'!$B$6,'Input data'!D$234,'Input data'!D$216)</f>
        <v>0.46838876692920056</v>
      </c>
      <c r="E144" s="80">
        <f>IF('RPM &amp; Discounts'!$B$3&lt;&gt;'A0.Support'!$B$6,'Input data'!E$234,'Input data'!E$216)</f>
        <v>0.46838876692920056</v>
      </c>
      <c r="F144" s="80">
        <f>IF('RPM &amp; Discounts'!$B$3&lt;&gt;'A0.Support'!$B$6,'Input data'!F$234,'Input data'!F$216)</f>
        <v>0.46838876692920056</v>
      </c>
      <c r="G144" s="80">
        <f>IF('RPM &amp; Discounts'!$B$3&lt;&gt;'A0.Support'!$B$6,'Input data'!G$234,'Input data'!G$216)</f>
        <v>0.46838876692920056</v>
      </c>
    </row>
    <row r="145" spans="2:7" ht="14.45" customHeight="1">
      <c r="B145" s="34" t="str">
        <f t="shared" ref="B145" si="42">B49</f>
        <v>GRMS 03219</v>
      </c>
      <c r="C145" s="34" t="str">
        <f t="shared" si="0"/>
        <v>Domestic exit</v>
      </c>
      <c r="D145" s="80">
        <f>IF('RPM &amp; Discounts'!$B$3&lt;&gt;'A0.Support'!$B$6,'Input data'!D$234,'Input data'!D$216)</f>
        <v>0.46838876692920056</v>
      </c>
      <c r="E145" s="80">
        <f>IF('RPM &amp; Discounts'!$B$3&lt;&gt;'A0.Support'!$B$6,'Input data'!E$234,'Input data'!E$216)</f>
        <v>0.46838876692920056</v>
      </c>
      <c r="F145" s="80">
        <f>IF('RPM &amp; Discounts'!$B$3&lt;&gt;'A0.Support'!$B$6,'Input data'!F$234,'Input data'!F$216)</f>
        <v>0.46838876692920056</v>
      </c>
      <c r="G145" s="80">
        <f>IF('RPM &amp; Discounts'!$B$3&lt;&gt;'A0.Support'!$B$6,'Input data'!G$234,'Input data'!G$216)</f>
        <v>0.46838876692920056</v>
      </c>
    </row>
    <row r="146" spans="2:7" ht="14.45" customHeight="1">
      <c r="B146" s="34" t="str">
        <f t="shared" ref="B146" si="43">B50</f>
        <v>GRMS 03229</v>
      </c>
      <c r="C146" s="34" t="str">
        <f t="shared" si="0"/>
        <v>Domestic exit</v>
      </c>
      <c r="D146" s="80">
        <f>IF('RPM &amp; Discounts'!$B$3&lt;&gt;'A0.Support'!$B$6,'Input data'!D$234,'Input data'!D$216)</f>
        <v>0.46838876692920056</v>
      </c>
      <c r="E146" s="80">
        <f>IF('RPM &amp; Discounts'!$B$3&lt;&gt;'A0.Support'!$B$6,'Input data'!E$234,'Input data'!E$216)</f>
        <v>0.46838876692920056</v>
      </c>
      <c r="F146" s="80">
        <f>IF('RPM &amp; Discounts'!$B$3&lt;&gt;'A0.Support'!$B$6,'Input data'!F$234,'Input data'!F$216)</f>
        <v>0.46838876692920056</v>
      </c>
      <c r="G146" s="80">
        <f>IF('RPM &amp; Discounts'!$B$3&lt;&gt;'A0.Support'!$B$6,'Input data'!G$234,'Input data'!G$216)</f>
        <v>0.46838876692920056</v>
      </c>
    </row>
    <row r="147" spans="2:7" ht="14.45" customHeight="1">
      <c r="B147" s="34" t="str">
        <f t="shared" ref="B147" si="44">B51</f>
        <v>GRMS 03259</v>
      </c>
      <c r="C147" s="34" t="str">
        <f t="shared" si="0"/>
        <v>Domestic exit</v>
      </c>
      <c r="D147" s="80">
        <f>IF('RPM &amp; Discounts'!$B$3&lt;&gt;'A0.Support'!$B$6,'Input data'!D$234,'Input data'!D$216)</f>
        <v>0.46838876692920056</v>
      </c>
      <c r="E147" s="80">
        <f>IF('RPM &amp; Discounts'!$B$3&lt;&gt;'A0.Support'!$B$6,'Input data'!E$234,'Input data'!E$216)</f>
        <v>0.46838876692920056</v>
      </c>
      <c r="F147" s="80">
        <f>IF('RPM &amp; Discounts'!$B$3&lt;&gt;'A0.Support'!$B$6,'Input data'!F$234,'Input data'!F$216)</f>
        <v>0.46838876692920056</v>
      </c>
      <c r="G147" s="80">
        <f>IF('RPM &amp; Discounts'!$B$3&lt;&gt;'A0.Support'!$B$6,'Input data'!G$234,'Input data'!G$216)</f>
        <v>0.46838876692920056</v>
      </c>
    </row>
    <row r="148" spans="2:7" ht="14.45" customHeight="1">
      <c r="B148" s="34" t="str">
        <f t="shared" ref="B148" si="45">B52</f>
        <v>GRMS 03269</v>
      </c>
      <c r="C148" s="34" t="str">
        <f t="shared" si="0"/>
        <v>Domestic exit</v>
      </c>
      <c r="D148" s="80">
        <f>IF('RPM &amp; Discounts'!$B$3&lt;&gt;'A0.Support'!$B$6,'Input data'!D$234,'Input data'!D$216)</f>
        <v>0.46838876692920056</v>
      </c>
      <c r="E148" s="80">
        <f>IF('RPM &amp; Discounts'!$B$3&lt;&gt;'A0.Support'!$B$6,'Input data'!E$234,'Input data'!E$216)</f>
        <v>0.46838876692920056</v>
      </c>
      <c r="F148" s="80">
        <f>IF('RPM &amp; Discounts'!$B$3&lt;&gt;'A0.Support'!$B$6,'Input data'!F$234,'Input data'!F$216)</f>
        <v>0.46838876692920056</v>
      </c>
      <c r="G148" s="80">
        <f>IF('RPM &amp; Discounts'!$B$3&lt;&gt;'A0.Support'!$B$6,'Input data'!G$234,'Input data'!G$216)</f>
        <v>0.46838876692920056</v>
      </c>
    </row>
    <row r="149" spans="2:7" ht="14.45" customHeight="1">
      <c r="B149" s="34" t="str">
        <f t="shared" ref="B149" si="46">B53</f>
        <v>GRMS 03309</v>
      </c>
      <c r="C149" s="34" t="str">
        <f t="shared" si="0"/>
        <v>Domestic exit</v>
      </c>
      <c r="D149" s="80">
        <f>IF('RPM &amp; Discounts'!$B$3&lt;&gt;'A0.Support'!$B$6,'Input data'!D$234,'Input data'!D$216)</f>
        <v>0.46838876692920056</v>
      </c>
      <c r="E149" s="80">
        <f>IF('RPM &amp; Discounts'!$B$3&lt;&gt;'A0.Support'!$B$6,'Input data'!E$234,'Input data'!E$216)</f>
        <v>0.46838876692920056</v>
      </c>
      <c r="F149" s="80">
        <f>IF('RPM &amp; Discounts'!$B$3&lt;&gt;'A0.Support'!$B$6,'Input data'!F$234,'Input data'!F$216)</f>
        <v>0.46838876692920056</v>
      </c>
      <c r="G149" s="80">
        <f>IF('RPM &amp; Discounts'!$B$3&lt;&gt;'A0.Support'!$B$6,'Input data'!G$234,'Input data'!G$216)</f>
        <v>0.46838876692920056</v>
      </c>
    </row>
    <row r="150" spans="2:7" ht="14.45" customHeight="1">
      <c r="B150" s="34" t="str">
        <f t="shared" ref="B150" si="47">B54</f>
        <v>GRMS 03359</v>
      </c>
      <c r="C150" s="34" t="str">
        <f t="shared" si="0"/>
        <v>Domestic exit</v>
      </c>
      <c r="D150" s="80">
        <f>IF('RPM &amp; Discounts'!$B$3&lt;&gt;'A0.Support'!$B$6,'Input data'!D$234,'Input data'!D$216)</f>
        <v>0.46838876692920056</v>
      </c>
      <c r="E150" s="80">
        <f>IF('RPM &amp; Discounts'!$B$3&lt;&gt;'A0.Support'!$B$6,'Input data'!E$234,'Input data'!E$216)</f>
        <v>0.46838876692920056</v>
      </c>
      <c r="F150" s="80">
        <f>IF('RPM &amp; Discounts'!$B$3&lt;&gt;'A0.Support'!$B$6,'Input data'!F$234,'Input data'!F$216)</f>
        <v>0.46838876692920056</v>
      </c>
      <c r="G150" s="80">
        <f>IF('RPM &amp; Discounts'!$B$3&lt;&gt;'A0.Support'!$B$6,'Input data'!G$234,'Input data'!G$216)</f>
        <v>0.46838876692920056</v>
      </c>
    </row>
    <row r="151" spans="2:7" ht="14.45" customHeight="1">
      <c r="B151" s="34" t="str">
        <f t="shared" ref="B151" si="48">B55</f>
        <v>GRMS 03369</v>
      </c>
      <c r="C151" s="34" t="str">
        <f t="shared" si="0"/>
        <v>Domestic exit</v>
      </c>
      <c r="D151" s="80">
        <f>IF('RPM &amp; Discounts'!$B$3&lt;&gt;'A0.Support'!$B$6,'Input data'!D$234,'Input data'!D$216)</f>
        <v>0.46838876692920056</v>
      </c>
      <c r="E151" s="80">
        <f>IF('RPM &amp; Discounts'!$B$3&lt;&gt;'A0.Support'!$B$6,'Input data'!E$234,'Input data'!E$216)</f>
        <v>0.46838876692920056</v>
      </c>
      <c r="F151" s="80">
        <f>IF('RPM &amp; Discounts'!$B$3&lt;&gt;'A0.Support'!$B$6,'Input data'!F$234,'Input data'!F$216)</f>
        <v>0.46838876692920056</v>
      </c>
      <c r="G151" s="80">
        <f>IF('RPM &amp; Discounts'!$B$3&lt;&gt;'A0.Support'!$B$6,'Input data'!G$234,'Input data'!G$216)</f>
        <v>0.46838876692920056</v>
      </c>
    </row>
    <row r="152" spans="2:7" ht="14.45" customHeight="1">
      <c r="B152" s="34" t="str">
        <f t="shared" ref="B152" si="49">B56</f>
        <v>GRMS 03459</v>
      </c>
      <c r="C152" s="34" t="str">
        <f t="shared" si="0"/>
        <v>Domestic exit</v>
      </c>
      <c r="D152" s="80">
        <f>IF('RPM &amp; Discounts'!$B$3&lt;&gt;'A0.Support'!$B$6,'Input data'!D$234,'Input data'!D$216)</f>
        <v>0.46838876692920056</v>
      </c>
      <c r="E152" s="80">
        <f>IF('RPM &amp; Discounts'!$B$3&lt;&gt;'A0.Support'!$B$6,'Input data'!E$234,'Input data'!E$216)</f>
        <v>0.46838876692920056</v>
      </c>
      <c r="F152" s="80">
        <f>IF('RPM &amp; Discounts'!$B$3&lt;&gt;'A0.Support'!$B$6,'Input data'!F$234,'Input data'!F$216)</f>
        <v>0.46838876692920056</v>
      </c>
      <c r="G152" s="80">
        <f>IF('RPM &amp; Discounts'!$B$3&lt;&gt;'A0.Support'!$B$6,'Input data'!G$234,'Input data'!G$216)</f>
        <v>0.46838876692920056</v>
      </c>
    </row>
    <row r="153" spans="2:7" ht="14.45" customHeight="1">
      <c r="B153" s="34" t="str">
        <f t="shared" ref="B153" si="50">B57</f>
        <v>GRMS 03559</v>
      </c>
      <c r="C153" s="34" t="str">
        <f t="shared" si="0"/>
        <v>Domestic exit</v>
      </c>
      <c r="D153" s="80">
        <f>IF('RPM &amp; Discounts'!$B$3&lt;&gt;'A0.Support'!$B$6,'Input data'!D$234,'Input data'!D$216)</f>
        <v>0.46838876692920056</v>
      </c>
      <c r="E153" s="80">
        <f>IF('RPM &amp; Discounts'!$B$3&lt;&gt;'A0.Support'!$B$6,'Input data'!E$234,'Input data'!E$216)</f>
        <v>0.46838876692920056</v>
      </c>
      <c r="F153" s="80">
        <f>IF('RPM &amp; Discounts'!$B$3&lt;&gt;'A0.Support'!$B$6,'Input data'!F$234,'Input data'!F$216)</f>
        <v>0.46838876692920056</v>
      </c>
      <c r="G153" s="80">
        <f>IF('RPM &amp; Discounts'!$B$3&lt;&gt;'A0.Support'!$B$6,'Input data'!G$234,'Input data'!G$216)</f>
        <v>0.46838876692920056</v>
      </c>
    </row>
    <row r="154" spans="2:7" ht="14.45" customHeight="1">
      <c r="B154" s="34" t="str">
        <f t="shared" ref="B154" si="51">B58</f>
        <v>GRMS 03609</v>
      </c>
      <c r="C154" s="34" t="str">
        <f t="shared" si="0"/>
        <v>Domestic exit</v>
      </c>
      <c r="D154" s="80">
        <f>IF('RPM &amp; Discounts'!$B$3&lt;&gt;'A0.Support'!$B$6,'Input data'!D$234,'Input data'!D$216)</f>
        <v>0.46838876692920056</v>
      </c>
      <c r="E154" s="80">
        <f>IF('RPM &amp; Discounts'!$B$3&lt;&gt;'A0.Support'!$B$6,'Input data'!E$234,'Input data'!E$216)</f>
        <v>0.46838876692920056</v>
      </c>
      <c r="F154" s="80">
        <f>IF('RPM &amp; Discounts'!$B$3&lt;&gt;'A0.Support'!$B$6,'Input data'!F$234,'Input data'!F$216)</f>
        <v>0.46838876692920056</v>
      </c>
      <c r="G154" s="80">
        <f>IF('RPM &amp; Discounts'!$B$3&lt;&gt;'A0.Support'!$B$6,'Input data'!G$234,'Input data'!G$216)</f>
        <v>0.46838876692920056</v>
      </c>
    </row>
    <row r="155" spans="2:7" ht="14.45" customHeight="1">
      <c r="B155" s="34" t="str">
        <f t="shared" ref="B155" si="52">B59</f>
        <v>GRMS 03619</v>
      </c>
      <c r="C155" s="34" t="str">
        <f t="shared" si="0"/>
        <v>Domestic exit</v>
      </c>
      <c r="D155" s="80">
        <f>IF('RPM &amp; Discounts'!$B$3&lt;&gt;'A0.Support'!$B$6,'Input data'!D$234,'Input data'!D$216)</f>
        <v>0.46838876692920056</v>
      </c>
      <c r="E155" s="80">
        <f>IF('RPM &amp; Discounts'!$B$3&lt;&gt;'A0.Support'!$B$6,'Input data'!E$234,'Input data'!E$216)</f>
        <v>0.46838876692920056</v>
      </c>
      <c r="F155" s="80">
        <f>IF('RPM &amp; Discounts'!$B$3&lt;&gt;'A0.Support'!$B$6,'Input data'!F$234,'Input data'!F$216)</f>
        <v>0.46838876692920056</v>
      </c>
      <c r="G155" s="80">
        <f>IF('RPM &amp; Discounts'!$B$3&lt;&gt;'A0.Support'!$B$6,'Input data'!G$234,'Input data'!G$216)</f>
        <v>0.46838876692920056</v>
      </c>
    </row>
    <row r="156" spans="2:7" ht="14.45" customHeight="1">
      <c r="B156" s="34" t="str">
        <f t="shared" ref="B156" si="53">B60</f>
        <v>GRMS 03659</v>
      </c>
      <c r="C156" s="34" t="str">
        <f t="shared" si="0"/>
        <v>Domestic exit</v>
      </c>
      <c r="D156" s="80">
        <f>IF('RPM &amp; Discounts'!$B$3&lt;&gt;'A0.Support'!$B$6,'Input data'!D$234,'Input data'!D$216)</f>
        <v>0.46838876692920056</v>
      </c>
      <c r="E156" s="80">
        <f>IF('RPM &amp; Discounts'!$B$3&lt;&gt;'A0.Support'!$B$6,'Input data'!E$234,'Input data'!E$216)</f>
        <v>0.46838876692920056</v>
      </c>
      <c r="F156" s="80">
        <f>IF('RPM &amp; Discounts'!$B$3&lt;&gt;'A0.Support'!$B$6,'Input data'!F$234,'Input data'!F$216)</f>
        <v>0.46838876692920056</v>
      </c>
      <c r="G156" s="80">
        <f>IF('RPM &amp; Discounts'!$B$3&lt;&gt;'A0.Support'!$B$6,'Input data'!G$234,'Input data'!G$216)</f>
        <v>0.46838876692920056</v>
      </c>
    </row>
    <row r="157" spans="2:7" ht="14.45" customHeight="1">
      <c r="B157" s="34" t="str">
        <f t="shared" ref="B157" si="54">B61</f>
        <v>GRMS 04059</v>
      </c>
      <c r="C157" s="34" t="str">
        <f t="shared" si="0"/>
        <v>Domestic exit</v>
      </c>
      <c r="D157" s="80">
        <f>IF('RPM &amp; Discounts'!$B$3&lt;&gt;'A0.Support'!$B$6,'Input data'!D$234,'Input data'!D$216)</f>
        <v>0.46838876692920056</v>
      </c>
      <c r="E157" s="80">
        <f>IF('RPM &amp; Discounts'!$B$3&lt;&gt;'A0.Support'!$B$6,'Input data'!E$234,'Input data'!E$216)</f>
        <v>0.46838876692920056</v>
      </c>
      <c r="F157" s="80">
        <f>IF('RPM &amp; Discounts'!$B$3&lt;&gt;'A0.Support'!$B$6,'Input data'!F$234,'Input data'!F$216)</f>
        <v>0.46838876692920056</v>
      </c>
      <c r="G157" s="80">
        <f>IF('RPM &amp; Discounts'!$B$3&lt;&gt;'A0.Support'!$B$6,'Input data'!G$234,'Input data'!G$216)</f>
        <v>0.46838876692920056</v>
      </c>
    </row>
    <row r="158" spans="2:7" ht="14.45" customHeight="1">
      <c r="B158" s="34" t="str">
        <f t="shared" ref="B158" si="55">B62</f>
        <v>GRMS 04109</v>
      </c>
      <c r="C158" s="34" t="str">
        <f t="shared" si="0"/>
        <v>Domestic exit</v>
      </c>
      <c r="D158" s="80">
        <f>IF('RPM &amp; Discounts'!$B$3&lt;&gt;'A0.Support'!$B$6,'Input data'!D$234,'Input data'!D$216)</f>
        <v>0.46838876692920056</v>
      </c>
      <c r="E158" s="80">
        <f>IF('RPM &amp; Discounts'!$B$3&lt;&gt;'A0.Support'!$B$6,'Input data'!E$234,'Input data'!E$216)</f>
        <v>0.46838876692920056</v>
      </c>
      <c r="F158" s="80">
        <f>IF('RPM &amp; Discounts'!$B$3&lt;&gt;'A0.Support'!$B$6,'Input data'!F$234,'Input data'!F$216)</f>
        <v>0.46838876692920056</v>
      </c>
      <c r="G158" s="80">
        <f>IF('RPM &amp; Discounts'!$B$3&lt;&gt;'A0.Support'!$B$6,'Input data'!G$234,'Input data'!G$216)</f>
        <v>0.46838876692920056</v>
      </c>
    </row>
    <row r="159" spans="2:7" ht="14.45" customHeight="1">
      <c r="B159" s="34" t="str">
        <f t="shared" ref="B159" si="56">B63</f>
        <v>GRMS 04149</v>
      </c>
      <c r="C159" s="34" t="str">
        <f t="shared" si="0"/>
        <v>Domestic exit</v>
      </c>
      <c r="D159" s="80">
        <f>IF('RPM &amp; Discounts'!$B$3&lt;&gt;'A0.Support'!$B$6,'Input data'!D$234,'Input data'!D$216)</f>
        <v>0.46838876692920056</v>
      </c>
      <c r="E159" s="80">
        <f>IF('RPM &amp; Discounts'!$B$3&lt;&gt;'A0.Support'!$B$6,'Input data'!E$234,'Input data'!E$216)</f>
        <v>0.46838876692920056</v>
      </c>
      <c r="F159" s="80">
        <f>IF('RPM &amp; Discounts'!$B$3&lt;&gt;'A0.Support'!$B$6,'Input data'!F$234,'Input data'!F$216)</f>
        <v>0.46838876692920056</v>
      </c>
      <c r="G159" s="80">
        <f>IF('RPM &amp; Discounts'!$B$3&lt;&gt;'A0.Support'!$B$6,'Input data'!G$234,'Input data'!G$216)</f>
        <v>0.46838876692920056</v>
      </c>
    </row>
    <row r="160" spans="2:7" ht="14.45" customHeight="1">
      <c r="B160" s="34" t="str">
        <f t="shared" ref="B160" si="57">B64</f>
        <v>GRMS 04159</v>
      </c>
      <c r="C160" s="34" t="str">
        <f t="shared" si="0"/>
        <v>Domestic exit</v>
      </c>
      <c r="D160" s="80">
        <f>IF('RPM &amp; Discounts'!$B$3&lt;&gt;'A0.Support'!$B$6,'Input data'!D$234,'Input data'!D$216)</f>
        <v>0.46838876692920056</v>
      </c>
      <c r="E160" s="80">
        <f>IF('RPM &amp; Discounts'!$B$3&lt;&gt;'A0.Support'!$B$6,'Input data'!E$234,'Input data'!E$216)</f>
        <v>0.46838876692920056</v>
      </c>
      <c r="F160" s="80">
        <f>IF('RPM &amp; Discounts'!$B$3&lt;&gt;'A0.Support'!$B$6,'Input data'!F$234,'Input data'!F$216)</f>
        <v>0.46838876692920056</v>
      </c>
      <c r="G160" s="80">
        <f>IF('RPM &amp; Discounts'!$B$3&lt;&gt;'A0.Support'!$B$6,'Input data'!G$234,'Input data'!G$216)</f>
        <v>0.46838876692920056</v>
      </c>
    </row>
    <row r="161" spans="2:7" ht="14.45" customHeight="1">
      <c r="B161" s="34" t="str">
        <f t="shared" ref="B161" si="58">B65</f>
        <v>GRMS 04209</v>
      </c>
      <c r="C161" s="34" t="str">
        <f t="shared" si="0"/>
        <v>Domestic exit</v>
      </c>
      <c r="D161" s="80">
        <f>IF('RPM &amp; Discounts'!$B$3&lt;&gt;'A0.Support'!$B$6,'Input data'!D$234,'Input data'!D$216)</f>
        <v>0.46838876692920056</v>
      </c>
      <c r="E161" s="80">
        <f>IF('RPM &amp; Discounts'!$B$3&lt;&gt;'A0.Support'!$B$6,'Input data'!E$234,'Input data'!E$216)</f>
        <v>0.46838876692920056</v>
      </c>
      <c r="F161" s="80">
        <f>IF('RPM &amp; Discounts'!$B$3&lt;&gt;'A0.Support'!$B$6,'Input data'!F$234,'Input data'!F$216)</f>
        <v>0.46838876692920056</v>
      </c>
      <c r="G161" s="80">
        <f>IF('RPM &amp; Discounts'!$B$3&lt;&gt;'A0.Support'!$B$6,'Input data'!G$234,'Input data'!G$216)</f>
        <v>0.46838876692920056</v>
      </c>
    </row>
    <row r="162" spans="2:7" ht="14.45" customHeight="1">
      <c r="B162" s="34" t="str">
        <f t="shared" ref="B162" si="59">B66</f>
        <v>GRMS 05009</v>
      </c>
      <c r="C162" s="34" t="str">
        <f t="shared" si="0"/>
        <v>Domestic exit</v>
      </c>
      <c r="D162" s="80">
        <f>IF('RPM &amp; Discounts'!$B$3&lt;&gt;'A0.Support'!$B$6,'Input data'!D$234,'Input data'!D$216)</f>
        <v>0.46838876692920056</v>
      </c>
      <c r="E162" s="80">
        <f>IF('RPM &amp; Discounts'!$B$3&lt;&gt;'A0.Support'!$B$6,'Input data'!E$234,'Input data'!E$216)</f>
        <v>0.46838876692920056</v>
      </c>
      <c r="F162" s="80">
        <f>IF('RPM &amp; Discounts'!$B$3&lt;&gt;'A0.Support'!$B$6,'Input data'!F$234,'Input data'!F$216)</f>
        <v>0.46838876692920056</v>
      </c>
      <c r="G162" s="80">
        <f>IF('RPM &amp; Discounts'!$B$3&lt;&gt;'A0.Support'!$B$6,'Input data'!G$234,'Input data'!G$216)</f>
        <v>0.46838876692920056</v>
      </c>
    </row>
    <row r="163" spans="2:7" ht="14.45" customHeight="1">
      <c r="B163" s="34" t="str">
        <f t="shared" ref="B163" si="60">B67</f>
        <v>GRMS 05119</v>
      </c>
      <c r="C163" s="34" t="str">
        <f t="shared" si="0"/>
        <v>Domestic exit</v>
      </c>
      <c r="D163" s="80">
        <f>IF('RPM &amp; Discounts'!$B$3&lt;&gt;'A0.Support'!$B$6,'Input data'!D$234,'Input data'!D$216)</f>
        <v>0.46838876692920056</v>
      </c>
      <c r="E163" s="80">
        <f>IF('RPM &amp; Discounts'!$B$3&lt;&gt;'A0.Support'!$B$6,'Input data'!E$234,'Input data'!E$216)</f>
        <v>0.46838876692920056</v>
      </c>
      <c r="F163" s="80">
        <f>IF('RPM &amp; Discounts'!$B$3&lt;&gt;'A0.Support'!$B$6,'Input data'!F$234,'Input data'!F$216)</f>
        <v>0.46838876692920056</v>
      </c>
      <c r="G163" s="80">
        <f>IF('RPM &amp; Discounts'!$B$3&lt;&gt;'A0.Support'!$B$6,'Input data'!G$234,'Input data'!G$216)</f>
        <v>0.46838876692920056</v>
      </c>
    </row>
    <row r="164" spans="2:7" ht="14.45" customHeight="1">
      <c r="B164" s="34" t="str">
        <f t="shared" ref="B164" si="61">B68</f>
        <v>GRMS 05179</v>
      </c>
      <c r="C164" s="34" t="str">
        <f t="shared" si="0"/>
        <v>Domestic exit</v>
      </c>
      <c r="D164" s="80">
        <f>IF('RPM &amp; Discounts'!$B$3&lt;&gt;'A0.Support'!$B$6,'Input data'!D$234,'Input data'!D$216)</f>
        <v>0.46838876692920056</v>
      </c>
      <c r="E164" s="80">
        <f>IF('RPM &amp; Discounts'!$B$3&lt;&gt;'A0.Support'!$B$6,'Input data'!E$234,'Input data'!E$216)</f>
        <v>0.46838876692920056</v>
      </c>
      <c r="F164" s="80">
        <f>IF('RPM &amp; Discounts'!$B$3&lt;&gt;'A0.Support'!$B$6,'Input data'!F$234,'Input data'!F$216)</f>
        <v>0.46838876692920056</v>
      </c>
      <c r="G164" s="80">
        <f>IF('RPM &amp; Discounts'!$B$3&lt;&gt;'A0.Support'!$B$6,'Input data'!G$234,'Input data'!G$216)</f>
        <v>0.46838876692920056</v>
      </c>
    </row>
    <row r="165" spans="2:7" ht="14.45" customHeight="1">
      <c r="B165" s="34" t="str">
        <f t="shared" ref="B165" si="62">B69</f>
        <v>GRMS 05309</v>
      </c>
      <c r="C165" s="34" t="str">
        <f t="shared" si="0"/>
        <v>Domestic exit</v>
      </c>
      <c r="D165" s="80">
        <f>IF('RPM &amp; Discounts'!$B$3&lt;&gt;'A0.Support'!$B$6,'Input data'!D$234,'Input data'!D$216)</f>
        <v>0.46838876692920056</v>
      </c>
      <c r="E165" s="80">
        <f>IF('RPM &amp; Discounts'!$B$3&lt;&gt;'A0.Support'!$B$6,'Input data'!E$234,'Input data'!E$216)</f>
        <v>0.46838876692920056</v>
      </c>
      <c r="F165" s="80">
        <f>IF('RPM &amp; Discounts'!$B$3&lt;&gt;'A0.Support'!$B$6,'Input data'!F$234,'Input data'!F$216)</f>
        <v>0.46838876692920056</v>
      </c>
      <c r="G165" s="80">
        <f>IF('RPM &amp; Discounts'!$B$3&lt;&gt;'A0.Support'!$B$6,'Input data'!G$234,'Input data'!G$216)</f>
        <v>0.46838876692920056</v>
      </c>
    </row>
    <row r="166" spans="2:7" ht="14.45" customHeight="1">
      <c r="B166" s="34" t="str">
        <f t="shared" ref="B166" si="63">B70</f>
        <v>GRMS 05609</v>
      </c>
      <c r="C166" s="34" t="str">
        <f t="shared" si="0"/>
        <v>Domestic exit</v>
      </c>
      <c r="D166" s="80">
        <f>IF('RPM &amp; Discounts'!$B$3&lt;&gt;'A0.Support'!$B$6,'Input data'!D$234,'Input data'!D$216)</f>
        <v>0.46838876692920056</v>
      </c>
      <c r="E166" s="80">
        <f>IF('RPM &amp; Discounts'!$B$3&lt;&gt;'A0.Support'!$B$6,'Input data'!E$234,'Input data'!E$216)</f>
        <v>0.46838876692920056</v>
      </c>
      <c r="F166" s="80">
        <f>IF('RPM &amp; Discounts'!$B$3&lt;&gt;'A0.Support'!$B$6,'Input data'!F$234,'Input data'!F$216)</f>
        <v>0.46838876692920056</v>
      </c>
      <c r="G166" s="80">
        <f>IF('RPM &amp; Discounts'!$B$3&lt;&gt;'A0.Support'!$B$6,'Input data'!G$234,'Input data'!G$216)</f>
        <v>0.46838876692920056</v>
      </c>
    </row>
    <row r="167" spans="2:7" ht="14.45" customHeight="1">
      <c r="B167" s="34" t="str">
        <f t="shared" ref="B167" si="64">B71</f>
        <v>GRMS 07009</v>
      </c>
      <c r="C167" s="34" t="str">
        <f t="shared" si="0"/>
        <v>Domestic exit</v>
      </c>
      <c r="D167" s="80">
        <f>IF('RPM &amp; Discounts'!$B$3&lt;&gt;'A0.Support'!$B$6,'Input data'!D$234,'Input data'!D$216)</f>
        <v>0.46838876692920056</v>
      </c>
      <c r="E167" s="80">
        <f>IF('RPM &amp; Discounts'!$B$3&lt;&gt;'A0.Support'!$B$6,'Input data'!E$234,'Input data'!E$216)</f>
        <v>0.46838876692920056</v>
      </c>
      <c r="F167" s="80">
        <f>IF('RPM &amp; Discounts'!$B$3&lt;&gt;'A0.Support'!$B$6,'Input data'!F$234,'Input data'!F$216)</f>
        <v>0.46838876692920056</v>
      </c>
      <c r="G167" s="80">
        <f>IF('RPM &amp; Discounts'!$B$3&lt;&gt;'A0.Support'!$B$6,'Input data'!G$234,'Input data'!G$216)</f>
        <v>0.46838876692920056</v>
      </c>
    </row>
    <row r="168" spans="2:7" ht="14.45" customHeight="1">
      <c r="B168" s="34" t="str">
        <f t="shared" ref="B168:C183" si="65">B72</f>
        <v>GRMS 08009</v>
      </c>
      <c r="C168" s="34" t="str">
        <f t="shared" si="65"/>
        <v>Domestic exit</v>
      </c>
      <c r="D168" s="80">
        <f>IF('RPM &amp; Discounts'!$B$3&lt;&gt;'A0.Support'!$B$6,'Input data'!D$234,'Input data'!D$216)</f>
        <v>0.46838876692920056</v>
      </c>
      <c r="E168" s="80">
        <f>IF('RPM &amp; Discounts'!$B$3&lt;&gt;'A0.Support'!$B$6,'Input data'!E$234,'Input data'!E$216)</f>
        <v>0.46838876692920056</v>
      </c>
      <c r="F168" s="80">
        <f>IF('RPM &amp; Discounts'!$B$3&lt;&gt;'A0.Support'!$B$6,'Input data'!F$234,'Input data'!F$216)</f>
        <v>0.46838876692920056</v>
      </c>
      <c r="G168" s="80">
        <f>IF('RPM &amp; Discounts'!$B$3&lt;&gt;'A0.Support'!$B$6,'Input data'!G$234,'Input data'!G$216)</f>
        <v>0.46838876692920056</v>
      </c>
    </row>
    <row r="169" spans="2:7" ht="14.45" customHeight="1">
      <c r="B169" s="34" t="str">
        <f t="shared" ref="B169" si="66">B73</f>
        <v>GRMS 08109</v>
      </c>
      <c r="C169" s="34" t="str">
        <f t="shared" si="65"/>
        <v>Domestic exit</v>
      </c>
      <c r="D169" s="80">
        <f>IF('RPM &amp; Discounts'!$B$3&lt;&gt;'A0.Support'!$B$6,'Input data'!D$234,'Input data'!D$216)</f>
        <v>0.46838876692920056</v>
      </c>
      <c r="E169" s="80">
        <f>IF('RPM &amp; Discounts'!$B$3&lt;&gt;'A0.Support'!$B$6,'Input data'!E$234,'Input data'!E$216)</f>
        <v>0.46838876692920056</v>
      </c>
      <c r="F169" s="80">
        <f>IF('RPM &amp; Discounts'!$B$3&lt;&gt;'A0.Support'!$B$6,'Input data'!F$234,'Input data'!F$216)</f>
        <v>0.46838876692920056</v>
      </c>
      <c r="G169" s="80">
        <f>IF('RPM &amp; Discounts'!$B$3&lt;&gt;'A0.Support'!$B$6,'Input data'!G$234,'Input data'!G$216)</f>
        <v>0.46838876692920056</v>
      </c>
    </row>
    <row r="170" spans="2:7" ht="14.45" customHeight="1">
      <c r="B170" s="34" t="str">
        <f t="shared" ref="B170" si="67">B74</f>
        <v>GRMS 08119</v>
      </c>
      <c r="C170" s="34" t="str">
        <f t="shared" si="65"/>
        <v>Domestic exit</v>
      </c>
      <c r="D170" s="80">
        <f>IF('RPM &amp; Discounts'!$B$3&lt;&gt;'A0.Support'!$B$6,'Input data'!D$234,'Input data'!D$216)</f>
        <v>0.46838876692920056</v>
      </c>
      <c r="E170" s="80">
        <f>IF('RPM &amp; Discounts'!$B$3&lt;&gt;'A0.Support'!$B$6,'Input data'!E$234,'Input data'!E$216)</f>
        <v>0.46838876692920056</v>
      </c>
      <c r="F170" s="80">
        <f>IF('RPM &amp; Discounts'!$B$3&lt;&gt;'A0.Support'!$B$6,'Input data'!F$234,'Input data'!F$216)</f>
        <v>0.46838876692920056</v>
      </c>
      <c r="G170" s="80">
        <f>IF('RPM &amp; Discounts'!$B$3&lt;&gt;'A0.Support'!$B$6,'Input data'!G$234,'Input data'!G$216)</f>
        <v>0.46838876692920056</v>
      </c>
    </row>
    <row r="171" spans="2:7" ht="14.45" customHeight="1">
      <c r="B171" s="34" t="str">
        <f t="shared" ref="B171" si="68">B75</f>
        <v>GRMS 08209</v>
      </c>
      <c r="C171" s="34" t="str">
        <f t="shared" si="65"/>
        <v>Domestic exit</v>
      </c>
      <c r="D171" s="80">
        <f>IF('RPM &amp; Discounts'!$B$3&lt;&gt;'A0.Support'!$B$6,'Input data'!D$234,'Input data'!D$216)</f>
        <v>0.46838876692920056</v>
      </c>
      <c r="E171" s="80">
        <f>IF('RPM &amp; Discounts'!$B$3&lt;&gt;'A0.Support'!$B$6,'Input data'!E$234,'Input data'!E$216)</f>
        <v>0.46838876692920056</v>
      </c>
      <c r="F171" s="80">
        <f>IF('RPM &amp; Discounts'!$B$3&lt;&gt;'A0.Support'!$B$6,'Input data'!F$234,'Input data'!F$216)</f>
        <v>0.46838876692920056</v>
      </c>
      <c r="G171" s="80">
        <f>IF('RPM &amp; Discounts'!$B$3&lt;&gt;'A0.Support'!$B$6,'Input data'!G$234,'Input data'!G$216)</f>
        <v>0.46838876692920056</v>
      </c>
    </row>
    <row r="172" spans="2:7" ht="14.45" customHeight="1">
      <c r="B172" s="34" t="str">
        <f t="shared" ref="B172" si="69">B76</f>
        <v>GRMS 08309</v>
      </c>
      <c r="C172" s="34" t="str">
        <f t="shared" si="65"/>
        <v>Domestic exit</v>
      </c>
      <c r="D172" s="80">
        <f>IF('RPM &amp; Discounts'!$B$3&lt;&gt;'A0.Support'!$B$6,'Input data'!D$234,'Input data'!D$216)</f>
        <v>0.46838876692920056</v>
      </c>
      <c r="E172" s="80">
        <f>IF('RPM &amp; Discounts'!$B$3&lt;&gt;'A0.Support'!$B$6,'Input data'!E$234,'Input data'!E$216)</f>
        <v>0.46838876692920056</v>
      </c>
      <c r="F172" s="80">
        <f>IF('RPM &amp; Discounts'!$B$3&lt;&gt;'A0.Support'!$B$6,'Input data'!F$234,'Input data'!F$216)</f>
        <v>0.46838876692920056</v>
      </c>
      <c r="G172" s="80">
        <f>IF('RPM &amp; Discounts'!$B$3&lt;&gt;'A0.Support'!$B$6,'Input data'!G$234,'Input data'!G$216)</f>
        <v>0.46838876692920056</v>
      </c>
    </row>
    <row r="173" spans="2:7" ht="14.45" customHeight="1">
      <c r="B173" s="34" t="str">
        <f t="shared" ref="B173" si="70">B77</f>
        <v>GRMS 08409</v>
      </c>
      <c r="C173" s="34" t="str">
        <f t="shared" si="65"/>
        <v>Domestic exit</v>
      </c>
      <c r="D173" s="80">
        <f>IF('RPM &amp; Discounts'!$B$3&lt;&gt;'A0.Support'!$B$6,'Input data'!D$234,'Input data'!D$216)</f>
        <v>0.46838876692920056</v>
      </c>
      <c r="E173" s="80">
        <f>IF('RPM &amp; Discounts'!$B$3&lt;&gt;'A0.Support'!$B$6,'Input data'!E$234,'Input data'!E$216)</f>
        <v>0.46838876692920056</v>
      </c>
      <c r="F173" s="80">
        <f>IF('RPM &amp; Discounts'!$B$3&lt;&gt;'A0.Support'!$B$6,'Input data'!F$234,'Input data'!F$216)</f>
        <v>0.46838876692920056</v>
      </c>
      <c r="G173" s="80">
        <f>IF('RPM &amp; Discounts'!$B$3&lt;&gt;'A0.Support'!$B$6,'Input data'!G$234,'Input data'!G$216)</f>
        <v>0.46838876692920056</v>
      </c>
    </row>
    <row r="174" spans="2:7" ht="14.45" customHeight="1">
      <c r="B174" s="34" t="str">
        <f t="shared" ref="B174" si="71">B78</f>
        <v>GRMS 08559</v>
      </c>
      <c r="C174" s="34" t="str">
        <f t="shared" si="65"/>
        <v>Domestic exit</v>
      </c>
      <c r="D174" s="80">
        <f>IF('RPM &amp; Discounts'!$B$3&lt;&gt;'A0.Support'!$B$6,'Input data'!D$234,'Input data'!D$216)</f>
        <v>0.46838876692920056</v>
      </c>
      <c r="E174" s="80">
        <f>IF('RPM &amp; Discounts'!$B$3&lt;&gt;'A0.Support'!$B$6,'Input data'!E$234,'Input data'!E$216)</f>
        <v>0.46838876692920056</v>
      </c>
      <c r="F174" s="80">
        <f>IF('RPM &amp; Discounts'!$B$3&lt;&gt;'A0.Support'!$B$6,'Input data'!F$234,'Input data'!F$216)</f>
        <v>0.46838876692920056</v>
      </c>
      <c r="G174" s="80">
        <f>IF('RPM &amp; Discounts'!$B$3&lt;&gt;'A0.Support'!$B$6,'Input data'!G$234,'Input data'!G$216)</f>
        <v>0.46838876692920056</v>
      </c>
    </row>
    <row r="175" spans="2:7" ht="14.45" customHeight="1">
      <c r="B175" s="34" t="str">
        <f t="shared" ref="B175" si="72">B79</f>
        <v>GRMS 10079</v>
      </c>
      <c r="C175" s="34" t="str">
        <f t="shared" si="65"/>
        <v>Domestic exit</v>
      </c>
      <c r="D175" s="80">
        <f>IF('RPM &amp; Discounts'!$B$3&lt;&gt;'A0.Support'!$B$6,'Input data'!D$234,'Input data'!D$216)</f>
        <v>0.46838876692920056</v>
      </c>
      <c r="E175" s="80">
        <f>IF('RPM &amp; Discounts'!$B$3&lt;&gt;'A0.Support'!$B$6,'Input data'!E$234,'Input data'!E$216)</f>
        <v>0.46838876692920056</v>
      </c>
      <c r="F175" s="80">
        <f>IF('RPM &amp; Discounts'!$B$3&lt;&gt;'A0.Support'!$B$6,'Input data'!F$234,'Input data'!F$216)</f>
        <v>0.46838876692920056</v>
      </c>
      <c r="G175" s="80">
        <f>IF('RPM &amp; Discounts'!$B$3&lt;&gt;'A0.Support'!$B$6,'Input data'!G$234,'Input data'!G$216)</f>
        <v>0.46838876692920056</v>
      </c>
    </row>
    <row r="176" spans="2:7" ht="14.45" customHeight="1">
      <c r="B176" s="34" t="str">
        <f t="shared" ref="B176" si="73">B80</f>
        <v>GRMS 10159</v>
      </c>
      <c r="C176" s="34" t="str">
        <f t="shared" si="65"/>
        <v>Domestic exit</v>
      </c>
      <c r="D176" s="80">
        <f>IF('RPM &amp; Discounts'!$B$3&lt;&gt;'A0.Support'!$B$6,'Input data'!D$234,'Input data'!D$216)</f>
        <v>0.46838876692920056</v>
      </c>
      <c r="E176" s="80">
        <f>IF('RPM &amp; Discounts'!$B$3&lt;&gt;'A0.Support'!$B$6,'Input data'!E$234,'Input data'!E$216)</f>
        <v>0.46838876692920056</v>
      </c>
      <c r="F176" s="80">
        <f>IF('RPM &amp; Discounts'!$B$3&lt;&gt;'A0.Support'!$B$6,'Input data'!F$234,'Input data'!F$216)</f>
        <v>0.46838876692920056</v>
      </c>
      <c r="G176" s="80">
        <f>IF('RPM &amp; Discounts'!$B$3&lt;&gt;'A0.Support'!$B$6,'Input data'!G$234,'Input data'!G$216)</f>
        <v>0.46838876692920056</v>
      </c>
    </row>
    <row r="177" spans="2:15" ht="14.45" customHeight="1">
      <c r="B177" s="34" t="str">
        <f t="shared" ref="B177" si="74">B81</f>
        <v>GRMS 10209</v>
      </c>
      <c r="C177" s="34" t="str">
        <f t="shared" si="65"/>
        <v>Domestic exit</v>
      </c>
      <c r="D177" s="80">
        <f>IF('RPM &amp; Discounts'!$B$3&lt;&gt;'A0.Support'!$B$6,'Input data'!D$234,'Input data'!D$216)</f>
        <v>0.46838876692920056</v>
      </c>
      <c r="E177" s="80">
        <f>IF('RPM &amp; Discounts'!$B$3&lt;&gt;'A0.Support'!$B$6,'Input data'!E$234,'Input data'!E$216)</f>
        <v>0.46838876692920056</v>
      </c>
      <c r="F177" s="80">
        <f>IF('RPM &amp; Discounts'!$B$3&lt;&gt;'A0.Support'!$B$6,'Input data'!F$234,'Input data'!F$216)</f>
        <v>0.46838876692920056</v>
      </c>
      <c r="G177" s="80">
        <f>IF('RPM &amp; Discounts'!$B$3&lt;&gt;'A0.Support'!$B$6,'Input data'!G$234,'Input data'!G$216)</f>
        <v>0.46838876692920056</v>
      </c>
    </row>
    <row r="178" spans="2:15" ht="14.45" customHeight="1">
      <c r="B178" s="34" t="str">
        <f t="shared" ref="B178" si="75">B82</f>
        <v>GRMS 10309</v>
      </c>
      <c r="C178" s="34" t="str">
        <f t="shared" si="65"/>
        <v>Domestic exit</v>
      </c>
      <c r="D178" s="80">
        <f>IF('RPM &amp; Discounts'!$B$3&lt;&gt;'A0.Support'!$B$6,'Input data'!D$234,'Input data'!D$216)</f>
        <v>0.46838876692920056</v>
      </c>
      <c r="E178" s="80">
        <f>IF('RPM &amp; Discounts'!$B$3&lt;&gt;'A0.Support'!$B$6,'Input data'!E$234,'Input data'!E$216)</f>
        <v>0.46838876692920056</v>
      </c>
      <c r="F178" s="80">
        <f>IF('RPM &amp; Discounts'!$B$3&lt;&gt;'A0.Support'!$B$6,'Input data'!F$234,'Input data'!F$216)</f>
        <v>0.46838876692920056</v>
      </c>
      <c r="G178" s="80">
        <f>IF('RPM &amp; Discounts'!$B$3&lt;&gt;'A0.Support'!$B$6,'Input data'!G$234,'Input data'!G$216)</f>
        <v>0.46838876692920056</v>
      </c>
    </row>
    <row r="179" spans="2:15" ht="14.45" customHeight="1">
      <c r="B179" s="34" t="str">
        <f t="shared" ref="B179" si="76">B83</f>
        <v>GRMS 10359</v>
      </c>
      <c r="C179" s="34" t="str">
        <f t="shared" si="65"/>
        <v>Domestic exit</v>
      </c>
      <c r="D179" s="80">
        <f>IF('RPM &amp; Discounts'!$B$3&lt;&gt;'A0.Support'!$B$6,'Input data'!D$234,'Input data'!D$216)</f>
        <v>0.46838876692920056</v>
      </c>
      <c r="E179" s="80">
        <f>IF('RPM &amp; Discounts'!$B$3&lt;&gt;'A0.Support'!$B$6,'Input data'!E$234,'Input data'!E$216)</f>
        <v>0.46838876692920056</v>
      </c>
      <c r="F179" s="80">
        <f>IF('RPM &amp; Discounts'!$B$3&lt;&gt;'A0.Support'!$B$6,'Input data'!F$234,'Input data'!F$216)</f>
        <v>0.46838876692920056</v>
      </c>
      <c r="G179" s="80">
        <f>IF('RPM &amp; Discounts'!$B$3&lt;&gt;'A0.Support'!$B$6,'Input data'!G$234,'Input data'!G$216)</f>
        <v>0.46838876692920056</v>
      </c>
    </row>
    <row r="180" spans="2:15" ht="14.45" customHeight="1">
      <c r="B180" s="34" t="str">
        <f t="shared" ref="B180" si="77">B84</f>
        <v>GRMS 10459</v>
      </c>
      <c r="C180" s="34" t="str">
        <f t="shared" si="65"/>
        <v>Domestic exit</v>
      </c>
      <c r="D180" s="80">
        <f>IF('RPM &amp; Discounts'!$B$3&lt;&gt;'A0.Support'!$B$6,'Input data'!D$234,'Input data'!D$216)</f>
        <v>0.46838876692920056</v>
      </c>
      <c r="E180" s="80">
        <f>IF('RPM &amp; Discounts'!$B$3&lt;&gt;'A0.Support'!$B$6,'Input data'!E$234,'Input data'!E$216)</f>
        <v>0.46838876692920056</v>
      </c>
      <c r="F180" s="80">
        <f>IF('RPM &amp; Discounts'!$B$3&lt;&gt;'A0.Support'!$B$6,'Input data'!F$234,'Input data'!F$216)</f>
        <v>0.46838876692920056</v>
      </c>
      <c r="G180" s="80">
        <f>IF('RPM &amp; Discounts'!$B$3&lt;&gt;'A0.Support'!$B$6,'Input data'!G$234,'Input data'!G$216)</f>
        <v>0.46838876692920056</v>
      </c>
    </row>
    <row r="181" spans="2:15" ht="14.45" customHeight="1">
      <c r="B181" s="34" t="str">
        <f t="shared" ref="B181" si="78">B85</f>
        <v>GRMS 11109</v>
      </c>
      <c r="C181" s="34" t="str">
        <f t="shared" si="65"/>
        <v>Domestic exit</v>
      </c>
      <c r="D181" s="80">
        <f>IF('RPM &amp; Discounts'!$B$3&lt;&gt;'A0.Support'!$B$6,'Input data'!D$234,'Input data'!D$216)</f>
        <v>0.46838876692920056</v>
      </c>
      <c r="E181" s="80">
        <f>IF('RPM &amp; Discounts'!$B$3&lt;&gt;'A0.Support'!$B$6,'Input data'!E$234,'Input data'!E$216)</f>
        <v>0.46838876692920056</v>
      </c>
      <c r="F181" s="80">
        <f>IF('RPM &amp; Discounts'!$B$3&lt;&gt;'A0.Support'!$B$6,'Input data'!F$234,'Input data'!F$216)</f>
        <v>0.46838876692920056</v>
      </c>
      <c r="G181" s="80">
        <f>IF('RPM &amp; Discounts'!$B$3&lt;&gt;'A0.Support'!$B$6,'Input data'!G$234,'Input data'!G$216)</f>
        <v>0.46838876692920056</v>
      </c>
    </row>
    <row r="182" spans="2:15" ht="14.45" customHeight="1">
      <c r="B182" s="34" t="str">
        <f t="shared" ref="B182" si="79">B86</f>
        <v>GRMS 11159</v>
      </c>
      <c r="C182" s="34" t="str">
        <f t="shared" si="65"/>
        <v>Domestic exit</v>
      </c>
      <c r="D182" s="80">
        <f>IF('RPM &amp; Discounts'!$B$3&lt;&gt;'A0.Support'!$B$6,'Input data'!D$234,'Input data'!D$216)</f>
        <v>0.46838876692920056</v>
      </c>
      <c r="E182" s="80">
        <f>IF('RPM &amp; Discounts'!$B$3&lt;&gt;'A0.Support'!$B$6,'Input data'!E$234,'Input data'!E$216)</f>
        <v>0.46838876692920056</v>
      </c>
      <c r="F182" s="80">
        <f>IF('RPM &amp; Discounts'!$B$3&lt;&gt;'A0.Support'!$B$6,'Input data'!F$234,'Input data'!F$216)</f>
        <v>0.46838876692920056</v>
      </c>
      <c r="G182" s="80">
        <f>IF('RPM &amp; Discounts'!$B$3&lt;&gt;'A0.Support'!$B$6,'Input data'!G$234,'Input data'!G$216)</f>
        <v>0.46838876692920056</v>
      </c>
    </row>
    <row r="183" spans="2:15" ht="14.45" customHeight="1">
      <c r="B183" s="34" t="str">
        <f t="shared" ref="B183" si="80">B87</f>
        <v>GRMS 11209</v>
      </c>
      <c r="C183" s="34" t="str">
        <f t="shared" si="65"/>
        <v>Domestic exit</v>
      </c>
      <c r="D183" s="80">
        <f>IF('RPM &amp; Discounts'!$B$3&lt;&gt;'A0.Support'!$B$6,'Input data'!D$234,'Input data'!D$216)</f>
        <v>0.46838876692920056</v>
      </c>
      <c r="E183" s="80">
        <f>IF('RPM &amp; Discounts'!$B$3&lt;&gt;'A0.Support'!$B$6,'Input data'!E$234,'Input data'!E$216)</f>
        <v>0.46838876692920056</v>
      </c>
      <c r="F183" s="80">
        <f>IF('RPM &amp; Discounts'!$B$3&lt;&gt;'A0.Support'!$B$6,'Input data'!F$234,'Input data'!F$216)</f>
        <v>0.46838876692920056</v>
      </c>
      <c r="G183" s="80">
        <f>IF('RPM &amp; Discounts'!$B$3&lt;&gt;'A0.Support'!$B$6,'Input data'!G$234,'Input data'!G$216)</f>
        <v>0.46838876692920056</v>
      </c>
    </row>
    <row r="184" spans="2:15" ht="14.45" customHeight="1">
      <c r="B184" s="34" t="str">
        <f t="shared" ref="B184:C185" si="81">B88</f>
        <v>GRMS 11279</v>
      </c>
      <c r="C184" s="34" t="str">
        <f t="shared" si="81"/>
        <v>Domestic exit</v>
      </c>
      <c r="D184" s="80">
        <f>IF('RPM &amp; Discounts'!$B$3&lt;&gt;'A0.Support'!$B$6,'Input data'!D$234,'Input data'!D$216)</f>
        <v>0.46838876692920056</v>
      </c>
      <c r="E184" s="80">
        <f>IF('RPM &amp; Discounts'!$B$3&lt;&gt;'A0.Support'!$B$6,'Input data'!E$234,'Input data'!E$216)</f>
        <v>0.46838876692920056</v>
      </c>
      <c r="F184" s="80">
        <f>IF('RPM &amp; Discounts'!$B$3&lt;&gt;'A0.Support'!$B$6,'Input data'!F$234,'Input data'!F$216)</f>
        <v>0.46838876692920056</v>
      </c>
      <c r="G184" s="80">
        <f>IF('RPM &amp; Discounts'!$B$3&lt;&gt;'A0.Support'!$B$6,'Input data'!G$234,'Input data'!G$216)</f>
        <v>0.46838876692920056</v>
      </c>
    </row>
    <row r="185" spans="2:15" ht="14.45" customHeight="1">
      <c r="B185" s="34" t="str">
        <f t="shared" ref="B185" si="82">B89</f>
        <v>GRMS 11309</v>
      </c>
      <c r="C185" s="34" t="str">
        <f t="shared" si="81"/>
        <v>Domestic exit</v>
      </c>
      <c r="D185" s="80">
        <f>IF('RPM &amp; Discounts'!$B$3&lt;&gt;'A0.Support'!$B$6,'Input data'!D$234,'Input data'!D$216)</f>
        <v>0.46838876692920056</v>
      </c>
      <c r="E185" s="80">
        <f>IF('RPM &amp; Discounts'!$B$3&lt;&gt;'A0.Support'!$B$6,'Input data'!E$234,'Input data'!E$216)</f>
        <v>0.46838876692920056</v>
      </c>
      <c r="F185" s="80">
        <f>IF('RPM &amp; Discounts'!$B$3&lt;&gt;'A0.Support'!$B$6,'Input data'!F$234,'Input data'!F$216)</f>
        <v>0.46838876692920056</v>
      </c>
      <c r="G185" s="80">
        <f>IF('RPM &amp; Discounts'!$B$3&lt;&gt;'A0.Support'!$B$6,'Input data'!G$234,'Input data'!G$216)</f>
        <v>0.46838876692920056</v>
      </c>
    </row>
    <row r="186" spans="2:15" ht="14.45" customHeight="1">
      <c r="B186" s="34" t="str">
        <f t="shared" ref="B186:C186" si="83">B90</f>
        <v>GRMS 12209</v>
      </c>
      <c r="C186" s="34" t="str">
        <f t="shared" si="83"/>
        <v>Domestic exit</v>
      </c>
      <c r="D186" s="80">
        <f>IF('RPM &amp; Discounts'!$B$3&lt;&gt;'A0.Support'!$B$6,'Input data'!D$234,'Input data'!D$216)</f>
        <v>0.46838876692920056</v>
      </c>
      <c r="E186" s="80">
        <f>IF('RPM &amp; Discounts'!$B$3&lt;&gt;'A0.Support'!$B$6,'Input data'!E$234,'Input data'!E$216)</f>
        <v>0.46838876692920056</v>
      </c>
      <c r="F186" s="80">
        <f>IF('RPM &amp; Discounts'!$B$3&lt;&gt;'A0.Support'!$B$6,'Input data'!F$234,'Input data'!F$216)</f>
        <v>0.46838876692920056</v>
      </c>
      <c r="G186" s="80">
        <f>IF('RPM &amp; Discounts'!$B$3&lt;&gt;'A0.Support'!$B$6,'Input data'!G$234,'Input data'!G$216)</f>
        <v>0.46838876692920056</v>
      </c>
    </row>
    <row r="187" spans="2:15" ht="14.45" customHeight="1">
      <c r="B187" s="34" t="str">
        <f t="shared" ref="B187:C187" si="84">B91</f>
        <v>GRMS 12609</v>
      </c>
      <c r="C187" s="34" t="str">
        <f t="shared" si="84"/>
        <v>Domestic exit</v>
      </c>
      <c r="D187" s="80">
        <f>IF('RPM &amp; Discounts'!$B$3&lt;&gt;'A0.Support'!$B$6,'Input data'!D$234,'Input data'!D$216)</f>
        <v>0.46838876692920056</v>
      </c>
      <c r="E187" s="80">
        <f>IF('RPM &amp; Discounts'!$B$3&lt;&gt;'A0.Support'!$B$6,'Input data'!E$234,'Input data'!E$216)</f>
        <v>0.46838876692920056</v>
      </c>
      <c r="F187" s="80">
        <f>IF('RPM &amp; Discounts'!$B$3&lt;&gt;'A0.Support'!$B$6,'Input data'!F$234,'Input data'!F$216)</f>
        <v>0.46838876692920056</v>
      </c>
      <c r="G187" s="80">
        <f>IF('RPM &amp; Discounts'!$B$3&lt;&gt;'A0.Support'!$B$6,'Input data'!G$234,'Input data'!G$216)</f>
        <v>0.46838876692920056</v>
      </c>
    </row>
    <row r="188" spans="2:15" ht="14.45" customHeight="1">
      <c r="B188" s="34" t="str">
        <f t="shared" ref="B188:C188" si="85">B92</f>
        <v>GRMS 12619</v>
      </c>
      <c r="C188" s="34" t="str">
        <f t="shared" si="85"/>
        <v>Domestic exit</v>
      </c>
      <c r="D188" s="80">
        <f>IF('RPM &amp; Discounts'!$B$3&lt;&gt;'A0.Support'!$B$6,'Input data'!D$234,'Input data'!D$216)</f>
        <v>0.46838876692920056</v>
      </c>
      <c r="E188" s="80">
        <f>IF('RPM &amp; Discounts'!$B$3&lt;&gt;'A0.Support'!$B$6,'Input data'!E$234,'Input data'!E$216)</f>
        <v>0.46838876692920056</v>
      </c>
      <c r="F188" s="80">
        <f>IF('RPM &amp; Discounts'!$B$3&lt;&gt;'A0.Support'!$B$6,'Input data'!F$234,'Input data'!F$216)</f>
        <v>0.46838876692920056</v>
      </c>
      <c r="G188" s="80">
        <f>IF('RPM &amp; Discounts'!$B$3&lt;&gt;'A0.Support'!$B$6,'Input data'!G$234,'Input data'!G$216)</f>
        <v>0.46838876692920056</v>
      </c>
    </row>
    <row r="189" spans="2:15" ht="14.45" customHeight="1">
      <c r="B189" s="34" t="str">
        <f t="shared" ref="B189:C189" si="86">B93</f>
        <v>GRMS 12619B</v>
      </c>
      <c r="C189" s="34" t="str">
        <f t="shared" si="86"/>
        <v>Domestic exit</v>
      </c>
      <c r="D189" s="80">
        <f>IF('RPM &amp; Discounts'!$B$3&lt;&gt;'A0.Support'!$B$6,'Input data'!D$234,'Input data'!D$216)</f>
        <v>0.46838876692920056</v>
      </c>
      <c r="E189" s="80">
        <f>IF('RPM &amp; Discounts'!$B$3&lt;&gt;'A0.Support'!$B$6,'Input data'!E$234,'Input data'!E$216)</f>
        <v>0.46838876692920056</v>
      </c>
      <c r="F189" s="80">
        <f>IF('RPM &amp; Discounts'!$B$3&lt;&gt;'A0.Support'!$B$6,'Input data'!F$234,'Input data'!F$216)</f>
        <v>0.46838876692920056</v>
      </c>
      <c r="G189" s="80">
        <f>IF('RPM &amp; Discounts'!$B$3&lt;&gt;'A0.Support'!$B$6,'Input data'!G$234,'Input data'!G$216)</f>
        <v>0.46838876692920056</v>
      </c>
    </row>
    <row r="190" spans="2:15" ht="14.45" customHeight="1">
      <c r="B190" s="34" t="str">
        <f t="shared" ref="B190:C190" si="87">B94</f>
        <v>GRMS 12629</v>
      </c>
      <c r="C190" s="34" t="str">
        <f t="shared" si="87"/>
        <v>Domestic exit</v>
      </c>
      <c r="D190" s="80">
        <f>IF('RPM &amp; Discounts'!$B$3&lt;&gt;'A0.Support'!$B$6,'Input data'!D$234,'Input data'!D$216)</f>
        <v>0.46838876692920056</v>
      </c>
      <c r="E190" s="80">
        <f>IF('RPM &amp; Discounts'!$B$3&lt;&gt;'A0.Support'!$B$6,'Input data'!E$234,'Input data'!E$216)</f>
        <v>0.46838876692920056</v>
      </c>
      <c r="F190" s="80">
        <f>IF('RPM &amp; Discounts'!$B$3&lt;&gt;'A0.Support'!$B$6,'Input data'!F$234,'Input data'!F$216)</f>
        <v>0.46838876692920056</v>
      </c>
      <c r="G190" s="80">
        <f>IF('RPM &amp; Discounts'!$B$3&lt;&gt;'A0.Support'!$B$6,'Input data'!G$234,'Input data'!G$216)</f>
        <v>0.46838876692920056</v>
      </c>
      <c r="K190"/>
      <c r="L190"/>
      <c r="M190"/>
      <c r="N190"/>
      <c r="O190"/>
    </row>
    <row r="191" spans="2:15" ht="14.45" customHeight="1">
      <c r="B191" s="34" t="str">
        <f t="shared" ref="B191:C191" si="88">B95</f>
        <v>GRMS 12809</v>
      </c>
      <c r="C191" s="34" t="str">
        <f t="shared" si="88"/>
        <v>Domestic exit</v>
      </c>
      <c r="D191" s="80">
        <f>IF('RPM &amp; Discounts'!$B$3&lt;&gt;'A0.Support'!$B$6,'Input data'!D$234,'Input data'!D$216)</f>
        <v>0.46838876692920056</v>
      </c>
      <c r="E191" s="80">
        <f>IF('RPM &amp; Discounts'!$B$3&lt;&gt;'A0.Support'!$B$6,'Input data'!E$234,'Input data'!E$216)</f>
        <v>0.46838876692920056</v>
      </c>
      <c r="F191" s="80">
        <f>IF('RPM &amp; Discounts'!$B$3&lt;&gt;'A0.Support'!$B$6,'Input data'!F$234,'Input data'!F$216)</f>
        <v>0.46838876692920056</v>
      </c>
      <c r="G191" s="80">
        <f>IF('RPM &amp; Discounts'!$B$3&lt;&gt;'A0.Support'!$B$6,'Input data'!G$234,'Input data'!G$216)</f>
        <v>0.46838876692920056</v>
      </c>
      <c r="K191"/>
      <c r="L191"/>
      <c r="M191"/>
      <c r="N191"/>
      <c r="O191"/>
    </row>
    <row r="192" spans="2:15" ht="14.45" customHeight="1">
      <c r="B192"/>
      <c r="C192"/>
      <c r="K192"/>
      <c r="L192"/>
      <c r="M192"/>
      <c r="N192"/>
      <c r="O192"/>
    </row>
    <row r="193" spans="2:16" ht="14.45" customHeight="1">
      <c r="K193"/>
      <c r="L193"/>
      <c r="M193"/>
      <c r="N193"/>
      <c r="O193"/>
    </row>
    <row r="194" spans="2:16" ht="28.9" customHeight="1">
      <c r="B194" s="31" t="str">
        <f>IF('RPM &amp; Discounts'!$B$3&lt;&gt;'A0.Support'!$B$3,"3. Effective capacity at exit points","3. Forecasted capacity at exit points")&amp;", in kWh/day"</f>
        <v>3. Effective capacity at exit points, in kWh/day</v>
      </c>
      <c r="C194" s="4"/>
      <c r="D194" s="4"/>
      <c r="E194" s="4"/>
      <c r="F194" s="4"/>
      <c r="G194" s="4"/>
      <c r="K194"/>
      <c r="L194"/>
      <c r="M194"/>
      <c r="N194"/>
      <c r="O194"/>
    </row>
    <row r="195" spans="2:16" ht="14.45" customHeight="1">
      <c r="B195" s="35" t="str">
        <f>'Entry Tariff_1'!B27</f>
        <v>Effective capacity by default. Forecasted capacity in CWD.</v>
      </c>
      <c r="K195"/>
      <c r="L195"/>
      <c r="M195"/>
      <c r="N195"/>
      <c r="O195"/>
    </row>
    <row r="196" spans="2:16" ht="14.45" customHeight="1">
      <c r="B196" s="8" t="s">
        <v>1</v>
      </c>
      <c r="C196" s="8" t="s">
        <v>215</v>
      </c>
      <c r="D196" s="5"/>
      <c r="E196" s="5"/>
      <c r="F196" s="5"/>
      <c r="G196" s="5"/>
      <c r="K196"/>
      <c r="L196"/>
      <c r="M196"/>
      <c r="N196"/>
      <c r="O196"/>
    </row>
    <row r="197" spans="2:16" ht="14.45" customHeight="1">
      <c r="B197" s="24"/>
      <c r="C197" s="24"/>
      <c r="D197" s="22" t="str">
        <f>'Input data'!D$5</f>
        <v>2023-24</v>
      </c>
      <c r="E197" s="22" t="str">
        <f>'Input data'!E$5</f>
        <v>2024-25</v>
      </c>
      <c r="F197" s="22" t="str">
        <f>'Input data'!F$5</f>
        <v>2025-26</v>
      </c>
      <c r="G197" s="22" t="str">
        <f>'Input data'!G$5</f>
        <v>2026-27</v>
      </c>
      <c r="K197"/>
      <c r="L197"/>
      <c r="M197"/>
      <c r="N197"/>
      <c r="O197"/>
    </row>
    <row r="198" spans="2:16" ht="14.45" customHeight="1">
      <c r="B198" s="23"/>
      <c r="C198" s="23"/>
      <c r="D198" s="7"/>
      <c r="E198" s="7"/>
      <c r="F198" s="7"/>
      <c r="G198" s="7"/>
      <c r="K198"/>
      <c r="L198"/>
      <c r="M198"/>
      <c r="N198"/>
      <c r="O198"/>
    </row>
    <row r="199" spans="2:16" ht="14.45" customHeight="1">
      <c r="B199" s="34" t="s">
        <v>0</v>
      </c>
      <c r="C199" s="3" t="s">
        <v>217</v>
      </c>
      <c r="D199" s="36">
        <f>IF(OR('RPM &amp; Discounts'!$B$3='A0.Support'!$B$3,'RPM &amp; Discounts'!$B$3='A0.Support'!$B$4),D7,D7*D103)</f>
        <v>2358335.3579910798</v>
      </c>
      <c r="E199" s="36">
        <f>IF(OR('RPM &amp; Discounts'!$B$3='A0.Support'!$B$3,'RPM &amp; Discounts'!$B$3='A0.Support'!$B$4),E7,E7*E103)</f>
        <v>5284438.496243096</v>
      </c>
      <c r="F199" s="36">
        <f>IF(OR('RPM &amp; Discounts'!$B$3='A0.Support'!$B$3,'RPM &amp; Discounts'!$B$3='A0.Support'!$B$4),F7,F7*F103)</f>
        <v>7764155.0961056259</v>
      </c>
      <c r="G199" s="36">
        <f>IF(OR('RPM &amp; Discounts'!$B$3='A0.Support'!$B$3,'RPM &amp; Discounts'!$B$3='A0.Support'!$B$4),G7,G7*G103)</f>
        <v>2804457.1241352735</v>
      </c>
      <c r="I199"/>
      <c r="J199"/>
      <c r="K199"/>
      <c r="L199"/>
      <c r="M199"/>
      <c r="N199"/>
      <c r="O199"/>
      <c r="P199"/>
    </row>
    <row r="200" spans="2:16" ht="14.45" customHeight="1">
      <c r="B200" s="34" t="s">
        <v>216</v>
      </c>
      <c r="C200" s="3" t="s">
        <v>217</v>
      </c>
      <c r="D200" s="36">
        <f>IF(OR('RPM &amp; Discounts'!$B$3='A0.Support'!$B$3,'RPM &amp; Discounts'!$B$3='A0.Support'!$B$4),D8,D8*D104)</f>
        <v>1071970.6172686727</v>
      </c>
      <c r="E200" s="36">
        <f>IF(OR('RPM &amp; Discounts'!$B$3='A0.Support'!$B$3,'RPM &amp; Discounts'!$B$3='A0.Support'!$B$4),E8,E8*E104)</f>
        <v>2402017.4982923162</v>
      </c>
      <c r="F200" s="36">
        <f>IF(OR('RPM &amp; Discounts'!$B$3='A0.Support'!$B$3,'RPM &amp; Discounts'!$B$3='A0.Support'!$B$4),F8,F8*F104)</f>
        <v>3529161.4073207388</v>
      </c>
      <c r="G200" s="36">
        <f>IF(OR('RPM &amp; Discounts'!$B$3='A0.Support'!$B$3,'RPM &amp; Discounts'!$B$3='A0.Support'!$B$4),G8,G8*G104)</f>
        <v>1274753.2382433061</v>
      </c>
      <c r="J200"/>
      <c r="K200"/>
      <c r="L200"/>
      <c r="M200"/>
      <c r="N200"/>
      <c r="O200"/>
      <c r="P200"/>
    </row>
    <row r="201" spans="2:16" ht="14.45" customHeight="1">
      <c r="B201" s="34" t="s">
        <v>218</v>
      </c>
      <c r="C201" s="3" t="s">
        <v>14</v>
      </c>
      <c r="D201" s="36">
        <f>IF(OR('RPM &amp; Discounts'!$B$3='A0.Support'!$B$3,'RPM &amp; Discounts'!$B$3='A0.Support'!$B$4),D9,D9*D105)</f>
        <v>0</v>
      </c>
      <c r="E201" s="36">
        <f>IF(OR('RPM &amp; Discounts'!$B$3='A0.Support'!$B$3,'RPM &amp; Discounts'!$B$3='A0.Support'!$B$4),E9,E9*E105)</f>
        <v>0</v>
      </c>
      <c r="F201" s="36">
        <f>IF(OR('RPM &amp; Discounts'!$B$3='A0.Support'!$B$3,'RPM &amp; Discounts'!$B$3='A0.Support'!$B$4),F9,F9*F105)</f>
        <v>0</v>
      </c>
      <c r="G201" s="36">
        <f>IF(OR('RPM &amp; Discounts'!$B$3='A0.Support'!$B$3,'RPM &amp; Discounts'!$B$3='A0.Support'!$B$4),G9,G9*G105)</f>
        <v>0</v>
      </c>
      <c r="J201"/>
      <c r="K201"/>
      <c r="L201"/>
      <c r="M201"/>
      <c r="N201"/>
      <c r="O201"/>
      <c r="P201"/>
    </row>
    <row r="202" spans="2:16" ht="14.45" customHeight="1">
      <c r="B202" s="34" t="s">
        <v>219</v>
      </c>
      <c r="C202" s="3" t="s">
        <v>15</v>
      </c>
      <c r="D202" s="36">
        <f>IF(OR('RPM &amp; Discounts'!$B$3='A0.Support'!$B$3,'RPM &amp; Discounts'!$B$3='A0.Support'!$B$4),D10,D10*D106)</f>
        <v>6281806.7360896068</v>
      </c>
      <c r="E202" s="36">
        <f>IF(OR('RPM &amp; Discounts'!$B$3='A0.Support'!$B$3,'RPM &amp; Discounts'!$B$3='A0.Support'!$B$4),E10,E10*E106)</f>
        <v>3761653.5990670798</v>
      </c>
      <c r="F202" s="36">
        <f>IF(OR('RPM &amp; Discounts'!$B$3='A0.Support'!$B$3,'RPM &amp; Discounts'!$B$3='A0.Support'!$B$4),F10,F10*F106)</f>
        <v>3879770.9787162556</v>
      </c>
      <c r="G202" s="36">
        <f>IF(OR('RPM &amp; Discounts'!$B$3='A0.Support'!$B$3,'RPM &amp; Discounts'!$B$3='A0.Support'!$B$4),G10,G10*G106)</f>
        <v>3013892.658119644</v>
      </c>
      <c r="J202"/>
      <c r="K202"/>
      <c r="L202"/>
      <c r="M202"/>
      <c r="N202"/>
      <c r="O202"/>
      <c r="P202"/>
    </row>
    <row r="203" spans="2:16" ht="14.45" customHeight="1">
      <c r="B203" s="34" t="s">
        <v>55</v>
      </c>
      <c r="C203" s="3" t="s">
        <v>221</v>
      </c>
      <c r="D203" s="36">
        <f>IF(OR('RPM &amp; Discounts'!$B$3='A0.Support'!$B$3,'RPM &amp; Discounts'!$B$3='A0.Support'!$B$4),D11,D11*D107)</f>
        <v>364514.67640581576</v>
      </c>
      <c r="E203" s="36">
        <f>IF(OR('RPM &amp; Discounts'!$B$3='A0.Support'!$B$3,'RPM &amp; Discounts'!$B$3='A0.Support'!$B$4),E11,E11*E107)</f>
        <v>361737.17230441375</v>
      </c>
      <c r="F203" s="36">
        <f>IF(OR('RPM &amp; Discounts'!$B$3='A0.Support'!$B$3,'RPM &amp; Discounts'!$B$3='A0.Support'!$B$4),F11,F11*F107)</f>
        <v>312373.39199434157</v>
      </c>
      <c r="G203" s="36">
        <f>IF(OR('RPM &amp; Discounts'!$B$3='A0.Support'!$B$3,'RPM &amp; Discounts'!$B$3='A0.Support'!$B$4),G11,G11*G107)</f>
        <v>377814.53662705404</v>
      </c>
      <c r="J203"/>
      <c r="K203"/>
      <c r="L203"/>
      <c r="M203"/>
      <c r="N203"/>
      <c r="O203"/>
      <c r="P203"/>
    </row>
    <row r="204" spans="2:16" ht="14.45" customHeight="1">
      <c r="B204" s="34" t="s">
        <v>57</v>
      </c>
      <c r="C204" s="3" t="s">
        <v>221</v>
      </c>
      <c r="D204" s="36">
        <f>IF(OR('RPM &amp; Discounts'!$B$3='A0.Support'!$B$3,'RPM &amp; Discounts'!$B$3='A0.Support'!$B$4),D12,D12*D108)</f>
        <v>1274692.6267307706</v>
      </c>
      <c r="E204" s="36">
        <f>IF(OR('RPM &amp; Discounts'!$B$3='A0.Support'!$B$3,'RPM &amp; Discounts'!$B$3='A0.Support'!$B$4),E12,E12*E108)</f>
        <v>1264979.8106826451</v>
      </c>
      <c r="F204" s="36">
        <f>IF(OR('RPM &amp; Discounts'!$B$3='A0.Support'!$B$3,'RPM &amp; Discounts'!$B$3='A0.Support'!$B$4),F12,F12*F108)</f>
        <v>1092356.7289202157</v>
      </c>
      <c r="G204" s="36">
        <f>IF(OR('RPM &amp; Discounts'!$B$3='A0.Support'!$B$3,'RPM &amp; Discounts'!$B$3='A0.Support'!$B$4),G12,G12*G108)</f>
        <v>1321201.6834516805</v>
      </c>
      <c r="J204"/>
      <c r="K204"/>
      <c r="L204"/>
      <c r="M204"/>
      <c r="N204"/>
      <c r="O204"/>
      <c r="P204"/>
    </row>
    <row r="205" spans="2:16" ht="14.45" customHeight="1">
      <c r="B205" s="34" t="s">
        <v>59</v>
      </c>
      <c r="C205" s="3" t="s">
        <v>221</v>
      </c>
      <c r="D205" s="36">
        <f>IF(OR('RPM &amp; Discounts'!$B$3='A0.Support'!$B$3,'RPM &amp; Discounts'!$B$3='A0.Support'!$B$4),D13,D13*D109)</f>
        <v>439043.74432880827</v>
      </c>
      <c r="E205" s="36">
        <f>IF(OR('RPM &amp; Discounts'!$B$3='A0.Support'!$B$3,'RPM &amp; Discounts'!$B$3='A0.Support'!$B$4),E13,E13*E109)</f>
        <v>435698.34871238994</v>
      </c>
      <c r="F205" s="36">
        <f>IF(OR('RPM &amp; Discounts'!$B$3='A0.Support'!$B$3,'RPM &amp; Discounts'!$B$3='A0.Support'!$B$4),F13,F13*F109)</f>
        <v>376241.5960920091</v>
      </c>
      <c r="G205" s="36">
        <f>IF(OR('RPM &amp; Discounts'!$B$3='A0.Support'!$B$3,'RPM &amp; Discounts'!$B$3='A0.Support'!$B$4),G13,G13*G109)</f>
        <v>455062.90846276865</v>
      </c>
      <c r="K205"/>
      <c r="L205"/>
      <c r="M205"/>
      <c r="N205"/>
      <c r="O205"/>
    </row>
    <row r="206" spans="2:16" ht="14.45" customHeight="1">
      <c r="B206" s="34" t="s">
        <v>61</v>
      </c>
      <c r="C206" s="3" t="s">
        <v>221</v>
      </c>
      <c r="D206" s="36">
        <f>IF(OR('RPM &amp; Discounts'!$B$3='A0.Support'!$B$3,'RPM &amp; Discounts'!$B$3='A0.Support'!$B$4),D14,D14*D110)</f>
        <v>726529.24376787641</v>
      </c>
      <c r="E206" s="36">
        <f>IF(OR('RPM &amp; Discounts'!$B$3='A0.Support'!$B$3,'RPM &amp; Discounts'!$B$3='A0.Support'!$B$4),E14,E14*E110)</f>
        <v>720993.28572566237</v>
      </c>
      <c r="F206" s="36">
        <f>IF(OR('RPM &amp; Discounts'!$B$3='A0.Support'!$B$3,'RPM &amp; Discounts'!$B$3='A0.Support'!$B$4),F14,F14*F110)</f>
        <v>622604.29812212207</v>
      </c>
      <c r="G206" s="36">
        <f>IF(OR('RPM &amp; Discounts'!$B$3='A0.Support'!$B$3,'RPM &amp; Discounts'!$B$3='A0.Support'!$B$4),G14,G14*G110)</f>
        <v>753037.74401272542</v>
      </c>
      <c r="K206"/>
      <c r="L206"/>
      <c r="M206"/>
      <c r="N206"/>
      <c r="O206"/>
    </row>
    <row r="207" spans="2:16" ht="14.45" customHeight="1">
      <c r="B207" s="34" t="s">
        <v>62</v>
      </c>
      <c r="C207" s="3" t="s">
        <v>221</v>
      </c>
      <c r="D207" s="36">
        <f>IF(OR('RPM &amp; Discounts'!$B$3='A0.Support'!$B$3,'RPM &amp; Discounts'!$B$3='A0.Support'!$B$4),D15,D15*D111)</f>
        <v>188461.77929911966</v>
      </c>
      <c r="E207" s="36">
        <f>IF(OR('RPM &amp; Discounts'!$B$3='A0.Support'!$B$3,'RPM &amp; Discounts'!$B$3='A0.Support'!$B$4),E15,E15*E111)</f>
        <v>187025.75107078554</v>
      </c>
      <c r="F207" s="36">
        <f>IF(OR('RPM &amp; Discounts'!$B$3='A0.Support'!$B$3,'RPM &amp; Discounts'!$B$3='A0.Support'!$B$4),F15,F15*F111)</f>
        <v>161503.63502898929</v>
      </c>
      <c r="G207" s="36">
        <f>IF(OR('RPM &amp; Discounts'!$B$3='A0.Support'!$B$3,'RPM &amp; Discounts'!$B$3='A0.Support'!$B$4),G15,G15*G111)</f>
        <v>195338.08767286982</v>
      </c>
      <c r="K207"/>
      <c r="L207"/>
      <c r="M207"/>
      <c r="N207"/>
      <c r="O207"/>
    </row>
    <row r="208" spans="2:16" ht="14.45" customHeight="1">
      <c r="B208" s="34" t="s">
        <v>64</v>
      </c>
      <c r="C208" s="3" t="s">
        <v>221</v>
      </c>
      <c r="D208" s="36">
        <f>IF(OR('RPM &amp; Discounts'!$B$3='A0.Support'!$B$3,'RPM &amp; Discounts'!$B$3='A0.Support'!$B$4),D16,D16*D112)</f>
        <v>412597.12796568329</v>
      </c>
      <c r="E208" s="36">
        <f>IF(OR('RPM &amp; Discounts'!$B$3='A0.Support'!$B$3,'RPM &amp; Discounts'!$B$3='A0.Support'!$B$4),E16,E16*E112)</f>
        <v>409453.24847514788</v>
      </c>
      <c r="F208" s="36">
        <f>IF(OR('RPM &amp; Discounts'!$B$3='A0.Support'!$B$3,'RPM &amp; Discounts'!$B$3='A0.Support'!$B$4),F16,F16*F112)</f>
        <v>353577.98391161725</v>
      </c>
      <c r="G208" s="36">
        <f>IF(OR('RPM &amp; Discounts'!$B$3='A0.Support'!$B$3,'RPM &amp; Discounts'!$B$3='A0.Support'!$B$4),G16,G16*G112)</f>
        <v>427651.34795960935</v>
      </c>
      <c r="K208"/>
      <c r="L208"/>
      <c r="M208"/>
      <c r="N208"/>
      <c r="O208"/>
    </row>
    <row r="209" spans="2:15" ht="14.45" customHeight="1">
      <c r="B209" s="34" t="s">
        <v>66</v>
      </c>
      <c r="C209" s="3" t="s">
        <v>221</v>
      </c>
      <c r="D209" s="36">
        <f>IF(OR('RPM &amp; Discounts'!$B$3='A0.Support'!$B$3,'RPM &amp; Discounts'!$B$3='A0.Support'!$B$4),D17,D17*D113)</f>
        <v>948507.30310924188</v>
      </c>
      <c r="E209" s="36">
        <f>IF(OR('RPM &amp; Discounts'!$B$3='A0.Support'!$B$3,'RPM &amp; Discounts'!$B$3='A0.Support'!$B$4),E17,E17*E113)</f>
        <v>941279.93177107733</v>
      </c>
      <c r="F209" s="36">
        <f>IF(OR('RPM &amp; Discounts'!$B$3='A0.Support'!$B$3,'RPM &amp; Discounts'!$B$3='A0.Support'!$B$4),F17,F17*F113)</f>
        <v>812829.94288487791</v>
      </c>
      <c r="G209" s="36">
        <f>IF(OR('RPM &amp; Discounts'!$B$3='A0.Support'!$B$3,'RPM &amp; Discounts'!$B$3='A0.Support'!$B$4),G17,G17*G113)</f>
        <v>983115.00306405034</v>
      </c>
      <c r="K209"/>
      <c r="L209"/>
      <c r="M209"/>
      <c r="N209"/>
      <c r="O209"/>
    </row>
    <row r="210" spans="2:15" ht="14.45" customHeight="1">
      <c r="B210" s="34" t="s">
        <v>68</v>
      </c>
      <c r="C210" s="3" t="s">
        <v>221</v>
      </c>
      <c r="D210" s="36">
        <f>IF(OR('RPM &amp; Discounts'!$B$3='A0.Support'!$B$3,'RPM &amp; Discounts'!$B$3='A0.Support'!$B$4),D18,D18*D114)</f>
        <v>1122508.0178276238</v>
      </c>
      <c r="E210" s="36">
        <f>IF(OR('RPM &amp; Discounts'!$B$3='A0.Support'!$B$3,'RPM &amp; Discounts'!$B$3='A0.Support'!$B$4),E18,E18*E114)</f>
        <v>1113954.8076959639</v>
      </c>
      <c r="F210" s="36">
        <f>IF(OR('RPM &amp; Discounts'!$B$3='A0.Support'!$B$3,'RPM &amp; Discounts'!$B$3='A0.Support'!$B$4),F18,F18*F114)</f>
        <v>961941.0678523375</v>
      </c>
      <c r="G210" s="36">
        <f>IF(OR('RPM &amp; Discounts'!$B$3='A0.Support'!$B$3,'RPM &amp; Discounts'!$B$3='A0.Support'!$B$4),G18,G18*G114)</f>
        <v>1163464.3927026528</v>
      </c>
      <c r="K210"/>
      <c r="L210"/>
      <c r="M210"/>
      <c r="N210"/>
      <c r="O210"/>
    </row>
    <row r="211" spans="2:15" ht="14.45" customHeight="1">
      <c r="B211" s="34" t="s">
        <v>70</v>
      </c>
      <c r="C211" s="3" t="s">
        <v>221</v>
      </c>
      <c r="D211" s="36">
        <f>IF(OR('RPM &amp; Discounts'!$B$3='A0.Support'!$B$3,'RPM &amp; Discounts'!$B$3='A0.Support'!$B$4),D19,D19*D115)</f>
        <v>800676.38241440163</v>
      </c>
      <c r="E211" s="36">
        <f>IF(OR('RPM &amp; Discounts'!$B$3='A0.Support'!$B$3,'RPM &amp; Discounts'!$B$3='A0.Support'!$B$4),E19,E19*E115)</f>
        <v>794575.44305585604</v>
      </c>
      <c r="F211" s="36">
        <f>IF(OR('RPM &amp; Discounts'!$B$3='A0.Support'!$B$3,'RPM &amp; Discounts'!$B$3='A0.Support'!$B$4),F19,F19*F115)</f>
        <v>686145.20526492235</v>
      </c>
      <c r="G211" s="36">
        <f>IF(OR('RPM &amp; Discounts'!$B$3='A0.Support'!$B$3,'RPM &amp; Discounts'!$B$3='A0.Support'!$B$4),G19,G19*G115)</f>
        <v>829890.25131416239</v>
      </c>
      <c r="K211"/>
      <c r="L211"/>
      <c r="M211"/>
      <c r="N211"/>
      <c r="O211"/>
    </row>
    <row r="212" spans="2:15" ht="14.45" customHeight="1">
      <c r="B212" s="34" t="s">
        <v>72</v>
      </c>
      <c r="C212" s="3" t="s">
        <v>221</v>
      </c>
      <c r="D212" s="36">
        <f>IF(OR('RPM &amp; Discounts'!$B$3='A0.Support'!$B$3,'RPM &amp; Discounts'!$B$3='A0.Support'!$B$4),D20,D20*D116)</f>
        <v>5922145.4045530679</v>
      </c>
      <c r="E212" s="36">
        <f>IF(OR('RPM &amp; Discounts'!$B$3='A0.Support'!$B$3,'RPM &amp; Discounts'!$B$3='A0.Support'!$B$4),E20,E20*E116)</f>
        <v>5877020.2444019504</v>
      </c>
      <c r="F212" s="36">
        <f>IF(OR('RPM &amp; Discounts'!$B$3='A0.Support'!$B$3,'RPM &amp; Discounts'!$B$3='A0.Support'!$B$4),F20,F20*F116)</f>
        <v>5075023.7717298921</v>
      </c>
      <c r="G212" s="36">
        <f>IF(OR('RPM &amp; Discounts'!$B$3='A0.Support'!$B$3,'RPM &amp; Discounts'!$B$3='A0.Support'!$B$4),G20,G20*G116)</f>
        <v>6138223.6894304547</v>
      </c>
      <c r="K212"/>
      <c r="L212"/>
      <c r="M212"/>
      <c r="N212"/>
      <c r="O212"/>
    </row>
    <row r="213" spans="2:15" ht="14.45" customHeight="1">
      <c r="B213" s="34" t="s">
        <v>74</v>
      </c>
      <c r="C213" s="3" t="s">
        <v>221</v>
      </c>
      <c r="D213" s="36">
        <f>IF(OR('RPM &amp; Discounts'!$B$3='A0.Support'!$B$3,'RPM &amp; Discounts'!$B$3='A0.Support'!$B$4),D21,D21*D117)</f>
        <v>0</v>
      </c>
      <c r="E213" s="36">
        <f>IF(OR('RPM &amp; Discounts'!$B$3='A0.Support'!$B$3,'RPM &amp; Discounts'!$B$3='A0.Support'!$B$4),E21,E21*E117)</f>
        <v>0</v>
      </c>
      <c r="F213" s="36">
        <f>IF(OR('RPM &amp; Discounts'!$B$3='A0.Support'!$B$3,'RPM &amp; Discounts'!$B$3='A0.Support'!$B$4),F21,F21*F117)</f>
        <v>0</v>
      </c>
      <c r="G213" s="36">
        <f>IF(OR('RPM &amp; Discounts'!$B$3='A0.Support'!$B$3,'RPM &amp; Discounts'!$B$3='A0.Support'!$B$4),G21,G21*G117)</f>
        <v>0</v>
      </c>
      <c r="K213"/>
      <c r="L213"/>
      <c r="M213"/>
      <c r="N213"/>
      <c r="O213"/>
    </row>
    <row r="214" spans="2:15" ht="14.45" customHeight="1">
      <c r="B214" s="34" t="s">
        <v>76</v>
      </c>
      <c r="C214" s="3" t="s">
        <v>221</v>
      </c>
      <c r="D214" s="36">
        <f>IF(OR('RPM &amp; Discounts'!$B$3='A0.Support'!$B$3,'RPM &amp; Discounts'!$B$3='A0.Support'!$B$4),D22,D22*D118)</f>
        <v>315093.48634607485</v>
      </c>
      <c r="E214" s="36">
        <f>IF(OR('RPM &amp; Discounts'!$B$3='A0.Support'!$B$3,'RPM &amp; Discounts'!$B$3='A0.Support'!$B$4),E22,E22*E118)</f>
        <v>312692.55846223584</v>
      </c>
      <c r="F214" s="36">
        <f>IF(OR('RPM &amp; Discounts'!$B$3='A0.Support'!$B$3,'RPM &amp; Discounts'!$B$3='A0.Support'!$B$4),F22,F22*F118)</f>
        <v>270021.55879086518</v>
      </c>
      <c r="G214" s="36">
        <f>IF(OR('RPM &amp; Discounts'!$B$3='A0.Support'!$B$3,'RPM &amp; Discounts'!$B$3='A0.Support'!$B$4),G22,G22*G118)</f>
        <v>326590.14092894801</v>
      </c>
      <c r="K214"/>
      <c r="L214"/>
      <c r="M214"/>
      <c r="N214"/>
      <c r="O214"/>
    </row>
    <row r="215" spans="2:15" ht="14.45" customHeight="1">
      <c r="B215" s="34" t="s">
        <v>78</v>
      </c>
      <c r="C215" s="3" t="s">
        <v>221</v>
      </c>
      <c r="D215" s="36">
        <f>IF(OR('RPM &amp; Discounts'!$B$3='A0.Support'!$B$3,'RPM &amp; Discounts'!$B$3='A0.Support'!$B$4),D23,D23*D119)</f>
        <v>1290891.6222911449</v>
      </c>
      <c r="E215" s="36">
        <f>IF(OR('RPM &amp; Discounts'!$B$3='A0.Support'!$B$3,'RPM &amp; Discounts'!$B$3='A0.Support'!$B$4),E23,E23*E119)</f>
        <v>1281055.3742400857</v>
      </c>
      <c r="F215" s="36">
        <f>IF(OR('RPM &amp; Discounts'!$B$3='A0.Support'!$B$3,'RPM &amp; Discounts'!$B$3='A0.Support'!$B$4),F23,F23*F119)</f>
        <v>1106238.5710451733</v>
      </c>
      <c r="G215" s="36">
        <f>IF(OR('RPM &amp; Discounts'!$B$3='A0.Support'!$B$3,'RPM &amp; Discounts'!$B$3='A0.Support'!$B$4),G23,G23*G119)</f>
        <v>1337991.7234627251</v>
      </c>
      <c r="K215"/>
      <c r="L215"/>
      <c r="M215"/>
      <c r="N215"/>
      <c r="O215"/>
    </row>
    <row r="216" spans="2:15" ht="14.45" customHeight="1">
      <c r="B216" s="34" t="s">
        <v>80</v>
      </c>
      <c r="C216" s="3" t="s">
        <v>221</v>
      </c>
      <c r="D216" s="36">
        <f>IF(OR('RPM &amp; Discounts'!$B$3='A0.Support'!$B$3,'RPM &amp; Discounts'!$B$3='A0.Support'!$B$4),D24,D24*D120)</f>
        <v>792009.79604451545</v>
      </c>
      <c r="E216" s="36">
        <f>IF(OR('RPM &amp; Discounts'!$B$3='A0.Support'!$B$3,'RPM &amp; Discounts'!$B$3='A0.Support'!$B$4),E24,E24*E120)</f>
        <v>785974.89375044382</v>
      </c>
      <c r="F216" s="36">
        <f>IF(OR('RPM &amp; Discounts'!$B$3='A0.Support'!$B$3,'RPM &amp; Discounts'!$B$3='A0.Support'!$B$4),F24,F24*F120)</f>
        <v>678718.31368385663</v>
      </c>
      <c r="G216" s="36">
        <f>IF(OR('RPM &amp; Discounts'!$B$3='A0.Support'!$B$3,'RPM &amp; Discounts'!$B$3='A0.Support'!$B$4),G24,G24*G120)</f>
        <v>820907.45164814428</v>
      </c>
      <c r="K216"/>
      <c r="L216"/>
      <c r="M216"/>
      <c r="N216"/>
      <c r="O216"/>
    </row>
    <row r="217" spans="2:15" ht="14.45" customHeight="1">
      <c r="B217" s="34" t="s">
        <v>82</v>
      </c>
      <c r="C217" s="3" t="s">
        <v>221</v>
      </c>
      <c r="D217" s="36">
        <f>IF(OR('RPM &amp; Discounts'!$B$3='A0.Support'!$B$3,'RPM &amp; Discounts'!$B$3='A0.Support'!$B$4),D25,D25*D121)</f>
        <v>18246514.133908242</v>
      </c>
      <c r="E217" s="36">
        <f>IF(OR('RPM &amp; Discounts'!$B$3='A0.Support'!$B$3,'RPM &amp; Discounts'!$B$3='A0.Support'!$B$4),E25,E25*E121)</f>
        <v>18107480.588419944</v>
      </c>
      <c r="F217" s="36">
        <f>IF(OR('RPM &amp; Discounts'!$B$3='A0.Support'!$B$3,'RPM &amp; Discounts'!$B$3='A0.Support'!$B$4),F25,F25*F121)</f>
        <v>15636477.434275061</v>
      </c>
      <c r="G217" s="36">
        <f>IF(OR('RPM &amp; Discounts'!$B$3='A0.Support'!$B$3,'RPM &amp; Discounts'!$B$3='A0.Support'!$B$4),G25,G25*G121)</f>
        <v>18912265.345625311</v>
      </c>
      <c r="K217"/>
      <c r="L217"/>
      <c r="M217"/>
      <c r="N217"/>
      <c r="O217"/>
    </row>
    <row r="218" spans="2:15" ht="14.45" customHeight="1">
      <c r="B218" s="34" t="s">
        <v>83</v>
      </c>
      <c r="C218" s="3" t="s">
        <v>221</v>
      </c>
      <c r="D218" s="36">
        <f>IF(OR('RPM &amp; Discounts'!$B$3='A0.Support'!$B$3,'RPM &amp; Discounts'!$B$3='A0.Support'!$B$4),D26,D26*D122)</f>
        <v>309047.69867130759</v>
      </c>
      <c r="E218" s="36">
        <f>IF(OR('RPM &amp; Discounts'!$B$3='A0.Support'!$B$3,'RPM &amp; Discounts'!$B$3='A0.Support'!$B$4),E26,E26*E122)</f>
        <v>306692.83806856809</v>
      </c>
      <c r="F218" s="36">
        <f>IF(OR('RPM &amp; Discounts'!$B$3='A0.Support'!$B$3,'RPM &amp; Discounts'!$B$3='A0.Support'!$B$4),F26,F26*F122)</f>
        <v>264840.57891409856</v>
      </c>
      <c r="G218" s="36">
        <f>IF(OR('RPM &amp; Discounts'!$B$3='A0.Support'!$B$3,'RPM &amp; Discounts'!$B$3='A0.Support'!$B$4),G26,G26*G122)</f>
        <v>320323.76369714417</v>
      </c>
      <c r="K218"/>
      <c r="L218"/>
      <c r="M218"/>
      <c r="N218"/>
      <c r="O218"/>
    </row>
    <row r="219" spans="2:15" ht="14.45" customHeight="1">
      <c r="B219" s="34" t="s">
        <v>84</v>
      </c>
      <c r="C219" s="3" t="s">
        <v>221</v>
      </c>
      <c r="D219" s="36">
        <f>IF(OR('RPM &amp; Discounts'!$B$3='A0.Support'!$B$3,'RPM &amp; Discounts'!$B$3='A0.Support'!$B$4),D27,D27*D123)</f>
        <v>222550.80048435598</v>
      </c>
      <c r="E219" s="36">
        <f>IF(OR('RPM &amp; Discounts'!$B$3='A0.Support'!$B$3,'RPM &amp; Discounts'!$B$3='A0.Support'!$B$4),E27,E27*E123)</f>
        <v>220855.02305445782</v>
      </c>
      <c r="F219" s="36">
        <f>IF(OR('RPM &amp; Discounts'!$B$3='A0.Support'!$B$3,'RPM &amp; Discounts'!$B$3='A0.Support'!$B$4),F27,F27*F123)</f>
        <v>190716.45927627478</v>
      </c>
      <c r="G219" s="36">
        <f>IF(OR('RPM &amp; Discounts'!$B$3='A0.Support'!$B$3,'RPM &amp; Discounts'!$B$3='A0.Support'!$B$4),G27,G27*G123)</f>
        <v>230670.89750692787</v>
      </c>
      <c r="K219"/>
      <c r="L219"/>
      <c r="M219"/>
      <c r="N219"/>
      <c r="O219"/>
    </row>
    <row r="220" spans="2:15" ht="14.45" customHeight="1">
      <c r="B220" s="34" t="s">
        <v>86</v>
      </c>
      <c r="C220" s="3" t="s">
        <v>221</v>
      </c>
      <c r="D220" s="36">
        <f>IF(OR('RPM &amp; Discounts'!$B$3='A0.Support'!$B$3,'RPM &amp; Discounts'!$B$3='A0.Support'!$B$4),D28,D28*D124)</f>
        <v>21760.49691258146</v>
      </c>
      <c r="E220" s="36">
        <f>IF(OR('RPM &amp; Discounts'!$B$3='A0.Support'!$B$3,'RPM &amp; Discounts'!$B$3='A0.Support'!$B$4),E28,E28*E124)</f>
        <v>21594.687760480399</v>
      </c>
      <c r="F220" s="36">
        <f>IF(OR('RPM &amp; Discounts'!$B$3='A0.Support'!$B$3,'RPM &amp; Discounts'!$B$3='A0.Support'!$B$4),F28,F28*F124)</f>
        <v>18647.80946295258</v>
      </c>
      <c r="G220" s="36">
        <f>IF(OR('RPM &amp; Discounts'!$B$3='A0.Support'!$B$3,'RPM &amp; Discounts'!$B$3='A0.Support'!$B$4),G28,G28*G124)</f>
        <v>22554.461013384407</v>
      </c>
      <c r="K220"/>
      <c r="L220"/>
      <c r="M220"/>
      <c r="N220"/>
      <c r="O220"/>
    </row>
    <row r="221" spans="2:15" ht="14.45" customHeight="1">
      <c r="B221" s="34" t="s">
        <v>88</v>
      </c>
      <c r="C221" s="3" t="s">
        <v>221</v>
      </c>
      <c r="D221" s="36">
        <f>IF(OR('RPM &amp; Discounts'!$B$3='A0.Support'!$B$3,'RPM &amp; Discounts'!$B$3='A0.Support'!$B$4),D29,D29*D125)</f>
        <v>0</v>
      </c>
      <c r="E221" s="36">
        <f>IF(OR('RPM &amp; Discounts'!$B$3='A0.Support'!$B$3,'RPM &amp; Discounts'!$B$3='A0.Support'!$B$4),E29,E29*E125)</f>
        <v>0</v>
      </c>
      <c r="F221" s="36">
        <f>IF(OR('RPM &amp; Discounts'!$B$3='A0.Support'!$B$3,'RPM &amp; Discounts'!$B$3='A0.Support'!$B$4),F29,F29*F125)</f>
        <v>0</v>
      </c>
      <c r="G221" s="36">
        <f>IF(OR('RPM &amp; Discounts'!$B$3='A0.Support'!$B$3,'RPM &amp; Discounts'!$B$3='A0.Support'!$B$4),G29,G29*G125)</f>
        <v>0</v>
      </c>
      <c r="K221"/>
      <c r="L221"/>
      <c r="M221"/>
      <c r="N221"/>
      <c r="O221"/>
    </row>
    <row r="222" spans="2:15" ht="14.45" customHeight="1">
      <c r="B222" s="34" t="s">
        <v>90</v>
      </c>
      <c r="C222" s="3" t="s">
        <v>221</v>
      </c>
      <c r="D222" s="36">
        <f>IF(OR('RPM &amp; Discounts'!$B$3='A0.Support'!$B$3,'RPM &amp; Discounts'!$B$3='A0.Support'!$B$4),D30,D30*D126)</f>
        <v>716821.51819034026</v>
      </c>
      <c r="E222" s="36">
        <f>IF(OR('RPM &amp; Discounts'!$B$3='A0.Support'!$B$3,'RPM &amp; Discounts'!$B$3='A0.Support'!$B$4),E30,E30*E126)</f>
        <v>711359.53041421471</v>
      </c>
      <c r="F222" s="36">
        <f>IF(OR('RPM &amp; Discounts'!$B$3='A0.Support'!$B$3,'RPM &amp; Discounts'!$B$3='A0.Support'!$B$4),F30,F30*F126)</f>
        <v>614285.19504208816</v>
      </c>
      <c r="G222" s="36">
        <f>IF(OR('RPM &amp; Discounts'!$B$3='A0.Support'!$B$3,'RPM &amp; Discounts'!$B$3='A0.Support'!$B$4),G30,G30*G126)</f>
        <v>742975.81762626604</v>
      </c>
      <c r="K222"/>
      <c r="L222"/>
      <c r="M222"/>
      <c r="N222"/>
      <c r="O222"/>
    </row>
    <row r="223" spans="2:15" ht="14.45" customHeight="1">
      <c r="B223" s="34" t="s">
        <v>91</v>
      </c>
      <c r="C223" s="3" t="s">
        <v>221</v>
      </c>
      <c r="D223" s="36">
        <f>IF(OR('RPM &amp; Discounts'!$B$3='A0.Support'!$B$3,'RPM &amp; Discounts'!$B$3='A0.Support'!$B$4),D31,D31*D127)</f>
        <v>406712.36167387461</v>
      </c>
      <c r="E223" s="36">
        <f>IF(OR('RPM &amp; Discounts'!$B$3='A0.Support'!$B$3,'RPM &amp; Discounts'!$B$3='A0.Support'!$B$4),E31,E31*E127)</f>
        <v>403613.32252467325</v>
      </c>
      <c r="F223" s="36">
        <f>IF(OR('RPM &amp; Discounts'!$B$3='A0.Support'!$B$3,'RPM &amp; Discounts'!$B$3='A0.Support'!$B$4),F31,F31*F127)</f>
        <v>348534.99243102263</v>
      </c>
      <c r="G223" s="36">
        <f>IF(OR('RPM &amp; Discounts'!$B$3='A0.Support'!$B$3,'RPM &amp; Discounts'!$B$3='A0.Support'!$B$4),G31,G31*G127)</f>
        <v>421551.86721545702</v>
      </c>
      <c r="K223"/>
      <c r="L223"/>
      <c r="M223"/>
      <c r="N223"/>
      <c r="O223"/>
    </row>
    <row r="224" spans="2:15" ht="14.45" customHeight="1">
      <c r="B224" s="34" t="s">
        <v>93</v>
      </c>
      <c r="C224" s="3" t="s">
        <v>221</v>
      </c>
      <c r="D224" s="36">
        <f>IF(OR('RPM &amp; Discounts'!$B$3='A0.Support'!$B$3,'RPM &amp; Discounts'!$B$3='A0.Support'!$B$4),D32,D32*D128)</f>
        <v>738063.35514547909</v>
      </c>
      <c r="E224" s="36">
        <f>IF(OR('RPM &amp; Discounts'!$B$3='A0.Support'!$B$3,'RPM &amp; Discounts'!$B$3='A0.Support'!$B$4),E32,E32*E128)</f>
        <v>732439.51026706642</v>
      </c>
      <c r="F224" s="36">
        <f>IF(OR('RPM &amp; Discounts'!$B$3='A0.Support'!$B$3,'RPM &amp; Discounts'!$B$3='A0.Support'!$B$4),F32,F32*F128)</f>
        <v>632488.53524033108</v>
      </c>
      <c r="G224" s="36">
        <f>IF(OR('RPM &amp; Discounts'!$B$3='A0.Support'!$B$3,'RPM &amp; Discounts'!$B$3='A0.Support'!$B$4),G32,G32*G128)</f>
        <v>764992.69460210123</v>
      </c>
      <c r="K224"/>
      <c r="L224"/>
      <c r="M224"/>
      <c r="N224"/>
      <c r="O224"/>
    </row>
    <row r="225" spans="2:15" ht="14.45" customHeight="1">
      <c r="B225" s="34" t="s">
        <v>95</v>
      </c>
      <c r="C225" s="3" t="s">
        <v>221</v>
      </c>
      <c r="D225" s="36">
        <f>IF(OR('RPM &amp; Discounts'!$B$3='A0.Support'!$B$3,'RPM &amp; Discounts'!$B$3='A0.Support'!$B$4),D33,D33*D129)</f>
        <v>750727.6716380039</v>
      </c>
      <c r="E225" s="36">
        <f>IF(OR('RPM &amp; Discounts'!$B$3='A0.Support'!$B$3,'RPM &amp; Discounts'!$B$3='A0.Support'!$B$4),E33,E33*E129)</f>
        <v>745007.3280634447</v>
      </c>
      <c r="F225" s="36">
        <f>IF(OR('RPM &amp; Discounts'!$B$3='A0.Support'!$B$3,'RPM &amp; Discounts'!$B$3='A0.Support'!$B$4),F33,F33*F129)</f>
        <v>643341.30950738327</v>
      </c>
      <c r="G225" s="36">
        <f>IF(OR('RPM &amp; Discounts'!$B$3='A0.Support'!$B$3,'RPM &amp; Discounts'!$B$3='A0.Support'!$B$4),G33,G33*G129)</f>
        <v>778119.08752131183</v>
      </c>
      <c r="K225"/>
      <c r="L225"/>
      <c r="M225"/>
      <c r="N225"/>
      <c r="O225"/>
    </row>
    <row r="226" spans="2:15" ht="14.45" customHeight="1">
      <c r="B226" s="34" t="s">
        <v>97</v>
      </c>
      <c r="C226" s="3" t="s">
        <v>221</v>
      </c>
      <c r="D226" s="36">
        <f>IF(OR('RPM &amp; Discounts'!$B$3='A0.Support'!$B$3,'RPM &amp; Discounts'!$B$3='A0.Support'!$B$4),D34,D34*D130)</f>
        <v>1926900.8776454735</v>
      </c>
      <c r="E226" s="36">
        <f>IF(OR('RPM &amp; Discounts'!$B$3='A0.Support'!$B$3,'RPM &amp; Discounts'!$B$3='A0.Support'!$B$4),E34,E34*E130)</f>
        <v>1912218.409593907</v>
      </c>
      <c r="F226" s="36">
        <f>IF(OR('RPM &amp; Discounts'!$B$3='A0.Support'!$B$3,'RPM &amp; Discounts'!$B$3='A0.Support'!$B$4),F34,F34*F130)</f>
        <v>1651271.134325682</v>
      </c>
      <c r="G226" s="36">
        <f>IF(OR('RPM &amp; Discounts'!$B$3='A0.Support'!$B$3,'RPM &amp; Discounts'!$B$3='A0.Support'!$B$4),G34,G34*G130)</f>
        <v>1997206.7226269657</v>
      </c>
      <c r="K226"/>
      <c r="L226"/>
      <c r="M226"/>
      <c r="N226"/>
      <c r="O226"/>
    </row>
    <row r="227" spans="2:15" ht="14.45" customHeight="1">
      <c r="B227" s="34" t="s">
        <v>99</v>
      </c>
      <c r="C227" s="3" t="s">
        <v>221</v>
      </c>
      <c r="D227" s="36">
        <f>IF(OR('RPM &amp; Discounts'!$B$3='A0.Support'!$B$3,'RPM &amp; Discounts'!$B$3='A0.Support'!$B$4),D35,D35*D131)</f>
        <v>0</v>
      </c>
      <c r="E227" s="36">
        <f>IF(OR('RPM &amp; Discounts'!$B$3='A0.Support'!$B$3,'RPM &amp; Discounts'!$B$3='A0.Support'!$B$4),E35,E35*E131)</f>
        <v>0</v>
      </c>
      <c r="F227" s="36">
        <f>IF(OR('RPM &amp; Discounts'!$B$3='A0.Support'!$B$3,'RPM &amp; Discounts'!$B$3='A0.Support'!$B$4),F35,F35*F131)</f>
        <v>0</v>
      </c>
      <c r="G227" s="36">
        <f>IF(OR('RPM &amp; Discounts'!$B$3='A0.Support'!$B$3,'RPM &amp; Discounts'!$B$3='A0.Support'!$B$4),G35,G35*G131)</f>
        <v>0</v>
      </c>
      <c r="K227"/>
      <c r="L227"/>
      <c r="M227"/>
      <c r="N227"/>
      <c r="O227"/>
    </row>
    <row r="228" spans="2:15" ht="14.45" customHeight="1">
      <c r="B228" s="34" t="s">
        <v>101</v>
      </c>
      <c r="C228" s="3" t="s">
        <v>221</v>
      </c>
      <c r="D228" s="36">
        <f>IF(OR('RPM &amp; Discounts'!$B$3='A0.Support'!$B$3,'RPM &amp; Discounts'!$B$3='A0.Support'!$B$4),D36,D36*D132)</f>
        <v>4284705.2117928416</v>
      </c>
      <c r="E228" s="36">
        <f>IF(OR('RPM &amp; Discounts'!$B$3='A0.Support'!$B$3,'RPM &amp; Discounts'!$B$3='A0.Support'!$B$4),E36,E36*E132)</f>
        <v>4252056.9068839774</v>
      </c>
      <c r="F228" s="36">
        <f>IF(OR('RPM &amp; Discounts'!$B$3='A0.Support'!$B$3,'RPM &amp; Discounts'!$B$3='A0.Support'!$B$4),F36,F36*F132)</f>
        <v>3671807.9883661149</v>
      </c>
      <c r="G228" s="36">
        <f>IF(OR('RPM &amp; Discounts'!$B$3='A0.Support'!$B$3,'RPM &amp; Discounts'!$B$3='A0.Support'!$B$4),G36,G36*G132)</f>
        <v>4441039.0553789176</v>
      </c>
      <c r="K228"/>
      <c r="L228"/>
      <c r="M228"/>
      <c r="N228"/>
      <c r="O228"/>
    </row>
    <row r="229" spans="2:15" ht="14.45" customHeight="1">
      <c r="B229" s="34" t="s">
        <v>103</v>
      </c>
      <c r="C229" s="3" t="s">
        <v>221</v>
      </c>
      <c r="D229" s="36">
        <f>IF(OR('RPM &amp; Discounts'!$B$3='A0.Support'!$B$3,'RPM &amp; Discounts'!$B$3='A0.Support'!$B$4),D37,D37*D133)</f>
        <v>0</v>
      </c>
      <c r="E229" s="36">
        <f>IF(OR('RPM &amp; Discounts'!$B$3='A0.Support'!$B$3,'RPM &amp; Discounts'!$B$3='A0.Support'!$B$4),E37,E37*E133)</f>
        <v>0</v>
      </c>
      <c r="F229" s="36">
        <f>IF(OR('RPM &amp; Discounts'!$B$3='A0.Support'!$B$3,'RPM &amp; Discounts'!$B$3='A0.Support'!$B$4),F37,F37*F133)</f>
        <v>0</v>
      </c>
      <c r="G229" s="36">
        <f>IF(OR('RPM &amp; Discounts'!$B$3='A0.Support'!$B$3,'RPM &amp; Discounts'!$B$3='A0.Support'!$B$4),G37,G37*G133)</f>
        <v>0</v>
      </c>
      <c r="K229"/>
      <c r="L229"/>
      <c r="M229"/>
      <c r="N229"/>
      <c r="O229"/>
    </row>
    <row r="230" spans="2:15" ht="14.45" customHeight="1">
      <c r="B230" s="34" t="s">
        <v>104</v>
      </c>
      <c r="C230" s="3" t="s">
        <v>221</v>
      </c>
      <c r="D230" s="36">
        <f>IF(OR('RPM &amp; Discounts'!$B$3='A0.Support'!$B$3,'RPM &amp; Discounts'!$B$3='A0.Support'!$B$4),D38,D38*D134)</f>
        <v>15738114.016647832</v>
      </c>
      <c r="E230" s="36">
        <f>IF(OR('RPM &amp; Discounts'!$B$3='A0.Support'!$B$3,'RPM &amp; Discounts'!$B$3='A0.Support'!$B$4),E38,E38*E134)</f>
        <v>15618193.80750677</v>
      </c>
      <c r="F230" s="36">
        <f>IF(OR('RPM &amp; Discounts'!$B$3='A0.Support'!$B$3,'RPM &amp; Discounts'!$B$3='A0.Support'!$B$4),F38,F38*F134)</f>
        <v>13486886.474498997</v>
      </c>
      <c r="G230" s="36">
        <f>IF(OR('RPM &amp; Discounts'!$B$3='A0.Support'!$B$3,'RPM &amp; Discounts'!$B$3='A0.Support'!$B$4),G38,G38*G134)</f>
        <v>16312342.518586928</v>
      </c>
      <c r="K230"/>
      <c r="L230"/>
      <c r="M230"/>
      <c r="N230"/>
      <c r="O230"/>
    </row>
    <row r="231" spans="2:15" ht="14.45" customHeight="1">
      <c r="B231" s="34" t="s">
        <v>106</v>
      </c>
      <c r="C231" s="3" t="s">
        <v>221</v>
      </c>
      <c r="D231" s="36">
        <f>IF(OR('RPM &amp; Discounts'!$B$3='A0.Support'!$B$3,'RPM &amp; Discounts'!$B$3='A0.Support'!$B$4),D39,D39*D135)</f>
        <v>564364.3645555065</v>
      </c>
      <c r="E231" s="36">
        <f>IF(OR('RPM &amp; Discounts'!$B$3='A0.Support'!$B$3,'RPM &amp; Discounts'!$B$3='A0.Support'!$B$4),E39,E39*E135)</f>
        <v>560064.05941362807</v>
      </c>
      <c r="F231" s="36">
        <f>IF(OR('RPM &amp; Discounts'!$B$3='A0.Support'!$B$3,'RPM &amp; Discounts'!$B$3='A0.Support'!$B$4),F39,F39*F135)</f>
        <v>483635.97486721666</v>
      </c>
      <c r="G231" s="36">
        <f>IF(OR('RPM &amp; Discounts'!$B$3='A0.Support'!$B$3,'RPM &amp; Discounts'!$B$3='A0.Support'!$B$4),G39,G39*G135)</f>
        <v>584956.03794557799</v>
      </c>
      <c r="K231"/>
      <c r="L231"/>
      <c r="M231"/>
      <c r="N231"/>
      <c r="O231"/>
    </row>
    <row r="232" spans="2:15" ht="14.45" customHeight="1">
      <c r="B232" s="34" t="s">
        <v>108</v>
      </c>
      <c r="C232" s="3" t="s">
        <v>221</v>
      </c>
      <c r="D232" s="36">
        <f>IF(OR('RPM &amp; Discounts'!$B$3='A0.Support'!$B$3,'RPM &amp; Discounts'!$B$3='A0.Support'!$B$4),D40,D40*D136)</f>
        <v>0</v>
      </c>
      <c r="E232" s="36">
        <f>IF(OR('RPM &amp; Discounts'!$B$3='A0.Support'!$B$3,'RPM &amp; Discounts'!$B$3='A0.Support'!$B$4),E40,E40*E136)</f>
        <v>0</v>
      </c>
      <c r="F232" s="36">
        <f>IF(OR('RPM &amp; Discounts'!$B$3='A0.Support'!$B$3,'RPM &amp; Discounts'!$B$3='A0.Support'!$B$4),F40,F40*F136)</f>
        <v>0</v>
      </c>
      <c r="G232" s="36">
        <f>IF(OR('RPM &amp; Discounts'!$B$3='A0.Support'!$B$3,'RPM &amp; Discounts'!$B$3='A0.Support'!$B$4),G40,G40*G136)</f>
        <v>0</v>
      </c>
      <c r="K232"/>
      <c r="L232"/>
      <c r="M232"/>
      <c r="N232"/>
      <c r="O232"/>
    </row>
    <row r="233" spans="2:15" ht="14.45" customHeight="1">
      <c r="B233" s="34" t="s">
        <v>109</v>
      </c>
      <c r="C233" s="3" t="s">
        <v>221</v>
      </c>
      <c r="D233" s="36">
        <f>IF(OR('RPM &amp; Discounts'!$B$3='A0.Support'!$B$3,'RPM &amp; Discounts'!$B$3='A0.Support'!$B$4),D41,D41*D137)</f>
        <v>20869.226753017298</v>
      </c>
      <c r="E233" s="36">
        <f>IF(OR('RPM &amp; Discounts'!$B$3='A0.Support'!$B$3,'RPM &amp; Discounts'!$B$3='A0.Support'!$B$4),E41,E41*E137)</f>
        <v>20710.208840566873</v>
      </c>
      <c r="F233" s="36">
        <f>IF(OR('RPM &amp; Discounts'!$B$3='A0.Support'!$B$3,'RPM &amp; Discounts'!$B$3='A0.Support'!$B$4),F41,F41*F137)</f>
        <v>17884.029289074362</v>
      </c>
      <c r="G233" s="36">
        <f>IF(OR('RPM &amp; Discounts'!$B$3='A0.Support'!$B$3,'RPM &amp; Discounts'!$B$3='A0.Support'!$B$4),G41,G41*G137)</f>
        <v>21630.671536193735</v>
      </c>
      <c r="K233"/>
      <c r="L233"/>
      <c r="M233"/>
      <c r="N233"/>
      <c r="O233"/>
    </row>
    <row r="234" spans="2:15" ht="14.45" customHeight="1">
      <c r="B234" s="34" t="s">
        <v>111</v>
      </c>
      <c r="C234" s="3" t="s">
        <v>221</v>
      </c>
      <c r="D234" s="36">
        <f>IF(OR('RPM &amp; Discounts'!$B$3='A0.Support'!$B$3,'RPM &amp; Discounts'!$B$3='A0.Support'!$B$4),D42,D42*D138)</f>
        <v>736429.46170075191</v>
      </c>
      <c r="E234" s="36">
        <f>IF(OR('RPM &amp; Discounts'!$B$3='A0.Support'!$B$3,'RPM &amp; Discounts'!$B$3='A0.Support'!$B$4),E42,E42*E138)</f>
        <v>730818.06665231229</v>
      </c>
      <c r="F234" s="36">
        <f>IF(OR('RPM &amp; Discounts'!$B$3='A0.Support'!$B$3,'RPM &amp; Discounts'!$B$3='A0.Support'!$B$4),F42,F42*F138)</f>
        <v>631088.35886740894</v>
      </c>
      <c r="G234" s="36">
        <f>IF(OR('RPM &amp; Discounts'!$B$3='A0.Support'!$B$3,'RPM &amp; Discounts'!$B$3='A0.Support'!$B$4),G42,G42*G138)</f>
        <v>763299.18612446089</v>
      </c>
      <c r="K234"/>
      <c r="L234"/>
      <c r="M234"/>
      <c r="N234"/>
      <c r="O234"/>
    </row>
    <row r="235" spans="2:15" ht="14.45" customHeight="1">
      <c r="B235" s="34" t="s">
        <v>113</v>
      </c>
      <c r="C235" s="3" t="s">
        <v>221</v>
      </c>
      <c r="D235" s="36">
        <f>IF(OR('RPM &amp; Discounts'!$B$3='A0.Support'!$B$3,'RPM &amp; Discounts'!$B$3='A0.Support'!$B$4),D43,D43*D139)</f>
        <v>209875.17888524762</v>
      </c>
      <c r="E235" s="36">
        <f>IF(OR('RPM &amp; Discounts'!$B$3='A0.Support'!$B$3,'RPM &amp; Discounts'!$B$3='A0.Support'!$B$4),E43,E43*E139)</f>
        <v>208275.98629337709</v>
      </c>
      <c r="F235" s="36">
        <f>IF(OR('RPM &amp; Discounts'!$B$3='A0.Support'!$B$3,'RPM &amp; Discounts'!$B$3='A0.Support'!$B$4),F43,F43*F139)</f>
        <v>179853.9970193585</v>
      </c>
      <c r="G235" s="36">
        <f>IF(OR('RPM &amp; Discounts'!$B$3='A0.Support'!$B$3,'RPM &amp; Discounts'!$B$3='A0.Support'!$B$4),G43,G43*G139)</f>
        <v>217532.78699750258</v>
      </c>
      <c r="K235"/>
      <c r="L235"/>
      <c r="M235"/>
      <c r="N235"/>
      <c r="O235"/>
    </row>
    <row r="236" spans="2:15" ht="14.45" customHeight="1">
      <c r="B236" s="34" t="s">
        <v>115</v>
      </c>
      <c r="C236" s="3" t="s">
        <v>221</v>
      </c>
      <c r="D236" s="36">
        <f>IF(OR('RPM &amp; Discounts'!$B$3='A0.Support'!$B$3,'RPM &amp; Discounts'!$B$3='A0.Support'!$B$4),D44,D44*D140)</f>
        <v>0</v>
      </c>
      <c r="E236" s="36">
        <f>IF(OR('RPM &amp; Discounts'!$B$3='A0.Support'!$B$3,'RPM &amp; Discounts'!$B$3='A0.Support'!$B$4),E44,E44*E140)</f>
        <v>0</v>
      </c>
      <c r="F236" s="36">
        <f>IF(OR('RPM &amp; Discounts'!$B$3='A0.Support'!$B$3,'RPM &amp; Discounts'!$B$3='A0.Support'!$B$4),F44,F44*F140)</f>
        <v>0</v>
      </c>
      <c r="G236" s="36">
        <f>IF(OR('RPM &amp; Discounts'!$B$3='A0.Support'!$B$3,'RPM &amp; Discounts'!$B$3='A0.Support'!$B$4),G44,G44*G140)</f>
        <v>0</v>
      </c>
      <c r="K236"/>
      <c r="L236"/>
      <c r="M236"/>
      <c r="N236"/>
      <c r="O236"/>
    </row>
    <row r="237" spans="2:15" ht="14.45" customHeight="1">
      <c r="B237" s="34" t="s">
        <v>117</v>
      </c>
      <c r="C237" s="3" t="s">
        <v>221</v>
      </c>
      <c r="D237" s="36">
        <f>IF(OR('RPM &amp; Discounts'!$B$3='A0.Support'!$B$3,'RPM &amp; Discounts'!$B$3='A0.Support'!$B$4),D45,D45*D141)</f>
        <v>499670.43381667946</v>
      </c>
      <c r="E237" s="36">
        <f>IF(OR('RPM &amp; Discounts'!$B$3='A0.Support'!$B$3,'RPM &amp; Discounts'!$B$3='A0.Support'!$B$4),E45,E45*E141)</f>
        <v>495863.07908144762</v>
      </c>
      <c r="F237" s="36">
        <f>IF(OR('RPM &amp; Discounts'!$B$3='A0.Support'!$B$3,'RPM &amp; Discounts'!$B$3='A0.Support'!$B$4),F45,F45*F141)</f>
        <v>428196.06011372671</v>
      </c>
      <c r="G237" s="36">
        <f>IF(OR('RPM &amp; Discounts'!$B$3='A0.Support'!$B$3,'RPM &amp; Discounts'!$B$3='A0.Support'!$B$4),G45,G45*G141)</f>
        <v>517901.65290495782</v>
      </c>
      <c r="K237"/>
      <c r="L237"/>
      <c r="M237"/>
      <c r="N237"/>
      <c r="O237"/>
    </row>
    <row r="238" spans="2:15" ht="14.45" customHeight="1">
      <c r="B238" s="34" t="s">
        <v>119</v>
      </c>
      <c r="C238" s="3" t="s">
        <v>221</v>
      </c>
      <c r="D238" s="36">
        <f>IF(OR('RPM &amp; Discounts'!$B$3='A0.Support'!$B$3,'RPM &amp; Discounts'!$B$3='A0.Support'!$B$4),D46,D46*D142)</f>
        <v>0</v>
      </c>
      <c r="E238" s="36">
        <f>IF(OR('RPM &amp; Discounts'!$B$3='A0.Support'!$B$3,'RPM &amp; Discounts'!$B$3='A0.Support'!$B$4),E46,E46*E142)</f>
        <v>0</v>
      </c>
      <c r="F238" s="36">
        <f>IF(OR('RPM &amp; Discounts'!$B$3='A0.Support'!$B$3,'RPM &amp; Discounts'!$B$3='A0.Support'!$B$4),F46,F46*F142)</f>
        <v>0</v>
      </c>
      <c r="G238" s="36">
        <f>IF(OR('RPM &amp; Discounts'!$B$3='A0.Support'!$B$3,'RPM &amp; Discounts'!$B$3='A0.Support'!$B$4),G46,G46*G142)</f>
        <v>0</v>
      </c>
      <c r="K238"/>
      <c r="L238"/>
      <c r="M238"/>
      <c r="N238"/>
      <c r="O238"/>
    </row>
    <row r="239" spans="2:15" ht="14.45" customHeight="1">
      <c r="B239" s="34" t="s">
        <v>121</v>
      </c>
      <c r="C239" s="3" t="s">
        <v>221</v>
      </c>
      <c r="D239" s="36">
        <f>IF(OR('RPM &amp; Discounts'!$B$3='A0.Support'!$B$3,'RPM &amp; Discounts'!$B$3='A0.Support'!$B$4),D47,D47*D143)</f>
        <v>224647.13389702988</v>
      </c>
      <c r="E239" s="36">
        <f>IF(OR('RPM &amp; Discounts'!$B$3='A0.Support'!$B$3,'RPM &amp; Discounts'!$B$3='A0.Support'!$B$4),E47,E47*E143)</f>
        <v>222935.38296859112</v>
      </c>
      <c r="F239" s="36">
        <f>IF(OR('RPM &amp; Discounts'!$B$3='A0.Support'!$B$3,'RPM &amp; Discounts'!$B$3='A0.Support'!$B$4),F47,F47*F143)</f>
        <v>192512.92680215015</v>
      </c>
      <c r="G239" s="36">
        <f>IF(OR('RPM &amp; Discounts'!$B$3='A0.Support'!$B$3,'RPM &amp; Discounts'!$B$3='A0.Support'!$B$4),G47,G47*G143)</f>
        <v>232843.71876267184</v>
      </c>
      <c r="K239"/>
      <c r="L239"/>
      <c r="M239"/>
      <c r="N239"/>
      <c r="O239"/>
    </row>
    <row r="240" spans="2:15" ht="14.45" customHeight="1">
      <c r="B240" s="34" t="s">
        <v>123</v>
      </c>
      <c r="C240" s="3" t="s">
        <v>221</v>
      </c>
      <c r="D240" s="36">
        <f>IF(OR('RPM &amp; Discounts'!$B$3='A0.Support'!$B$3,'RPM &amp; Discounts'!$B$3='A0.Support'!$B$4),D48,D48*D144)</f>
        <v>638900.91829231777</v>
      </c>
      <c r="E240" s="36">
        <f>IF(OR('RPM &amp; Discounts'!$B$3='A0.Support'!$B$3,'RPM &amp; Discounts'!$B$3='A0.Support'!$B$4),E48,E48*E144)</f>
        <v>634032.66459552874</v>
      </c>
      <c r="F240" s="36">
        <f>IF(OR('RPM &amp; Discounts'!$B$3='A0.Support'!$B$3,'RPM &amp; Discounts'!$B$3='A0.Support'!$B$4),F48,F48*F144)</f>
        <v>547510.59398519958</v>
      </c>
      <c r="G240" s="36">
        <f>IF(OR('RPM &amp; Discounts'!$B$3='A0.Support'!$B$3,'RPM &amp; Discounts'!$B$3='A0.Support'!$B$4),G48,G48*G144)</f>
        <v>662212.1687261645</v>
      </c>
      <c r="K240"/>
      <c r="L240"/>
      <c r="M240"/>
      <c r="N240"/>
      <c r="O240"/>
    </row>
    <row r="241" spans="2:15" ht="14.45" customHeight="1">
      <c r="B241" s="34" t="s">
        <v>125</v>
      </c>
      <c r="C241" s="3" t="s">
        <v>221</v>
      </c>
      <c r="D241" s="36">
        <f>IF(OR('RPM &amp; Discounts'!$B$3='A0.Support'!$B$3,'RPM &amp; Discounts'!$B$3='A0.Support'!$B$4),D49,D49*D145)</f>
        <v>1330342.1666594301</v>
      </c>
      <c r="E241" s="36">
        <f>IF(OR('RPM &amp; Discounts'!$B$3='A0.Support'!$B$3,'RPM &amp; Discounts'!$B$3='A0.Support'!$B$4),E49,E49*E145)</f>
        <v>1320205.3160376707</v>
      </c>
      <c r="F241" s="36">
        <f>IF(OR('RPM &amp; Discounts'!$B$3='A0.Support'!$B$3,'RPM &amp; Discounts'!$B$3='A0.Support'!$B$4),F49,F49*F145)</f>
        <v>1140045.9899448855</v>
      </c>
      <c r="G241" s="36">
        <f>IF(OR('RPM &amp; Discounts'!$B$3='A0.Support'!$B$3,'RPM &amp; Discounts'!$B$3='A0.Support'!$B$4),G49,G49*G145)</f>
        <v>1378881.679628975</v>
      </c>
      <c r="K241"/>
      <c r="L241"/>
      <c r="M241"/>
      <c r="N241"/>
      <c r="O241"/>
    </row>
    <row r="242" spans="2:15" ht="14.45" customHeight="1">
      <c r="B242" s="34" t="s">
        <v>127</v>
      </c>
      <c r="C242" s="3" t="s">
        <v>221</v>
      </c>
      <c r="D242" s="36">
        <f>IF(OR('RPM &amp; Discounts'!$B$3='A0.Support'!$B$3,'RPM &amp; Discounts'!$B$3='A0.Support'!$B$4),D50,D50*D146)</f>
        <v>341981.15463766438</v>
      </c>
      <c r="E242" s="36">
        <f>IF(OR('RPM &amp; Discounts'!$B$3='A0.Support'!$B$3,'RPM &amp; Discounts'!$B$3='A0.Support'!$B$4),E50,E50*E146)</f>
        <v>339375.34993050131</v>
      </c>
      <c r="F242" s="36">
        <f>IF(OR('RPM &amp; Discounts'!$B$3='A0.Support'!$B$3,'RPM &amp; Discounts'!$B$3='A0.Support'!$B$4),F50,F50*F146)</f>
        <v>293063.13349473767</v>
      </c>
      <c r="G242" s="36">
        <f>IF(OR('RPM &amp; Discounts'!$B$3='A0.Support'!$B$3,'RPM &amp; Discounts'!$B$3='A0.Support'!$B$4),G50,G50*G146)</f>
        <v>354458.84579629131</v>
      </c>
      <c r="K242"/>
      <c r="L242"/>
      <c r="M242"/>
      <c r="N242"/>
      <c r="O242"/>
    </row>
    <row r="243" spans="2:15" ht="14.45" customHeight="1">
      <c r="B243" s="34" t="s">
        <v>129</v>
      </c>
      <c r="C243" s="3" t="s">
        <v>221</v>
      </c>
      <c r="D243" s="36">
        <f>IF(OR('RPM &amp; Discounts'!$B$3='A0.Support'!$B$3,'RPM &amp; Discounts'!$B$3='A0.Support'!$B$4),D51,D51*D147)</f>
        <v>1269093.6963094699</v>
      </c>
      <c r="E243" s="36">
        <f>IF(OR('RPM &amp; Discounts'!$B$3='A0.Support'!$B$3,'RPM &amp; Discounts'!$B$3='A0.Support'!$B$4),E51,E51*E147)</f>
        <v>1259423.5426099827</v>
      </c>
      <c r="F243" s="36">
        <f>IF(OR('RPM &amp; Discounts'!$B$3='A0.Support'!$B$3,'RPM &amp; Discounts'!$B$3='A0.Support'!$B$4),F51,F51*F147)</f>
        <v>1087558.6864806439</v>
      </c>
      <c r="G243" s="36">
        <f>IF(OR('RPM &amp; Discounts'!$B$3='A0.Support'!$B$3,'RPM &amp; Discounts'!$B$3='A0.Support'!$B$4),G51,G51*G147)</f>
        <v>1315398.4677249815</v>
      </c>
      <c r="K243"/>
      <c r="L243"/>
      <c r="M243"/>
      <c r="N243"/>
      <c r="O243"/>
    </row>
    <row r="244" spans="2:15" ht="14.45" customHeight="1">
      <c r="B244" s="34" t="s">
        <v>131</v>
      </c>
      <c r="C244" s="3" t="s">
        <v>221</v>
      </c>
      <c r="D244" s="36">
        <f>IF(OR('RPM &amp; Discounts'!$B$3='A0.Support'!$B$3,'RPM &amp; Discounts'!$B$3='A0.Support'!$B$4),D52,D52*D148)</f>
        <v>947879.86969386134</v>
      </c>
      <c r="E244" s="36">
        <f>IF(OR('RPM &amp; Discounts'!$B$3='A0.Support'!$B$3,'RPM &amp; Discounts'!$B$3='A0.Support'!$B$4),E52,E52*E148)</f>
        <v>940657.27923009603</v>
      </c>
      <c r="F244" s="36">
        <f>IF(OR('RPM &amp; Discounts'!$B$3='A0.Support'!$B$3,'RPM &amp; Discounts'!$B$3='A0.Support'!$B$4),F52,F52*F148)</f>
        <v>812292.25944742199</v>
      </c>
      <c r="G244" s="36">
        <f>IF(OR('RPM &amp; Discounts'!$B$3='A0.Support'!$B$3,'RPM &amp; Discounts'!$B$3='A0.Support'!$B$4),G52,G52*G148)</f>
        <v>982464.6768071386</v>
      </c>
      <c r="K244"/>
      <c r="L244"/>
      <c r="M244"/>
      <c r="N244"/>
      <c r="O244"/>
    </row>
    <row r="245" spans="2:15" ht="14.45" customHeight="1">
      <c r="B245" s="34" t="s">
        <v>132</v>
      </c>
      <c r="C245" s="3" t="s">
        <v>221</v>
      </c>
      <c r="D245" s="36">
        <f>IF(OR('RPM &amp; Discounts'!$B$3='A0.Support'!$B$3,'RPM &amp; Discounts'!$B$3='A0.Support'!$B$4),D53,D53*D149)</f>
        <v>30143.844531039373</v>
      </c>
      <c r="E245" s="36">
        <f>IF(OR('RPM &amp; Discounts'!$B$3='A0.Support'!$B$3,'RPM &amp; Discounts'!$B$3='A0.Support'!$B$4),E53,E53*E149)</f>
        <v>29914.156517808937</v>
      </c>
      <c r="F245" s="36">
        <f>IF(OR('RPM &amp; Discounts'!$B$3='A0.Support'!$B$3,'RPM &amp; Discounts'!$B$3='A0.Support'!$B$4),F53,F53*F149)</f>
        <v>25831.977622288734</v>
      </c>
      <c r="G245" s="36">
        <f>IF(OR('RPM &amp; Discounts'!$B$3='A0.Support'!$B$3,'RPM &amp; Discounts'!$B$3='A0.Support'!$B$4),G53,G53*G149)</f>
        <v>31243.687540782073</v>
      </c>
      <c r="K245"/>
      <c r="L245"/>
      <c r="M245"/>
      <c r="N245"/>
      <c r="O245"/>
    </row>
    <row r="246" spans="2:15" ht="14.45" customHeight="1">
      <c r="B246" s="34" t="s">
        <v>134</v>
      </c>
      <c r="C246" s="3" t="s">
        <v>221</v>
      </c>
      <c r="D246" s="36">
        <f>IF(OR('RPM &amp; Discounts'!$B$3='A0.Support'!$B$3,'RPM &amp; Discounts'!$B$3='A0.Support'!$B$4),D54,D54*D150)</f>
        <v>1274224.534209532</v>
      </c>
      <c r="E246" s="36">
        <f>IF(OR('RPM &amp; Discounts'!$B$3='A0.Support'!$B$3,'RPM &amp; Discounts'!$B$3='A0.Support'!$B$4),E54,E54*E150)</f>
        <v>1264515.2849009146</v>
      </c>
      <c r="F246" s="36">
        <f>IF(OR('RPM &amp; Discounts'!$B$3='A0.Support'!$B$3,'RPM &amp; Discounts'!$B$3='A0.Support'!$B$4),F54,F54*F150)</f>
        <v>1091955.5937723306</v>
      </c>
      <c r="G246" s="36">
        <f>IF(OR('RPM &amp; Discounts'!$B$3='A0.Support'!$B$3,'RPM &amp; Discounts'!$B$3='A0.Support'!$B$4),G54,G54*G150)</f>
        <v>1320716.5118784695</v>
      </c>
      <c r="K246"/>
      <c r="L246"/>
      <c r="M246"/>
      <c r="N246"/>
      <c r="O246"/>
    </row>
    <row r="247" spans="2:15" ht="14.45" customHeight="1">
      <c r="B247" s="34" t="s">
        <v>136</v>
      </c>
      <c r="C247" s="3" t="s">
        <v>221</v>
      </c>
      <c r="D247" s="36">
        <f>IF(OR('RPM &amp; Discounts'!$B$3='A0.Support'!$B$3,'RPM &amp; Discounts'!$B$3='A0.Support'!$B$4),D55,D55*D151)</f>
        <v>990237.81248632586</v>
      </c>
      <c r="E247" s="36">
        <f>IF(OR('RPM &amp; Discounts'!$B$3='A0.Support'!$B$3,'RPM &amp; Discounts'!$B$3='A0.Support'!$B$4),E55,E55*E151)</f>
        <v>982692.46585539309</v>
      </c>
      <c r="F247" s="36">
        <f>IF(OR('RPM &amp; Discounts'!$B$3='A0.Support'!$B$3,'RPM &amp; Discounts'!$B$3='A0.Support'!$B$4),F55,F55*F151)</f>
        <v>848591.19368636538</v>
      </c>
      <c r="G247" s="36">
        <f>IF(OR('RPM &amp; Discounts'!$B$3='A0.Support'!$B$3,'RPM &amp; Discounts'!$B$3='A0.Support'!$B$4),G55,G55*G151)</f>
        <v>1026368.1121541248</v>
      </c>
      <c r="K247"/>
      <c r="L247"/>
      <c r="M247"/>
      <c r="N247"/>
      <c r="O247"/>
    </row>
    <row r="248" spans="2:15" ht="14.45" customHeight="1">
      <c r="B248" s="34" t="s">
        <v>137</v>
      </c>
      <c r="C248" s="3" t="s">
        <v>221</v>
      </c>
      <c r="D248" s="36">
        <f>IF(OR('RPM &amp; Discounts'!$B$3='A0.Support'!$B$3,'RPM &amp; Discounts'!$B$3='A0.Support'!$B$4),D56,D56*D152)</f>
        <v>1636808.6345086605</v>
      </c>
      <c r="E248" s="36">
        <f>IF(OR('RPM &amp; Discounts'!$B$3='A0.Support'!$B$3,'RPM &amp; Discounts'!$B$3='A0.Support'!$B$4),E56,E56*E152)</f>
        <v>1624336.5915709524</v>
      </c>
      <c r="F248" s="36">
        <f>IF(OR('RPM &amp; Discounts'!$B$3='A0.Support'!$B$3,'RPM &amp; Discounts'!$B$3='A0.Support'!$B$4),F56,F56*F152)</f>
        <v>1402674.565119209</v>
      </c>
      <c r="G248" s="36">
        <f>IF(OR('RPM &amp; Discounts'!$B$3='A0.Support'!$B$3,'RPM &amp; Discounts'!$B$3='A0.Support'!$B$4),G56,G56*G152)</f>
        <v>1696530.032457656</v>
      </c>
      <c r="K248"/>
      <c r="L248"/>
      <c r="M248"/>
      <c r="N248"/>
      <c r="O248"/>
    </row>
    <row r="249" spans="2:15" ht="14.45" customHeight="1">
      <c r="B249" s="34" t="s">
        <v>139</v>
      </c>
      <c r="C249" s="3" t="s">
        <v>221</v>
      </c>
      <c r="D249" s="36">
        <f>IF(OR('RPM &amp; Discounts'!$B$3='A0.Support'!$B$3,'RPM &amp; Discounts'!$B$3='A0.Support'!$B$4),D57,D57*D153)</f>
        <v>369608.39078020526</v>
      </c>
      <c r="E249" s="36">
        <f>IF(OR('RPM &amp; Discounts'!$B$3='A0.Support'!$B$3,'RPM &amp; Discounts'!$B$3='A0.Support'!$B$4),E57,E57*E153)</f>
        <v>366792.07394098502</v>
      </c>
      <c r="F249" s="36">
        <f>IF(OR('RPM &amp; Discounts'!$B$3='A0.Support'!$B$3,'RPM &amp; Discounts'!$B$3='A0.Support'!$B$4),F57,F57*F153)</f>
        <v>316738.4860220151</v>
      </c>
      <c r="G249" s="36">
        <f>IF(OR('RPM &amp; Discounts'!$B$3='A0.Support'!$B$3,'RPM &amp; Discounts'!$B$3='A0.Support'!$B$4),G57,G57*G153)</f>
        <v>383094.10274781013</v>
      </c>
      <c r="K249"/>
      <c r="L249"/>
      <c r="M249"/>
      <c r="N249"/>
      <c r="O249"/>
    </row>
    <row r="250" spans="2:15" ht="14.45" customHeight="1">
      <c r="B250" s="34" t="s">
        <v>141</v>
      </c>
      <c r="C250" s="3" t="s">
        <v>221</v>
      </c>
      <c r="D250" s="36">
        <f>IF(OR('RPM &amp; Discounts'!$B$3='A0.Support'!$B$3,'RPM &amp; Discounts'!$B$3='A0.Support'!$B$4),D58,D58*D154)</f>
        <v>797360.93075124396</v>
      </c>
      <c r="E250" s="36">
        <f>IF(OR('RPM &amp; Discounts'!$B$3='A0.Support'!$B$3,'RPM &amp; Discounts'!$B$3='A0.Support'!$B$4),E58,E58*E154)</f>
        <v>791285.25424544048</v>
      </c>
      <c r="F250" s="36">
        <f>IF(OR('RPM &amp; Discounts'!$B$3='A0.Support'!$B$3,'RPM &amp; Discounts'!$B$3='A0.Support'!$B$4),F58,F58*F154)</f>
        <v>683304.00585911074</v>
      </c>
      <c r="G250" s="36">
        <f>IF(OR('RPM &amp; Discounts'!$B$3='A0.Support'!$B$3,'RPM &amp; Discounts'!$B$3='A0.Support'!$B$4),G58,G58*G154)</f>
        <v>826453.83046500362</v>
      </c>
      <c r="K250"/>
      <c r="L250"/>
      <c r="M250"/>
      <c r="N250"/>
      <c r="O250"/>
    </row>
    <row r="251" spans="2:15" ht="14.45" customHeight="1">
      <c r="B251" s="34" t="s">
        <v>143</v>
      </c>
      <c r="C251" s="3" t="s">
        <v>221</v>
      </c>
      <c r="D251" s="36">
        <f>IF(OR('RPM &amp; Discounts'!$B$3='A0.Support'!$B$3,'RPM &amp; Discounts'!$B$3='A0.Support'!$B$4),D59,D59*D155)</f>
        <v>698325.44718958042</v>
      </c>
      <c r="E251" s="36">
        <f>IF(OR('RPM &amp; Discounts'!$B$3='A0.Support'!$B$3,'RPM &amp; Discounts'!$B$3='A0.Support'!$B$4),E59,E59*E155)</f>
        <v>693004.39451535803</v>
      </c>
      <c r="F251" s="36">
        <f>IF(OR('RPM &amp; Discounts'!$B$3='A0.Support'!$B$3,'RPM &amp; Discounts'!$B$3='A0.Support'!$B$4),F59,F59*F155)</f>
        <v>598434.85811177711</v>
      </c>
      <c r="G251" s="36">
        <f>IF(OR('RPM &amp; Discounts'!$B$3='A0.Support'!$B$3,'RPM &amp; Discounts'!$B$3='A0.Support'!$B$4),G59,G59*G155)</f>
        <v>723804.88996026095</v>
      </c>
      <c r="K251"/>
      <c r="L251"/>
      <c r="M251"/>
      <c r="N251"/>
      <c r="O251"/>
    </row>
    <row r="252" spans="2:15" ht="14.45" customHeight="1">
      <c r="B252" s="34" t="s">
        <v>145</v>
      </c>
      <c r="C252" s="3" t="s">
        <v>221</v>
      </c>
      <c r="D252" s="36">
        <f>IF(OR('RPM &amp; Discounts'!$B$3='A0.Support'!$B$3,'RPM &amp; Discounts'!$B$3='A0.Support'!$B$4),D60,D60*D156)</f>
        <v>18579101.356061917</v>
      </c>
      <c r="E252" s="36">
        <f>IF(OR('RPM &amp; Discounts'!$B$3='A0.Support'!$B$3,'RPM &amp; Discounts'!$B$3='A0.Support'!$B$4),E60,E60*E156)</f>
        <v>18437533.585113302</v>
      </c>
      <c r="F252" s="36">
        <f>IF(OR('RPM &amp; Discounts'!$B$3='A0.Support'!$B$3,'RPM &amp; Discounts'!$B$3='A0.Support'!$B$4),F60,F60*F156)</f>
        <v>15921490.371867882</v>
      </c>
      <c r="G252" s="36">
        <f>IF(OR('RPM &amp; Discounts'!$B$3='A0.Support'!$B$3,'RPM &amp; Discounts'!$B$3='A0.Support'!$B$4),G60,G60*G156)</f>
        <v>19256987.507336508</v>
      </c>
      <c r="K252"/>
      <c r="L252"/>
      <c r="M252"/>
      <c r="N252"/>
      <c r="O252"/>
    </row>
    <row r="253" spans="2:15" ht="14.45" customHeight="1">
      <c r="B253" s="34" t="s">
        <v>147</v>
      </c>
      <c r="C253" s="3" t="s">
        <v>221</v>
      </c>
      <c r="D253" s="36">
        <f>IF(OR('RPM &amp; Discounts'!$B$3='A0.Support'!$B$3,'RPM &amp; Discounts'!$B$3='A0.Support'!$B$4),D61,D61*D157)</f>
        <v>2283426.662989567</v>
      </c>
      <c r="E253" s="36">
        <f>IF(OR('RPM &amp; Discounts'!$B$3='A0.Support'!$B$3,'RPM &amp; Discounts'!$B$3='A0.Support'!$B$4),E61,E61*E157)</f>
        <v>2266027.5640445263</v>
      </c>
      <c r="F253" s="36">
        <f>IF(OR('RPM &amp; Discounts'!$B$3='A0.Support'!$B$3,'RPM &amp; Discounts'!$B$3='A0.Support'!$B$4),F61,F61*F157)</f>
        <v>1956798.3904556746</v>
      </c>
      <c r="G253" s="36">
        <f>IF(OR('RPM &amp; Discounts'!$B$3='A0.Support'!$B$3,'RPM &amp; Discounts'!$B$3='A0.Support'!$B$4),G61,G61*G157)</f>
        <v>2366740.8816176243</v>
      </c>
      <c r="K253"/>
      <c r="L253"/>
      <c r="M253"/>
      <c r="N253"/>
      <c r="O253"/>
    </row>
    <row r="254" spans="2:15" ht="14.45" customHeight="1">
      <c r="B254" s="34" t="s">
        <v>149</v>
      </c>
      <c r="C254" s="3" t="s">
        <v>221</v>
      </c>
      <c r="D254" s="36">
        <f>IF(OR('RPM &amp; Discounts'!$B$3='A0.Support'!$B$3,'RPM &amp; Discounts'!$B$3='A0.Support'!$B$4),D62,D62*D158)</f>
        <v>1945380.6020732003</v>
      </c>
      <c r="E254" s="36">
        <f>IF(OR('RPM &amp; Discounts'!$B$3='A0.Support'!$B$3,'RPM &amp; Discounts'!$B$3='A0.Support'!$B$4),E62,E62*E158)</f>
        <v>1930557.3234762345</v>
      </c>
      <c r="F254" s="36">
        <f>IF(OR('RPM &amp; Discounts'!$B$3='A0.Support'!$B$3,'RPM &amp; Discounts'!$B$3='A0.Support'!$B$4),F62,F62*F158)</f>
        <v>1667107.4629463248</v>
      </c>
      <c r="G254" s="36">
        <f>IF(OR('RPM &amp; Discounts'!$B$3='A0.Support'!$B$3,'RPM &amp; Discounts'!$B$3='A0.Support'!$B$4),G62,G62*G158)</f>
        <v>2016360.7072909037</v>
      </c>
      <c r="K254"/>
      <c r="L254"/>
      <c r="M254"/>
      <c r="N254"/>
      <c r="O254"/>
    </row>
    <row r="255" spans="2:15" ht="14.45" customHeight="1">
      <c r="B255" s="34" t="s">
        <v>151</v>
      </c>
      <c r="C255" s="3" t="s">
        <v>221</v>
      </c>
      <c r="D255" s="36">
        <f>IF(OR('RPM &amp; Discounts'!$B$3='A0.Support'!$B$3,'RPM &amp; Discounts'!$B$3='A0.Support'!$B$4),D63,D63*D159)</f>
        <v>5473803.2100593867</v>
      </c>
      <c r="E255" s="36">
        <f>IF(OR('RPM &amp; Discounts'!$B$3='A0.Support'!$B$3,'RPM &amp; Discounts'!$B$3='A0.Support'!$B$4),E63,E63*E159)</f>
        <v>5432094.2972218646</v>
      </c>
      <c r="F255" s="36">
        <f>IF(OR('RPM &amp; Discounts'!$B$3='A0.Support'!$B$3,'RPM &amp; Discounts'!$B$3='A0.Support'!$B$4),F63,F63*F159)</f>
        <v>4690813.8039746853</v>
      </c>
      <c r="G255" s="36">
        <f>IF(OR('RPM &amp; Discounts'!$B$3='A0.Support'!$B$3,'RPM &amp; Discounts'!$B$3='A0.Support'!$B$4),G63,G63*G159)</f>
        <v>5673523.0630161585</v>
      </c>
      <c r="K255"/>
      <c r="L255"/>
      <c r="M255"/>
      <c r="N255"/>
      <c r="O255"/>
    </row>
    <row r="256" spans="2:15" ht="14.45" customHeight="1">
      <c r="B256" s="34" t="s">
        <v>153</v>
      </c>
      <c r="C256" s="3" t="s">
        <v>221</v>
      </c>
      <c r="D256" s="36">
        <f>IF(OR('RPM &amp; Discounts'!$B$3='A0.Support'!$B$3,'RPM &amp; Discounts'!$B$3='A0.Support'!$B$4),D64,D64*D160)</f>
        <v>3806542.4377077217</v>
      </c>
      <c r="E256" s="36">
        <f>IF(OR('RPM &amp; Discounts'!$B$3='A0.Support'!$B$3,'RPM &amp; Discounts'!$B$3='A0.Support'!$B$4),E64,E64*E160)</f>
        <v>3777537.6049335171</v>
      </c>
      <c r="F256" s="36">
        <f>IF(OR('RPM &amp; Discounts'!$B$3='A0.Support'!$B$3,'RPM &amp; Discounts'!$B$3='A0.Support'!$B$4),F64,F64*F160)</f>
        <v>3262043.067131218</v>
      </c>
      <c r="G256" s="36">
        <f>IF(OR('RPM &amp; Discounts'!$B$3='A0.Support'!$B$3,'RPM &amp; Discounts'!$B$3='A0.Support'!$B$4),G64,G64*G160)</f>
        <v>3945429.801165652</v>
      </c>
      <c r="K256"/>
      <c r="L256"/>
      <c r="M256"/>
      <c r="N256"/>
      <c r="O256"/>
    </row>
    <row r="257" spans="2:15" ht="14.45" customHeight="1">
      <c r="B257" s="34" t="s">
        <v>155</v>
      </c>
      <c r="C257" s="3" t="s">
        <v>221</v>
      </c>
      <c r="D257" s="36">
        <f>IF(OR('RPM &amp; Discounts'!$B$3='A0.Support'!$B$3,'RPM &amp; Discounts'!$B$3='A0.Support'!$B$4),D65,D65*D161)</f>
        <v>3500058.2483400628</v>
      </c>
      <c r="E257" s="36">
        <f>IF(OR('RPM &amp; Discounts'!$B$3='A0.Support'!$B$3,'RPM &amp; Discounts'!$B$3='A0.Support'!$B$4),E65,E65*E161)</f>
        <v>3473388.7429150254</v>
      </c>
      <c r="F257" s="36">
        <f>IF(OR('RPM &amp; Discounts'!$B$3='A0.Support'!$B$3,'RPM &amp; Discounts'!$B$3='A0.Support'!$B$4),F65,F65*F161)</f>
        <v>2999399.3053781884</v>
      </c>
      <c r="G257" s="36">
        <f>IF(OR('RPM &amp; Discounts'!$B$3='A0.Support'!$B$3,'RPM &amp; Discounts'!$B$3='A0.Support'!$B$4),G65,G65*G161)</f>
        <v>3627763.0802225797</v>
      </c>
      <c r="K257"/>
      <c r="L257"/>
      <c r="M257"/>
      <c r="N257"/>
      <c r="O257"/>
    </row>
    <row r="258" spans="2:15" ht="14.45" customHeight="1">
      <c r="B258" s="34" t="s">
        <v>157</v>
      </c>
      <c r="C258" s="3" t="s">
        <v>221</v>
      </c>
      <c r="D258" s="36">
        <f>IF(OR('RPM &amp; Discounts'!$B$3='A0.Support'!$B$3,'RPM &amp; Discounts'!$B$3='A0.Support'!$B$4),D66,D66*D162)</f>
        <v>439099.35323146195</v>
      </c>
      <c r="E258" s="36">
        <f>IF(OR('RPM &amp; Discounts'!$B$3='A0.Support'!$B$3,'RPM &amp; Discounts'!$B$3='A0.Support'!$B$4),E66,E66*E162)</f>
        <v>435753.5338901151</v>
      </c>
      <c r="F258" s="36">
        <f>IF(OR('RPM &amp; Discounts'!$B$3='A0.Support'!$B$3,'RPM &amp; Discounts'!$B$3='A0.Support'!$B$4),F66,F66*F162)</f>
        <v>376289.25052863779</v>
      </c>
      <c r="G258" s="36">
        <f>IF(OR('RPM &amp; Discounts'!$B$3='A0.Support'!$B$3,'RPM &amp; Discounts'!$B$3='A0.Support'!$B$4),G66,G66*G162)</f>
        <v>455120.54633895948</v>
      </c>
      <c r="K258"/>
      <c r="L258"/>
      <c r="M258"/>
      <c r="N258"/>
      <c r="O258"/>
    </row>
    <row r="259" spans="2:15" ht="14.45" customHeight="1">
      <c r="B259" s="34" t="s">
        <v>159</v>
      </c>
      <c r="C259" s="3" t="s">
        <v>221</v>
      </c>
      <c r="D259" s="36">
        <f>IF(OR('RPM &amp; Discounts'!$B$3='A0.Support'!$B$3,'RPM &amp; Discounts'!$B$3='A0.Support'!$B$4),D67,D67*D163)</f>
        <v>1877149.7006908651</v>
      </c>
      <c r="E259" s="36">
        <f>IF(OR('RPM &amp; Discounts'!$B$3='A0.Support'!$B$3,'RPM &amp; Discounts'!$B$3='A0.Support'!$B$4),E67,E67*E163)</f>
        <v>1862846.3232685251</v>
      </c>
      <c r="F259" s="36">
        <f>IF(OR('RPM &amp; Discounts'!$B$3='A0.Support'!$B$3,'RPM &amp; Discounts'!$B$3='A0.Support'!$B$4),F67,F67*F163)</f>
        <v>1608636.5165532005</v>
      </c>
      <c r="G259" s="36">
        <f>IF(OR('RPM &amp; Discounts'!$B$3='A0.Support'!$B$3,'RPM &amp; Discounts'!$B$3='A0.Support'!$B$4),G67,G67*G163)</f>
        <v>1945640.2999712438</v>
      </c>
      <c r="K259"/>
      <c r="L259"/>
      <c r="M259"/>
      <c r="N259"/>
      <c r="O259"/>
    </row>
    <row r="260" spans="2:15" ht="14.45" customHeight="1">
      <c r="B260" s="34" t="s">
        <v>161</v>
      </c>
      <c r="C260" s="3" t="s">
        <v>221</v>
      </c>
      <c r="D260" s="36">
        <f>IF(OR('RPM &amp; Discounts'!$B$3='A0.Support'!$B$3,'RPM &amp; Discounts'!$B$3='A0.Support'!$B$4),D68,D68*D164)</f>
        <v>2520582.8973211651</v>
      </c>
      <c r="E260" s="36">
        <f>IF(OR('RPM &amp; Discounts'!$B$3='A0.Support'!$B$3,'RPM &amp; Discounts'!$B$3='A0.Support'!$B$4),E68,E68*E164)</f>
        <v>2501376.7314562849</v>
      </c>
      <c r="F260" s="36">
        <f>IF(OR('RPM &amp; Discounts'!$B$3='A0.Support'!$B$3,'RPM &amp; Discounts'!$B$3='A0.Support'!$B$4),F68,F68*F164)</f>
        <v>2160031.0780424182</v>
      </c>
      <c r="G260" s="36">
        <f>IF(OR('RPM &amp; Discounts'!$B$3='A0.Support'!$B$3,'RPM &amp; Discounts'!$B$3='A0.Support'!$B$4),G68,G68*G164)</f>
        <v>2612550.113952776</v>
      </c>
      <c r="K260"/>
      <c r="L260"/>
      <c r="M260"/>
      <c r="N260"/>
      <c r="O260"/>
    </row>
    <row r="261" spans="2:15" ht="14.45" customHeight="1">
      <c r="B261" s="34" t="s">
        <v>163</v>
      </c>
      <c r="C261" s="3" t="s">
        <v>221</v>
      </c>
      <c r="D261" s="36">
        <f>IF(OR('RPM &amp; Discounts'!$B$3='A0.Support'!$B$3,'RPM &amp; Discounts'!$B$3='A0.Support'!$B$4),D69,D69*D165)</f>
        <v>26627.956383591711</v>
      </c>
      <c r="E261" s="36">
        <f>IF(OR('RPM &amp; Discounts'!$B$3='A0.Support'!$B$3,'RPM &amp; Discounts'!$B$3='A0.Support'!$B$4),E69,E69*E165)</f>
        <v>26425.058495373236</v>
      </c>
      <c r="F261" s="36">
        <f>IF(OR('RPM &amp; Discounts'!$B$3='A0.Support'!$B$3,'RPM &amp; Discounts'!$B$3='A0.Support'!$B$4),F69,F69*F165)</f>
        <v>22819.012774562772</v>
      </c>
      <c r="G261" s="36">
        <f>IF(OR('RPM &amp; Discounts'!$B$3='A0.Support'!$B$3,'RPM &amp; Discounts'!$B$3='A0.Support'!$B$4),G69,G69*G165)</f>
        <v>27599.516984034377</v>
      </c>
      <c r="K261"/>
      <c r="L261"/>
      <c r="M261"/>
      <c r="N261"/>
      <c r="O261"/>
    </row>
    <row r="262" spans="2:15" ht="14.45" customHeight="1">
      <c r="B262" s="34" t="s">
        <v>165</v>
      </c>
      <c r="C262" s="3" t="s">
        <v>221</v>
      </c>
      <c r="D262" s="36">
        <f>IF(OR('RPM &amp; Discounts'!$B$3='A0.Support'!$B$3,'RPM &amp; Discounts'!$B$3='A0.Support'!$B$4),D70,D70*D166)</f>
        <v>90254.012865416109</v>
      </c>
      <c r="E262" s="36">
        <f>IF(OR('RPM &amp; Discounts'!$B$3='A0.Support'!$B$3,'RPM &amp; Discounts'!$B$3='A0.Support'!$B$4),E70,E70*E166)</f>
        <v>89566.301486073455</v>
      </c>
      <c r="F262" s="36">
        <f>IF(OR('RPM &amp; Discounts'!$B$3='A0.Support'!$B$3,'RPM &amp; Discounts'!$B$3='A0.Support'!$B$4),F70,F70*F166)</f>
        <v>77343.805242243907</v>
      </c>
      <c r="G262" s="36">
        <f>IF(OR('RPM &amp; Discounts'!$B$3='A0.Support'!$B$3,'RPM &amp; Discounts'!$B$3='A0.Support'!$B$4),G70,G70*G166)</f>
        <v>93547.064786813906</v>
      </c>
      <c r="K262"/>
      <c r="L262"/>
      <c r="M262"/>
      <c r="N262"/>
      <c r="O262"/>
    </row>
    <row r="263" spans="2:15" ht="14.45" customHeight="1">
      <c r="B263" s="34" t="s">
        <v>167</v>
      </c>
      <c r="C263" s="3" t="s">
        <v>221</v>
      </c>
      <c r="D263" s="36">
        <f>IF(OR('RPM &amp; Discounts'!$B$3='A0.Support'!$B$3,'RPM &amp; Discounts'!$B$3='A0.Support'!$B$4),D71,D71*D167)</f>
        <v>81159.971249307797</v>
      </c>
      <c r="E263" s="36">
        <f>IF(OR('RPM &amp; Discounts'!$B$3='A0.Support'!$B$3,'RPM &amp; Discounts'!$B$3='A0.Support'!$B$4),E71,E71*E167)</f>
        <v>80541.554028807019</v>
      </c>
      <c r="F263" s="36">
        <f>IF(OR('RPM &amp; Discounts'!$B$3='A0.Support'!$B$3,'RPM &amp; Discounts'!$B$3='A0.Support'!$B$4),F71,F71*F167)</f>
        <v>69550.602909290785</v>
      </c>
      <c r="G263" s="36">
        <f>IF(OR('RPM &amp; Discounts'!$B$3='A0.Support'!$B$3,'RPM &amp; Discounts'!$B$3='A0.Support'!$B$4),G71,G71*G167)</f>
        <v>84121.213534032111</v>
      </c>
      <c r="K263"/>
      <c r="L263"/>
      <c r="M263"/>
      <c r="N263"/>
      <c r="O263"/>
    </row>
    <row r="264" spans="2:15" ht="14.45" customHeight="1">
      <c r="B264" s="34" t="s">
        <v>169</v>
      </c>
      <c r="C264" s="3" t="s">
        <v>221</v>
      </c>
      <c r="D264" s="36">
        <f>IF(OR('RPM &amp; Discounts'!$B$3='A0.Support'!$B$3,'RPM &amp; Discounts'!$B$3='A0.Support'!$B$4),D72,D72*D168)</f>
        <v>28378.872958628541</v>
      </c>
      <c r="E264" s="36">
        <f>IF(OR('RPM &amp; Discounts'!$B$3='A0.Support'!$B$3,'RPM &amp; Discounts'!$B$3='A0.Support'!$B$4),E72,E72*E168)</f>
        <v>28162.633555559885</v>
      </c>
      <c r="F264" s="36">
        <f>IF(OR('RPM &amp; Discounts'!$B$3='A0.Support'!$B$3,'RPM &amp; Discounts'!$B$3='A0.Support'!$B$4),F72,F72*F168)</f>
        <v>24319.472934456193</v>
      </c>
      <c r="G264" s="36">
        <f>IF(OR('RPM &amp; Discounts'!$B$3='A0.Support'!$B$3,'RPM &amp; Discounts'!$B$3='A0.Support'!$B$4),G72,G72*G168)</f>
        <v>29414.318354977513</v>
      </c>
      <c r="K264"/>
      <c r="L264"/>
      <c r="M264"/>
      <c r="N264"/>
      <c r="O264"/>
    </row>
    <row r="265" spans="2:15" ht="14.45" customHeight="1">
      <c r="B265" s="34" t="s">
        <v>171</v>
      </c>
      <c r="C265" s="3" t="s">
        <v>221</v>
      </c>
      <c r="D265" s="36">
        <f>IF(OR('RPM &amp; Discounts'!$B$3='A0.Support'!$B$3,'RPM &amp; Discounts'!$B$3='A0.Support'!$B$4),D73,D73*D169)</f>
        <v>100294.93354374223</v>
      </c>
      <c r="E265" s="36">
        <f>IF(OR('RPM &amp; Discounts'!$B$3='A0.Support'!$B$3,'RPM &amp; Discounts'!$B$3='A0.Support'!$B$4),E73,E73*E169)</f>
        <v>99530.71304097856</v>
      </c>
      <c r="F265" s="36">
        <f>IF(OR('RPM &amp; Discounts'!$B$3='A0.Support'!$B$3,'RPM &amp; Discounts'!$B$3='A0.Support'!$B$4),F73,F73*F169)</f>
        <v>85948.442185703927</v>
      </c>
      <c r="G265" s="36">
        <f>IF(OR('RPM &amp; Discounts'!$B$3='A0.Support'!$B$3,'RPM &amp; Discounts'!$B$3='A0.Support'!$B$4),G73,G73*G169)</f>
        <v>103954.34339297721</v>
      </c>
      <c r="K265"/>
      <c r="L265"/>
      <c r="M265"/>
      <c r="N265"/>
      <c r="O265"/>
    </row>
    <row r="266" spans="2:15" ht="14.45" customHeight="1">
      <c r="B266" s="34" t="s">
        <v>173</v>
      </c>
      <c r="C266" s="3" t="s">
        <v>221</v>
      </c>
      <c r="D266" s="36">
        <f>IF(OR('RPM &amp; Discounts'!$B$3='A0.Support'!$B$3,'RPM &amp; Discounts'!$B$3='A0.Support'!$B$4),D74,D74*D170)</f>
        <v>14513321.824832913</v>
      </c>
      <c r="E266" s="36">
        <f>IF(OR('RPM &amp; Discounts'!$B$3='A0.Support'!$B$3,'RPM &amp; Discounts'!$B$3='A0.Support'!$B$4),E74,E74*E170)</f>
        <v>14402734.203805102</v>
      </c>
      <c r="F266" s="36">
        <f>IF(OR('RPM &amp; Discounts'!$B$3='A0.Support'!$B$3,'RPM &amp; Discounts'!$B$3='A0.Support'!$B$4),F74,F74*F170)</f>
        <v>12437292.271001223</v>
      </c>
      <c r="G266" s="36">
        <f>IF(OR('RPM &amp; Discounts'!$B$3='A0.Support'!$B$3,'RPM &amp; Discounts'!$B$3='A0.Support'!$B$4),G74,G74*G170)</f>
        <v>15042861.961650966</v>
      </c>
      <c r="K266"/>
      <c r="L266"/>
      <c r="M266"/>
      <c r="N266"/>
      <c r="O266"/>
    </row>
    <row r="267" spans="2:15" ht="14.45" customHeight="1">
      <c r="B267" s="34" t="s">
        <v>175</v>
      </c>
      <c r="C267" s="3" t="s">
        <v>221</v>
      </c>
      <c r="D267" s="36">
        <f>IF(OR('RPM &amp; Discounts'!$B$3='A0.Support'!$B$3,'RPM &amp; Discounts'!$B$3='A0.Support'!$B$4),D75,D75*D171)</f>
        <v>229750.16734576516</v>
      </c>
      <c r="E267" s="36">
        <f>IF(OR('RPM &amp; Discounts'!$B$3='A0.Support'!$B$3,'RPM &amp; Discounts'!$B$3='A0.Support'!$B$4),E75,E75*E171)</f>
        <v>227999.53267066026</v>
      </c>
      <c r="F267" s="36">
        <f>IF(OR('RPM &amp; Discounts'!$B$3='A0.Support'!$B$3,'RPM &amp; Discounts'!$B$3='A0.Support'!$B$4),F75,F75*F171)</f>
        <v>196886.00687552243</v>
      </c>
      <c r="G267" s="36">
        <f>IF(OR('RPM &amp; Discounts'!$B$3='A0.Support'!$B$3,'RPM &amp; Discounts'!$B$3='A0.Support'!$B$4),G75,G75*G171)</f>
        <v>238132.94397806434</v>
      </c>
      <c r="K267"/>
      <c r="L267"/>
      <c r="M267"/>
      <c r="N267"/>
      <c r="O267"/>
    </row>
    <row r="268" spans="2:15" ht="14.45" customHeight="1">
      <c r="B268" s="34" t="s">
        <v>177</v>
      </c>
      <c r="C268" s="3" t="s">
        <v>221</v>
      </c>
      <c r="D268" s="36">
        <f>IF(OR('RPM &amp; Discounts'!$B$3='A0.Support'!$B$3,'RPM &amp; Discounts'!$B$3='A0.Support'!$B$4),D76,D76*D172)</f>
        <v>1241390.5326267674</v>
      </c>
      <c r="E268" s="36">
        <f>IF(OR('RPM &amp; Discounts'!$B$3='A0.Support'!$B$3,'RPM &amp; Discounts'!$B$3='A0.Support'!$B$4),E76,E76*E172)</f>
        <v>1231931.4696068361</v>
      </c>
      <c r="F268" s="36">
        <f>IF(OR('RPM &amp; Discounts'!$B$3='A0.Support'!$B$3,'RPM &amp; Discounts'!$B$3='A0.Support'!$B$4),F76,F76*F172)</f>
        <v>1063818.2673187389</v>
      </c>
      <c r="G268" s="36">
        <f>IF(OR('RPM &amp; Discounts'!$B$3='A0.Support'!$B$3,'RPM &amp; Discounts'!$B$3='A0.Support'!$B$4),G76,G76*G172)</f>
        <v>1286684.5129040484</v>
      </c>
      <c r="K268"/>
      <c r="L268"/>
      <c r="M268"/>
      <c r="N268"/>
      <c r="O268"/>
    </row>
    <row r="269" spans="2:15" ht="14.45" customHeight="1">
      <c r="B269" s="34" t="s">
        <v>179</v>
      </c>
      <c r="C269" s="3" t="s">
        <v>221</v>
      </c>
      <c r="D269" s="36">
        <f>IF(OR('RPM &amp; Discounts'!$B$3='A0.Support'!$B$3,'RPM &amp; Discounts'!$B$3='A0.Support'!$B$4),D77,D77*D173)</f>
        <v>247091.74252961957</v>
      </c>
      <c r="E269" s="36">
        <f>IF(OR('RPM &amp; Discounts'!$B$3='A0.Support'!$B$3,'RPM &amp; Discounts'!$B$3='A0.Support'!$B$4),E77,E77*E173)</f>
        <v>245208.96970119569</v>
      </c>
      <c r="F269" s="36">
        <f>IF(OR('RPM &amp; Discounts'!$B$3='A0.Support'!$B$3,'RPM &amp; Discounts'!$B$3='A0.Support'!$B$4),F77,F77*F173)</f>
        <v>211746.99057066091</v>
      </c>
      <c r="G269" s="36">
        <f>IF(OR('RPM &amp; Discounts'!$B$3='A0.Support'!$B$3,'RPM &amp; Discounts'!$B$3='A0.Support'!$B$4),G77,G77*G173)</f>
        <v>256107.25232985461</v>
      </c>
      <c r="K269"/>
      <c r="L269"/>
      <c r="M269"/>
      <c r="N269"/>
      <c r="O269"/>
    </row>
    <row r="270" spans="2:15" ht="14.45" customHeight="1">
      <c r="B270" s="34" t="s">
        <v>181</v>
      </c>
      <c r="C270" s="3" t="s">
        <v>221</v>
      </c>
      <c r="D270" s="36">
        <f>IF(OR('RPM &amp; Discounts'!$B$3='A0.Support'!$B$3,'RPM &amp; Discounts'!$B$3='A0.Support'!$B$4),D78,D78*D174)</f>
        <v>707874.90127494838</v>
      </c>
      <c r="E270" s="36">
        <f>IF(OR('RPM &amp; Discounts'!$B$3='A0.Support'!$B$3,'RPM &amp; Discounts'!$B$3='A0.Support'!$B$4),E78,E78*E174)</f>
        <v>702481.08432097244</v>
      </c>
      <c r="F270" s="36">
        <f>IF(OR('RPM &amp; Discounts'!$B$3='A0.Support'!$B$3,'RPM &amp; Discounts'!$B$3='A0.Support'!$B$4),F78,F78*F174)</f>
        <v>606618.32933371386</v>
      </c>
      <c r="G270" s="36">
        <f>IF(OR('RPM &amp; Discounts'!$B$3='A0.Support'!$B$3,'RPM &amp; Discounts'!$B$3='A0.Support'!$B$4),G78,G78*G174)</f>
        <v>733702.77008371556</v>
      </c>
      <c r="K270"/>
      <c r="L270"/>
      <c r="M270"/>
      <c r="N270"/>
      <c r="O270"/>
    </row>
    <row r="271" spans="2:15" ht="14.45" customHeight="1">
      <c r="B271" s="34" t="s">
        <v>183</v>
      </c>
      <c r="C271" s="3" t="s">
        <v>221</v>
      </c>
      <c r="D271" s="36">
        <f>IF(OR('RPM &amp; Discounts'!$B$3='A0.Support'!$B$3,'RPM &amp; Discounts'!$B$3='A0.Support'!$B$4),D79,D79*D175)</f>
        <v>215530.02375262292</v>
      </c>
      <c r="E271" s="36">
        <f>IF(OR('RPM &amp; Discounts'!$B$3='A0.Support'!$B$3,'RPM &amp; Discounts'!$B$3='A0.Support'!$B$4),E79,E79*E175)</f>
        <v>213887.74275902656</v>
      </c>
      <c r="F271" s="36">
        <f>IF(OR('RPM &amp; Discounts'!$B$3='A0.Support'!$B$3,'RPM &amp; Discounts'!$B$3='A0.Support'!$B$4),F79,F79*F175)</f>
        <v>184699.955733123</v>
      </c>
      <c r="G271" s="36">
        <f>IF(OR('RPM &amp; Discounts'!$B$3='A0.Support'!$B$3,'RPM &amp; Discounts'!$B$3='A0.Support'!$B$4),G79,G79*G175)</f>
        <v>223393.95729201965</v>
      </c>
      <c r="K271"/>
      <c r="L271"/>
      <c r="M271"/>
      <c r="N271"/>
      <c r="O271"/>
    </row>
    <row r="272" spans="2:15" ht="14.45" customHeight="1">
      <c r="B272" s="34" t="s">
        <v>185</v>
      </c>
      <c r="C272" s="3" t="s">
        <v>221</v>
      </c>
      <c r="D272" s="36">
        <f>IF(OR('RPM &amp; Discounts'!$B$3='A0.Support'!$B$3,'RPM &amp; Discounts'!$B$3='A0.Support'!$B$4),D80,D80*D176)</f>
        <v>818449.53768066398</v>
      </c>
      <c r="E272" s="36">
        <f>IF(OR('RPM &amp; Discounts'!$B$3='A0.Support'!$B$3,'RPM &amp; Discounts'!$B$3='A0.Support'!$B$4),E80,E80*E176)</f>
        <v>812213.1716442859</v>
      </c>
      <c r="F272" s="36">
        <f>IF(OR('RPM &amp; Discounts'!$B$3='A0.Support'!$B$3,'RPM &amp; Discounts'!$B$3='A0.Support'!$B$4),F80,F80*F176)</f>
        <v>701376.03451906086</v>
      </c>
      <c r="G272" s="36">
        <f>IF(OR('RPM &amp; Discounts'!$B$3='A0.Support'!$B$3,'RPM &amp; Discounts'!$B$3='A0.Support'!$B$4),G80,G80*G176)</f>
        <v>848311.8865896865</v>
      </c>
      <c r="K272"/>
      <c r="L272"/>
      <c r="M272"/>
      <c r="N272"/>
      <c r="O272"/>
    </row>
    <row r="273" spans="2:15" ht="14.45" customHeight="1">
      <c r="B273" s="34" t="s">
        <v>187</v>
      </c>
      <c r="C273" s="3" t="s">
        <v>221</v>
      </c>
      <c r="D273" s="36">
        <f>IF(OR('RPM &amp; Discounts'!$B$3='A0.Support'!$B$3,'RPM &amp; Discounts'!$B$3='A0.Support'!$B$4),D81,D81*D177)</f>
        <v>126861.93401480975</v>
      </c>
      <c r="E273" s="36">
        <f>IF(OR('RPM &amp; Discounts'!$B$3='A0.Support'!$B$3,'RPM &amp; Discounts'!$B$3='A0.Support'!$B$4),E81,E81*E177)</f>
        <v>125895.2800915377</v>
      </c>
      <c r="F273" s="36">
        <f>IF(OR('RPM &amp; Discounts'!$B$3='A0.Support'!$B$3,'RPM &amp; Discounts'!$B$3='A0.Support'!$B$4),F81,F81*F177)</f>
        <v>108715.21836626988</v>
      </c>
      <c r="G273" s="36">
        <f>IF(OR('RPM &amp; Discounts'!$B$3='A0.Support'!$B$3,'RPM &amp; Discounts'!$B$3='A0.Support'!$B$4),G81,G81*G177)</f>
        <v>131490.68039734088</v>
      </c>
      <c r="K273"/>
      <c r="L273"/>
      <c r="M273"/>
      <c r="N273"/>
      <c r="O273"/>
    </row>
    <row r="274" spans="2:15" ht="14.45" customHeight="1">
      <c r="B274" s="34" t="s">
        <v>189</v>
      </c>
      <c r="C274" s="3" t="s">
        <v>221</v>
      </c>
      <c r="D274" s="36">
        <f>IF(OR('RPM &amp; Discounts'!$B$3='A0.Support'!$B$3,'RPM &amp; Discounts'!$B$3='A0.Support'!$B$4),D82,D82*D178)</f>
        <v>35313.944760722334</v>
      </c>
      <c r="E274" s="36">
        <f>IF(OR('RPM &amp; Discounts'!$B$3='A0.Support'!$B$3,'RPM &amp; Discounts'!$B$3='A0.Support'!$B$4),E82,E82*E178)</f>
        <v>35044.861969936719</v>
      </c>
      <c r="F274" s="36">
        <f>IF(OR('RPM &amp; Discounts'!$B$3='A0.Support'!$B$3,'RPM &amp; Discounts'!$B$3='A0.Support'!$B$4),F82,F82*F178)</f>
        <v>30262.531040935733</v>
      </c>
      <c r="G274" s="36">
        <f>IF(OR('RPM &amp; Discounts'!$B$3='A0.Support'!$B$3,'RPM &amp; Discounts'!$B$3='A0.Support'!$B$4),G82,G82*G178)</f>
        <v>36602.426568393777</v>
      </c>
      <c r="K274"/>
      <c r="L274"/>
      <c r="M274"/>
      <c r="N274"/>
      <c r="O274"/>
    </row>
    <row r="275" spans="2:15" ht="14.45" customHeight="1">
      <c r="B275" s="34" t="s">
        <v>191</v>
      </c>
      <c r="C275" s="3" t="s">
        <v>221</v>
      </c>
      <c r="D275" s="36">
        <f>IF(OR('RPM &amp; Discounts'!$B$3='A0.Support'!$B$3,'RPM &amp; Discounts'!$B$3='A0.Support'!$B$4),D83,D83*D179)</f>
        <v>196097.00385083337</v>
      </c>
      <c r="E275" s="36">
        <f>IF(OR('RPM &amp; Discounts'!$B$3='A0.Support'!$B$3,'RPM &amp; Discounts'!$B$3='A0.Support'!$B$4),E83,E83*E179)</f>
        <v>194602.79725855347</v>
      </c>
      <c r="F275" s="36">
        <f>IF(OR('RPM &amp; Discounts'!$B$3='A0.Support'!$B$3,'RPM &amp; Discounts'!$B$3='A0.Support'!$B$4),F83,F83*F179)</f>
        <v>168046.69391313146</v>
      </c>
      <c r="G275" s="36">
        <f>IF(OR('RPM &amp; Discounts'!$B$3='A0.Support'!$B$3,'RPM &amp; Discounts'!$B$3='A0.Support'!$B$4),G83,G83*G179)</f>
        <v>203251.89475052414</v>
      </c>
      <c r="K275"/>
      <c r="L275"/>
      <c r="M275"/>
      <c r="N275"/>
      <c r="O275"/>
    </row>
    <row r="276" spans="2:15" ht="14.45" customHeight="1">
      <c r="B276" s="34" t="s">
        <v>193</v>
      </c>
      <c r="C276" s="3" t="s">
        <v>221</v>
      </c>
      <c r="D276" s="36">
        <f>IF(OR('RPM &amp; Discounts'!$B$3='A0.Support'!$B$3,'RPM &amp; Discounts'!$B$3='A0.Support'!$B$4),D84,D84*D180)</f>
        <v>199799.88457203942</v>
      </c>
      <c r="E276" s="36">
        <f>IF(OR('RPM &amp; Discounts'!$B$3='A0.Support'!$B$3,'RPM &amp; Discounts'!$B$3='A0.Support'!$B$4),E84,E84*E180)</f>
        <v>198277.46302147154</v>
      </c>
      <c r="F276" s="36">
        <f>IF(OR('RPM &amp; Discounts'!$B$3='A0.Support'!$B$3,'RPM &amp; Discounts'!$B$3='A0.Support'!$B$4),F84,F84*F180)</f>
        <v>171219.90334996043</v>
      </c>
      <c r="G276" s="36">
        <f>IF(OR('RPM &amp; Discounts'!$B$3='A0.Support'!$B$3,'RPM &amp; Discounts'!$B$3='A0.Support'!$B$4),G84,G84*G180)</f>
        <v>207089.88058325424</v>
      </c>
      <c r="K276"/>
      <c r="L276"/>
      <c r="M276"/>
      <c r="N276"/>
      <c r="O276"/>
    </row>
    <row r="277" spans="2:15" ht="14.45" customHeight="1">
      <c r="B277" s="34" t="s">
        <v>195</v>
      </c>
      <c r="C277" s="3" t="s">
        <v>221</v>
      </c>
      <c r="D277" s="36">
        <f>IF(OR('RPM &amp; Discounts'!$B$3='A0.Support'!$B$3,'RPM &amp; Discounts'!$B$3='A0.Support'!$B$4),D85,D85*D181)</f>
        <v>137924.89743696246</v>
      </c>
      <c r="E277" s="36">
        <f>IF(OR('RPM &amp; Discounts'!$B$3='A0.Support'!$B$3,'RPM &amp; Discounts'!$B$3='A0.Support'!$B$4),E85,E85*E181)</f>
        <v>136873.9466985891</v>
      </c>
      <c r="F277" s="36">
        <f>IF(OR('RPM &amp; Discounts'!$B$3='A0.Support'!$B$3,'RPM &amp; Discounts'!$B$3='A0.Support'!$B$4),F85,F85*F181)</f>
        <v>118195.70196095466</v>
      </c>
      <c r="G277" s="36">
        <f>IF(OR('RPM &amp; Discounts'!$B$3='A0.Support'!$B$3,'RPM &amp; Discounts'!$B$3='A0.Support'!$B$4),G85,G85*G181)</f>
        <v>142957.29249723157</v>
      </c>
      <c r="K277"/>
      <c r="L277"/>
      <c r="M277"/>
      <c r="N277"/>
      <c r="O277"/>
    </row>
    <row r="278" spans="2:15" ht="14.45" customHeight="1">
      <c r="B278" s="34" t="s">
        <v>197</v>
      </c>
      <c r="C278" s="3" t="s">
        <v>221</v>
      </c>
      <c r="D278" s="36">
        <f>IF(OR('RPM &amp; Discounts'!$B$3='A0.Support'!$B$3,'RPM &amp; Discounts'!$B$3='A0.Support'!$B$4),D86,D86*D182)</f>
        <v>81553.511175779713</v>
      </c>
      <c r="E278" s="36">
        <f>IF(OR('RPM &amp; Discounts'!$B$3='A0.Support'!$B$3,'RPM &amp; Discounts'!$B$3='A0.Support'!$B$4),E86,E86*E182)</f>
        <v>80932.095286554206</v>
      </c>
      <c r="F278" s="36">
        <f>IF(OR('RPM &amp; Discounts'!$B$3='A0.Support'!$B$3,'RPM &amp; Discounts'!$B$3='A0.Support'!$B$4),F86,F86*F182)</f>
        <v>69887.849691585987</v>
      </c>
      <c r="G278" s="36">
        <f>IF(OR('RPM &amp; Discounts'!$B$3='A0.Support'!$B$3,'RPM &amp; Discounts'!$B$3='A0.Support'!$B$4),G86,G86*G182)</f>
        <v>84529.112350151947</v>
      </c>
      <c r="K278"/>
      <c r="L278"/>
      <c r="M278"/>
      <c r="N278"/>
      <c r="O278"/>
    </row>
    <row r="279" spans="2:15" ht="14.45" customHeight="1">
      <c r="B279" s="34" t="s">
        <v>199</v>
      </c>
      <c r="C279" s="3" t="s">
        <v>221</v>
      </c>
      <c r="D279" s="36">
        <f>IF(OR('RPM &amp; Discounts'!$B$3='A0.Support'!$B$3,'RPM &amp; Discounts'!$B$3='A0.Support'!$B$4),D87,D87*D183)</f>
        <v>99169.464351848292</v>
      </c>
      <c r="E279" s="36">
        <f>IF(OR('RPM &amp; Discounts'!$B$3='A0.Support'!$B$3,'RPM &amp; Discounts'!$B$3='A0.Support'!$B$4),E87,E87*E183)</f>
        <v>98413.819622568728</v>
      </c>
      <c r="F279" s="36">
        <f>IF(OR('RPM &amp; Discounts'!$B$3='A0.Support'!$B$3,'RPM &amp; Discounts'!$B$3='A0.Support'!$B$4),F87,F87*F183)</f>
        <v>84983.963519101118</v>
      </c>
      <c r="G279" s="36">
        <f>IF(OR('RPM &amp; Discounts'!$B$3='A0.Support'!$B$3,'RPM &amp; Discounts'!$B$3='A0.Support'!$B$4),G87,G87*G183)</f>
        <v>102787.8097833674</v>
      </c>
      <c r="K279"/>
      <c r="L279"/>
      <c r="M279"/>
      <c r="N279"/>
      <c r="O279"/>
    </row>
    <row r="280" spans="2:15" ht="14.45" customHeight="1">
      <c r="B280" s="34" t="s">
        <v>201</v>
      </c>
      <c r="C280" s="3" t="s">
        <v>221</v>
      </c>
      <c r="D280" s="36">
        <f>IF(OR('RPM &amp; Discounts'!$B$3='A0.Support'!$B$3,'RPM &amp; Discounts'!$B$3='A0.Support'!$B$4),D88,D88*D184)</f>
        <v>327044.66449358006</v>
      </c>
      <c r="E280" s="36">
        <f>IF(OR('RPM &amp; Discounts'!$B$3='A0.Support'!$B$3,'RPM &amp; Discounts'!$B$3='A0.Support'!$B$4),E88,E88*E184)</f>
        <v>324552.67183657858</v>
      </c>
      <c r="F280" s="36">
        <f>IF(OR('RPM &amp; Discounts'!$B$3='A0.Support'!$B$3,'RPM &amp; Discounts'!$B$3='A0.Support'!$B$4),F88,F88*F184)</f>
        <v>280263.20418378926</v>
      </c>
      <c r="G280" s="36">
        <f>IF(OR('RPM &amp; Discounts'!$B$3='A0.Support'!$B$3,'RPM &amp; Discounts'!$B$3='A0.Support'!$B$4),G88,G88*G184)</f>
        <v>338977.37558975519</v>
      </c>
      <c r="K280"/>
      <c r="L280"/>
      <c r="M280"/>
      <c r="N280"/>
      <c r="O280"/>
    </row>
    <row r="281" spans="2:15" ht="14.45" customHeight="1">
      <c r="B281" s="34" t="s">
        <v>203</v>
      </c>
      <c r="C281" s="3" t="s">
        <v>221</v>
      </c>
      <c r="D281" s="36">
        <f>IF(OR('RPM &amp; Discounts'!$B$3='A0.Support'!$B$3,'RPM &amp; Discounts'!$B$3='A0.Support'!$B$4),D89,D89*D185)</f>
        <v>409587.37249541015</v>
      </c>
      <c r="E281" s="36">
        <f>IF(OR('RPM &amp; Discounts'!$B$3='A0.Support'!$B$3,'RPM &amp; Discounts'!$B$3='A0.Support'!$B$4),E89,E89*E185)</f>
        <v>406466.42653458973</v>
      </c>
      <c r="F281" s="36">
        <f>IF(OR('RPM &amp; Discounts'!$B$3='A0.Support'!$B$3,'RPM &amp; Discounts'!$B$3='A0.Support'!$B$4),F89,F89*F185)</f>
        <v>350998.75298848143</v>
      </c>
      <c r="G281" s="36">
        <f>IF(OR('RPM &amp; Discounts'!$B$3='A0.Support'!$B$3,'RPM &amp; Discounts'!$B$3='A0.Support'!$B$4),G89,G89*G185)</f>
        <v>424531.77708368661</v>
      </c>
      <c r="K281"/>
      <c r="L281"/>
      <c r="M281"/>
      <c r="N281"/>
      <c r="O281"/>
    </row>
    <row r="282" spans="2:15" ht="14.45" customHeight="1">
      <c r="B282" s="34" t="s">
        <v>205</v>
      </c>
      <c r="C282" s="3" t="s">
        <v>221</v>
      </c>
      <c r="D282" s="36">
        <f>IF(OR('RPM &amp; Discounts'!$B$3='A0.Support'!$B$3,'RPM &amp; Discounts'!$B$3='A0.Support'!$B$4),D90,D90*D186)</f>
        <v>2952244.7125944132</v>
      </c>
      <c r="E282" s="36">
        <f>IF(OR('RPM &amp; Discounts'!$B$3='A0.Support'!$B$3,'RPM &amp; Discounts'!$B$3='A0.Support'!$B$4),E90,E90*E186)</f>
        <v>2929749.3994332924</v>
      </c>
      <c r="F282" s="36">
        <f>IF(OR('RPM &amp; Discounts'!$B$3='A0.Support'!$B$3,'RPM &amp; Discounts'!$B$3='A0.Support'!$B$4),F90,F90*F186)</f>
        <v>2529946.6785907536</v>
      </c>
      <c r="G282" s="36">
        <f>IF(OR('RPM &amp; Discounts'!$B$3='A0.Support'!$B$3,'RPM &amp; Discounts'!$B$3='A0.Support'!$B$4),G90,G90*G186)</f>
        <v>3059961.7526970236</v>
      </c>
      <c r="K282"/>
      <c r="L282"/>
      <c r="M282"/>
      <c r="N282"/>
      <c r="O282"/>
    </row>
    <row r="283" spans="2:15" ht="14.45" customHeight="1">
      <c r="B283" s="34" t="s">
        <v>207</v>
      </c>
      <c r="C283" s="3" t="s">
        <v>221</v>
      </c>
      <c r="D283" s="36">
        <f>IF(OR('RPM &amp; Discounts'!$B$3='A0.Support'!$B$3,'RPM &amp; Discounts'!$B$3='A0.Support'!$B$4),D91,D91*D187)</f>
        <v>6359764.2471372327</v>
      </c>
      <c r="E283" s="36">
        <f>IF(OR('RPM &amp; Discounts'!$B$3='A0.Support'!$B$3,'RPM &amp; Discounts'!$B$3='A0.Support'!$B$4),E91,E91*E187)</f>
        <v>6311304.548738949</v>
      </c>
      <c r="F283" s="36">
        <f>IF(OR('RPM &amp; Discounts'!$B$3='A0.Support'!$B$3,'RPM &amp; Discounts'!$B$3='A0.Support'!$B$4),F91,F91*F187)</f>
        <v>5450044.2883426836</v>
      </c>
      <c r="G283" s="36">
        <f>IF(OR('RPM &amp; Discounts'!$B$3='A0.Support'!$B$3,'RPM &amp; Discounts'!$B$3='A0.Support'!$B$4),G91,G91*G187)</f>
        <v>6591809.7064887397</v>
      </c>
      <c r="K283"/>
      <c r="L283"/>
      <c r="M283"/>
      <c r="N283"/>
      <c r="O283"/>
    </row>
    <row r="284" spans="2:15" ht="14.45" customHeight="1">
      <c r="B284" s="34" t="s">
        <v>209</v>
      </c>
      <c r="C284" s="3" t="s">
        <v>221</v>
      </c>
      <c r="D284" s="36">
        <f>IF(OR('RPM &amp; Discounts'!$B$3='A0.Support'!$B$3,'RPM &amp; Discounts'!$B$3='A0.Support'!$B$4),D92,D92*D188)</f>
        <v>2681785.1619851268</v>
      </c>
      <c r="E284" s="36">
        <f>IF(OR('RPM &amp; Discounts'!$B$3='A0.Support'!$B$3,'RPM &amp; Discounts'!$B$3='A0.Support'!$B$4),E92,E92*E188)</f>
        <v>2661350.6780846757</v>
      </c>
      <c r="F284" s="36">
        <f>IF(OR('RPM &amp; Discounts'!$B$3='A0.Support'!$B$3,'RPM &amp; Discounts'!$B$3='A0.Support'!$B$4),F92,F92*F188)</f>
        <v>2298174.4820522768</v>
      </c>
      <c r="G284" s="36">
        <f>IF(OR('RPM &amp; Discounts'!$B$3='A0.Support'!$B$3,'RPM &amp; Discounts'!$B$3='A0.Support'!$B$4),G92,G92*G188)</f>
        <v>2779634.0830477299</v>
      </c>
      <c r="K284"/>
      <c r="L284"/>
      <c r="M284"/>
      <c r="N284"/>
      <c r="O284"/>
    </row>
    <row r="285" spans="2:15" ht="14.45" customHeight="1">
      <c r="B285" s="34" t="s">
        <v>210</v>
      </c>
      <c r="C285" s="3" t="s">
        <v>221</v>
      </c>
      <c r="D285" s="36">
        <f>IF(OR('RPM &amp; Discounts'!$B$3='A0.Support'!$B$3,'RPM &amp; Discounts'!$B$3='A0.Support'!$B$4),D93,D93*D189)</f>
        <v>66223.481105223414</v>
      </c>
      <c r="E285" s="36">
        <f>IF(OR('RPM &amp; Discounts'!$B$3='A0.Support'!$B$3,'RPM &amp; Discounts'!$B$3='A0.Support'!$B$4),E93,E93*E189)</f>
        <v>65718.875934884258</v>
      </c>
      <c r="F285" s="36">
        <f>IF(OR('RPM &amp; Discounts'!$B$3='A0.Support'!$B$3,'RPM &amp; Discounts'!$B$3='A0.Support'!$B$4),F93,F93*F189)</f>
        <v>56750.673598342335</v>
      </c>
      <c r="G285" s="36">
        <f>IF(OR('RPM &amp; Discounts'!$B$3='A0.Support'!$B$3,'RPM &amp; Discounts'!$B$3='A0.Support'!$B$4),G93,G93*G189)</f>
        <v>68639.743327495977</v>
      </c>
      <c r="K285"/>
      <c r="L285"/>
      <c r="M285"/>
      <c r="N285"/>
      <c r="O285"/>
    </row>
    <row r="286" spans="2:15" ht="14.45" customHeight="1">
      <c r="B286" s="34" t="s">
        <v>212</v>
      </c>
      <c r="C286" s="3" t="s">
        <v>221</v>
      </c>
      <c r="D286" s="36">
        <f>IF(OR('RPM &amp; Discounts'!$B$3='A0.Support'!$B$3,'RPM &amp; Discounts'!$B$3='A0.Support'!$B$4),D94,D94*D190)</f>
        <v>5207389.2071181526</v>
      </c>
      <c r="E286" s="36">
        <f>IF(OR('RPM &amp; Discounts'!$B$3='A0.Support'!$B$3,'RPM &amp; Discounts'!$B$3='A0.Support'!$B$4),E94,E94*E190)</f>
        <v>5167710.2975527523</v>
      </c>
      <c r="F286" s="36">
        <f>IF(OR('RPM &amp; Discounts'!$B$3='A0.Support'!$B$3,'RPM &amp; Discounts'!$B$3='A0.Support'!$B$4),F94,F94*F190)</f>
        <v>4462508.4677009443</v>
      </c>
      <c r="G286" s="36">
        <f>IF(OR('RPM &amp; Discounts'!$B$3='A0.Support'!$B$3,'RPM &amp; Discounts'!$B$3='A0.Support'!$B$4),G94,G94*G190)</f>
        <v>5397388.5488597481</v>
      </c>
      <c r="K286"/>
      <c r="L286"/>
      <c r="M286"/>
      <c r="N286"/>
      <c r="O286"/>
    </row>
    <row r="287" spans="2:15" ht="14.45" customHeight="1">
      <c r="B287" s="34" t="s">
        <v>213</v>
      </c>
      <c r="C287" s="3" t="s">
        <v>221</v>
      </c>
      <c r="D287" s="36">
        <f>IF(OR('RPM &amp; Discounts'!$B$3='A0.Support'!$B$3,'RPM &amp; Discounts'!$B$3='A0.Support'!$B$4),D95,D95*D191)</f>
        <v>19421.256480074353</v>
      </c>
      <c r="E287" s="36">
        <f>IF(OR('RPM &amp; Discounts'!$B$3='A0.Support'!$B$3,'RPM &amp; Discounts'!$B$3='A0.Support'!$B$4),E95,E95*E191)</f>
        <v>19273.271712877398</v>
      </c>
      <c r="F287" s="36">
        <f>IF(OR('RPM &amp; Discounts'!$B$3='A0.Support'!$B$3,'RPM &amp; Discounts'!$B$3='A0.Support'!$B$4),F95,F95*F191)</f>
        <v>16643.181073781645</v>
      </c>
      <c r="G287" s="36">
        <f>IF(OR('RPM &amp; Discounts'!$B$3='A0.Support'!$B$3,'RPM &amp; Discounts'!$B$3='A0.Support'!$B$4),G95,G95*G191)</f>
        <v>20129.869913839782</v>
      </c>
      <c r="K287"/>
      <c r="L287"/>
      <c r="M287"/>
      <c r="N287"/>
      <c r="O287"/>
    </row>
    <row r="290" spans="2:21" ht="28.9" customHeight="1">
      <c r="B290" s="31" t="s">
        <v>608</v>
      </c>
      <c r="C290" s="4"/>
      <c r="D290" s="4"/>
      <c r="E290" s="4"/>
      <c r="F290" s="4"/>
      <c r="G290" s="4"/>
    </row>
    <row r="291" spans="2:21" ht="14.45" customHeight="1">
      <c r="B291" s="35"/>
    </row>
    <row r="292" spans="2:21" ht="14.45" customHeight="1">
      <c r="B292" s="8" t="s">
        <v>1</v>
      </c>
      <c r="C292" s="8" t="s">
        <v>215</v>
      </c>
      <c r="D292" s="5"/>
      <c r="E292" s="5"/>
      <c r="F292" s="5"/>
      <c r="G292" s="5"/>
    </row>
    <row r="293" spans="2:21" ht="14.45" customHeight="1">
      <c r="B293" s="24"/>
      <c r="C293" s="24"/>
      <c r="D293" s="22" t="str">
        <f>'Input data'!D$5</f>
        <v>2023-24</v>
      </c>
      <c r="E293" s="22" t="str">
        <f>'Input data'!E$5</f>
        <v>2024-25</v>
      </c>
      <c r="F293" s="22" t="str">
        <f>'Input data'!F$5</f>
        <v>2025-26</v>
      </c>
      <c r="G293" s="22" t="str">
        <f>'Input data'!G$5</f>
        <v>2026-27</v>
      </c>
    </row>
    <row r="294" spans="2:21" ht="14.45" customHeight="1">
      <c r="B294" s="23"/>
      <c r="C294" s="23"/>
      <c r="D294" s="7"/>
      <c r="E294" s="7"/>
      <c r="F294" s="7"/>
      <c r="G294" s="7"/>
    </row>
    <row r="295" spans="2:21" ht="14.45" customHeight="1">
      <c r="B295" s="34" t="s">
        <v>0</v>
      </c>
      <c r="C295" s="3" t="s">
        <v>217</v>
      </c>
      <c r="D295" s="51">
        <f>SUMPRODUCT('Entry Tariff_1'!D$31:D$35,'Distance Matrix_Entry'!$C$5:$C$9)/SUMIFS('Entry Tariff_1'!D$31:D$35,'Distance Matrix_Entry'!$C$5:$C$9,"&gt;0")</f>
        <v>480.25320252020987</v>
      </c>
      <c r="E295" s="51">
        <f>SUMPRODUCT('Entry Tariff_1'!E$31:E$35,'Distance Matrix_Entry'!$C$5:$C$9)/SUMIFS('Entry Tariff_1'!E$31:E$35,'Distance Matrix_Entry'!$C$5:$C$9,"&gt;0")</f>
        <v>480.50350962282801</v>
      </c>
      <c r="F295" s="51">
        <f>SUMPRODUCT('Entry Tariff_1'!F$31:F$35,'Distance Matrix_Entry'!$C$5:$C$9)/SUMIFS('Entry Tariff_1'!F$31:F$35,'Distance Matrix_Entry'!$C$5:$C$9,"&gt;0")</f>
        <v>480.41674839268541</v>
      </c>
      <c r="G295" s="51">
        <f>SUMPRODUCT('Entry Tariff_1'!G$31:G$35,'Distance Matrix_Entry'!$C$5:$C$9)/SUMIFS('Entry Tariff_1'!G$31:G$35,'Distance Matrix_Entry'!$C$5:$C$9,"&gt;0")</f>
        <v>480.26431232558303</v>
      </c>
      <c r="I295"/>
      <c r="K295"/>
      <c r="L295"/>
      <c r="M295"/>
      <c r="N295"/>
      <c r="O295"/>
      <c r="P295"/>
      <c r="Q295"/>
      <c r="R295"/>
      <c r="S295"/>
      <c r="T295"/>
      <c r="U295"/>
    </row>
    <row r="296" spans="2:21" ht="14.45" customHeight="1">
      <c r="B296" s="34" t="s">
        <v>216</v>
      </c>
      <c r="C296" s="3" t="s">
        <v>217</v>
      </c>
      <c r="D296" s="51">
        <f>SUMPRODUCT('Entry Tariff_1'!D$31:D$35,'Distance Matrix_Entry'!$D$5:$D$9)/SUMIFS('Entry Tariff_1'!D$31:D$35,'Distance Matrix_Entry'!$D$5:$D$9,"&gt;0")</f>
        <v>546.42441204878617</v>
      </c>
      <c r="E296" s="51">
        <f>SUMPRODUCT('Entry Tariff_1'!E$31:E$35,'Distance Matrix_Entry'!$D$5:$D$9)/SUMIFS('Entry Tariff_1'!E$31:E$35,'Distance Matrix_Entry'!$D$5:$D$9,"&gt;0")</f>
        <v>546.60075618855274</v>
      </c>
      <c r="F296" s="51">
        <f>SUMPRODUCT('Entry Tariff_1'!F$31:F$35,'Distance Matrix_Entry'!$D$5:$D$9)/SUMIFS('Entry Tariff_1'!F$31:F$35,'Distance Matrix_Entry'!$D$5:$D$9,"&gt;0")</f>
        <v>547.20989249715717</v>
      </c>
      <c r="G296" s="51">
        <f>SUMPRODUCT('Entry Tariff_1'!G$31:G$35,'Distance Matrix_Entry'!$D$5:$D$9)/SUMIFS('Entry Tariff_1'!G$31:G$35,'Distance Matrix_Entry'!$D$5:$D$9,"&gt;0")</f>
        <v>547.05926596106747</v>
      </c>
      <c r="I296"/>
      <c r="J296"/>
      <c r="K296"/>
    </row>
    <row r="297" spans="2:21" ht="14.45" customHeight="1">
      <c r="B297" s="34" t="s">
        <v>218</v>
      </c>
      <c r="C297" s="3" t="s">
        <v>14</v>
      </c>
      <c r="D297" s="51">
        <f>SUMPRODUCT('Entry Tariff_1'!D$31:D$35,'Distance Matrix_Entry'!$E$5:$E$9)/SUMIFS('Entry Tariff_1'!D$31:D$35,'Distance Matrix_Entry'!$E$5:$E$9,"&gt;0")</f>
        <v>464.5646104729899</v>
      </c>
      <c r="E297" s="51">
        <f>SUMPRODUCT('Entry Tariff_1'!E$31:E$35,'Distance Matrix_Entry'!$E$5:$E$9)/SUMIFS('Entry Tariff_1'!E$31:E$35,'Distance Matrix_Entry'!$E$5:$E$9,"&gt;0")</f>
        <v>468.55170251761228</v>
      </c>
      <c r="F297" s="51">
        <f>SUMPRODUCT('Entry Tariff_1'!F$31:F$35,'Distance Matrix_Entry'!$E$5:$E$9)/SUMIFS('Entry Tariff_1'!F$31:F$35,'Distance Matrix_Entry'!$E$5:$E$9,"&gt;0")</f>
        <v>458.52618919940386</v>
      </c>
      <c r="G297" s="51">
        <f>SUMPRODUCT('Entry Tariff_1'!G$31:G$35,'Distance Matrix_Entry'!$E$5:$E$9)/SUMIFS('Entry Tariff_1'!G$31:G$35,'Distance Matrix_Entry'!$E$5:$E$9,"&gt;0")</f>
        <v>455.66257280123034</v>
      </c>
      <c r="I297"/>
      <c r="J297"/>
      <c r="K297"/>
    </row>
    <row r="298" spans="2:21" ht="14.45" customHeight="1">
      <c r="B298" s="34" t="s">
        <v>219</v>
      </c>
      <c r="C298" s="3" t="s">
        <v>15</v>
      </c>
      <c r="D298" s="51">
        <f>SUMPRODUCT('Entry Tariff_1'!D$31:D$35,'Distance Matrix_Entry'!$F$5:$F$9)/SUMIFS('Entry Tariff_1'!D$31:D$35,'Distance Matrix_Entry'!$F$5:$F$9,"&gt;0")</f>
        <v>278.45757977221984</v>
      </c>
      <c r="E298" s="51">
        <f>SUMPRODUCT('Entry Tariff_1'!E$31:E$35,'Distance Matrix_Entry'!$F$5:$F$9)/SUMIFS('Entry Tariff_1'!E$31:E$35,'Distance Matrix_Entry'!$F$5:$F$9,"&gt;0")</f>
        <v>278.40051742485974</v>
      </c>
      <c r="F298" s="51">
        <f>SUMPRODUCT('Entry Tariff_1'!F$31:F$35,'Distance Matrix_Entry'!$F$5:$F$9)/SUMIFS('Entry Tariff_1'!F$31:F$35,'Distance Matrix_Entry'!$F$5:$F$9,"&gt;0")</f>
        <v>279.04192428634616</v>
      </c>
      <c r="G298" s="51">
        <f>SUMPRODUCT('Entry Tariff_1'!G$31:G$35,'Distance Matrix_Entry'!$F$5:$F$9)/SUMIFS('Entry Tariff_1'!G$31:G$35,'Distance Matrix_Entry'!$F$5:$F$9,"&gt;0")</f>
        <v>279.03899985422771</v>
      </c>
      <c r="I298"/>
      <c r="J298"/>
      <c r="K298"/>
    </row>
    <row r="299" spans="2:21" ht="14.45" customHeight="1">
      <c r="B299" s="34" t="s">
        <v>55</v>
      </c>
      <c r="C299" s="3" t="s">
        <v>221</v>
      </c>
      <c r="D299" s="51">
        <f>SUMPRODUCT('Entry Tariff_1'!D$31:D$35,'Distance Matrix_Entry'!$G$5:$G$9)/SUMIFS('Entry Tariff_1'!D$31:D$35,'Distance Matrix_Entry'!$G$5:$G$9,"&gt;0")</f>
        <v>264.50484012081523</v>
      </c>
      <c r="E299" s="51">
        <f>SUMPRODUCT('Entry Tariff_1'!E$31:E$35,'Distance Matrix_Entry'!$G$5:$G$9)/SUMIFS('Entry Tariff_1'!E$31:E$35,'Distance Matrix_Entry'!$G$5:$G$9,"&gt;0")</f>
        <v>265.54265463011518</v>
      </c>
      <c r="F299" s="51">
        <f>SUMPRODUCT('Entry Tariff_1'!F$31:F$35,'Distance Matrix_Entry'!$G$5:$G$9)/SUMIFS('Entry Tariff_1'!F$31:F$35,'Distance Matrix_Entry'!$G$5:$G$9,"&gt;0")</f>
        <v>251.37730460355229</v>
      </c>
      <c r="G299" s="51">
        <f>SUMPRODUCT('Entry Tariff_1'!G$31:G$35,'Distance Matrix_Entry'!$G$5:$G$9)/SUMIFS('Entry Tariff_1'!G$31:G$35,'Distance Matrix_Entry'!$G$5:$G$9,"&gt;0")</f>
        <v>251.5924028754651</v>
      </c>
      <c r="I299"/>
      <c r="J299"/>
      <c r="K299"/>
    </row>
    <row r="300" spans="2:21" ht="14.45" customHeight="1">
      <c r="B300" s="34" t="s">
        <v>57</v>
      </c>
      <c r="C300" s="3" t="s">
        <v>221</v>
      </c>
      <c r="D300" s="51">
        <f>SUMPRODUCT('Entry Tariff_1'!D$31:D$35,'Distance Matrix_Entry'!$H$5:$H$9)/SUMIFS('Entry Tariff_1'!D$31:D$35,'Distance Matrix_Entry'!$H$5:$H$9,"&gt;0")</f>
        <v>330.0095370674934</v>
      </c>
      <c r="E300" s="51">
        <f>SUMPRODUCT('Entry Tariff_1'!E$31:E$35,'Distance Matrix_Entry'!$H$5:$H$9)/SUMIFS('Entry Tariff_1'!E$31:E$35,'Distance Matrix_Entry'!$H$5:$H$9,"&gt;0")</f>
        <v>331.02547436502266</v>
      </c>
      <c r="F300" s="51">
        <f>SUMPRODUCT('Entry Tariff_1'!F$31:F$35,'Distance Matrix_Entry'!$H$5:$H$9)/SUMIFS('Entry Tariff_1'!F$31:F$35,'Distance Matrix_Entry'!$H$5:$H$9,"&gt;0")</f>
        <v>317.45277095884796</v>
      </c>
      <c r="G300" s="51">
        <f>SUMPRODUCT('Entry Tariff_1'!G$31:G$35,'Distance Matrix_Entry'!$H$5:$H$9)/SUMIFS('Entry Tariff_1'!G$31:G$35,'Distance Matrix_Entry'!$H$5:$H$9,"&gt;0")</f>
        <v>317.64507456557044</v>
      </c>
      <c r="I300"/>
      <c r="J300"/>
      <c r="K300"/>
    </row>
    <row r="301" spans="2:21" ht="14.45" customHeight="1">
      <c r="B301" s="34" t="s">
        <v>59</v>
      </c>
      <c r="C301" s="3" t="s">
        <v>221</v>
      </c>
      <c r="D301" s="51">
        <f>SUMPRODUCT('Entry Tariff_1'!D$31:D$35,'Distance Matrix_Entry'!$I$5:$I$9)/SUMIFS('Entry Tariff_1'!D$31:D$35,'Distance Matrix_Entry'!$I$5:$I$9,"&gt;0")</f>
        <v>308.63839421035067</v>
      </c>
      <c r="E301" s="51">
        <f>SUMPRODUCT('Entry Tariff_1'!E$31:E$35,'Distance Matrix_Entry'!$I$5:$I$9)/SUMIFS('Entry Tariff_1'!E$31:E$35,'Distance Matrix_Entry'!$I$5:$I$9,"&gt;0")</f>
        <v>309.65433150787982</v>
      </c>
      <c r="F301" s="51">
        <f>SUMPRODUCT('Entry Tariff_1'!F$31:F$35,'Distance Matrix_Entry'!$I$5:$I$9)/SUMIFS('Entry Tariff_1'!F$31:F$35,'Distance Matrix_Entry'!$I$5:$I$9,"&gt;0")</f>
        <v>296.08162810170506</v>
      </c>
      <c r="G301" s="51">
        <f>SUMPRODUCT('Entry Tariff_1'!G$31:G$35,'Distance Matrix_Entry'!$I$5:$I$9)/SUMIFS('Entry Tariff_1'!G$31:G$35,'Distance Matrix_Entry'!$I$5:$I$9,"&gt;0")</f>
        <v>296.2739317084276</v>
      </c>
      <c r="I301"/>
      <c r="J301"/>
      <c r="K301"/>
    </row>
    <row r="302" spans="2:21" ht="14.45" customHeight="1">
      <c r="B302" s="34" t="s">
        <v>61</v>
      </c>
      <c r="C302" s="3" t="s">
        <v>221</v>
      </c>
      <c r="D302" s="51">
        <f>SUMPRODUCT('Entry Tariff_1'!D$31:D$35,'Distance Matrix_Entry'!$J$5:$J$9)/SUMIFS('Entry Tariff_1'!D$31:D$35,'Distance Matrix_Entry'!$J$5:$J$9,"&gt;0")</f>
        <v>330.006965638922</v>
      </c>
      <c r="E302" s="51">
        <f>SUMPRODUCT('Entry Tariff_1'!E$31:E$35,'Distance Matrix_Entry'!$J$5:$J$9)/SUMIFS('Entry Tariff_1'!E$31:E$35,'Distance Matrix_Entry'!$J$5:$J$9,"&gt;0")</f>
        <v>331.0229029364512</v>
      </c>
      <c r="F302" s="51">
        <f>SUMPRODUCT('Entry Tariff_1'!F$31:F$35,'Distance Matrix_Entry'!$J$5:$J$9)/SUMIFS('Entry Tariff_1'!F$31:F$35,'Distance Matrix_Entry'!$J$5:$J$9,"&gt;0")</f>
        <v>317.45019953027645</v>
      </c>
      <c r="G302" s="51">
        <f>SUMPRODUCT('Entry Tariff_1'!G$31:G$35,'Distance Matrix_Entry'!$J$5:$J$9)/SUMIFS('Entry Tariff_1'!G$31:G$35,'Distance Matrix_Entry'!$J$5:$J$9,"&gt;0")</f>
        <v>317.64250313699898</v>
      </c>
      <c r="I302"/>
      <c r="J302"/>
      <c r="K302"/>
    </row>
    <row r="303" spans="2:21" ht="14.45" customHeight="1">
      <c r="B303" s="34" t="s">
        <v>62</v>
      </c>
      <c r="C303" s="3" t="s">
        <v>221</v>
      </c>
      <c r="D303" s="51">
        <f>SUMPRODUCT('Entry Tariff_1'!D$31:D$35,'Distance Matrix_Entry'!$K$5:$K$9)/SUMIFS('Entry Tariff_1'!D$31:D$35,'Distance Matrix_Entry'!$K$5:$K$9,"&gt;0")</f>
        <v>301.07335120956634</v>
      </c>
      <c r="E303" s="51">
        <f>SUMPRODUCT('Entry Tariff_1'!E$31:E$35,'Distance Matrix_Entry'!$K$5:$K$9)/SUMIFS('Entry Tariff_1'!E$31:E$35,'Distance Matrix_Entry'!$K$5:$K$9,"&gt;0")</f>
        <v>302.05828195809119</v>
      </c>
      <c r="F303" s="51">
        <f>SUMPRODUCT('Entry Tariff_1'!F$31:F$35,'Distance Matrix_Entry'!$K$5:$K$9)/SUMIFS('Entry Tariff_1'!F$31:F$35,'Distance Matrix_Entry'!$K$5:$K$9,"&gt;0")</f>
        <v>289.3255359774742</v>
      </c>
      <c r="G303" s="51">
        <f>SUMPRODUCT('Entry Tariff_1'!G$31:G$35,'Distance Matrix_Entry'!$K$5:$K$9)/SUMIFS('Entry Tariff_1'!G$31:G$35,'Distance Matrix_Entry'!$K$5:$K$9,"&gt;0")</f>
        <v>289.48553272943536</v>
      </c>
      <c r="I303"/>
      <c r="J303"/>
      <c r="K303"/>
    </row>
    <row r="304" spans="2:21" ht="14.45" customHeight="1">
      <c r="B304" s="34" t="s">
        <v>64</v>
      </c>
      <c r="C304" s="3" t="s">
        <v>221</v>
      </c>
      <c r="D304" s="51">
        <f>SUMPRODUCT('Entry Tariff_1'!D$31:D$35,'Distance Matrix_Entry'!$L$5:$L$9)/SUMIFS('Entry Tariff_1'!D$31:D$35,'Distance Matrix_Entry'!$L$5:$L$9,"&gt;0")</f>
        <v>329.51552650081732</v>
      </c>
      <c r="E304" s="51">
        <f>SUMPRODUCT('Entry Tariff_1'!E$31:E$35,'Distance Matrix_Entry'!$L$5:$L$9)/SUMIFS('Entry Tariff_1'!E$31:E$35,'Distance Matrix_Entry'!$L$5:$L$9,"&gt;0")</f>
        <v>330.4593254354059</v>
      </c>
      <c r="F304" s="51">
        <f>SUMPRODUCT('Entry Tariff_1'!F$31:F$35,'Distance Matrix_Entry'!$L$5:$L$9)/SUMIFS('Entry Tariff_1'!F$31:F$35,'Distance Matrix_Entry'!$L$5:$L$9,"&gt;0")</f>
        <v>318.84082704608022</v>
      </c>
      <c r="G304" s="51">
        <f>SUMPRODUCT('Entry Tariff_1'!G$31:G$35,'Distance Matrix_Entry'!$L$5:$L$9)/SUMIFS('Entry Tariff_1'!G$31:G$35,'Distance Matrix_Entry'!$L$5:$L$9,"&gt;0")</f>
        <v>318.9579670603012</v>
      </c>
      <c r="I304"/>
      <c r="J304"/>
      <c r="K304"/>
    </row>
    <row r="305" spans="2:11" ht="14.45" customHeight="1">
      <c r="B305" s="34" t="s">
        <v>66</v>
      </c>
      <c r="C305" s="3" t="s">
        <v>221</v>
      </c>
      <c r="D305" s="51">
        <f>SUMPRODUCT('Entry Tariff_1'!D$31:D$35,'Distance Matrix_Entry'!$M$5:$M$9)/SUMIFS('Entry Tariff_1'!D$31:D$35,'Distance Matrix_Entry'!$M$5:$M$9,"&gt;0")</f>
        <v>346.10410849606495</v>
      </c>
      <c r="E305" s="51">
        <f>SUMPRODUCT('Entry Tariff_1'!E$31:E$35,'Distance Matrix_Entry'!$M$5:$M$9)/SUMIFS('Entry Tariff_1'!E$31:E$35,'Distance Matrix_Entry'!$M$5:$M$9,"&gt;0")</f>
        <v>347.1200457935941</v>
      </c>
      <c r="F305" s="51">
        <f>SUMPRODUCT('Entry Tariff_1'!F$31:F$35,'Distance Matrix_Entry'!$M$5:$M$9)/SUMIFS('Entry Tariff_1'!F$31:F$35,'Distance Matrix_Entry'!$M$5:$M$9,"&gt;0")</f>
        <v>333.54734238741935</v>
      </c>
      <c r="G305" s="51">
        <f>SUMPRODUCT('Entry Tariff_1'!G$31:G$35,'Distance Matrix_Entry'!$M$5:$M$9)/SUMIFS('Entry Tariff_1'!G$31:G$35,'Distance Matrix_Entry'!$M$5:$M$9,"&gt;0")</f>
        <v>333.73964599414182</v>
      </c>
      <c r="I305"/>
      <c r="J305"/>
      <c r="K305"/>
    </row>
    <row r="306" spans="2:11" ht="14.45" customHeight="1">
      <c r="B306" s="34" t="s">
        <v>68</v>
      </c>
      <c r="C306" s="3" t="s">
        <v>221</v>
      </c>
      <c r="D306" s="51">
        <f>SUMPRODUCT('Entry Tariff_1'!D$31:D$35,'Distance Matrix_Entry'!$N$5:$N$9)/SUMIFS('Entry Tariff_1'!D$31:D$35,'Distance Matrix_Entry'!$N$5:$N$9,"&gt;0")</f>
        <v>367.85163040427898</v>
      </c>
      <c r="E306" s="51">
        <f>SUMPRODUCT('Entry Tariff_1'!E$31:E$35,'Distance Matrix_Entry'!$N$5:$N$9)/SUMIFS('Entry Tariff_1'!E$31:E$35,'Distance Matrix_Entry'!$N$5:$N$9,"&gt;0")</f>
        <v>368.73998936366689</v>
      </c>
      <c r="F306" s="51">
        <f>SUMPRODUCT('Entry Tariff_1'!F$31:F$35,'Distance Matrix_Entry'!$N$5:$N$9)/SUMIFS('Entry Tariff_1'!F$31:F$35,'Distance Matrix_Entry'!$N$5:$N$9,"&gt;0")</f>
        <v>358.62334204573472</v>
      </c>
      <c r="G306" s="51">
        <f>SUMPRODUCT('Entry Tariff_1'!G$31:G$35,'Distance Matrix_Entry'!$N$5:$N$9)/SUMIFS('Entry Tariff_1'!G$31:G$35,'Distance Matrix_Entry'!$N$5:$N$9,"&gt;0")</f>
        <v>358.68271712692422</v>
      </c>
      <c r="I306"/>
      <c r="J306"/>
      <c r="K306"/>
    </row>
    <row r="307" spans="2:11" ht="14.45" customHeight="1">
      <c r="B307" s="34" t="s">
        <v>70</v>
      </c>
      <c r="C307" s="3" t="s">
        <v>221</v>
      </c>
      <c r="D307" s="51">
        <f>SUMPRODUCT('Entry Tariff_1'!D$31:D$35,'Distance Matrix_Entry'!$O$5:$O$9)/SUMIFS('Entry Tariff_1'!D$31:D$35,'Distance Matrix_Entry'!$O$5:$O$9,"&gt;0")</f>
        <v>396.45449595141258</v>
      </c>
      <c r="E307" s="51">
        <f>SUMPRODUCT('Entry Tariff_1'!E$31:E$35,'Distance Matrix_Entry'!$O$5:$O$9)/SUMIFS('Entry Tariff_1'!E$31:E$35,'Distance Matrix_Entry'!$O$5:$O$9,"&gt;0")</f>
        <v>397.30149071373478</v>
      </c>
      <c r="F307" s="51">
        <f>SUMPRODUCT('Entry Tariff_1'!F$31:F$35,'Distance Matrix_Entry'!$O$5:$O$9)/SUMIFS('Entry Tariff_1'!F$31:F$35,'Distance Matrix_Entry'!$O$5:$O$9,"&gt;0")</f>
        <v>388.30538617122545</v>
      </c>
      <c r="G307" s="51">
        <f>SUMPRODUCT('Entry Tariff_1'!G$31:G$35,'Distance Matrix_Entry'!$O$5:$O$9)/SUMIFS('Entry Tariff_1'!G$31:G$35,'Distance Matrix_Entry'!$O$5:$O$9,"&gt;0")</f>
        <v>388.32166238621295</v>
      </c>
      <c r="I307"/>
      <c r="J307"/>
      <c r="K307"/>
    </row>
    <row r="308" spans="2:11" ht="14.45" customHeight="1">
      <c r="B308" s="34" t="s">
        <v>72</v>
      </c>
      <c r="C308" s="3" t="s">
        <v>221</v>
      </c>
      <c r="D308" s="51">
        <f>SUMPRODUCT('Entry Tariff_1'!D$31:D$35,'Distance Matrix_Entry'!$P$5:$P$9)/SUMIFS('Entry Tariff_1'!D$31:D$35,'Distance Matrix_Entry'!$P$5:$P$9,"&gt;0")</f>
        <v>490.04567116109916</v>
      </c>
      <c r="E308" s="51">
        <f>SUMPRODUCT('Entry Tariff_1'!E$31:E$35,'Distance Matrix_Entry'!$P$5:$P$9)/SUMIFS('Entry Tariff_1'!E$31:E$35,'Distance Matrix_Entry'!$P$5:$P$9,"&gt;0")</f>
        <v>490.88015043201386</v>
      </c>
      <c r="F308" s="51">
        <f>SUMPRODUCT('Entry Tariff_1'!F$31:F$35,'Distance Matrix_Entry'!$P$5:$P$9)/SUMIFS('Entry Tariff_1'!F$31:F$35,'Distance Matrix_Entry'!$P$5:$P$9,"&gt;0")</f>
        <v>482.22308652059144</v>
      </c>
      <c r="G308" s="51">
        <f>SUMPRODUCT('Entry Tariff_1'!G$31:G$35,'Distance Matrix_Entry'!$P$5:$P$9)/SUMIFS('Entry Tariff_1'!G$31:G$35,'Distance Matrix_Entry'!$P$5:$P$9,"&gt;0")</f>
        <v>482.22632238842164</v>
      </c>
      <c r="I308"/>
      <c r="J308"/>
      <c r="K308"/>
    </row>
    <row r="309" spans="2:11" ht="14.45" customHeight="1">
      <c r="B309" s="34" t="s">
        <v>74</v>
      </c>
      <c r="C309" s="3" t="s">
        <v>221</v>
      </c>
      <c r="D309" s="51">
        <f>SUMPRODUCT('Entry Tariff_1'!D$31:D$35,'Distance Matrix_Entry'!$Q$5:$Q$9)/SUMIFS('Entry Tariff_1'!D$31:D$35,'Distance Matrix_Entry'!$Q$5:$Q$9,"&gt;0")</f>
        <v>405.46881401824203</v>
      </c>
      <c r="E309" s="51">
        <f>SUMPRODUCT('Entry Tariff_1'!E$31:E$35,'Distance Matrix_Entry'!$Q$5:$Q$9)/SUMIFS('Entry Tariff_1'!E$31:E$35,'Distance Matrix_Entry'!$Q$5:$Q$9,"&gt;0")</f>
        <v>406.30329328915667</v>
      </c>
      <c r="F309" s="51">
        <f>SUMPRODUCT('Entry Tariff_1'!F$31:F$35,'Distance Matrix_Entry'!$Q$5:$Q$9)/SUMIFS('Entry Tariff_1'!F$31:F$35,'Distance Matrix_Entry'!$Q$5:$Q$9,"&gt;0")</f>
        <v>397.6462293777343</v>
      </c>
      <c r="G309" s="51">
        <f>SUMPRODUCT('Entry Tariff_1'!G$31:G$35,'Distance Matrix_Entry'!$Q$5:$Q$9)/SUMIFS('Entry Tariff_1'!G$31:G$35,'Distance Matrix_Entry'!$Q$5:$Q$9,"&gt;0")</f>
        <v>397.64946524556456</v>
      </c>
      <c r="I309"/>
      <c r="J309"/>
      <c r="K309"/>
    </row>
    <row r="310" spans="2:11" ht="14.45" customHeight="1">
      <c r="B310" s="34" t="s">
        <v>76</v>
      </c>
      <c r="C310" s="3" t="s">
        <v>221</v>
      </c>
      <c r="D310" s="51">
        <f>SUMPRODUCT('Entry Tariff_1'!D$31:D$35,'Distance Matrix_Entry'!$R$5:$R$9)/SUMIFS('Entry Tariff_1'!D$31:D$35,'Distance Matrix_Entry'!$R$5:$R$9,"&gt;0")</f>
        <v>458.90567116109906</v>
      </c>
      <c r="E310" s="51">
        <f>SUMPRODUCT('Entry Tariff_1'!E$31:E$35,'Distance Matrix_Entry'!$R$5:$R$9)/SUMIFS('Entry Tariff_1'!E$31:E$35,'Distance Matrix_Entry'!$R$5:$R$9,"&gt;0")</f>
        <v>459.74015043201371</v>
      </c>
      <c r="F310" s="51">
        <f>SUMPRODUCT('Entry Tariff_1'!F$31:F$35,'Distance Matrix_Entry'!$R$5:$R$9)/SUMIFS('Entry Tariff_1'!F$31:F$35,'Distance Matrix_Entry'!$R$5:$R$9,"&gt;0")</f>
        <v>451.08308652059139</v>
      </c>
      <c r="G310" s="51">
        <f>SUMPRODUCT('Entry Tariff_1'!G$31:G$35,'Distance Matrix_Entry'!$R$5:$R$9)/SUMIFS('Entry Tariff_1'!G$31:G$35,'Distance Matrix_Entry'!$R$5:$R$9,"&gt;0")</f>
        <v>451.08632238842154</v>
      </c>
      <c r="I310"/>
      <c r="J310"/>
      <c r="K310"/>
    </row>
    <row r="311" spans="2:11" ht="14.45" customHeight="1">
      <c r="B311" s="34" t="s">
        <v>78</v>
      </c>
      <c r="C311" s="3" t="s">
        <v>221</v>
      </c>
      <c r="D311" s="51">
        <f>SUMPRODUCT('Entry Tariff_1'!D$31:D$35,'Distance Matrix_Entry'!$S$5:$S$9)/SUMIFS('Entry Tariff_1'!D$31:D$35,'Distance Matrix_Entry'!$S$5:$S$9,"&gt;0")</f>
        <v>476.31681401824198</v>
      </c>
      <c r="E311" s="51">
        <f>SUMPRODUCT('Entry Tariff_1'!E$31:E$35,'Distance Matrix_Entry'!$S$5:$S$9)/SUMIFS('Entry Tariff_1'!E$31:E$35,'Distance Matrix_Entry'!$S$5:$S$9,"&gt;0")</f>
        <v>477.15129328915668</v>
      </c>
      <c r="F311" s="51">
        <f>SUMPRODUCT('Entry Tariff_1'!F$31:F$35,'Distance Matrix_Entry'!$S$5:$S$9)/SUMIFS('Entry Tariff_1'!F$31:F$35,'Distance Matrix_Entry'!$S$5:$S$9,"&gt;0")</f>
        <v>468.49422937773431</v>
      </c>
      <c r="G311" s="51">
        <f>SUMPRODUCT('Entry Tariff_1'!G$31:G$35,'Distance Matrix_Entry'!$S$5:$S$9)/SUMIFS('Entry Tariff_1'!G$31:G$35,'Distance Matrix_Entry'!$S$5:$S$9,"&gt;0")</f>
        <v>468.49746524556446</v>
      </c>
      <c r="I311"/>
      <c r="J311"/>
      <c r="K311"/>
    </row>
    <row r="312" spans="2:11" ht="14.45" customHeight="1">
      <c r="B312" s="34" t="s">
        <v>80</v>
      </c>
      <c r="C312" s="3" t="s">
        <v>221</v>
      </c>
      <c r="D312" s="51">
        <f>SUMPRODUCT('Entry Tariff_1'!D$31:D$35,'Distance Matrix_Entry'!$T$5:$T$9)/SUMIFS('Entry Tariff_1'!D$31:D$35,'Distance Matrix_Entry'!$T$5:$T$9,"&gt;0")</f>
        <v>410.68706147245837</v>
      </c>
      <c r="E312" s="51">
        <f>SUMPRODUCT('Entry Tariff_1'!E$31:E$35,'Distance Matrix_Entry'!$T$5:$T$9)/SUMIFS('Entry Tariff_1'!E$31:E$35,'Distance Matrix_Entry'!$T$5:$T$9,"&gt;0")</f>
        <v>411.51347372901745</v>
      </c>
      <c r="F312" s="51">
        <f>SUMPRODUCT('Entry Tariff_1'!F$31:F$35,'Distance Matrix_Entry'!$T$5:$T$9)/SUMIFS('Entry Tariff_1'!F$31:F$35,'Distance Matrix_Entry'!$T$5:$T$9,"&gt;0")</f>
        <v>403.07494263816312</v>
      </c>
      <c r="G312" s="51">
        <f>SUMPRODUCT('Entry Tariff_1'!G$31:G$35,'Distance Matrix_Entry'!$T$5:$T$9)/SUMIFS('Entry Tariff_1'!G$31:G$35,'Distance Matrix_Entry'!$T$5:$T$9,"&gt;0")</f>
        <v>403.06977318939045</v>
      </c>
      <c r="I312"/>
      <c r="J312"/>
      <c r="K312"/>
    </row>
    <row r="313" spans="2:11" ht="14.45" customHeight="1">
      <c r="B313" s="34" t="s">
        <v>82</v>
      </c>
      <c r="C313" s="3" t="s">
        <v>221</v>
      </c>
      <c r="D313" s="51">
        <f>SUMPRODUCT('Entry Tariff_1'!D$31:D$35,'Distance Matrix_Entry'!$U$5:$U$9)/SUMIFS('Entry Tariff_1'!D$31:D$35,'Distance Matrix_Entry'!$U$5:$U$9,"&gt;0")</f>
        <v>405.47138544681343</v>
      </c>
      <c r="E313" s="51">
        <f>SUMPRODUCT('Entry Tariff_1'!E$31:E$35,'Distance Matrix_Entry'!$U$5:$U$9)/SUMIFS('Entry Tariff_1'!E$31:E$35,'Distance Matrix_Entry'!$U$5:$U$9,"&gt;0")</f>
        <v>406.30586471772801</v>
      </c>
      <c r="F313" s="51">
        <f>SUMPRODUCT('Entry Tariff_1'!F$31:F$35,'Distance Matrix_Entry'!$U$5:$U$9)/SUMIFS('Entry Tariff_1'!F$31:F$35,'Distance Matrix_Entry'!$U$5:$U$9,"&gt;0")</f>
        <v>397.64880080630576</v>
      </c>
      <c r="G313" s="51">
        <f>SUMPRODUCT('Entry Tariff_1'!G$31:G$35,'Distance Matrix_Entry'!$U$5:$U$9)/SUMIFS('Entry Tariff_1'!G$31:G$35,'Distance Matrix_Entry'!$U$5:$U$9,"&gt;0")</f>
        <v>397.6520366741359</v>
      </c>
      <c r="I313"/>
      <c r="J313"/>
      <c r="K313"/>
    </row>
    <row r="314" spans="2:11" ht="14.45" customHeight="1">
      <c r="B314" s="34" t="s">
        <v>83</v>
      </c>
      <c r="C314" s="3" t="s">
        <v>221</v>
      </c>
      <c r="D314" s="51">
        <f>SUMPRODUCT('Entry Tariff_1'!D$31:D$35,'Distance Matrix_Entry'!$V$5:$V$9)/SUMIFS('Entry Tariff_1'!D$31:D$35,'Distance Matrix_Entry'!$V$5:$V$9,"&gt;0")</f>
        <v>476.31424258967053</v>
      </c>
      <c r="E314" s="51">
        <f>SUMPRODUCT('Entry Tariff_1'!E$31:E$35,'Distance Matrix_Entry'!$V$5:$V$9)/SUMIFS('Entry Tariff_1'!E$31:E$35,'Distance Matrix_Entry'!$V$5:$V$9,"&gt;0")</f>
        <v>477.14872186058523</v>
      </c>
      <c r="F314" s="51">
        <f>SUMPRODUCT('Entry Tariff_1'!F$31:F$35,'Distance Matrix_Entry'!$V$5:$V$9)/SUMIFS('Entry Tariff_1'!F$31:F$35,'Distance Matrix_Entry'!$V$5:$V$9,"&gt;0")</f>
        <v>468.49165794916297</v>
      </c>
      <c r="G314" s="51">
        <f>SUMPRODUCT('Entry Tariff_1'!G$31:G$35,'Distance Matrix_Entry'!$V$5:$V$9)/SUMIFS('Entry Tariff_1'!G$31:G$35,'Distance Matrix_Entry'!$V$5:$V$9,"&gt;0")</f>
        <v>468.49489381699311</v>
      </c>
      <c r="I314"/>
      <c r="J314"/>
      <c r="K314"/>
    </row>
    <row r="315" spans="2:11" ht="14.45" customHeight="1">
      <c r="B315" s="34" t="s">
        <v>84</v>
      </c>
      <c r="C315" s="3" t="s">
        <v>221</v>
      </c>
      <c r="D315" s="51">
        <f>SUMPRODUCT('Entry Tariff_1'!D$31:D$35,'Distance Matrix_Entry'!$W$5:$W$9)/SUMIFS('Entry Tariff_1'!D$31:D$35,'Distance Matrix_Entry'!$W$5:$W$9,"&gt;0")</f>
        <v>471.39013419018727</v>
      </c>
      <c r="E315" s="51">
        <f>SUMPRODUCT('Entry Tariff_1'!E$31:E$35,'Distance Matrix_Entry'!$W$5:$W$9)/SUMIFS('Entry Tariff_1'!E$31:E$35,'Distance Matrix_Entry'!$W$5:$W$9,"&gt;0")</f>
        <v>472.17126493406766</v>
      </c>
      <c r="F315" s="51">
        <f>SUMPRODUCT('Entry Tariff_1'!F$31:F$35,'Distance Matrix_Entry'!$W$5:$W$9)/SUMIFS('Entry Tariff_1'!F$31:F$35,'Distance Matrix_Entry'!$W$5:$W$9,"&gt;0")</f>
        <v>464.95939543685444</v>
      </c>
      <c r="G315" s="51">
        <f>SUMPRODUCT('Entry Tariff_1'!G$31:G$35,'Distance Matrix_Entry'!$W$5:$W$9)/SUMIFS('Entry Tariff_1'!G$31:G$35,'Distance Matrix_Entry'!$W$5:$W$9,"&gt;0")</f>
        <v>464.90704552780932</v>
      </c>
      <c r="I315"/>
      <c r="J315"/>
      <c r="K315"/>
    </row>
    <row r="316" spans="2:11" ht="14.45" customHeight="1">
      <c r="B316" s="34" t="s">
        <v>86</v>
      </c>
      <c r="C316" s="3" t="s">
        <v>221</v>
      </c>
      <c r="D316" s="51">
        <f>SUMPRODUCT('Entry Tariff_1'!D$31:D$35,'Distance Matrix_Entry'!$X$5:$X$9)/SUMIFS('Entry Tariff_1'!D$31:D$35,'Distance Matrix_Entry'!$X$5:$X$9,"&gt;0")</f>
        <v>441.99870561875866</v>
      </c>
      <c r="E316" s="51">
        <f>SUMPRODUCT('Entry Tariff_1'!E$31:E$35,'Distance Matrix_Entry'!$X$5:$X$9)/SUMIFS('Entry Tariff_1'!E$31:E$35,'Distance Matrix_Entry'!$X$5:$X$9,"&gt;0")</f>
        <v>442.779836362639</v>
      </c>
      <c r="F316" s="51">
        <f>SUMPRODUCT('Entry Tariff_1'!F$31:F$35,'Distance Matrix_Entry'!$X$5:$X$9)/SUMIFS('Entry Tariff_1'!F$31:F$35,'Distance Matrix_Entry'!$X$5:$X$9,"&gt;0")</f>
        <v>435.56796686542577</v>
      </c>
      <c r="G316" s="51">
        <f>SUMPRODUCT('Entry Tariff_1'!G$31:G$35,'Distance Matrix_Entry'!$X$5:$X$9)/SUMIFS('Entry Tariff_1'!G$31:G$35,'Distance Matrix_Entry'!$X$5:$X$9,"&gt;0")</f>
        <v>435.51561695638071</v>
      </c>
      <c r="I316"/>
      <c r="J316"/>
      <c r="K316"/>
    </row>
    <row r="317" spans="2:11" ht="14.45" customHeight="1">
      <c r="B317" s="34" t="s">
        <v>88</v>
      </c>
      <c r="C317" s="3" t="s">
        <v>221</v>
      </c>
      <c r="D317" s="51">
        <f>SUMPRODUCT('Entry Tariff_1'!D$31:D$35,'Distance Matrix_Entry'!$Y$5:$Y$9)/SUMIFS('Entry Tariff_1'!D$31:D$35,'Distance Matrix_Entry'!$Y$5:$Y$9,"&gt;0")</f>
        <v>503.02127704733005</v>
      </c>
      <c r="E317" s="51">
        <f>SUMPRODUCT('Entry Tariff_1'!E$31:E$35,'Distance Matrix_Entry'!$Y$5:$Y$9)/SUMIFS('Entry Tariff_1'!E$31:E$35,'Distance Matrix_Entry'!$Y$5:$Y$9,"&gt;0")</f>
        <v>503.80240779121038</v>
      </c>
      <c r="F317" s="51">
        <f>SUMPRODUCT('Entry Tariff_1'!F$31:F$35,'Distance Matrix_Entry'!$Y$5:$Y$9)/SUMIFS('Entry Tariff_1'!F$31:F$35,'Distance Matrix_Entry'!$Y$5:$Y$9,"&gt;0")</f>
        <v>496.59053829399721</v>
      </c>
      <c r="G317" s="51">
        <f>SUMPRODUCT('Entry Tariff_1'!G$31:G$35,'Distance Matrix_Entry'!$Y$5:$Y$9)/SUMIFS('Entry Tariff_1'!G$31:G$35,'Distance Matrix_Entry'!$Y$5:$Y$9,"&gt;0")</f>
        <v>496.53818838495204</v>
      </c>
      <c r="I317"/>
      <c r="J317"/>
      <c r="K317"/>
    </row>
    <row r="318" spans="2:11" ht="14.45" customHeight="1">
      <c r="B318" s="34" t="s">
        <v>90</v>
      </c>
      <c r="C318" s="3" t="s">
        <v>221</v>
      </c>
      <c r="D318" s="51">
        <f>SUMPRODUCT('Entry Tariff_1'!D$31:D$35,'Distance Matrix_Entry'!$Z$5:$Z$9)/SUMIFS('Entry Tariff_1'!D$31:D$35,'Distance Matrix_Entry'!$Z$5:$Z$9,"&gt;0")</f>
        <v>503.01870561875859</v>
      </c>
      <c r="E318" s="51">
        <f>SUMPRODUCT('Entry Tariff_1'!E$31:E$35,'Distance Matrix_Entry'!$Z$5:$Z$9)/SUMIFS('Entry Tariff_1'!E$31:E$35,'Distance Matrix_Entry'!$Z$5:$Z$9,"&gt;0")</f>
        <v>503.79983636263893</v>
      </c>
      <c r="F318" s="51">
        <f>SUMPRODUCT('Entry Tariff_1'!F$31:F$35,'Distance Matrix_Entry'!$Z$5:$Z$9)/SUMIFS('Entry Tariff_1'!F$31:F$35,'Distance Matrix_Entry'!$Z$5:$Z$9,"&gt;0")</f>
        <v>496.58796686542576</v>
      </c>
      <c r="G318" s="51">
        <f>SUMPRODUCT('Entry Tariff_1'!G$31:G$35,'Distance Matrix_Entry'!$Z$5:$Z$9)/SUMIFS('Entry Tariff_1'!G$31:G$35,'Distance Matrix_Entry'!$Z$5:$Z$9,"&gt;0")</f>
        <v>496.53561695638064</v>
      </c>
      <c r="I318"/>
      <c r="J318"/>
      <c r="K318"/>
    </row>
    <row r="319" spans="2:11" ht="14.45" customHeight="1">
      <c r="B319" s="34" t="s">
        <v>91</v>
      </c>
      <c r="C319" s="3" t="s">
        <v>221</v>
      </c>
      <c r="D319" s="51">
        <f>SUMPRODUCT('Entry Tariff_1'!D$31:D$35,'Distance Matrix_Entry'!$AA$5:$AA$9)/SUMIFS('Entry Tariff_1'!D$31:D$35,'Distance Matrix_Entry'!$AA$5:$AA$9,"&gt;0")</f>
        <v>498.46985268613332</v>
      </c>
      <c r="E319" s="51">
        <f>SUMPRODUCT('Entry Tariff_1'!E$31:E$35,'Distance Matrix_Entry'!$AA$5:$AA$9)/SUMIFS('Entry Tariff_1'!E$31:E$35,'Distance Matrix_Entry'!$AA$5:$AA$9,"&gt;0")</f>
        <v>499.16931735876011</v>
      </c>
      <c r="F319" s="51">
        <f>SUMPRODUCT('Entry Tariff_1'!F$31:F$35,'Distance Matrix_Entry'!$AA$5:$AA$9)/SUMIFS('Entry Tariff_1'!F$31:F$35,'Distance Matrix_Entry'!$AA$5:$AA$9,"&gt;0")</f>
        <v>494.16975542779107</v>
      </c>
      <c r="G319" s="51">
        <f>SUMPRODUCT('Entry Tariff_1'!G$31:G$35,'Distance Matrix_Entry'!$AA$5:$AA$9)/SUMIFS('Entry Tariff_1'!G$31:G$35,'Distance Matrix_Entry'!$AA$5:$AA$9,"&gt;0")</f>
        <v>494.03231465931032</v>
      </c>
      <c r="I319"/>
      <c r="J319"/>
      <c r="K319"/>
    </row>
    <row r="320" spans="2:11" ht="14.45" customHeight="1">
      <c r="B320" s="34" t="s">
        <v>93</v>
      </c>
      <c r="C320" s="3" t="s">
        <v>221</v>
      </c>
      <c r="D320" s="51">
        <f>SUMPRODUCT('Entry Tariff_1'!D$31:D$35,'Distance Matrix_Entry'!$AB$5:$AB$9)/SUMIFS('Entry Tariff_1'!D$31:D$35,'Distance Matrix_Entry'!$AB$5:$AB$9,"&gt;0")</f>
        <v>576.38167103843807</v>
      </c>
      <c r="E320" s="51">
        <f>SUMPRODUCT('Entry Tariff_1'!E$31:E$35,'Distance Matrix_Entry'!$AB$5:$AB$9)/SUMIFS('Entry Tariff_1'!E$31:E$35,'Distance Matrix_Entry'!$AB$5:$AB$9,"&gt;0")</f>
        <v>576.96846309080695</v>
      </c>
      <c r="F320" s="51">
        <f>SUMPRODUCT('Entry Tariff_1'!F$31:F$35,'Distance Matrix_Entry'!$AB$5:$AB$9)/SUMIFS('Entry Tariff_1'!F$31:F$35,'Distance Matrix_Entry'!$AB$5:$AB$9,"&gt;0")</f>
        <v>575.02116615163993</v>
      </c>
      <c r="G320" s="51">
        <f>SUMPRODUCT('Entry Tariff_1'!G$31:G$35,'Distance Matrix_Entry'!$AB$5:$AB$9)/SUMIFS('Entry Tariff_1'!G$31:G$35,'Distance Matrix_Entry'!$AB$5:$AB$9,"&gt;0")</f>
        <v>574.76632766896228</v>
      </c>
      <c r="I320"/>
      <c r="J320"/>
      <c r="K320"/>
    </row>
    <row r="321" spans="2:11" ht="14.45" customHeight="1">
      <c r="B321" s="34" t="s">
        <v>95</v>
      </c>
      <c r="C321" s="3" t="s">
        <v>221</v>
      </c>
      <c r="D321" s="51">
        <f>SUMPRODUCT('Entry Tariff_1'!D$31:D$35,'Distance Matrix_Entry'!$AC$5:$AC$9)/SUMIFS('Entry Tariff_1'!D$31:D$35,'Distance Matrix_Entry'!$AC$5:$AC$9,"&gt;0")</f>
        <v>605.48956310406049</v>
      </c>
      <c r="E321" s="51">
        <f>SUMPRODUCT('Entry Tariff_1'!E$31:E$35,'Distance Matrix_Entry'!$AC$5:$AC$9)/SUMIFS('Entry Tariff_1'!E$31:E$35,'Distance Matrix_Entry'!$AC$5:$AC$9,"&gt;0")</f>
        <v>606.03426061238474</v>
      </c>
      <c r="F321" s="51">
        <f>SUMPRODUCT('Entry Tariff_1'!F$31:F$35,'Distance Matrix_Entry'!$AC$5:$AC$9)/SUMIFS('Entry Tariff_1'!F$31:F$35,'Distance Matrix_Entry'!$AC$5:$AC$9,"&gt;0")</f>
        <v>605.22729131305425</v>
      </c>
      <c r="G321" s="51">
        <f>SUMPRODUCT('Entry Tariff_1'!G$31:G$35,'Distance Matrix_Entry'!$AC$5:$AC$9)/SUMIFS('Entry Tariff_1'!G$31:G$35,'Distance Matrix_Entry'!$AC$5:$AC$9,"&gt;0")</f>
        <v>604.92859298900885</v>
      </c>
      <c r="I321"/>
      <c r="J321"/>
      <c r="K321"/>
    </row>
    <row r="322" spans="2:11" ht="14.45" customHeight="1">
      <c r="B322" s="34" t="s">
        <v>97</v>
      </c>
      <c r="C322" s="3" t="s">
        <v>221</v>
      </c>
      <c r="D322" s="51">
        <f>SUMPRODUCT('Entry Tariff_1'!D$31:D$35,'Distance Matrix_Entry'!$AD$5:$AD$9)/SUMIFS('Entry Tariff_1'!D$31:D$35,'Distance Matrix_Entry'!$AD$5:$AD$9,"&gt;0")</f>
        <v>620.57149140620083</v>
      </c>
      <c r="E322" s="51">
        <f>SUMPRODUCT('Entry Tariff_1'!E$31:E$35,'Distance Matrix_Entry'!$AD$5:$AD$9)/SUMIFS('Entry Tariff_1'!E$31:E$35,'Distance Matrix_Entry'!$AD$5:$AD$9,"&gt;0")</f>
        <v>621.09437809793428</v>
      </c>
      <c r="F322" s="51">
        <f>SUMPRODUCT('Entry Tariff_1'!F$31:F$35,'Distance Matrix_Entry'!$AD$5:$AD$9)/SUMIFS('Entry Tariff_1'!F$31:F$35,'Distance Matrix_Entry'!$AD$5:$AD$9,"&gt;0")</f>
        <v>620.87825679495427</v>
      </c>
      <c r="G322" s="51">
        <f>SUMPRODUCT('Entry Tariff_1'!G$31:G$35,'Distance Matrix_Entry'!$AD$5:$AD$9)/SUMIFS('Entry Tariff_1'!G$31:G$35,'Distance Matrix_Entry'!$AD$5:$AD$9,"&gt;0")</f>
        <v>620.55683298527924</v>
      </c>
      <c r="I322"/>
      <c r="J322"/>
      <c r="K322"/>
    </row>
    <row r="323" spans="2:11" ht="14.45" customHeight="1">
      <c r="B323" s="34" t="s">
        <v>99</v>
      </c>
      <c r="C323" s="3" t="s">
        <v>221</v>
      </c>
      <c r="D323" s="51">
        <f>SUMPRODUCT('Entry Tariff_1'!D$31:D$35,'Distance Matrix_Entry'!$AE$5:$AE$9)/SUMIFS('Entry Tariff_1'!D$31:D$35,'Distance Matrix_Entry'!$AE$5:$AE$9,"&gt;0")</f>
        <v>711.97829456156637</v>
      </c>
      <c r="E323" s="51">
        <f>SUMPRODUCT('Entry Tariff_1'!E$31:E$35,'Distance Matrix_Entry'!$AE$5:$AE$9)/SUMIFS('Entry Tariff_1'!E$31:E$35,'Distance Matrix_Entry'!$AE$5:$AE$9,"&gt;0")</f>
        <v>712.53531711316941</v>
      </c>
      <c r="F323" s="51">
        <f>SUMPRODUCT('Entry Tariff_1'!F$31:F$35,'Distance Matrix_Entry'!$AE$5:$AE$9)/SUMIFS('Entry Tariff_1'!F$31:F$35,'Distance Matrix_Entry'!$AE$5:$AE$9,"&gt;0")</f>
        <v>713.97409922797033</v>
      </c>
      <c r="G323" s="51">
        <f>SUMPRODUCT('Entry Tariff_1'!G$31:G$35,'Distance Matrix_Entry'!$AE$5:$AE$9)/SUMIFS('Entry Tariff_1'!G$31:G$35,'Distance Matrix_Entry'!$AE$5:$AE$9,"&gt;0")</f>
        <v>713.52804325169393</v>
      </c>
      <c r="I323"/>
      <c r="J323"/>
      <c r="K323"/>
    </row>
    <row r="324" spans="2:11" ht="14.45" customHeight="1">
      <c r="B324" s="34" t="s">
        <v>101</v>
      </c>
      <c r="C324" s="3" t="s">
        <v>221</v>
      </c>
      <c r="D324" s="51">
        <f>SUMPRODUCT('Entry Tariff_1'!D$31:D$35,'Distance Matrix_Entry'!$AF$5:$AF$9)/SUMIFS('Entry Tariff_1'!D$31:D$35,'Distance Matrix_Entry'!$AF$5:$AF$9,"&gt;0")</f>
        <v>737.46115170442363</v>
      </c>
      <c r="E324" s="51">
        <f>SUMPRODUCT('Entry Tariff_1'!E$31:E$35,'Distance Matrix_Entry'!$AF$5:$AF$9)/SUMIFS('Entry Tariff_1'!E$31:E$35,'Distance Matrix_Entry'!$AF$5:$AF$9,"&gt;0")</f>
        <v>738.0181742560269</v>
      </c>
      <c r="F324" s="51">
        <f>SUMPRODUCT('Entry Tariff_1'!F$31:F$35,'Distance Matrix_Entry'!$AF$5:$AF$9)/SUMIFS('Entry Tariff_1'!F$31:F$35,'Distance Matrix_Entry'!$AF$5:$AF$9,"&gt;0")</f>
        <v>739.45695637082758</v>
      </c>
      <c r="G324" s="51">
        <f>SUMPRODUCT('Entry Tariff_1'!G$31:G$35,'Distance Matrix_Entry'!$AF$5:$AF$9)/SUMIFS('Entry Tariff_1'!G$31:G$35,'Distance Matrix_Entry'!$AF$5:$AF$9,"&gt;0")</f>
        <v>739.0109003945513</v>
      </c>
      <c r="I324"/>
      <c r="J324"/>
      <c r="K324"/>
    </row>
    <row r="325" spans="2:11" ht="14.45" customHeight="1">
      <c r="B325" s="34" t="s">
        <v>103</v>
      </c>
      <c r="C325" s="3" t="s">
        <v>221</v>
      </c>
      <c r="D325" s="51">
        <f>SUMPRODUCT('Entry Tariff_1'!D$31:D$35,'Distance Matrix_Entry'!$AG$5:$AG$9)/SUMIFS('Entry Tariff_1'!D$31:D$35,'Distance Matrix_Entry'!$AG$5:$AG$9,"&gt;0")</f>
        <v>737.74400884728095</v>
      </c>
      <c r="E325" s="51">
        <f>SUMPRODUCT('Entry Tariff_1'!E$31:E$35,'Distance Matrix_Entry'!$AG$5:$AG$9)/SUMIFS('Entry Tariff_1'!E$31:E$35,'Distance Matrix_Entry'!$AG$5:$AG$9,"&gt;0")</f>
        <v>738.30103139888422</v>
      </c>
      <c r="F325" s="51">
        <f>SUMPRODUCT('Entry Tariff_1'!F$31:F$35,'Distance Matrix_Entry'!$AG$5:$AG$9)/SUMIFS('Entry Tariff_1'!F$31:F$35,'Distance Matrix_Entry'!$AG$5:$AG$9,"&gt;0")</f>
        <v>739.73981351368479</v>
      </c>
      <c r="G325" s="51">
        <f>SUMPRODUCT('Entry Tariff_1'!G$31:G$35,'Distance Matrix_Entry'!$AG$5:$AG$9)/SUMIFS('Entry Tariff_1'!G$31:G$35,'Distance Matrix_Entry'!$AG$5:$AG$9,"&gt;0")</f>
        <v>739.29375753740862</v>
      </c>
      <c r="I325"/>
      <c r="J325"/>
      <c r="K325"/>
    </row>
    <row r="326" spans="2:11" ht="14.45" customHeight="1">
      <c r="B326" s="34" t="s">
        <v>104</v>
      </c>
      <c r="C326" s="3" t="s">
        <v>221</v>
      </c>
      <c r="D326" s="51">
        <f>SUMPRODUCT('Entry Tariff_1'!D$31:D$35,'Distance Matrix_Entry'!$AH$5:$AH$9)/SUMIFS('Entry Tariff_1'!D$31:D$35,'Distance Matrix_Entry'!$AH$5:$AH$9,"&gt;0")</f>
        <v>771.35258027585235</v>
      </c>
      <c r="E326" s="51">
        <f>SUMPRODUCT('Entry Tariff_1'!E$31:E$35,'Distance Matrix_Entry'!$AH$5:$AH$9)/SUMIFS('Entry Tariff_1'!E$31:E$35,'Distance Matrix_Entry'!$AH$5:$AH$9,"&gt;0")</f>
        <v>771.90960282745539</v>
      </c>
      <c r="F326" s="51">
        <f>SUMPRODUCT('Entry Tariff_1'!F$31:F$35,'Distance Matrix_Entry'!$AH$5:$AH$9)/SUMIFS('Entry Tariff_1'!F$31:F$35,'Distance Matrix_Entry'!$AH$5:$AH$9,"&gt;0")</f>
        <v>773.34838494225619</v>
      </c>
      <c r="G326" s="51">
        <f>SUMPRODUCT('Entry Tariff_1'!G$31:G$35,'Distance Matrix_Entry'!$AH$5:$AH$9)/SUMIFS('Entry Tariff_1'!G$31:G$35,'Distance Matrix_Entry'!$AH$5:$AH$9,"&gt;0")</f>
        <v>772.9023289659799</v>
      </c>
      <c r="I326"/>
      <c r="J326"/>
      <c r="K326"/>
    </row>
    <row r="327" spans="2:11" ht="14.45" customHeight="1">
      <c r="B327" s="34" t="s">
        <v>106</v>
      </c>
      <c r="C327" s="3" t="s">
        <v>221</v>
      </c>
      <c r="D327" s="51">
        <f>SUMPRODUCT('Entry Tariff_1'!D$31:D$35,'Distance Matrix_Entry'!$AI$5:$AI$9)/SUMIFS('Entry Tariff_1'!D$31:D$35,'Distance Matrix_Entry'!$AI$5:$AI$9,"&gt;0")</f>
        <v>687.12337411166993</v>
      </c>
      <c r="E327" s="51">
        <f>SUMPRODUCT('Entry Tariff_1'!E$31:E$35,'Distance Matrix_Entry'!$AI$5:$AI$9)/SUMIFS('Entry Tariff_1'!E$31:E$35,'Distance Matrix_Entry'!$AI$5:$AI$9,"&gt;0")</f>
        <v>687.57877766706042</v>
      </c>
      <c r="F327" s="51">
        <f>SUMPRODUCT('Entry Tariff_1'!F$31:F$35,'Distance Matrix_Entry'!$AI$5:$AI$9)/SUMIFS('Entry Tariff_1'!F$31:F$35,'Distance Matrix_Entry'!$AI$5:$AI$9,"&gt;0")</f>
        <v>689.10390785881884</v>
      </c>
      <c r="G327" s="51">
        <f>SUMPRODUCT('Entry Tariff_1'!G$31:G$35,'Distance Matrix_Entry'!$AI$5:$AI$9)/SUMIFS('Entry Tariff_1'!G$31:G$35,'Distance Matrix_Entry'!$AI$5:$AI$9,"&gt;0")</f>
        <v>688.71756412433137</v>
      </c>
      <c r="I327"/>
      <c r="J327"/>
      <c r="K327"/>
    </row>
    <row r="328" spans="2:11" ht="14.45" customHeight="1">
      <c r="B328" s="34" t="s">
        <v>108</v>
      </c>
      <c r="C328" s="3" t="s">
        <v>221</v>
      </c>
      <c r="D328" s="51">
        <f>SUMPRODUCT('Entry Tariff_1'!D$31:D$35,'Distance Matrix_Entry'!$AJ$5:$AJ$9)/SUMIFS('Entry Tariff_1'!D$31:D$35,'Distance Matrix_Entry'!$AJ$5:$AJ$9,"&gt;0")</f>
        <v>771.35515170442363</v>
      </c>
      <c r="E328" s="51">
        <f>SUMPRODUCT('Entry Tariff_1'!E$31:E$35,'Distance Matrix_Entry'!$AJ$5:$AJ$9)/SUMIFS('Entry Tariff_1'!E$31:E$35,'Distance Matrix_Entry'!$AJ$5:$AJ$9,"&gt;0")</f>
        <v>771.91217425602656</v>
      </c>
      <c r="F328" s="51">
        <f>SUMPRODUCT('Entry Tariff_1'!F$31:F$35,'Distance Matrix_Entry'!$AJ$5:$AJ$9)/SUMIFS('Entry Tariff_1'!F$31:F$35,'Distance Matrix_Entry'!$AJ$5:$AJ$9,"&gt;0")</f>
        <v>773.3509563708277</v>
      </c>
      <c r="G328" s="51">
        <f>SUMPRODUCT('Entry Tariff_1'!G$31:G$35,'Distance Matrix_Entry'!$AJ$5:$AJ$9)/SUMIFS('Entry Tariff_1'!G$31:G$35,'Distance Matrix_Entry'!$AJ$5:$AJ$9,"&gt;0")</f>
        <v>772.90490039455119</v>
      </c>
      <c r="I328"/>
      <c r="J328"/>
      <c r="K328"/>
    </row>
    <row r="329" spans="2:11" ht="14.45" customHeight="1">
      <c r="B329" s="34" t="s">
        <v>109</v>
      </c>
      <c r="C329" s="3" t="s">
        <v>221</v>
      </c>
      <c r="D329" s="51">
        <f>SUMPRODUCT('Entry Tariff_1'!D$31:D$35,'Distance Matrix_Entry'!$AK$5:$AK$9)/SUMIFS('Entry Tariff_1'!D$31:D$35,'Distance Matrix_Entry'!$AK$5:$AK$9,"&gt;0")</f>
        <v>746.64009304172839</v>
      </c>
      <c r="E329" s="51">
        <f>SUMPRODUCT('Entry Tariff_1'!E$31:E$35,'Distance Matrix_Entry'!$AK$5:$AK$9)/SUMIFS('Entry Tariff_1'!E$31:E$35,'Distance Matrix_Entry'!$AK$5:$AK$9,"&gt;0")</f>
        <v>747.08462783823893</v>
      </c>
      <c r="F329" s="51">
        <f>SUMPRODUCT('Entry Tariff_1'!F$31:F$35,'Distance Matrix_Entry'!$AK$5:$AK$9)/SUMIFS('Entry Tariff_1'!F$31:F$35,'Distance Matrix_Entry'!$AK$5:$AK$9,"&gt;0")</f>
        <v>748.7284316048341</v>
      </c>
      <c r="G329" s="51">
        <f>SUMPRODUCT('Entry Tariff_1'!G$31:G$35,'Distance Matrix_Entry'!$AK$5:$AK$9)/SUMIFS('Entry Tariff_1'!G$31:G$35,'Distance Matrix_Entry'!$AK$5:$AK$9,"&gt;0")</f>
        <v>748.34167815830722</v>
      </c>
      <c r="I329"/>
      <c r="J329"/>
      <c r="K329"/>
    </row>
    <row r="330" spans="2:11" ht="14.45" customHeight="1">
      <c r="B330" s="34" t="s">
        <v>111</v>
      </c>
      <c r="C330" s="3" t="s">
        <v>221</v>
      </c>
      <c r="D330" s="51">
        <f>SUMPRODUCT('Entry Tariff_1'!D$31:D$35,'Distance Matrix_Entry'!$AL$5:$AL$9)/SUMIFS('Entry Tariff_1'!D$31:D$35,'Distance Matrix_Entry'!$AL$5:$AL$9,"&gt;0")</f>
        <v>772.1486644703001</v>
      </c>
      <c r="E330" s="51">
        <f>SUMPRODUCT('Entry Tariff_1'!E$31:E$35,'Distance Matrix_Entry'!$AL$5:$AL$9)/SUMIFS('Entry Tariff_1'!E$31:E$35,'Distance Matrix_Entry'!$AL$5:$AL$9,"&gt;0")</f>
        <v>772.5931992668103</v>
      </c>
      <c r="F330" s="51">
        <f>SUMPRODUCT('Entry Tariff_1'!F$31:F$35,'Distance Matrix_Entry'!$AL$5:$AL$9)/SUMIFS('Entry Tariff_1'!F$31:F$35,'Distance Matrix_Entry'!$AL$5:$AL$9,"&gt;0")</f>
        <v>774.2370030334057</v>
      </c>
      <c r="G330" s="51">
        <f>SUMPRODUCT('Entry Tariff_1'!G$31:G$35,'Distance Matrix_Entry'!$AL$5:$AL$9)/SUMIFS('Entry Tariff_1'!G$31:G$35,'Distance Matrix_Entry'!$AL$5:$AL$9,"&gt;0")</f>
        <v>773.85024958687836</v>
      </c>
      <c r="I330"/>
      <c r="J330"/>
      <c r="K330"/>
    </row>
    <row r="331" spans="2:11" ht="14.45" customHeight="1">
      <c r="B331" s="34" t="s">
        <v>113</v>
      </c>
      <c r="C331" s="3" t="s">
        <v>221</v>
      </c>
      <c r="D331" s="51">
        <f>SUMPRODUCT('Entry Tariff_1'!D$31:D$35,'Distance Matrix_Entry'!$AM$5:$AM$9)/SUMIFS('Entry Tariff_1'!D$31:D$35,'Distance Matrix_Entry'!$AM$5:$AM$9,"&gt;0")</f>
        <v>761.453317931784</v>
      </c>
      <c r="E331" s="51">
        <f>SUMPRODUCT('Entry Tariff_1'!E$31:E$35,'Distance Matrix_Entry'!$AM$5:$AM$9)/SUMIFS('Entry Tariff_1'!E$31:E$35,'Distance Matrix_Entry'!$AM$5:$AM$9,"&gt;0")</f>
        <v>761.8918080709492</v>
      </c>
      <c r="F331" s="51">
        <f>SUMPRODUCT('Entry Tariff_1'!F$31:F$35,'Distance Matrix_Entry'!$AM$5:$AM$9)/SUMIFS('Entry Tariff_1'!F$31:F$35,'Distance Matrix_Entry'!$AM$5:$AM$9,"&gt;0")</f>
        <v>763.60161211445904</v>
      </c>
      <c r="G331" s="51">
        <f>SUMPRODUCT('Entry Tariff_1'!G$31:G$35,'Distance Matrix_Entry'!$AM$5:$AM$9)/SUMIFS('Entry Tariff_1'!G$31:G$35,'Distance Matrix_Entry'!$AM$5:$AM$9,"&gt;0")</f>
        <v>763.21463080669093</v>
      </c>
      <c r="I331"/>
      <c r="J331"/>
      <c r="K331"/>
    </row>
    <row r="332" spans="2:11" ht="14.45" customHeight="1">
      <c r="B332" s="34" t="s">
        <v>115</v>
      </c>
      <c r="C332" s="3" t="s">
        <v>221</v>
      </c>
      <c r="D332" s="51">
        <f>SUMPRODUCT('Entry Tariff_1'!D$31:D$35,'Distance Matrix_Entry'!$AN$5:$AN$9)/SUMIFS('Entry Tariff_1'!D$31:D$35,'Distance Matrix_Entry'!$AN$5:$AN$9,"&gt;0")</f>
        <v>775.8850767834557</v>
      </c>
      <c r="E332" s="51">
        <f>SUMPRODUCT('Entry Tariff_1'!E$31:E$35,'Distance Matrix_Entry'!$AN$5:$AN$9)/SUMIFS('Entry Tariff_1'!E$31:E$35,'Distance Matrix_Entry'!$AN$5:$AN$9,"&gt;0")</f>
        <v>776.32028304627477</v>
      </c>
      <c r="F332" s="51">
        <f>SUMPRODUCT('Entry Tariff_1'!F$31:F$35,'Distance Matrix_Entry'!$AN$5:$AN$9)/SUMIFS('Entry Tariff_1'!F$31:F$35,'Distance Matrix_Entry'!$AN$5:$AN$9,"&gt;0")</f>
        <v>778.0659430094546</v>
      </c>
      <c r="G332" s="51">
        <f>SUMPRODUCT('Entry Tariff_1'!G$31:G$35,'Distance Matrix_Entry'!$AN$5:$AN$9)/SUMIFS('Entry Tariff_1'!G$31:G$35,'Distance Matrix_Entry'!$AN$5:$AN$9,"&gt;0")</f>
        <v>777.67883791168504</v>
      </c>
      <c r="I332"/>
      <c r="J332"/>
      <c r="K332"/>
    </row>
    <row r="333" spans="2:11" ht="14.45" customHeight="1">
      <c r="B333" s="34" t="s">
        <v>117</v>
      </c>
      <c r="C333" s="3" t="s">
        <v>221</v>
      </c>
      <c r="D333" s="51">
        <f>SUMPRODUCT('Entry Tariff_1'!D$31:D$35,'Distance Matrix_Entry'!$AO$5:$AO$9)/SUMIFS('Entry Tariff_1'!D$31:D$35,'Distance Matrix_Entry'!$AO$5:$AO$9,"&gt;0")</f>
        <v>810.77672738767421</v>
      </c>
      <c r="E333" s="51">
        <f>SUMPRODUCT('Entry Tariff_1'!E$31:E$35,'Distance Matrix_Entry'!$AO$5:$AO$9)/SUMIFS('Entry Tariff_1'!E$31:E$35,'Distance Matrix_Entry'!$AO$5:$AO$9,"&gt;0")</f>
        <v>811.20399422555715</v>
      </c>
      <c r="F333" s="51">
        <f>SUMPRODUCT('Entry Tariff_1'!F$31:F$35,'Distance Matrix_Entry'!$AO$5:$AO$9)/SUMIFS('Entry Tariff_1'!F$31:F$35,'Distance Matrix_Entry'!$AO$5:$AO$9,"&gt;0")</f>
        <v>813.03634301399234</v>
      </c>
      <c r="G333" s="51">
        <f>SUMPRODUCT('Entry Tariff_1'!G$31:G$35,'Distance Matrix_Entry'!$AO$5:$AO$9)/SUMIFS('Entry Tariff_1'!G$31:G$35,'Distance Matrix_Entry'!$AO$5:$AO$9,"&gt;0")</f>
        <v>812.64893862924635</v>
      </c>
      <c r="I333"/>
      <c r="J333"/>
      <c r="K333"/>
    </row>
    <row r="334" spans="2:11" ht="14.45" customHeight="1">
      <c r="B334" s="34" t="s">
        <v>119</v>
      </c>
      <c r="C334" s="3" t="s">
        <v>221</v>
      </c>
      <c r="D334" s="51">
        <f>SUMPRODUCT('Entry Tariff_1'!D$31:D$35,'Distance Matrix_Entry'!$AP$5:$AP$9)/SUMIFS('Entry Tariff_1'!D$31:D$35,'Distance Matrix_Entry'!$AP$5:$AP$9,"&gt;0")</f>
        <v>828.91221196234142</v>
      </c>
      <c r="E334" s="51">
        <f>SUMPRODUCT('Entry Tariff_1'!E$31:E$35,'Distance Matrix_Entry'!$AP$5:$AP$9)/SUMIFS('Entry Tariff_1'!E$31:E$35,'Distance Matrix_Entry'!$AP$5:$AP$9,"&gt;0")</f>
        <v>829.33535215915208</v>
      </c>
      <c r="F334" s="51">
        <f>SUMPRODUCT('Entry Tariff_1'!F$31:F$35,'Distance Matrix_Entry'!$AP$5:$AP$9)/SUMIFS('Entry Tariff_1'!F$31:F$35,'Distance Matrix_Entry'!$AP$5:$AP$9,"&gt;0")</f>
        <v>831.21275882894236</v>
      </c>
      <c r="G334" s="51">
        <f>SUMPRODUCT('Entry Tariff_1'!G$31:G$35,'Distance Matrix_Entry'!$AP$5:$AP$9)/SUMIFS('Entry Tariff_1'!G$31:G$35,'Distance Matrix_Entry'!$AP$5:$AP$9,"&gt;0")</f>
        <v>830.82519888507977</v>
      </c>
      <c r="I334"/>
      <c r="J334"/>
      <c r="K334"/>
    </row>
    <row r="335" spans="2:11" ht="14.45" customHeight="1">
      <c r="B335" s="34" t="s">
        <v>121</v>
      </c>
      <c r="C335" s="3" t="s">
        <v>221</v>
      </c>
      <c r="D335" s="51">
        <f>SUMPRODUCT('Entry Tariff_1'!D$31:D$35,'Distance Matrix_Entry'!$AQ$5:$AQ$9)/SUMIFS('Entry Tariff_1'!D$31:D$35,'Distance Matrix_Entry'!$AQ$5:$AQ$9,"&gt;0")</f>
        <v>841.27499299633951</v>
      </c>
      <c r="E335" s="51">
        <f>SUMPRODUCT('Entry Tariff_1'!E$31:E$35,'Distance Matrix_Entry'!$AQ$5:$AQ$9)/SUMIFS('Entry Tariff_1'!E$31:E$35,'Distance Matrix_Entry'!$AQ$5:$AQ$9,"&gt;0")</f>
        <v>841.69532010261662</v>
      </c>
      <c r="F335" s="51">
        <f>SUMPRODUCT('Entry Tariff_1'!F$31:F$35,'Distance Matrix_Entry'!$AQ$5:$AQ$9)/SUMIFS('Entry Tariff_1'!F$31:F$35,'Distance Matrix_Entry'!$AQ$5:$AQ$9,"&gt;0")</f>
        <v>843.60344228589429</v>
      </c>
      <c r="G335" s="51">
        <f>SUMPRODUCT('Entry Tariff_1'!G$31:G$35,'Distance Matrix_Entry'!$AQ$5:$AQ$9)/SUMIFS('Entry Tariff_1'!G$31:G$35,'Distance Matrix_Entry'!$AQ$5:$AQ$9,"&gt;0")</f>
        <v>843.21577629891533</v>
      </c>
      <c r="I335"/>
      <c r="J335"/>
      <c r="K335"/>
    </row>
    <row r="336" spans="2:11" ht="14.45" customHeight="1">
      <c r="B336" s="34" t="s">
        <v>123</v>
      </c>
      <c r="C336" s="3" t="s">
        <v>221</v>
      </c>
      <c r="D336" s="51">
        <f>SUMPRODUCT('Entry Tariff_1'!D$31:D$35,'Distance Matrix_Entry'!$AR$5:$AR$9)/SUMIFS('Entry Tariff_1'!D$31:D$35,'Distance Matrix_Entry'!$AR$5:$AR$9,"&gt;0")</f>
        <v>854.02091807064812</v>
      </c>
      <c r="E336" s="51">
        <f>SUMPRODUCT('Entry Tariff_1'!E$31:E$35,'Distance Matrix_Entry'!$AR$5:$AR$9)/SUMIFS('Entry Tariff_1'!E$31:E$35,'Distance Matrix_Entry'!$AR$5:$AR$9,"&gt;0")</f>
        <v>854.43834490383347</v>
      </c>
      <c r="F336" s="51">
        <f>SUMPRODUCT('Entry Tariff_1'!F$31:F$35,'Distance Matrix_Entry'!$AR$5:$AR$9)/SUMIFS('Entry Tariff_1'!F$31:F$35,'Distance Matrix_Entry'!$AR$5:$AR$9,"&gt;0")</f>
        <v>856.37813452766932</v>
      </c>
      <c r="G336" s="51">
        <f>SUMPRODUCT('Entry Tariff_1'!G$31:G$35,'Distance Matrix_Entry'!$AR$5:$AR$9)/SUMIFS('Entry Tariff_1'!G$31:G$35,'Distance Matrix_Entry'!$AR$5:$AR$9,"&gt;0")</f>
        <v>855.99035921111397</v>
      </c>
      <c r="I336"/>
      <c r="J336"/>
      <c r="K336"/>
    </row>
    <row r="337" spans="2:11" ht="14.45" customHeight="1">
      <c r="B337" s="34" t="s">
        <v>125</v>
      </c>
      <c r="C337" s="3" t="s">
        <v>221</v>
      </c>
      <c r="D337" s="51">
        <f>SUMPRODUCT('Entry Tariff_1'!D$31:D$35,'Distance Matrix_Entry'!$AS$5:$AS$9)/SUMIFS('Entry Tariff_1'!D$31:D$35,'Distance Matrix_Entry'!$AS$5:$AS$9,"&gt;0")</f>
        <v>895.73253259238197</v>
      </c>
      <c r="E337" s="51">
        <f>SUMPRODUCT('Entry Tariff_1'!E$31:E$35,'Distance Matrix_Entry'!$AS$5:$AS$9)/SUMIFS('Entry Tariff_1'!E$31:E$35,'Distance Matrix_Entry'!$AS$5:$AS$9,"&gt;0")</f>
        <v>896.14046815110169</v>
      </c>
      <c r="F337" s="51">
        <f>SUMPRODUCT('Entry Tariff_1'!F$31:F$35,'Distance Matrix_Entry'!$AS$5:$AS$9)/SUMIFS('Entry Tariff_1'!F$31:F$35,'Distance Matrix_Entry'!$AS$5:$AS$9,"&gt;0")</f>
        <v>898.18389090205426</v>
      </c>
      <c r="G337" s="51">
        <f>SUMPRODUCT('Entry Tariff_1'!G$31:G$35,'Distance Matrix_Entry'!$AS$5:$AS$9)/SUMIFS('Entry Tariff_1'!G$31:G$35,'Distance Matrix_Entry'!$AS$5:$AS$9,"&gt;0")</f>
        <v>897.79575779953075</v>
      </c>
      <c r="I337"/>
      <c r="J337"/>
      <c r="K337"/>
    </row>
    <row r="338" spans="2:11" ht="14.45" customHeight="1">
      <c r="B338" s="34" t="s">
        <v>127</v>
      </c>
      <c r="C338" s="3" t="s">
        <v>221</v>
      </c>
      <c r="D338" s="51">
        <f>SUMPRODUCT('Entry Tariff_1'!D$31:D$35,'Distance Matrix_Entry'!$AT$5:$AT$9)/SUMIFS('Entry Tariff_1'!D$31:D$35,'Distance Matrix_Entry'!$AT$5:$AT$9,"&gt;0")</f>
        <v>913.81693129500775</v>
      </c>
      <c r="E338" s="51">
        <f>SUMPRODUCT('Entry Tariff_1'!E$31:E$35,'Distance Matrix_Entry'!$AT$5:$AT$9)/SUMIFS('Entry Tariff_1'!E$31:E$35,'Distance Matrix_Entry'!$AT$5:$AT$9,"&gt;0")</f>
        <v>914.2207518369961</v>
      </c>
      <c r="F338" s="51">
        <f>SUMPRODUCT('Entry Tariff_1'!F$31:F$35,'Distance Matrix_Entry'!$AT$5:$AT$9)/SUMIFS('Entry Tariff_1'!F$31:F$35,'Distance Matrix_Entry'!$AT$5:$AT$9,"&gt;0")</f>
        <v>916.30910554569448</v>
      </c>
      <c r="G338" s="51">
        <f>SUMPRODUCT('Entry Tariff_1'!G$31:G$35,'Distance Matrix_Entry'!$AT$5:$AT$9)/SUMIFS('Entry Tariff_1'!G$31:G$35,'Distance Matrix_Entry'!$AT$5:$AT$9,"&gt;0")</f>
        <v>915.92081732224915</v>
      </c>
      <c r="I338"/>
      <c r="J338"/>
      <c r="K338"/>
    </row>
    <row r="339" spans="2:11" ht="14.45" customHeight="1">
      <c r="B339" s="34" t="s">
        <v>129</v>
      </c>
      <c r="C339" s="3" t="s">
        <v>221</v>
      </c>
      <c r="D339" s="51">
        <f>SUMPRODUCT('Entry Tariff_1'!D$31:D$35,'Distance Matrix_Entry'!$AU$5:$AU$9)/SUMIFS('Entry Tariff_1'!D$31:D$35,'Distance Matrix_Entry'!$AU$5:$AU$9,"&gt;0")</f>
        <v>946.68789038331283</v>
      </c>
      <c r="E339" s="51">
        <f>SUMPRODUCT('Entry Tariff_1'!E$31:E$35,'Distance Matrix_Entry'!$AU$5:$AU$9)/SUMIFS('Entry Tariff_1'!E$31:E$35,'Distance Matrix_Entry'!$AU$5:$AU$9,"&gt;0")</f>
        <v>947.08840961244368</v>
      </c>
      <c r="F339" s="51">
        <f>SUMPRODUCT('Entry Tariff_1'!F$31:F$35,'Distance Matrix_Entry'!$AU$5:$AU$9)/SUMIFS('Entry Tariff_1'!F$31:F$35,'Distance Matrix_Entry'!$AU$5:$AU$9,"&gt;0")</f>
        <v>949.21280962622609</v>
      </c>
      <c r="G339" s="51">
        <f>SUMPRODUCT('Entry Tariff_1'!G$31:G$35,'Distance Matrix_Entry'!$AU$5:$AU$9)/SUMIFS('Entry Tariff_1'!G$31:G$35,'Distance Matrix_Entry'!$AU$5:$AU$9,"&gt;0")</f>
        <v>948.82439695548726</v>
      </c>
      <c r="I339"/>
      <c r="J339"/>
      <c r="K339"/>
    </row>
    <row r="340" spans="2:11" ht="14.45" customHeight="1">
      <c r="B340" s="34" t="s">
        <v>131</v>
      </c>
      <c r="C340" s="3" t="s">
        <v>221</v>
      </c>
      <c r="D340" s="51">
        <f>SUMPRODUCT('Entry Tariff_1'!D$31:D$35,'Distance Matrix_Entry'!$AV$5:$AV$9)/SUMIFS('Entry Tariff_1'!D$31:D$35,'Distance Matrix_Entry'!$AV$5:$AV$9,"&gt;0")</f>
        <v>946.68531895474121</v>
      </c>
      <c r="E340" s="51">
        <f>SUMPRODUCT('Entry Tariff_1'!E$31:E$35,'Distance Matrix_Entry'!$AV$5:$AV$9)/SUMIFS('Entry Tariff_1'!E$31:E$35,'Distance Matrix_Entry'!$AV$5:$AV$9,"&gt;0")</f>
        <v>947.08583818387194</v>
      </c>
      <c r="F340" s="51">
        <f>SUMPRODUCT('Entry Tariff_1'!F$31:F$35,'Distance Matrix_Entry'!$AV$5:$AV$9)/SUMIFS('Entry Tariff_1'!F$31:F$35,'Distance Matrix_Entry'!$AV$5:$AV$9,"&gt;0")</f>
        <v>949.21023819765458</v>
      </c>
      <c r="G340" s="51">
        <f>SUMPRODUCT('Entry Tariff_1'!G$31:G$35,'Distance Matrix_Entry'!$AV$5:$AV$9)/SUMIFS('Entry Tariff_1'!G$31:G$35,'Distance Matrix_Entry'!$AV$5:$AV$9,"&gt;0")</f>
        <v>948.82182552691597</v>
      </c>
      <c r="I340"/>
      <c r="J340"/>
      <c r="K340"/>
    </row>
    <row r="341" spans="2:11" ht="14.45" customHeight="1">
      <c r="B341" s="34" t="s">
        <v>132</v>
      </c>
      <c r="C341" s="3" t="s">
        <v>221</v>
      </c>
      <c r="D341" s="51">
        <f>SUMPRODUCT('Entry Tariff_1'!D$31:D$35,'Distance Matrix_Entry'!$AW$5:$AW$9)/SUMIFS('Entry Tariff_1'!D$31:D$35,'Distance Matrix_Entry'!$AW$5:$AW$9,"&gt;0")</f>
        <v>958.10838235482856</v>
      </c>
      <c r="E341" s="51">
        <f>SUMPRODUCT('Entry Tariff_1'!E$31:E$35,'Distance Matrix_Entry'!$AW$5:$AW$9)/SUMIFS('Entry Tariff_1'!E$31:E$35,'Distance Matrix_Entry'!$AW$5:$AW$9,"&gt;0")</f>
        <v>958.50212459312786</v>
      </c>
      <c r="F341" s="51">
        <f>SUMPRODUCT('Entry Tariff_1'!F$31:F$35,'Distance Matrix_Entry'!$AW$5:$AW$9)/SUMIFS('Entry Tariff_1'!F$31:F$35,'Distance Matrix_Entry'!$AW$5:$AW$9,"&gt;0")</f>
        <v>960.70052107122058</v>
      </c>
      <c r="G341" s="51">
        <f>SUMPRODUCT('Entry Tariff_1'!G$31:G$35,'Distance Matrix_Entry'!$AW$5:$AW$9)/SUMIFS('Entry Tariff_1'!G$31:G$35,'Distance Matrix_Entry'!$AW$5:$AW$9,"&gt;0")</f>
        <v>960.31185293297494</v>
      </c>
      <c r="I341"/>
      <c r="J341"/>
      <c r="K341"/>
    </row>
    <row r="342" spans="2:11" ht="14.45" customHeight="1">
      <c r="B342" s="34" t="s">
        <v>134</v>
      </c>
      <c r="C342" s="3" t="s">
        <v>221</v>
      </c>
      <c r="D342" s="51">
        <f>SUMPRODUCT('Entry Tariff_1'!D$31:D$35,'Distance Matrix_Entry'!$AX$5:$AX$9)/SUMIFS('Entry Tariff_1'!D$31:D$35,'Distance Matrix_Entry'!$AX$5:$AX$9,"&gt;0")</f>
        <v>980.48656573749611</v>
      </c>
      <c r="E342" s="51">
        <f>SUMPRODUCT('Entry Tariff_1'!E$31:E$35,'Distance Matrix_Entry'!$AX$5:$AX$9)/SUMIFS('Entry Tariff_1'!E$31:E$35,'Distance Matrix_Entry'!$AX$5:$AX$9,"&gt;0")</f>
        <v>980.87521651441648</v>
      </c>
      <c r="F342" s="51">
        <f>SUMPRODUCT('Entry Tariff_1'!F$31:F$35,'Distance Matrix_Entry'!$AX$5:$AX$9)/SUMIFS('Entry Tariff_1'!F$31:F$35,'Distance Matrix_Entry'!$AX$5:$AX$9,"&gt;0")</f>
        <v>983.12920553344861</v>
      </c>
      <c r="G342" s="51">
        <f>SUMPRODUCT('Entry Tariff_1'!G$31:G$35,'Distance Matrix_Entry'!$AX$5:$AX$9)/SUMIFS('Entry Tariff_1'!G$31:G$35,'Distance Matrix_Entry'!$AX$5:$AX$9,"&gt;0")</f>
        <v>982.74034546592657</v>
      </c>
      <c r="I342"/>
      <c r="J342"/>
      <c r="K342"/>
    </row>
    <row r="343" spans="2:11" ht="14.45" customHeight="1">
      <c r="B343" s="34" t="s">
        <v>136</v>
      </c>
      <c r="C343" s="3" t="s">
        <v>221</v>
      </c>
      <c r="D343" s="51">
        <f>SUMPRODUCT('Entry Tariff_1'!D$31:D$35,'Distance Matrix_Entry'!$AY$5:$AY$9)/SUMIFS('Entry Tariff_1'!D$31:D$35,'Distance Matrix_Entry'!$AY$5:$AY$9,"&gt;0")</f>
        <v>980.48399430892448</v>
      </c>
      <c r="E343" s="51">
        <f>SUMPRODUCT('Entry Tariff_1'!E$31:E$35,'Distance Matrix_Entry'!$AY$5:$AY$9)/SUMIFS('Entry Tariff_1'!E$31:E$35,'Distance Matrix_Entry'!$AY$5:$AY$9,"&gt;0")</f>
        <v>980.87264508584485</v>
      </c>
      <c r="F343" s="51">
        <f>SUMPRODUCT('Entry Tariff_1'!F$31:F$35,'Distance Matrix_Entry'!$AY$5:$AY$9)/SUMIFS('Entry Tariff_1'!F$31:F$35,'Distance Matrix_Entry'!$AY$5:$AY$9,"&gt;0")</f>
        <v>983.1266341048771</v>
      </c>
      <c r="G343" s="51">
        <f>SUMPRODUCT('Entry Tariff_1'!G$31:G$35,'Distance Matrix_Entry'!$AY$5:$AY$9)/SUMIFS('Entry Tariff_1'!G$31:G$35,'Distance Matrix_Entry'!$AY$5:$AY$9,"&gt;0")</f>
        <v>982.73777403735505</v>
      </c>
      <c r="I343"/>
      <c r="J343"/>
      <c r="K343"/>
    </row>
    <row r="344" spans="2:11" ht="14.45" customHeight="1">
      <c r="B344" s="34" t="s">
        <v>137</v>
      </c>
      <c r="C344" s="3" t="s">
        <v>221</v>
      </c>
      <c r="D344" s="51">
        <f>SUMPRODUCT('Entry Tariff_1'!D$31:D$35,'Distance Matrix_Entry'!$AZ$5:$AZ$9)/SUMIFS('Entry Tariff_1'!D$31:D$35,'Distance Matrix_Entry'!$AZ$5:$AZ$9,"&gt;0")</f>
        <v>1014.0984981121102</v>
      </c>
      <c r="E344" s="51">
        <f>SUMPRODUCT('Entry Tariff_1'!E$31:E$35,'Distance Matrix_Entry'!$AZ$5:$AZ$9)/SUMIFS('Entry Tariff_1'!E$31:E$35,'Distance Matrix_Entry'!$AZ$5:$AZ$9,"&gt;0")</f>
        <v>1014.4795000726207</v>
      </c>
      <c r="F344" s="51">
        <f>SUMPRODUCT('Entry Tariff_1'!F$31:F$35,'Distance Matrix_Entry'!$AZ$5:$AZ$9)/SUMIFS('Entry Tariff_1'!F$31:F$35,'Distance Matrix_Entry'!$AZ$5:$AZ$9,"&gt;0")</f>
        <v>1016.8170048266717</v>
      </c>
      <c r="G344" s="51">
        <f>SUMPRODUCT('Entry Tariff_1'!G$31:G$35,'Distance Matrix_Entry'!$AZ$5:$AZ$9)/SUMIFS('Entry Tariff_1'!G$31:G$35,'Distance Matrix_Entry'!$AZ$5:$AZ$9,"&gt;0")</f>
        <v>1016.4278564270405</v>
      </c>
      <c r="I344"/>
      <c r="J344"/>
      <c r="K344"/>
    </row>
    <row r="345" spans="2:11" ht="14.45" customHeight="1">
      <c r="B345" s="34" t="s">
        <v>139</v>
      </c>
      <c r="C345" s="3" t="s">
        <v>221</v>
      </c>
      <c r="D345" s="51">
        <f>SUMPRODUCT('Entry Tariff_1'!D$31:D$35,'Distance Matrix_Entry'!$BA$5:$BA$9)/SUMIFS('Entry Tariff_1'!D$31:D$35,'Distance Matrix_Entry'!$BA$5:$BA$9,"&gt;0")</f>
        <v>1058.9518937643852</v>
      </c>
      <c r="E345" s="51">
        <f>SUMPRODUCT('Entry Tariff_1'!E$31:E$35,'Distance Matrix_Entry'!$BA$5:$BA$9)/SUMIFS('Entry Tariff_1'!E$31:E$35,'Distance Matrix_Entry'!$BA$5:$BA$9,"&gt;0")</f>
        <v>1059.3226895534553</v>
      </c>
      <c r="F345" s="51">
        <f>SUMPRODUCT('Entry Tariff_1'!F$31:F$35,'Distance Matrix_Entry'!$BA$5:$BA$9)/SUMIFS('Entry Tariff_1'!F$31:F$35,'Distance Matrix_Entry'!$BA$5:$BA$9,"&gt;0")</f>
        <v>1061.7716332366044</v>
      </c>
      <c r="G345" s="51">
        <f>SUMPRODUCT('Entry Tariff_1'!G$31:G$35,'Distance Matrix_Entry'!$BA$5:$BA$9)/SUMIFS('Entry Tariff_1'!G$31:G$35,'Distance Matrix_Entry'!$BA$5:$BA$9,"&gt;0")</f>
        <v>1061.3821001020315</v>
      </c>
      <c r="I345"/>
      <c r="J345"/>
      <c r="K345"/>
    </row>
    <row r="346" spans="2:11" ht="14.45" customHeight="1">
      <c r="B346" s="34" t="s">
        <v>141</v>
      </c>
      <c r="C346" s="3" t="s">
        <v>221</v>
      </c>
      <c r="D346" s="51">
        <f>SUMPRODUCT('Entry Tariff_1'!D$31:D$35,'Distance Matrix_Entry'!$BB$5:$BB$9)/SUMIFS('Entry Tariff_1'!D$31:D$35,'Distance Matrix_Entry'!$BB$5:$BB$9,"&gt;0")</f>
        <v>1095.8527978395341</v>
      </c>
      <c r="E346" s="51">
        <f>SUMPRODUCT('Entry Tariff_1'!E$31:E$35,'Distance Matrix_Entry'!$BB$5:$BB$9)/SUMIFS('Entry Tariff_1'!E$31:E$35,'Distance Matrix_Entry'!$BB$5:$BB$9,"&gt;0")</f>
        <v>1096.2201353871421</v>
      </c>
      <c r="F346" s="51">
        <f>SUMPRODUCT('Entry Tariff_1'!F$31:F$35,'Distance Matrix_Entry'!$BB$5:$BB$9)/SUMIFS('Entry Tariff_1'!F$31:F$35,'Distance Matrix_Entry'!$BB$5:$BB$9,"&gt;0")</f>
        <v>1098.7068388441032</v>
      </c>
      <c r="G346" s="51">
        <f>SUMPRODUCT('Entry Tariff_1'!G$31:G$35,'Distance Matrix_Entry'!$BB$5:$BB$9)/SUMIFS('Entry Tariff_1'!G$31:G$35,'Distance Matrix_Entry'!$BB$5:$BB$9,"&gt;0")</f>
        <v>1098.3171753466086</v>
      </c>
      <c r="I346"/>
      <c r="J346"/>
      <c r="K346"/>
    </row>
    <row r="347" spans="2:11" ht="14.45" customHeight="1">
      <c r="B347" s="34" t="s">
        <v>143</v>
      </c>
      <c r="C347" s="3" t="s">
        <v>221</v>
      </c>
      <c r="D347" s="51">
        <f>SUMPRODUCT('Entry Tariff_1'!D$31:D$35,'Distance Matrix_Entry'!$BC$5:$BC$9)/SUMIFS('Entry Tariff_1'!D$31:D$35,'Distance Matrix_Entry'!$BC$5:$BC$9,"&gt;0")</f>
        <v>1088.8070835538197</v>
      </c>
      <c r="E347" s="51">
        <f>SUMPRODUCT('Entry Tariff_1'!E$31:E$35,'Distance Matrix_Entry'!$BC$5:$BC$9)/SUMIFS('Entry Tariff_1'!E$31:E$35,'Distance Matrix_Entry'!$BC$5:$BC$9,"&gt;0")</f>
        <v>1089.1744211014277</v>
      </c>
      <c r="F347" s="51">
        <f>SUMPRODUCT('Entry Tariff_1'!F$31:F$35,'Distance Matrix_Entry'!$BC$5:$BC$9)/SUMIFS('Entry Tariff_1'!F$31:F$35,'Distance Matrix_Entry'!$BC$5:$BC$9,"&gt;0")</f>
        <v>1091.6611245583888</v>
      </c>
      <c r="G347" s="51">
        <f>SUMPRODUCT('Entry Tariff_1'!G$31:G$35,'Distance Matrix_Entry'!$BC$5:$BC$9)/SUMIFS('Entry Tariff_1'!G$31:G$35,'Distance Matrix_Entry'!$BC$5:$BC$9,"&gt;0")</f>
        <v>1091.2714610608941</v>
      </c>
      <c r="I347"/>
      <c r="J347"/>
      <c r="K347"/>
    </row>
    <row r="348" spans="2:11" ht="14.45" customHeight="1">
      <c r="B348" s="34" t="s">
        <v>145</v>
      </c>
      <c r="C348" s="3" t="s">
        <v>221</v>
      </c>
      <c r="D348" s="51">
        <f>SUMPRODUCT('Entry Tariff_1'!D$31:D$35,'Distance Matrix_Entry'!$BD$5:$BD$9)/SUMIFS('Entry Tariff_1'!D$31:D$35,'Distance Matrix_Entry'!$BD$5:$BD$9,"&gt;0")</f>
        <v>1100.8091673573733</v>
      </c>
      <c r="E348" s="51">
        <f>SUMPRODUCT('Entry Tariff_1'!E$31:E$35,'Distance Matrix_Entry'!$BD$5:$BD$9)/SUMIFS('Entry Tariff_1'!E$31:E$35,'Distance Matrix_Entry'!$BD$5:$BD$9,"&gt;0")</f>
        <v>1101.1745403913442</v>
      </c>
      <c r="F348" s="51">
        <f>SUMPRODUCT('Entry Tariff_1'!F$31:F$35,'Distance Matrix_Entry'!$BD$5:$BD$9)/SUMIFS('Entry Tariff_1'!F$31:F$35,'Distance Matrix_Entry'!$BD$5:$BD$9,"&gt;0")</f>
        <v>1103.6826939383027</v>
      </c>
      <c r="G348" s="51">
        <f>SUMPRODUCT('Entry Tariff_1'!G$31:G$35,'Distance Matrix_Entry'!$BD$5:$BD$9)/SUMIFS('Entry Tariff_1'!G$31:G$35,'Distance Matrix_Entry'!$BD$5:$BD$9,"&gt;0")</f>
        <v>1103.2929563859045</v>
      </c>
      <c r="I348"/>
      <c r="J348"/>
      <c r="K348"/>
    </row>
    <row r="349" spans="2:11" ht="14.45" customHeight="1">
      <c r="B349" s="34" t="s">
        <v>147</v>
      </c>
      <c r="C349" s="3" t="s">
        <v>221</v>
      </c>
      <c r="D349" s="51">
        <f>SUMPRODUCT('Entry Tariff_1'!D$31:D$35,'Distance Matrix_Entry'!$BE$5:$BE$9)/SUMIFS('Entry Tariff_1'!D$31:D$35,'Distance Matrix_Entry'!$BE$5:$BE$9,"&gt;0")</f>
        <v>1116.9343585312788</v>
      </c>
      <c r="E349" s="51">
        <f>SUMPRODUCT('Entry Tariff_1'!E$31:E$35,'Distance Matrix_Entry'!$BE$5:$BE$9)/SUMIFS('Entry Tariff_1'!E$31:E$35,'Distance Matrix_Entry'!$BE$5:$BE$9,"&gt;0")</f>
        <v>1117.2919606932589</v>
      </c>
      <c r="F349" s="51">
        <f>SUMPRODUCT('Entry Tariff_1'!F$31:F$35,'Distance Matrix_Entry'!$BE$5:$BE$9)/SUMIFS('Entry Tariff_1'!F$31:F$35,'Distance Matrix_Entry'!$BE$5:$BE$9,"&gt;0")</f>
        <v>1119.8849626731353</v>
      </c>
      <c r="G349" s="51">
        <f>SUMPRODUCT('Entry Tariff_1'!G$31:G$35,'Distance Matrix_Entry'!$BE$5:$BE$9)/SUMIFS('Entry Tariff_1'!G$31:G$35,'Distance Matrix_Entry'!$BE$5:$BE$9,"&gt;0")</f>
        <v>1119.4949321875836</v>
      </c>
      <c r="I349"/>
      <c r="J349"/>
      <c r="K349"/>
    </row>
    <row r="350" spans="2:11" ht="14.45" customHeight="1">
      <c r="B350" s="34" t="s">
        <v>149</v>
      </c>
      <c r="C350" s="3" t="s">
        <v>221</v>
      </c>
      <c r="D350" s="51">
        <f>SUMPRODUCT('Entry Tariff_1'!D$31:D$35,'Distance Matrix_Entry'!$BF$5:$BF$9)/SUMIFS('Entry Tariff_1'!D$31:D$35,'Distance Matrix_Entry'!$BF$5:$BF$9,"&gt;0")</f>
        <v>1141.1746048148827</v>
      </c>
      <c r="E350" s="51">
        <f>SUMPRODUCT('Entry Tariff_1'!E$31:E$35,'Distance Matrix_Entry'!$BF$5:$BF$9)/SUMIFS('Entry Tariff_1'!E$31:E$35,'Distance Matrix_Entry'!$BF$5:$BF$9,"&gt;0")</f>
        <v>1141.5266912270354</v>
      </c>
      <c r="F350" s="51">
        <f>SUMPRODUCT('Entry Tariff_1'!F$31:F$35,'Distance Matrix_Entry'!$BF$5:$BF$9)/SUMIFS('Entry Tariff_1'!F$31:F$35,'Distance Matrix_Entry'!$BF$5:$BF$9,"&gt;0")</f>
        <v>1144.1799184595964</v>
      </c>
      <c r="G350" s="51">
        <f>SUMPRODUCT('Entry Tariff_1'!G$31:G$35,'Distance Matrix_Entry'!$BF$5:$BF$9)/SUMIFS('Entry Tariff_1'!G$31:G$35,'Distance Matrix_Entry'!$BF$5:$BF$9,"&gt;0")</f>
        <v>1143.7896800506621</v>
      </c>
      <c r="I350"/>
      <c r="J350"/>
      <c r="K350"/>
    </row>
    <row r="351" spans="2:11" ht="14.45" customHeight="1">
      <c r="B351" s="34" t="s">
        <v>151</v>
      </c>
      <c r="C351" s="3" t="s">
        <v>221</v>
      </c>
      <c r="D351" s="51">
        <f>SUMPRODUCT('Entry Tariff_1'!D$31:D$35,'Distance Matrix_Entry'!$BG$5:$BG$9)/SUMIFS('Entry Tariff_1'!D$31:D$35,'Distance Matrix_Entry'!$BG$5:$BG$9,"&gt;0")</f>
        <v>1221.5563216682351</v>
      </c>
      <c r="E351" s="51">
        <f>SUMPRODUCT('Entry Tariff_1'!E$31:E$35,'Distance Matrix_Entry'!$BG$5:$BG$9)/SUMIFS('Entry Tariff_1'!E$31:E$35,'Distance Matrix_Entry'!$BG$5:$BG$9,"&gt;0")</f>
        <v>1221.9040082673009</v>
      </c>
      <c r="F351" s="51">
        <f>SUMPRODUCT('Entry Tariff_1'!F$31:F$35,'Distance Matrix_Entry'!$BG$5:$BG$9)/SUMIFS('Entry Tariff_1'!F$31:F$35,'Distance Matrix_Entry'!$BG$5:$BG$9,"&gt;0")</f>
        <v>1224.6052760860393</v>
      </c>
      <c r="G351" s="51">
        <f>SUMPRODUCT('Entry Tariff_1'!G$31:G$35,'Distance Matrix_Entry'!$BG$5:$BG$9)/SUMIFS('Entry Tariff_1'!G$31:G$35,'Distance Matrix_Entry'!$BG$5:$BG$9,"&gt;0")</f>
        <v>1224.214871820413</v>
      </c>
      <c r="I351"/>
      <c r="J351"/>
      <c r="K351"/>
    </row>
    <row r="352" spans="2:11" ht="14.45" customHeight="1">
      <c r="B352" s="34" t="s">
        <v>153</v>
      </c>
      <c r="C352" s="3" t="s">
        <v>221</v>
      </c>
      <c r="D352" s="51">
        <f>SUMPRODUCT('Entry Tariff_1'!D$31:D$35,'Distance Matrix_Entry'!$BH$5:$BH$9)/SUMIFS('Entry Tariff_1'!D$31:D$35,'Distance Matrix_Entry'!$BH$5:$BH$9,"&gt;0")</f>
        <v>1167.4838289161603</v>
      </c>
      <c r="E352" s="51">
        <f>SUMPRODUCT('Entry Tariff_1'!E$31:E$35,'Distance Matrix_Entry'!$BH$5:$BH$9)/SUMIFS('Entry Tariff_1'!E$31:E$35,'Distance Matrix_Entry'!$BH$5:$BH$9,"&gt;0")</f>
        <v>1167.8299287926732</v>
      </c>
      <c r="F352" s="51">
        <f>SUMPRODUCT('Entry Tariff_1'!F$31:F$35,'Distance Matrix_Entry'!$BH$5:$BH$9)/SUMIFS('Entry Tariff_1'!F$31:F$35,'Distance Matrix_Entry'!$BH$5:$BH$9,"&gt;0")</f>
        <v>1170.5485216841014</v>
      </c>
      <c r="G352" s="51">
        <f>SUMPRODUCT('Entry Tariff_1'!G$31:G$35,'Distance Matrix_Entry'!$BH$5:$BH$9)/SUMIFS('Entry Tariff_1'!G$31:G$35,'Distance Matrix_Entry'!$BH$5:$BH$9,"&gt;0")</f>
        <v>1170.1580576048993</v>
      </c>
      <c r="I352"/>
      <c r="J352"/>
      <c r="K352"/>
    </row>
    <row r="353" spans="2:11" ht="14.45" customHeight="1">
      <c r="B353" s="34" t="s">
        <v>155</v>
      </c>
      <c r="C353" s="3" t="s">
        <v>221</v>
      </c>
      <c r="D353" s="51">
        <f>SUMPRODUCT('Entry Tariff_1'!D$31:D$35,'Distance Matrix_Entry'!$BI$5:$BI$9)/SUMIFS('Entry Tariff_1'!D$31:D$35,'Distance Matrix_Entry'!$BI$5:$BI$9,"&gt;0")</f>
        <v>1190.7023577589382</v>
      </c>
      <c r="E353" s="51">
        <f>SUMPRODUCT('Entry Tariff_1'!E$31:E$35,'Distance Matrix_Entry'!$BI$5:$BI$9)/SUMIFS('Entry Tariff_1'!E$31:E$35,'Distance Matrix_Entry'!$BI$5:$BI$9,"&gt;0")</f>
        <v>1191.0431743724444</v>
      </c>
      <c r="F353" s="51">
        <f>SUMPRODUCT('Entry Tariff_1'!F$31:F$35,'Distance Matrix_Entry'!$BI$5:$BI$9)/SUMIFS('Entry Tariff_1'!F$31:F$35,'Distance Matrix_Entry'!$BI$5:$BI$9,"&gt;0")</f>
        <v>1193.8194540443683</v>
      </c>
      <c r="G353" s="51">
        <f>SUMPRODUCT('Entry Tariff_1'!G$31:G$35,'Distance Matrix_Entry'!$BI$5:$BI$9)/SUMIFS('Entry Tariff_1'!G$31:G$35,'Distance Matrix_Entry'!$BI$5:$BI$9,"&gt;0")</f>
        <v>1193.4287908056776</v>
      </c>
      <c r="I353"/>
      <c r="J353"/>
      <c r="K353"/>
    </row>
    <row r="354" spans="2:11" ht="14.45" customHeight="1">
      <c r="B354" s="34" t="s">
        <v>157</v>
      </c>
      <c r="C354" s="3" t="s">
        <v>221</v>
      </c>
      <c r="D354" s="51">
        <f>SUMPRODUCT('Entry Tariff_1'!D$31:D$35,'Distance Matrix_Entry'!$BJ$5:$BJ$9)/SUMIFS('Entry Tariff_1'!D$31:D$35,'Distance Matrix_Entry'!$BJ$5:$BJ$9,"&gt;0")</f>
        <v>1226.9059036569861</v>
      </c>
      <c r="E354" s="51">
        <f>SUMPRODUCT('Entry Tariff_1'!E$31:E$35,'Distance Matrix_Entry'!$BJ$5:$BJ$9)/SUMIFS('Entry Tariff_1'!E$31:E$35,'Distance Matrix_Entry'!$BJ$5:$BJ$9,"&gt;0")</f>
        <v>1227.2422855843822</v>
      </c>
      <c r="F354" s="51">
        <f>SUMPRODUCT('Entry Tariff_1'!F$31:F$35,'Distance Matrix_Entry'!$BJ$5:$BJ$9)/SUMIFS('Entry Tariff_1'!F$31:F$35,'Distance Matrix_Entry'!$BJ$5:$BJ$9,"&gt;0")</f>
        <v>1230.0669866133119</v>
      </c>
      <c r="G354" s="51">
        <f>SUMPRODUCT('Entry Tariff_1'!G$31:G$35,'Distance Matrix_Entry'!$BJ$5:$BJ$9)/SUMIFS('Entry Tariff_1'!G$31:G$35,'Distance Matrix_Entry'!$BJ$5:$BJ$9,"&gt;0")</f>
        <v>1229.676156203345</v>
      </c>
      <c r="I354"/>
      <c r="J354"/>
      <c r="K354"/>
    </row>
    <row r="355" spans="2:11" ht="14.45" customHeight="1">
      <c r="B355" s="34" t="s">
        <v>159</v>
      </c>
      <c r="C355" s="3" t="s">
        <v>221</v>
      </c>
      <c r="D355" s="51">
        <f>SUMPRODUCT('Entry Tariff_1'!D$31:D$35,'Distance Matrix_Entry'!$BK$5:$BK$9)/SUMIFS('Entry Tariff_1'!D$31:D$35,'Distance Matrix_Entry'!$BK$5:$BK$9,"&gt;0")</f>
        <v>1246.9223599404063</v>
      </c>
      <c r="E355" s="51">
        <f>SUMPRODUCT('Entry Tariff_1'!E$31:E$35,'Distance Matrix_Entry'!$BK$5:$BK$9)/SUMIFS('Entry Tariff_1'!E$31:E$35,'Distance Matrix_Entry'!$BK$5:$BK$9,"&gt;0")</f>
        <v>1247.2503839665887</v>
      </c>
      <c r="F355" s="51">
        <f>SUMPRODUCT('Entry Tariff_1'!F$31:F$35,'Distance Matrix_Entry'!$BK$5:$BK$9)/SUMIFS('Entry Tariff_1'!F$31:F$35,'Distance Matrix_Entry'!$BK$5:$BK$9,"&gt;0")</f>
        <v>1250.166343070714</v>
      </c>
      <c r="G355" s="51">
        <f>SUMPRODUCT('Entry Tariff_1'!G$31:G$35,'Distance Matrix_Entry'!$BK$5:$BK$9)/SUMIFS('Entry Tariff_1'!G$31:G$35,'Distance Matrix_Entry'!$BK$5:$BK$9,"&gt;0")</f>
        <v>1249.7751975987615</v>
      </c>
      <c r="I355"/>
      <c r="J355"/>
      <c r="K355"/>
    </row>
    <row r="356" spans="2:11" ht="14.45" customHeight="1">
      <c r="B356" s="34" t="s">
        <v>161</v>
      </c>
      <c r="C356" s="3" t="s">
        <v>221</v>
      </c>
      <c r="D356" s="51">
        <f>SUMPRODUCT('Entry Tariff_1'!D$31:D$35,'Distance Matrix_Entry'!$BL$5:$BL$9)/SUMIFS('Entry Tariff_1'!D$31:D$35,'Distance Matrix_Entry'!$BL$5:$BL$9,"&gt;0")</f>
        <v>1317.679737249483</v>
      </c>
      <c r="E356" s="51">
        <f>SUMPRODUCT('Entry Tariff_1'!E$31:E$35,'Distance Matrix_Entry'!$BL$5:$BL$9)/SUMIFS('Entry Tariff_1'!E$31:E$35,'Distance Matrix_Entry'!$BL$5:$BL$9,"&gt;0")</f>
        <v>1318.0031173514169</v>
      </c>
      <c r="F356" s="51">
        <f>SUMPRODUCT('Entry Tariff_1'!F$31:F$35,'Distance Matrix_Entry'!$BL$5:$BL$9)/SUMIFS('Entry Tariff_1'!F$31:F$35,'Distance Matrix_Entry'!$BL$5:$BL$9,"&gt;0")</f>
        <v>1320.9697824375176</v>
      </c>
      <c r="G356" s="51">
        <f>SUMPRODUCT('Entry Tariff_1'!G$31:G$35,'Distance Matrix_Entry'!$BL$5:$BL$9)/SUMIFS('Entry Tariff_1'!G$31:G$35,'Distance Matrix_Entry'!$BL$5:$BL$9,"&gt;0")</f>
        <v>1320.5784619067849</v>
      </c>
      <c r="I356"/>
      <c r="J356"/>
      <c r="K356"/>
    </row>
    <row r="357" spans="2:11" ht="14.45" customHeight="1">
      <c r="B357" s="34" t="s">
        <v>163</v>
      </c>
      <c r="C357" s="3" t="s">
        <v>221</v>
      </c>
      <c r="D357" s="51">
        <f>SUMPRODUCT('Entry Tariff_1'!D$31:D$35,'Distance Matrix_Entry'!$BM$5:$BM$9)/SUMIFS('Entry Tariff_1'!D$31:D$35,'Distance Matrix_Entry'!$BM$5:$BM$9,"&gt;0")</f>
        <v>1311.9802179850215</v>
      </c>
      <c r="E357" s="51">
        <f>SUMPRODUCT('Entry Tariff_1'!E$31:E$35,'Distance Matrix_Entry'!$BM$5:$BM$9)/SUMIFS('Entry Tariff_1'!E$31:E$35,'Distance Matrix_Entry'!$BM$5:$BM$9,"&gt;0")</f>
        <v>1312.2934384128791</v>
      </c>
      <c r="F357" s="51">
        <f>SUMPRODUCT('Entry Tariff_1'!F$31:F$35,'Distance Matrix_Entry'!$BM$5:$BM$9)/SUMIFS('Entry Tariff_1'!F$31:F$35,'Distance Matrix_Entry'!$BM$5:$BM$9,"&gt;0")</f>
        <v>1315.3710347336403</v>
      </c>
      <c r="G357" s="51">
        <f>SUMPRODUCT('Entry Tariff_1'!G$31:G$35,'Distance Matrix_Entry'!$BM$5:$BM$9)/SUMIFS('Entry Tariff_1'!G$31:G$35,'Distance Matrix_Entry'!$BM$5:$BM$9,"&gt;0")</f>
        <v>1314.9793312207444</v>
      </c>
      <c r="I357"/>
      <c r="J357"/>
      <c r="K357"/>
    </row>
    <row r="358" spans="2:11" ht="14.45" customHeight="1">
      <c r="B358" s="34" t="s">
        <v>165</v>
      </c>
      <c r="C358" s="3" t="s">
        <v>221</v>
      </c>
      <c r="D358" s="51">
        <f>SUMPRODUCT('Entry Tariff_1'!D$31:D$35,'Distance Matrix_Entry'!$BN$5:$BN$9)/SUMIFS('Entry Tariff_1'!D$31:D$35,'Distance Matrix_Entry'!$BN$5:$BN$9,"&gt;0")</f>
        <v>1388.2003390706645</v>
      </c>
      <c r="E358" s="51">
        <f>SUMPRODUCT('Entry Tariff_1'!E$31:E$35,'Distance Matrix_Entry'!$BN$5:$BN$9)/SUMIFS('Entry Tariff_1'!E$31:E$35,'Distance Matrix_Entry'!$BN$5:$BN$9,"&gt;0")</f>
        <v>1388.496215981678</v>
      </c>
      <c r="F358" s="51">
        <f>SUMPRODUCT('Entry Tariff_1'!F$31:F$35,'Distance Matrix_Entry'!$BN$5:$BN$9)/SUMIFS('Entry Tariff_1'!F$31:F$35,'Distance Matrix_Entry'!$BN$5:$BN$9,"&gt;0")</f>
        <v>1391.7631823277402</v>
      </c>
      <c r="G358" s="51">
        <f>SUMPRODUCT('Entry Tariff_1'!G$31:G$35,'Distance Matrix_Entry'!$BN$5:$BN$9)/SUMIFS('Entry Tariff_1'!G$31:G$35,'Distance Matrix_Entry'!$BN$5:$BN$9,"&gt;0")</f>
        <v>1391.3708250283596</v>
      </c>
      <c r="I358"/>
      <c r="J358"/>
      <c r="K358"/>
    </row>
    <row r="359" spans="2:11" ht="14.45" customHeight="1">
      <c r="B359" s="34" t="s">
        <v>167</v>
      </c>
      <c r="C359" s="3" t="s">
        <v>221</v>
      </c>
      <c r="D359" s="51">
        <f>SUMPRODUCT('Entry Tariff_1'!D$31:D$35,'Distance Matrix_Entry'!$BO$5:$BO$9)/SUMIFS('Entry Tariff_1'!D$31:D$35,'Distance Matrix_Entry'!$BO$5:$BO$9,"&gt;0")</f>
        <v>1179.2372976573904</v>
      </c>
      <c r="E359" s="51">
        <f>SUMPRODUCT('Entry Tariff_1'!E$31:E$35,'Distance Matrix_Entry'!$BO$5:$BO$9)/SUMIFS('Entry Tariff_1'!E$31:E$35,'Distance Matrix_Entry'!$BO$5:$BO$9,"&gt;0")</f>
        <v>1177.9829303599472</v>
      </c>
      <c r="F359" s="51">
        <f>SUMPRODUCT('Entry Tariff_1'!F$31:F$35,'Distance Matrix_Entry'!$BO$5:$BO$9)/SUMIFS('Entry Tariff_1'!F$31:F$35,'Distance Matrix_Entry'!$BO$5:$BO$9,"&gt;0")</f>
        <v>1198.1766704172828</v>
      </c>
      <c r="G359" s="51">
        <f>SUMPRODUCT('Entry Tariff_1'!G$31:G$35,'Distance Matrix_Entry'!$BO$5:$BO$9)/SUMIFS('Entry Tariff_1'!G$31:G$35,'Distance Matrix_Entry'!$BO$5:$BO$9,"&gt;0")</f>
        <v>1197.7258746408434</v>
      </c>
      <c r="I359"/>
      <c r="J359"/>
      <c r="K359"/>
    </row>
    <row r="360" spans="2:11" ht="14.45" customHeight="1">
      <c r="B360" s="34" t="s">
        <v>169</v>
      </c>
      <c r="C360" s="3" t="s">
        <v>221</v>
      </c>
      <c r="D360" s="51">
        <f>SUMPRODUCT('Entry Tariff_1'!D$31:D$35,'Distance Matrix_Entry'!$BP$5:$BP$9)/SUMIFS('Entry Tariff_1'!D$31:D$35,'Distance Matrix_Entry'!$BP$5:$BP$9,"&gt;0")</f>
        <v>937.13994792162521</v>
      </c>
      <c r="E360" s="51">
        <f>SUMPRODUCT('Entry Tariff_1'!E$31:E$35,'Distance Matrix_Entry'!$BP$5:$BP$9)/SUMIFS('Entry Tariff_1'!E$31:E$35,'Distance Matrix_Entry'!$BP$5:$BP$9,"&gt;0")</f>
        <v>936.69073595716009</v>
      </c>
      <c r="F360" s="51">
        <f>SUMPRODUCT('Entry Tariff_1'!F$31:F$35,'Distance Matrix_Entry'!$BP$5:$BP$9)/SUMIFS('Entry Tariff_1'!F$31:F$35,'Distance Matrix_Entry'!$BP$5:$BP$9,"&gt;0")</f>
        <v>948.0931629753004</v>
      </c>
      <c r="G360" s="51">
        <f>SUMPRODUCT('Entry Tariff_1'!G$31:G$35,'Distance Matrix_Entry'!$BP$5:$BP$9)/SUMIFS('Entry Tariff_1'!G$31:G$35,'Distance Matrix_Entry'!$BP$5:$BP$9,"&gt;0")</f>
        <v>947.67271857911317</v>
      </c>
      <c r="I360"/>
      <c r="J360"/>
      <c r="K360"/>
    </row>
    <row r="361" spans="2:11" ht="14.45" customHeight="1">
      <c r="B361" s="34" t="s">
        <v>171</v>
      </c>
      <c r="C361" s="3" t="s">
        <v>221</v>
      </c>
      <c r="D361" s="51">
        <f>SUMPRODUCT('Entry Tariff_1'!D$31:D$35,'Distance Matrix_Entry'!$BQ$5:$BQ$9)/SUMIFS('Entry Tariff_1'!D$31:D$35,'Distance Matrix_Entry'!$BQ$5:$BQ$9,"&gt;0")</f>
        <v>884.23823452898705</v>
      </c>
      <c r="E361" s="51">
        <f>SUMPRODUCT('Entry Tariff_1'!E$31:E$35,'Distance Matrix_Entry'!$BQ$5:$BQ$9)/SUMIFS('Entry Tariff_1'!E$31:E$35,'Distance Matrix_Entry'!$BQ$5:$BQ$9,"&gt;0")</f>
        <v>883.96496045359095</v>
      </c>
      <c r="F361" s="51">
        <f>SUMPRODUCT('Entry Tariff_1'!F$31:F$35,'Distance Matrix_Entry'!$BQ$5:$BQ$9)/SUMIFS('Entry Tariff_1'!F$31:F$35,'Distance Matrix_Entry'!$BQ$5:$BQ$9,"&gt;0")</f>
        <v>893.4463605656041</v>
      </c>
      <c r="G361" s="51">
        <f>SUMPRODUCT('Entry Tariff_1'!G$31:G$35,'Distance Matrix_Entry'!$BQ$5:$BQ$9)/SUMIFS('Entry Tariff_1'!G$31:G$35,'Distance Matrix_Entry'!$BQ$5:$BQ$9,"&gt;0")</f>
        <v>893.03254837758004</v>
      </c>
      <c r="I361"/>
      <c r="J361"/>
      <c r="K361"/>
    </row>
    <row r="362" spans="2:11" ht="14.45" customHeight="1">
      <c r="B362" s="34" t="s">
        <v>173</v>
      </c>
      <c r="C362" s="3" t="s">
        <v>221</v>
      </c>
      <c r="D362" s="51">
        <f>SUMPRODUCT('Entry Tariff_1'!D$31:D$35,'Distance Matrix_Entry'!$BR$5:$BR$9)/SUMIFS('Entry Tariff_1'!D$31:D$35,'Distance Matrix_Entry'!$BR$5:$BR$9,"&gt;0")</f>
        <v>897.24966310041555</v>
      </c>
      <c r="E362" s="51">
        <f>SUMPRODUCT('Entry Tariff_1'!E$31:E$35,'Distance Matrix_Entry'!$BR$5:$BR$9)/SUMIFS('Entry Tariff_1'!E$31:E$35,'Distance Matrix_Entry'!$BR$5:$BR$9,"&gt;0")</f>
        <v>896.97638902501956</v>
      </c>
      <c r="F362" s="51">
        <f>SUMPRODUCT('Entry Tariff_1'!F$31:F$35,'Distance Matrix_Entry'!$BR$5:$BR$9)/SUMIFS('Entry Tariff_1'!F$31:F$35,'Distance Matrix_Entry'!$BR$5:$BR$9,"&gt;0")</f>
        <v>906.45778913703271</v>
      </c>
      <c r="G362" s="51">
        <f>SUMPRODUCT('Entry Tariff_1'!G$31:G$35,'Distance Matrix_Entry'!$BR$5:$BR$9)/SUMIFS('Entry Tariff_1'!G$31:G$35,'Distance Matrix_Entry'!$BR$5:$BR$9,"&gt;0")</f>
        <v>906.04397694900877</v>
      </c>
      <c r="I362"/>
      <c r="J362"/>
      <c r="K362"/>
    </row>
    <row r="363" spans="2:11" ht="14.45" customHeight="1">
      <c r="B363" s="34" t="s">
        <v>175</v>
      </c>
      <c r="C363" s="3" t="s">
        <v>221</v>
      </c>
      <c r="D363" s="51">
        <f>SUMPRODUCT('Entry Tariff_1'!D$31:D$35,'Distance Matrix_Entry'!$BS$5:$BS$9)/SUMIFS('Entry Tariff_1'!D$31:D$35,'Distance Matrix_Entry'!$BS$5:$BS$9,"&gt;0")</f>
        <v>837.65943508766009</v>
      </c>
      <c r="E363" s="51">
        <f>SUMPRODUCT('Entry Tariff_1'!E$31:E$35,'Distance Matrix_Entry'!$BS$5:$BS$9)/SUMIFS('Entry Tariff_1'!E$31:E$35,'Distance Matrix_Entry'!$BS$5:$BS$9,"&gt;0")</f>
        <v>837.54107046837669</v>
      </c>
      <c r="F363" s="51">
        <f>SUMPRODUCT('Entry Tariff_1'!F$31:F$35,'Distance Matrix_Entry'!$BS$5:$BS$9)/SUMIFS('Entry Tariff_1'!F$31:F$35,'Distance Matrix_Entry'!$BS$5:$BS$9,"&gt;0")</f>
        <v>845.33104848376013</v>
      </c>
      <c r="G363" s="51">
        <f>SUMPRODUCT('Entry Tariff_1'!G$31:G$35,'Distance Matrix_Entry'!$BS$5:$BS$9)/SUMIFS('Entry Tariff_1'!G$31:G$35,'Distance Matrix_Entry'!$BS$5:$BS$9,"&gt;0")</f>
        <v>844.92307580969646</v>
      </c>
      <c r="I363"/>
      <c r="J363"/>
      <c r="K363"/>
    </row>
    <row r="364" spans="2:11" ht="14.45" customHeight="1">
      <c r="B364" s="34" t="s">
        <v>177</v>
      </c>
      <c r="C364" s="3" t="s">
        <v>221</v>
      </c>
      <c r="D364" s="51">
        <f>SUMPRODUCT('Entry Tariff_1'!D$31:D$35,'Distance Matrix_Entry'!$BT$5:$BT$9)/SUMIFS('Entry Tariff_1'!D$31:D$35,'Distance Matrix_Entry'!$BT$5:$BT$9,"&gt;0")</f>
        <v>795.08514781549718</v>
      </c>
      <c r="E364" s="51">
        <f>SUMPRODUCT('Entry Tariff_1'!E$31:E$35,'Distance Matrix_Entry'!$BT$5:$BT$9)/SUMIFS('Entry Tariff_1'!E$31:E$35,'Distance Matrix_Entry'!$BT$5:$BT$9,"&gt;0")</f>
        <v>795.10837464478743</v>
      </c>
      <c r="F364" s="51">
        <f>SUMPRODUCT('Entry Tariff_1'!F$31:F$35,'Distance Matrix_Entry'!$BT$5:$BT$9)/SUMIFS('Entry Tariff_1'!F$31:F$35,'Distance Matrix_Entry'!$BT$5:$BT$9,"&gt;0")</f>
        <v>801.35234694288908</v>
      </c>
      <c r="G364" s="51">
        <f>SUMPRODUCT('Entry Tariff_1'!G$31:G$35,'Distance Matrix_Entry'!$BT$5:$BT$9)/SUMIFS('Entry Tariff_1'!G$31:G$35,'Distance Matrix_Entry'!$BT$5:$BT$9,"&gt;0")</f>
        <v>800.94971174312411</v>
      </c>
      <c r="I364"/>
      <c r="J364"/>
      <c r="K364"/>
    </row>
    <row r="365" spans="2:11" ht="14.45" customHeight="1">
      <c r="B365" s="34" t="s">
        <v>179</v>
      </c>
      <c r="C365" s="3" t="s">
        <v>221</v>
      </c>
      <c r="D365" s="51">
        <f>SUMPRODUCT('Entry Tariff_1'!D$31:D$35,'Distance Matrix_Entry'!$BU$5:$BU$9)/SUMIFS('Entry Tariff_1'!D$31:D$35,'Distance Matrix_Entry'!$BU$5:$BU$9,"&gt;0")</f>
        <v>750.49689535884261</v>
      </c>
      <c r="E365" s="51">
        <f>SUMPRODUCT('Entry Tariff_1'!E$31:E$35,'Distance Matrix_Entry'!$BU$5:$BU$9)/SUMIFS('Entry Tariff_1'!E$31:E$35,'Distance Matrix_Entry'!$BU$5:$BU$9,"&gt;0")</f>
        <v>750.66841158201839</v>
      </c>
      <c r="F365" s="51">
        <f>SUMPRODUCT('Entry Tariff_1'!F$31:F$35,'Distance Matrix_Entry'!$BU$5:$BU$9)/SUMIFS('Entry Tariff_1'!F$31:F$35,'Distance Matrix_Entry'!$BU$5:$BU$9,"&gt;0")</f>
        <v>755.29324477907278</v>
      </c>
      <c r="G365" s="51">
        <f>SUMPRODUCT('Entry Tariff_1'!G$31:G$35,'Distance Matrix_Entry'!$BU$5:$BU$9)/SUMIFS('Entry Tariff_1'!G$31:G$35,'Distance Matrix_Entry'!$BU$5:$BU$9,"&gt;0")</f>
        <v>754.89619954138948</v>
      </c>
      <c r="I365"/>
      <c r="J365"/>
      <c r="K365"/>
    </row>
    <row r="366" spans="2:11" ht="14.45" customHeight="1">
      <c r="B366" s="34" t="s">
        <v>181</v>
      </c>
      <c r="C366" s="3" t="s">
        <v>221</v>
      </c>
      <c r="D366" s="51">
        <f>SUMPRODUCT('Entry Tariff_1'!D$31:D$35,'Distance Matrix_Entry'!$BV$5:$BV$9)/SUMIFS('Entry Tariff_1'!D$31:D$35,'Distance Matrix_Entry'!$BV$5:$BV$9,"&gt;0")</f>
        <v>672.67821735807354</v>
      </c>
      <c r="E366" s="51">
        <f>SUMPRODUCT('Entry Tariff_1'!E$31:E$35,'Distance Matrix_Entry'!$BV$5:$BV$9)/SUMIFS('Entry Tariff_1'!E$31:E$35,'Distance Matrix_Entry'!$BV$5:$BV$9,"&gt;0")</f>
        <v>673.10853907278397</v>
      </c>
      <c r="F366" s="51">
        <f>SUMPRODUCT('Entry Tariff_1'!F$31:F$35,'Distance Matrix_Entry'!$BV$5:$BV$9)/SUMIFS('Entry Tariff_1'!F$31:F$35,'Distance Matrix_Entry'!$BV$5:$BV$9,"&gt;0")</f>
        <v>674.90753233665544</v>
      </c>
      <c r="G366" s="51">
        <f>SUMPRODUCT('Entry Tariff_1'!G$31:G$35,'Distance Matrix_Entry'!$BV$5:$BV$9)/SUMIFS('Entry Tariff_1'!G$31:G$35,'Distance Matrix_Entry'!$BV$5:$BV$9,"&gt;0")</f>
        <v>674.52024310947525</v>
      </c>
      <c r="I366"/>
      <c r="J366"/>
      <c r="K366"/>
    </row>
    <row r="367" spans="2:11" ht="14.45" customHeight="1">
      <c r="B367" s="34" t="s">
        <v>183</v>
      </c>
      <c r="C367" s="3" t="s">
        <v>221</v>
      </c>
      <c r="D367" s="51">
        <f>SUMPRODUCT('Entry Tariff_1'!D$31:D$35,'Distance Matrix_Entry'!$BW$5:$BW$9)/SUMIFS('Entry Tariff_1'!D$31:D$35,'Distance Matrix_Entry'!$BW$5:$BW$9,"&gt;0")</f>
        <v>1120.0622062046341</v>
      </c>
      <c r="E367" s="51">
        <f>SUMPRODUCT('Entry Tariff_1'!E$31:E$35,'Distance Matrix_Entry'!$BW$5:$BW$9)/SUMIFS('Entry Tariff_1'!E$31:E$35,'Distance Matrix_Entry'!$BW$5:$BW$9,"&gt;0")</f>
        <v>1119.1922698148694</v>
      </c>
      <c r="F367" s="51">
        <f>SUMPRODUCT('Entry Tariff_1'!F$31:F$35,'Distance Matrix_Entry'!$BW$5:$BW$9)/SUMIFS('Entry Tariff_1'!F$31:F$35,'Distance Matrix_Entry'!$BW$5:$BW$9,"&gt;0")</f>
        <v>1135.1884937993213</v>
      </c>
      <c r="G367" s="51">
        <f>SUMPRODUCT('Entry Tariff_1'!G$31:G$35,'Distance Matrix_Entry'!$BW$5:$BW$9)/SUMIFS('Entry Tariff_1'!G$31:G$35,'Distance Matrix_Entry'!$BW$5:$BW$9,"&gt;0")</f>
        <v>1134.7521896472704</v>
      </c>
      <c r="I367"/>
      <c r="J367"/>
      <c r="K367"/>
    </row>
    <row r="368" spans="2:11" ht="14.45" customHeight="1">
      <c r="B368" s="34" t="s">
        <v>185</v>
      </c>
      <c r="C368" s="3" t="s">
        <v>221</v>
      </c>
      <c r="D368" s="51">
        <f>SUMPRODUCT('Entry Tariff_1'!D$31:D$35,'Distance Matrix_Entry'!$BX$5:$BX$9)/SUMIFS('Entry Tariff_1'!D$31:D$35,'Distance Matrix_Entry'!$BX$5:$BX$9,"&gt;0")</f>
        <v>1222.2108237849379</v>
      </c>
      <c r="E368" s="51">
        <f>SUMPRODUCT('Entry Tariff_1'!E$31:E$35,'Distance Matrix_Entry'!$BX$5:$BX$9)/SUMIFS('Entry Tariff_1'!E$31:E$35,'Distance Matrix_Entry'!$BX$5:$BX$9,"&gt;0")</f>
        <v>1221.329065440327</v>
      </c>
      <c r="F368" s="51">
        <f>SUMPRODUCT('Entry Tariff_1'!F$31:F$35,'Distance Matrix_Entry'!$BX$5:$BX$9)/SUMIFS('Entry Tariff_1'!F$31:F$35,'Distance Matrix_Entry'!$BX$5:$BX$9,"&gt;0")</f>
        <v>1237.4543707355908</v>
      </c>
      <c r="G368" s="51">
        <f>SUMPRODUCT('Entry Tariff_1'!G$31:G$35,'Distance Matrix_Entry'!$BX$5:$BX$9)/SUMIFS('Entry Tariff_1'!G$31:G$35,'Distance Matrix_Entry'!$BX$5:$BX$9,"&gt;0")</f>
        <v>1237.0176209395352</v>
      </c>
      <c r="I368"/>
      <c r="J368"/>
      <c r="K368"/>
    </row>
    <row r="369" spans="2:11" ht="14.45" customHeight="1">
      <c r="B369" s="34" t="s">
        <v>187</v>
      </c>
      <c r="C369" s="3" t="s">
        <v>221</v>
      </c>
      <c r="D369" s="51">
        <f>SUMPRODUCT('Entry Tariff_1'!D$31:D$35,'Distance Matrix_Entry'!$BY$5:$BY$9)/SUMIFS('Entry Tariff_1'!D$31:D$35,'Distance Matrix_Entry'!$BY$5:$BY$9,"&gt;0")</f>
        <v>1285.7361056683135</v>
      </c>
      <c r="E369" s="51">
        <f>SUMPRODUCT('Entry Tariff_1'!E$31:E$35,'Distance Matrix_Entry'!$BY$5:$BY$9)/SUMIFS('Entry Tariff_1'!E$31:E$35,'Distance Matrix_Entry'!$BY$5:$BY$9,"&gt;0")</f>
        <v>1284.8398924556091</v>
      </c>
      <c r="F369" s="51">
        <f>SUMPRODUCT('Entry Tariff_1'!F$31:F$35,'Distance Matrix_Entry'!$BY$5:$BY$9)/SUMIFS('Entry Tariff_1'!F$31:F$35,'Distance Matrix_Entry'!$BY$5:$BY$9,"&gt;0")</f>
        <v>1301.1230272592259</v>
      </c>
      <c r="G369" s="51">
        <f>SUMPRODUCT('Entry Tariff_1'!G$31:G$35,'Distance Matrix_Entry'!$BY$5:$BY$9)/SUMIFS('Entry Tariff_1'!G$31:G$35,'Distance Matrix_Entry'!$BY$5:$BY$9,"&gt;0")</f>
        <v>1300.6857325680671</v>
      </c>
      <c r="I369"/>
      <c r="J369"/>
      <c r="K369"/>
    </row>
    <row r="370" spans="2:11" ht="14.45" customHeight="1">
      <c r="B370" s="34" t="s">
        <v>189</v>
      </c>
      <c r="C370" s="3" t="s">
        <v>221</v>
      </c>
      <c r="D370" s="51">
        <f>SUMPRODUCT('Entry Tariff_1'!D$31:D$35,'Distance Matrix_Entry'!$BZ$5:$BZ$9)/SUMIFS('Entry Tariff_1'!D$31:D$35,'Distance Matrix_Entry'!$BZ$5:$BZ$9,"&gt;0")</f>
        <v>1319.2352404807079</v>
      </c>
      <c r="E370" s="51">
        <f>SUMPRODUCT('Entry Tariff_1'!E$31:E$35,'Distance Matrix_Entry'!$BZ$5:$BZ$9)/SUMIFS('Entry Tariff_1'!E$31:E$35,'Distance Matrix_Entry'!$BZ$5:$BZ$9,"&gt;0")</f>
        <v>1318.4600436329217</v>
      </c>
      <c r="F370" s="51">
        <f>SUMPRODUCT('Entry Tariff_1'!F$31:F$35,'Distance Matrix_Entry'!$BZ$5:$BZ$9)/SUMIFS('Entry Tariff_1'!F$31:F$35,'Distance Matrix_Entry'!$BZ$5:$BZ$9,"&gt;0")</f>
        <v>1333.4218275079854</v>
      </c>
      <c r="G370" s="51">
        <f>SUMPRODUCT('Entry Tariff_1'!G$31:G$35,'Distance Matrix_Entry'!$BZ$5:$BZ$9)/SUMIFS('Entry Tariff_1'!G$31:G$35,'Distance Matrix_Entry'!$BZ$5:$BZ$9,"&gt;0")</f>
        <v>1332.9890946865155</v>
      </c>
      <c r="I370"/>
      <c r="J370"/>
      <c r="K370"/>
    </row>
    <row r="371" spans="2:11" ht="14.45" customHeight="1">
      <c r="B371" s="34" t="s">
        <v>191</v>
      </c>
      <c r="C371" s="3" t="s">
        <v>221</v>
      </c>
      <c r="D371" s="51">
        <f>SUMPRODUCT('Entry Tariff_1'!D$31:D$35,'Distance Matrix_Entry'!$CA$5:$CA$9)/SUMIFS('Entry Tariff_1'!D$31:D$35,'Distance Matrix_Entry'!$CA$5:$CA$9,"&gt;0")</f>
        <v>1293.9904210751019</v>
      </c>
      <c r="E371" s="51">
        <f>SUMPRODUCT('Entry Tariff_1'!E$31:E$35,'Distance Matrix_Entry'!$CA$5:$CA$9)/SUMIFS('Entry Tariff_1'!E$31:E$35,'Distance Matrix_Entry'!$CA$5:$CA$9,"&gt;0")</f>
        <v>1293.2991821929711</v>
      </c>
      <c r="F371" s="51">
        <f>SUMPRODUCT('Entry Tariff_1'!F$31:F$35,'Distance Matrix_Entry'!$CA$5:$CA$9)/SUMIFS('Entry Tariff_1'!F$31:F$35,'Distance Matrix_Entry'!$CA$5:$CA$9,"&gt;0")</f>
        <v>1307.3442476064126</v>
      </c>
      <c r="G371" s="51">
        <f>SUMPRODUCT('Entry Tariff_1'!G$31:G$35,'Distance Matrix_Entry'!$CA$5:$CA$9)/SUMIFS('Entry Tariff_1'!G$31:G$35,'Distance Matrix_Entry'!$CA$5:$CA$9,"&gt;0")</f>
        <v>1306.9146796899447</v>
      </c>
      <c r="I371"/>
      <c r="J371"/>
      <c r="K371"/>
    </row>
    <row r="372" spans="2:11" ht="14.45" customHeight="1">
      <c r="B372" s="34" t="s">
        <v>193</v>
      </c>
      <c r="C372" s="3" t="s">
        <v>221</v>
      </c>
      <c r="D372" s="51">
        <f>SUMPRODUCT('Entry Tariff_1'!D$31:D$35,'Distance Matrix_Entry'!$CB$5:$CB$9)/SUMIFS('Entry Tariff_1'!D$31:D$35,'Distance Matrix_Entry'!$CB$5:$CB$9,"&gt;0")</f>
        <v>1201.41827718794</v>
      </c>
      <c r="E372" s="51">
        <f>SUMPRODUCT('Entry Tariff_1'!E$31:E$35,'Distance Matrix_Entry'!$CB$5:$CB$9)/SUMIFS('Entry Tariff_1'!E$31:E$35,'Distance Matrix_Entry'!$CB$5:$CB$9,"&gt;0")</f>
        <v>1201.034910140909</v>
      </c>
      <c r="F372" s="51">
        <f>SUMPRODUCT('Entry Tariff_1'!F$31:F$35,'Distance Matrix_Entry'!$CB$5:$CB$9)/SUMIFS('Entry Tariff_1'!F$31:F$35,'Distance Matrix_Entry'!$CB$5:$CB$9,"&gt;0")</f>
        <v>1211.7183910656738</v>
      </c>
      <c r="G372" s="51">
        <f>SUMPRODUCT('Entry Tariff_1'!G$31:G$35,'Distance Matrix_Entry'!$CB$5:$CB$9)/SUMIFS('Entry Tariff_1'!G$31:G$35,'Distance Matrix_Entry'!$CB$5:$CB$9,"&gt;0")</f>
        <v>1211.3004287795154</v>
      </c>
      <c r="I372"/>
      <c r="J372"/>
      <c r="K372"/>
    </row>
    <row r="373" spans="2:11" ht="14.45" customHeight="1">
      <c r="B373" s="34" t="s">
        <v>195</v>
      </c>
      <c r="C373" s="3" t="s">
        <v>221</v>
      </c>
      <c r="D373" s="51">
        <f>SUMPRODUCT('Entry Tariff_1'!D$31:D$35,'Distance Matrix_Entry'!$CC$5:$CC$9)/SUMIFS('Entry Tariff_1'!D$31:D$35,'Distance Matrix_Entry'!$CC$5:$CC$9,"&gt;0")</f>
        <v>912.52091807064801</v>
      </c>
      <c r="E373" s="51">
        <f>SUMPRODUCT('Entry Tariff_1'!E$31:E$35,'Distance Matrix_Entry'!$CC$5:$CC$9)/SUMIFS('Entry Tariff_1'!E$31:E$35,'Distance Matrix_Entry'!$CC$5:$CC$9,"&gt;0")</f>
        <v>912.93834490383347</v>
      </c>
      <c r="F373" s="51">
        <f>SUMPRODUCT('Entry Tariff_1'!F$31:F$35,'Distance Matrix_Entry'!$CC$5:$CC$9)/SUMIFS('Entry Tariff_1'!F$31:F$35,'Distance Matrix_Entry'!$CC$5:$CC$9,"&gt;0")</f>
        <v>914.87813452766909</v>
      </c>
      <c r="G373" s="51">
        <f>SUMPRODUCT('Entry Tariff_1'!G$31:G$35,'Distance Matrix_Entry'!$CC$5:$CC$9)/SUMIFS('Entry Tariff_1'!G$31:G$35,'Distance Matrix_Entry'!$CC$5:$CC$9,"&gt;0")</f>
        <v>914.49035921111397</v>
      </c>
      <c r="I373"/>
      <c r="J373"/>
      <c r="K373"/>
    </row>
    <row r="374" spans="2:11" ht="14.45" customHeight="1">
      <c r="B374" s="34" t="s">
        <v>197</v>
      </c>
      <c r="C374" s="3" t="s">
        <v>221</v>
      </c>
      <c r="D374" s="51">
        <f>SUMPRODUCT('Entry Tariff_1'!D$31:D$35,'Distance Matrix_Entry'!$CD$5:$CD$9)/SUMIFS('Entry Tariff_1'!D$31:D$35,'Distance Matrix_Entry'!$CD$5:$CD$9,"&gt;0")</f>
        <v>937.05234664207626</v>
      </c>
      <c r="E374" s="51">
        <f>SUMPRODUCT('Entry Tariff_1'!E$31:E$35,'Distance Matrix_Entry'!$CD$5:$CD$9)/SUMIFS('Entry Tariff_1'!E$31:E$35,'Distance Matrix_Entry'!$CD$5:$CD$9,"&gt;0")</f>
        <v>937.46977347526172</v>
      </c>
      <c r="F374" s="51">
        <f>SUMPRODUCT('Entry Tariff_1'!F$31:F$35,'Distance Matrix_Entry'!$CD$5:$CD$9)/SUMIFS('Entry Tariff_1'!F$31:F$35,'Distance Matrix_Entry'!$CD$5:$CD$9,"&gt;0")</f>
        <v>939.40956309909745</v>
      </c>
      <c r="G374" s="51">
        <f>SUMPRODUCT('Entry Tariff_1'!G$31:G$35,'Distance Matrix_Entry'!$CD$5:$CD$9)/SUMIFS('Entry Tariff_1'!G$31:G$35,'Distance Matrix_Entry'!$CD$5:$CD$9,"&gt;0")</f>
        <v>939.02178778254222</v>
      </c>
      <c r="I374"/>
      <c r="J374"/>
      <c r="K374"/>
    </row>
    <row r="375" spans="2:11" ht="14.45" customHeight="1">
      <c r="B375" s="34" t="s">
        <v>199</v>
      </c>
      <c r="C375" s="3" t="s">
        <v>221</v>
      </c>
      <c r="D375" s="51">
        <f>SUMPRODUCT('Entry Tariff_1'!D$31:D$35,'Distance Matrix_Entry'!$CE$5:$CE$9)/SUMIFS('Entry Tariff_1'!D$31:D$35,'Distance Matrix_Entry'!$CE$5:$CE$9,"&gt;0")</f>
        <v>965.62042320366663</v>
      </c>
      <c r="E375" s="51">
        <f>SUMPRODUCT('Entry Tariff_1'!E$31:E$35,'Distance Matrix_Entry'!$CE$5:$CE$9)/SUMIFS('Entry Tariff_1'!E$31:E$35,'Distance Matrix_Entry'!$CE$5:$CE$9,"&gt;0")</f>
        <v>966.02126093974198</v>
      </c>
      <c r="F375" s="51">
        <f>SUMPRODUCT('Entry Tariff_1'!F$31:F$35,'Distance Matrix_Entry'!$CE$5:$CE$9)/SUMIFS('Entry Tariff_1'!F$31:F$35,'Distance Matrix_Entry'!$CE$5:$CE$9,"&gt;0")</f>
        <v>968.14218324662556</v>
      </c>
      <c r="G375" s="51">
        <f>SUMPRODUCT('Entry Tariff_1'!G$31:G$35,'Distance Matrix_Entry'!$CE$5:$CE$9)/SUMIFS('Entry Tariff_1'!G$31:G$35,'Distance Matrix_Entry'!$CE$5:$CE$9,"&gt;0")</f>
        <v>967.75378258242142</v>
      </c>
      <c r="I375"/>
      <c r="J375"/>
      <c r="K375"/>
    </row>
    <row r="376" spans="2:11" ht="14.45" customHeight="1">
      <c r="B376" s="34" t="s">
        <v>201</v>
      </c>
      <c r="C376" s="3" t="s">
        <v>221</v>
      </c>
      <c r="D376" s="51">
        <f>SUMPRODUCT('Entry Tariff_1'!D$31:D$35,'Distance Matrix_Entry'!$CF$5:$CF$9)/SUMIFS('Entry Tariff_1'!D$31:D$35,'Distance Matrix_Entry'!$CF$5:$CF$9,"&gt;0")</f>
        <v>1019.5315653788767</v>
      </c>
      <c r="E376" s="51">
        <f>SUMPRODUCT('Entry Tariff_1'!E$31:E$35,'Distance Matrix_Entry'!$CF$5:$CF$9)/SUMIFS('Entry Tariff_1'!E$31:E$35,'Distance Matrix_Entry'!$CF$5:$CF$9,"&gt;0")</f>
        <v>1019.8229773804935</v>
      </c>
      <c r="F376" s="51">
        <f>SUMPRODUCT('Entry Tariff_1'!F$31:F$35,'Distance Matrix_Entry'!$CF$5:$CF$9)/SUMIFS('Entry Tariff_1'!F$31:F$35,'Distance Matrix_Entry'!$CF$5:$CF$9,"&gt;0")</f>
        <v>1023.1386950849461</v>
      </c>
      <c r="G376" s="51">
        <f>SUMPRODUCT('Entry Tariff_1'!G$31:G$35,'Distance Matrix_Entry'!$CF$5:$CF$9)/SUMIFS('Entry Tariff_1'!G$31:G$35,'Distance Matrix_Entry'!$CF$5:$CF$9,"&gt;0")</f>
        <v>1022.7461694749832</v>
      </c>
      <c r="I376"/>
      <c r="J376"/>
      <c r="K376"/>
    </row>
    <row r="377" spans="2:11" ht="14.45" customHeight="1">
      <c r="B377" s="34" t="s">
        <v>203</v>
      </c>
      <c r="C377" s="3" t="s">
        <v>221</v>
      </c>
      <c r="D377" s="51">
        <f>SUMPRODUCT('Entry Tariff_1'!D$31:D$35,'Distance Matrix_Entry'!$CG$5:$CG$9)/SUMIFS('Entry Tariff_1'!D$31:D$35,'Distance Matrix_Entry'!$CG$5:$CG$9,"&gt;0")</f>
        <v>1022.6671579643867</v>
      </c>
      <c r="E377" s="51">
        <f>SUMPRODUCT('Entry Tariff_1'!E$31:E$35,'Distance Matrix_Entry'!$CG$5:$CG$9)/SUMIFS('Entry Tariff_1'!E$31:E$35,'Distance Matrix_Entry'!$CG$5:$CG$9,"&gt;0")</f>
        <v>1022.8782725053437</v>
      </c>
      <c r="F377" s="51">
        <f>SUMPRODUCT('Entry Tariff_1'!F$31:F$35,'Distance Matrix_Entry'!$CG$5:$CG$9)/SUMIFS('Entry Tariff_1'!F$31:F$35,'Distance Matrix_Entry'!$CG$5:$CG$9,"&gt;0")</f>
        <v>1027.0707404268023</v>
      </c>
      <c r="G377" s="51">
        <f>SUMPRODUCT('Entry Tariff_1'!G$31:G$35,'Distance Matrix_Entry'!$CG$5:$CG$9)/SUMIFS('Entry Tariff_1'!G$31:G$35,'Distance Matrix_Entry'!$CG$5:$CG$9,"&gt;0")</f>
        <v>1026.6751878993468</v>
      </c>
      <c r="I377"/>
      <c r="J377"/>
      <c r="K377"/>
    </row>
    <row r="378" spans="2:11" ht="14.45" customHeight="1">
      <c r="B378" s="34" t="s">
        <v>205</v>
      </c>
      <c r="C378" s="3" t="s">
        <v>221</v>
      </c>
      <c r="D378" s="51">
        <f>SUMPRODUCT('Entry Tariff_1'!D$31:D$35,'Distance Matrix_Entry'!$CH$5:$CH$9)/SUMIFS('Entry Tariff_1'!D$31:D$35,'Distance Matrix_Entry'!$CH$5:$CH$9,"&gt;0")</f>
        <v>252.24646917204367</v>
      </c>
      <c r="E378" s="51">
        <f>SUMPRODUCT('Entry Tariff_1'!E$31:E$35,'Distance Matrix_Entry'!$CH$5:$CH$9)/SUMIFS('Entry Tariff_1'!E$31:E$35,'Distance Matrix_Entry'!$CH$5:$CH$9,"&gt;0")</f>
        <v>253.30201119437186</v>
      </c>
      <c r="F378" s="51">
        <f>SUMPRODUCT('Entry Tariff_1'!F$31:F$35,'Distance Matrix_Entry'!$CH$5:$CH$9)/SUMIFS('Entry Tariff_1'!F$31:F$35,'Distance Matrix_Entry'!$CH$5:$CH$9,"&gt;0")</f>
        <v>238.65642854977057</v>
      </c>
      <c r="G378" s="51">
        <f>SUMPRODUCT('Entry Tariff_1'!G$31:G$35,'Distance Matrix_Entry'!$CH$5:$CH$9)/SUMIFS('Entry Tariff_1'!G$31:G$35,'Distance Matrix_Entry'!$CH$5:$CH$9,"&gt;0")</f>
        <v>238.8899977643413</v>
      </c>
      <c r="I378"/>
      <c r="J378"/>
      <c r="K378"/>
    </row>
    <row r="379" spans="2:11" ht="14.45" customHeight="1">
      <c r="B379" s="34" t="s">
        <v>207</v>
      </c>
      <c r="C379" s="3" t="s">
        <v>221</v>
      </c>
      <c r="D379" s="51">
        <f>SUMPRODUCT('Entry Tariff_1'!D$31:D$35,'Distance Matrix_Entry'!$CI$5:$CI$9)/SUMIFS('Entry Tariff_1'!D$31:D$35,'Distance Matrix_Entry'!$CI$5:$CI$9,"&gt;0")</f>
        <v>80.353806879156863</v>
      </c>
      <c r="E379" s="51">
        <f>SUMPRODUCT('Entry Tariff_1'!E$31:E$35,'Distance Matrix_Entry'!$CI$5:$CI$9)/SUMIFS('Entry Tariff_1'!E$31:E$35,'Distance Matrix_Entry'!$CI$5:$CI$9,"&gt;0")</f>
        <v>81.657932454959209</v>
      </c>
      <c r="F379" s="51">
        <f>SUMPRODUCT('Entry Tariff_1'!F$31:F$35,'Distance Matrix_Entry'!$CI$5:$CI$9)/SUMIFS('Entry Tariff_1'!F$31:F$35,'Distance Matrix_Entry'!$CI$5:$CI$9,"&gt;0")</f>
        <v>60.278301413594988</v>
      </c>
      <c r="G379" s="51">
        <f>SUMPRODUCT('Entry Tariff_1'!G$31:G$35,'Distance Matrix_Entry'!$CI$5:$CI$9)/SUMIFS('Entry Tariff_1'!G$31:G$35,'Distance Matrix_Entry'!$CI$5:$CI$9,"&gt;0")</f>
        <v>60.770878902740549</v>
      </c>
      <c r="I379"/>
      <c r="J379"/>
      <c r="K379"/>
    </row>
    <row r="380" spans="2:11" ht="14.45" customHeight="1">
      <c r="B380" s="34" t="s">
        <v>209</v>
      </c>
      <c r="C380" s="3" t="s">
        <v>221</v>
      </c>
      <c r="D380" s="51">
        <f>SUMPRODUCT('Entry Tariff_1'!D$31:D$35,'Distance Matrix_Entry'!$CJ$5:$CJ$9)/SUMIFS('Entry Tariff_1'!D$31:D$35,'Distance Matrix_Entry'!$CJ$5:$CJ$9,"&gt;0")</f>
        <v>80.356378307728292</v>
      </c>
      <c r="E380" s="51">
        <f>SUMPRODUCT('Entry Tariff_1'!E$31:E$35,'Distance Matrix_Entry'!$CJ$5:$CJ$9)/SUMIFS('Entry Tariff_1'!E$31:E$35,'Distance Matrix_Entry'!$CJ$5:$CJ$9,"&gt;0")</f>
        <v>81.660503883530637</v>
      </c>
      <c r="F380" s="51">
        <f>SUMPRODUCT('Entry Tariff_1'!F$31:F$35,'Distance Matrix_Entry'!$CJ$5:$CJ$9)/SUMIFS('Entry Tariff_1'!F$31:F$35,'Distance Matrix_Entry'!$CJ$5:$CJ$9,"&gt;0")</f>
        <v>60.280872842166424</v>
      </c>
      <c r="G380" s="51">
        <f>SUMPRODUCT('Entry Tariff_1'!G$31:G$35,'Distance Matrix_Entry'!$CJ$5:$CJ$9)/SUMIFS('Entry Tariff_1'!G$31:G$35,'Distance Matrix_Entry'!$CJ$5:$CJ$9,"&gt;0")</f>
        <v>60.773450331311992</v>
      </c>
      <c r="I380"/>
      <c r="J380"/>
      <c r="K380"/>
    </row>
    <row r="381" spans="2:11" ht="14.45" customHeight="1">
      <c r="B381" s="34" t="s">
        <v>210</v>
      </c>
      <c r="C381" s="3" t="s">
        <v>221</v>
      </c>
      <c r="D381" s="51">
        <f>SUMPRODUCT('Entry Tariff_1'!D$31:D$35,'Distance Matrix_Entry'!$CK$5:$CK$9)/SUMIFS('Entry Tariff_1'!D$31:D$35,'Distance Matrix_Entry'!$CK$5:$CK$9,"&gt;0")</f>
        <v>83.750664022013993</v>
      </c>
      <c r="E381" s="51">
        <f>SUMPRODUCT('Entry Tariff_1'!E$31:E$35,'Distance Matrix_Entry'!$CK$5:$CK$9)/SUMIFS('Entry Tariff_1'!E$31:E$35,'Distance Matrix_Entry'!$CK$5:$CK$9,"&gt;0")</f>
        <v>85.054789597816338</v>
      </c>
      <c r="F381" s="51">
        <f>SUMPRODUCT('Entry Tariff_1'!F$31:F$35,'Distance Matrix_Entry'!$CK$5:$CK$9)/SUMIFS('Entry Tariff_1'!F$31:F$35,'Distance Matrix_Entry'!$CK$5:$CK$9,"&gt;0")</f>
        <v>63.675158556452125</v>
      </c>
      <c r="G381" s="51">
        <f>SUMPRODUCT('Entry Tariff_1'!G$31:G$35,'Distance Matrix_Entry'!$CK$5:$CK$9)/SUMIFS('Entry Tariff_1'!G$31:G$35,'Distance Matrix_Entry'!$CK$5:$CK$9,"&gt;0")</f>
        <v>64.167736045597707</v>
      </c>
      <c r="I381"/>
      <c r="J381"/>
      <c r="K381"/>
    </row>
    <row r="382" spans="2:11" ht="14.45" customHeight="1">
      <c r="B382" s="34" t="s">
        <v>212</v>
      </c>
      <c r="C382" s="3" t="s">
        <v>221</v>
      </c>
      <c r="D382" s="51">
        <f>SUMPRODUCT('Entry Tariff_1'!D$31:D$35,'Distance Matrix_Entry'!$CL$5:$CL$9)/SUMIFS('Entry Tariff_1'!D$31:D$35,'Distance Matrix_Entry'!$CL$5:$CL$9,"&gt;0")</f>
        <v>80.356378307728292</v>
      </c>
      <c r="E382" s="51">
        <f>SUMPRODUCT('Entry Tariff_1'!E$31:E$35,'Distance Matrix_Entry'!$CL$5:$CL$9)/SUMIFS('Entry Tariff_1'!E$31:E$35,'Distance Matrix_Entry'!$CL$5:$CL$9,"&gt;0")</f>
        <v>81.660503883530637</v>
      </c>
      <c r="F382" s="51">
        <f>SUMPRODUCT('Entry Tariff_1'!F$31:F$35,'Distance Matrix_Entry'!$CL$5:$CL$9)/SUMIFS('Entry Tariff_1'!F$31:F$35,'Distance Matrix_Entry'!$CL$5:$CL$9,"&gt;0")</f>
        <v>60.280872842166424</v>
      </c>
      <c r="G382" s="51">
        <f>SUMPRODUCT('Entry Tariff_1'!G$31:G$35,'Distance Matrix_Entry'!$CL$5:$CL$9)/SUMIFS('Entry Tariff_1'!G$31:G$35,'Distance Matrix_Entry'!$CL$5:$CL$9,"&gt;0")</f>
        <v>60.773450331311992</v>
      </c>
      <c r="I382"/>
      <c r="J382"/>
      <c r="K382"/>
    </row>
    <row r="383" spans="2:11" ht="14.45" customHeight="1">
      <c r="B383" s="34" t="s">
        <v>213</v>
      </c>
      <c r="C383" s="3" t="s">
        <v>221</v>
      </c>
      <c r="D383" s="51">
        <f>SUMPRODUCT('Entry Tariff_1'!D$31:D$35,'Distance Matrix_Entry'!$CM$5:$CM$9)/SUMIFS('Entry Tariff_1'!D$31:D$35,'Distance Matrix_Entry'!$CM$5:$CM$9,"&gt;0")</f>
        <v>64.078179533315947</v>
      </c>
      <c r="E383" s="51">
        <f>SUMPRODUCT('Entry Tariff_1'!E$31:E$35,'Distance Matrix_Entry'!$CM$5:$CM$9)/SUMIFS('Entry Tariff_1'!E$31:E$35,'Distance Matrix_Entry'!$CM$5:$CM$9,"&gt;0")</f>
        <v>65.40584220038609</v>
      </c>
      <c r="F383" s="51">
        <f>SUMPRODUCT('Entry Tariff_1'!F$31:F$35,'Distance Matrix_Entry'!$CM$5:$CM$9)/SUMIFS('Entry Tariff_1'!F$31:F$35,'Distance Matrix_Entry'!$CM$5:$CM$9,"&gt;0")</f>
        <v>43.38859893769375</v>
      </c>
      <c r="G383" s="51">
        <f>SUMPRODUCT('Entry Tariff_1'!G$31:G$35,'Distance Matrix_Entry'!$CM$5:$CM$9)/SUMIFS('Entry Tariff_1'!G$31:G$35,'Distance Matrix_Entry'!$CM$5:$CM$9,"&gt;0")</f>
        <v>43.905700581042524</v>
      </c>
      <c r="I383"/>
      <c r="J383"/>
      <c r="K383"/>
    </row>
    <row r="386" spans="2:14" ht="28.9" customHeight="1">
      <c r="B386" s="31" t="s">
        <v>227</v>
      </c>
      <c r="C386" s="4"/>
      <c r="D386" s="4"/>
      <c r="E386" s="4"/>
      <c r="F386" s="4"/>
      <c r="G386" s="4"/>
    </row>
    <row r="387" spans="2:14" ht="14.45" customHeight="1">
      <c r="B387" s="35"/>
    </row>
    <row r="388" spans="2:14" ht="14.45" customHeight="1">
      <c r="B388" s="8" t="s">
        <v>1</v>
      </c>
      <c r="C388" s="8" t="s">
        <v>215</v>
      </c>
      <c r="D388" s="5"/>
      <c r="E388" s="5"/>
      <c r="F388" s="5"/>
      <c r="G388" s="5"/>
    </row>
    <row r="389" spans="2:14" ht="14.45" customHeight="1">
      <c r="B389" s="24"/>
      <c r="C389" s="24"/>
      <c r="D389" s="22" t="str">
        <f>'Input data'!D$5</f>
        <v>2023-24</v>
      </c>
      <c r="E389" s="22" t="str">
        <f>'Input data'!E$5</f>
        <v>2024-25</v>
      </c>
      <c r="F389" s="22" t="str">
        <f>'Input data'!F$5</f>
        <v>2025-26</v>
      </c>
      <c r="G389" s="22" t="str">
        <f>'Input data'!G$5</f>
        <v>2026-27</v>
      </c>
    </row>
    <row r="390" spans="2:14" ht="14.45" customHeight="1">
      <c r="B390" s="23"/>
      <c r="C390" s="23"/>
      <c r="D390" s="7"/>
      <c r="E390" s="7"/>
      <c r="F390" s="7"/>
      <c r="G390" s="7"/>
    </row>
    <row r="391" spans="2:14" ht="14.45" customHeight="1">
      <c r="B391" s="34" t="s">
        <v>0</v>
      </c>
      <c r="C391" s="3" t="s">
        <v>217</v>
      </c>
      <c r="D391" s="52">
        <f t="shared" ref="D391:G391" si="89">D199*D295/SUMPRODUCT(D$199:D$287,D$295:D$383)</f>
        <v>9.947849418090203E-3</v>
      </c>
      <c r="E391" s="52">
        <f t="shared" si="89"/>
        <v>2.2171957337169448E-2</v>
      </c>
      <c r="F391" s="52">
        <f t="shared" si="89"/>
        <v>3.6884728279135949E-2</v>
      </c>
      <c r="G391" s="52">
        <f t="shared" si="89"/>
        <v>1.1510852811582827E-2</v>
      </c>
      <c r="I391"/>
      <c r="J391"/>
      <c r="K391"/>
      <c r="L391"/>
      <c r="M391"/>
      <c r="N391"/>
    </row>
    <row r="392" spans="2:14" ht="14.45" customHeight="1">
      <c r="B392" s="34" t="s">
        <v>216</v>
      </c>
      <c r="C392" s="3" t="s">
        <v>217</v>
      </c>
      <c r="D392" s="52">
        <f t="shared" ref="D392:G392" si="90">D200*D296/SUMPRODUCT(D$199:D$287,D$295:D$383)</f>
        <v>5.1447745224477356E-3</v>
      </c>
      <c r="E392" s="52">
        <f t="shared" si="90"/>
        <v>1.146449732980963E-2</v>
      </c>
      <c r="F392" s="52">
        <f t="shared" si="90"/>
        <v>1.9096760794324298E-2</v>
      </c>
      <c r="G392" s="52">
        <f t="shared" si="90"/>
        <v>5.9598987550662603E-3</v>
      </c>
      <c r="I392"/>
      <c r="J392"/>
      <c r="K392"/>
      <c r="L392"/>
      <c r="M392"/>
      <c r="N392"/>
    </row>
    <row r="393" spans="2:14" ht="14.45" customHeight="1">
      <c r="B393" s="34" t="s">
        <v>218</v>
      </c>
      <c r="C393" s="3" t="s">
        <v>14</v>
      </c>
      <c r="D393" s="52">
        <f t="shared" ref="D393:G393" si="91">D201*D297/SUMPRODUCT(D$199:D$287,D$295:D$383)</f>
        <v>0</v>
      </c>
      <c r="E393" s="52">
        <f t="shared" si="91"/>
        <v>0</v>
      </c>
      <c r="F393" s="52">
        <f t="shared" si="91"/>
        <v>0</v>
      </c>
      <c r="G393" s="52">
        <f t="shared" si="91"/>
        <v>0</v>
      </c>
      <c r="I393"/>
      <c r="J393"/>
      <c r="K393"/>
      <c r="L393"/>
      <c r="M393"/>
      <c r="N393"/>
    </row>
    <row r="394" spans="2:14" ht="14.45" customHeight="1">
      <c r="B394" s="34" t="s">
        <v>219</v>
      </c>
      <c r="C394" s="3" t="s">
        <v>15</v>
      </c>
      <c r="D394" s="52">
        <f t="shared" ref="D394:G394" si="92">D202*D298/SUMPRODUCT(D$199:D$287,D$295:D$383)</f>
        <v>1.5363741301597556E-2</v>
      </c>
      <c r="E394" s="52">
        <f t="shared" si="92"/>
        <v>9.1444472828633751E-3</v>
      </c>
      <c r="F394" s="52">
        <f t="shared" si="92"/>
        <v>1.0705569988906998E-2</v>
      </c>
      <c r="G394" s="52">
        <f t="shared" si="92"/>
        <v>7.1873876167487857E-3</v>
      </c>
      <c r="I394"/>
      <c r="J394"/>
      <c r="K394"/>
      <c r="L394"/>
      <c r="M394"/>
      <c r="N394"/>
    </row>
    <row r="395" spans="2:14" ht="14.45" customHeight="1">
      <c r="B395" s="34" t="s">
        <v>55</v>
      </c>
      <c r="C395" s="3" t="s">
        <v>221</v>
      </c>
      <c r="D395" s="52">
        <f t="shared" ref="D395:G395" si="93">D203*D299/SUMPRODUCT(D$199:D$287,D$295:D$383)</f>
        <v>8.4684126693290826E-4</v>
      </c>
      <c r="E395" s="52">
        <f t="shared" si="93"/>
        <v>8.3875680062395056E-4</v>
      </c>
      <c r="F395" s="52">
        <f t="shared" si="93"/>
        <v>7.7648727953612978E-4</v>
      </c>
      <c r="G395" s="52">
        <f t="shared" si="93"/>
        <v>8.1237128967132565E-4</v>
      </c>
      <c r="I395"/>
      <c r="J395"/>
      <c r="K395"/>
      <c r="L395"/>
      <c r="M395"/>
      <c r="N395"/>
    </row>
    <row r="396" spans="2:14" ht="14.45" customHeight="1">
      <c r="B396" s="34" t="s">
        <v>57</v>
      </c>
      <c r="C396" s="3" t="s">
        <v>221</v>
      </c>
      <c r="D396" s="52">
        <f t="shared" ref="D396:G396" si="94">D204*D300/SUMPRODUCT(D$199:D$287,D$295:D$383)</f>
        <v>3.6947523612712472E-3</v>
      </c>
      <c r="E396" s="52">
        <f t="shared" si="94"/>
        <v>3.6563994353559491E-3</v>
      </c>
      <c r="F396" s="52">
        <f t="shared" si="94"/>
        <v>3.4290818953283892E-3</v>
      </c>
      <c r="G396" s="52">
        <f t="shared" si="94"/>
        <v>3.5866551636751162E-3</v>
      </c>
      <c r="I396"/>
      <c r="J396"/>
      <c r="K396"/>
      <c r="L396"/>
      <c r="M396"/>
      <c r="N396"/>
    </row>
    <row r="397" spans="2:14" ht="14.45" customHeight="1">
      <c r="B397" s="34" t="s">
        <v>59</v>
      </c>
      <c r="C397" s="3" t="s">
        <v>221</v>
      </c>
      <c r="D397" s="52">
        <f t="shared" ref="D397:G397" si="95">D205*D301/SUMPRODUCT(D$199:D$287,D$295:D$383)</f>
        <v>1.1901757988722857E-3</v>
      </c>
      <c r="E397" s="52">
        <f t="shared" si="95"/>
        <v>1.1780716253265886E-3</v>
      </c>
      <c r="F397" s="52">
        <f t="shared" si="95"/>
        <v>1.1015710530918993E-3</v>
      </c>
      <c r="G397" s="52">
        <f t="shared" si="95"/>
        <v>1.1522408257370385E-3</v>
      </c>
      <c r="I397"/>
      <c r="J397"/>
      <c r="K397"/>
      <c r="L397"/>
      <c r="M397"/>
      <c r="N397"/>
    </row>
    <row r="398" spans="2:14" ht="14.45" customHeight="1">
      <c r="B398" s="34" t="s">
        <v>61</v>
      </c>
      <c r="C398" s="3" t="s">
        <v>221</v>
      </c>
      <c r="D398" s="52">
        <f t="shared" ref="D398:G398" si="96">D206*D302/SUMPRODUCT(D$199:D$287,D$295:D$383)</f>
        <v>2.1058603982467513E-3</v>
      </c>
      <c r="E398" s="52">
        <f t="shared" si="96"/>
        <v>2.0840008212553566E-3</v>
      </c>
      <c r="F398" s="52">
        <f t="shared" si="96"/>
        <v>1.9544383043791553E-3</v>
      </c>
      <c r="G398" s="52">
        <f t="shared" si="96"/>
        <v>2.0442487187056989E-3</v>
      </c>
      <c r="I398"/>
      <c r="J398"/>
      <c r="K398"/>
      <c r="L398"/>
      <c r="M398"/>
      <c r="N398"/>
    </row>
    <row r="399" spans="2:14" ht="14.45" customHeight="1">
      <c r="B399" s="34" t="s">
        <v>62</v>
      </c>
      <c r="C399" s="3" t="s">
        <v>221</v>
      </c>
      <c r="D399" s="52">
        <f t="shared" ref="D399:G399" si="97">D207*D303/SUMPRODUCT(D$199:D$287,D$295:D$383)</f>
        <v>4.9836665256574925E-4</v>
      </c>
      <c r="E399" s="52">
        <f t="shared" si="97"/>
        <v>4.9328825800984573E-4</v>
      </c>
      <c r="F399" s="52">
        <f t="shared" si="97"/>
        <v>4.6206525686151405E-4</v>
      </c>
      <c r="G399" s="52">
        <f t="shared" si="97"/>
        <v>4.8327260361011694E-4</v>
      </c>
      <c r="I399"/>
      <c r="J399"/>
      <c r="K399"/>
      <c r="L399"/>
      <c r="M399"/>
      <c r="N399"/>
    </row>
    <row r="400" spans="2:14" ht="14.45" customHeight="1">
      <c r="B400" s="34" t="s">
        <v>64</v>
      </c>
      <c r="C400" s="3" t="s">
        <v>221</v>
      </c>
      <c r="D400" s="52">
        <f t="shared" ref="D400:G400" si="98">D208*D304/SUMPRODUCT(D$199:D$287,D$295:D$383)</f>
        <v>1.1941405725830873E-3</v>
      </c>
      <c r="E400" s="52">
        <f t="shared" si="98"/>
        <v>1.1814924629426453E-3</v>
      </c>
      <c r="F400" s="52">
        <f t="shared" si="98"/>
        <v>1.1147908332111726E-3</v>
      </c>
      <c r="G400" s="52">
        <f t="shared" si="98"/>
        <v>1.1657399491818994E-3</v>
      </c>
      <c r="I400"/>
      <c r="J400"/>
      <c r="K400"/>
      <c r="L400"/>
      <c r="M400"/>
      <c r="N400"/>
    </row>
    <row r="401" spans="2:7" ht="14.45" customHeight="1">
      <c r="B401" s="34" t="s">
        <v>66</v>
      </c>
      <c r="C401" s="3" t="s">
        <v>221</v>
      </c>
      <c r="D401" s="52">
        <f t="shared" ref="D401:G401" si="99">D209*D305/SUMPRODUCT(D$199:D$287,D$295:D$383)</f>
        <v>2.8833728485767431E-3</v>
      </c>
      <c r="E401" s="52">
        <f t="shared" si="99"/>
        <v>2.8530351116367978E-3</v>
      </c>
      <c r="F401" s="52">
        <f t="shared" si="99"/>
        <v>2.6809667335747586E-3</v>
      </c>
      <c r="G401" s="52">
        <f t="shared" si="99"/>
        <v>2.8040806765072699E-3</v>
      </c>
    </row>
    <row r="402" spans="2:7" ht="14.45" customHeight="1">
      <c r="B402" s="34" t="s">
        <v>68</v>
      </c>
      <c r="C402" s="3" t="s">
        <v>221</v>
      </c>
      <c r="D402" s="52">
        <f t="shared" ref="D402:G402" si="100">D210*D306/SUMPRODUCT(D$199:D$287,D$295:D$383)</f>
        <v>3.6267323635370227E-3</v>
      </c>
      <c r="E402" s="52">
        <f t="shared" si="100"/>
        <v>3.5867114028159367E-3</v>
      </c>
      <c r="F402" s="52">
        <f t="shared" si="100"/>
        <v>3.4113106221912081E-3</v>
      </c>
      <c r="G402" s="52">
        <f t="shared" si="100"/>
        <v>3.5664975277213723E-3</v>
      </c>
    </row>
    <row r="403" spans="2:7" ht="14.45" customHeight="1">
      <c r="B403" s="34" t="s">
        <v>70</v>
      </c>
      <c r="C403" s="3" t="s">
        <v>221</v>
      </c>
      <c r="D403" s="52">
        <f t="shared" ref="D403:G403" si="101">D211*D307/SUMPRODUCT(D$199:D$287,D$295:D$383)</f>
        <v>2.7880704041633154E-3</v>
      </c>
      <c r="E403" s="52">
        <f t="shared" si="101"/>
        <v>2.7565378222528221E-3</v>
      </c>
      <c r="F403" s="52">
        <f t="shared" si="101"/>
        <v>2.6346546394526568E-3</v>
      </c>
      <c r="G403" s="52">
        <f t="shared" si="101"/>
        <v>2.7541694776067405E-3</v>
      </c>
    </row>
    <row r="404" spans="2:7" ht="14.45" customHeight="1">
      <c r="B404" s="34" t="s">
        <v>72</v>
      </c>
      <c r="C404" s="3" t="s">
        <v>221</v>
      </c>
      <c r="D404" s="52">
        <f t="shared" ref="D404:G404" si="102">D212*D308/SUMPRODUCT(D$199:D$287,D$295:D$383)</f>
        <v>2.5489950625093558E-2</v>
      </c>
      <c r="E404" s="52">
        <f t="shared" si="102"/>
        <v>2.5190760576827436E-2</v>
      </c>
      <c r="F404" s="52">
        <f t="shared" si="102"/>
        <v>2.4200276391548051E-2</v>
      </c>
      <c r="G404" s="52">
        <f t="shared" si="102"/>
        <v>2.5297173742958593E-2</v>
      </c>
    </row>
    <row r="405" spans="2:7" ht="14.45" customHeight="1">
      <c r="B405" s="34" t="s">
        <v>74</v>
      </c>
      <c r="C405" s="3" t="s">
        <v>221</v>
      </c>
      <c r="D405" s="52">
        <f t="shared" ref="D405:G405" si="103">D213*D309/SUMPRODUCT(D$199:D$287,D$295:D$383)</f>
        <v>0</v>
      </c>
      <c r="E405" s="52">
        <f t="shared" si="103"/>
        <v>0</v>
      </c>
      <c r="F405" s="52">
        <f t="shared" si="103"/>
        <v>0</v>
      </c>
      <c r="G405" s="52">
        <f t="shared" si="103"/>
        <v>0</v>
      </c>
    </row>
    <row r="406" spans="2:7" ht="14.45" customHeight="1">
      <c r="B406" s="34" t="s">
        <v>76</v>
      </c>
      <c r="C406" s="3" t="s">
        <v>221</v>
      </c>
      <c r="D406" s="52">
        <f t="shared" ref="D406:G406" si="104">D214*D310/SUMPRODUCT(D$199:D$287,D$295:D$383)</f>
        <v>1.2700365541244945E-3</v>
      </c>
      <c r="E406" s="52">
        <f t="shared" si="104"/>
        <v>1.2552741978043268E-3</v>
      </c>
      <c r="F406" s="52">
        <f t="shared" si="104"/>
        <v>1.2044512598534979E-3</v>
      </c>
      <c r="G406" s="52">
        <f t="shared" si="104"/>
        <v>1.2590445830818985E-3</v>
      </c>
    </row>
    <row r="407" spans="2:7" ht="14.45" customHeight="1">
      <c r="B407" s="34" t="s">
        <v>78</v>
      </c>
      <c r="C407" s="3" t="s">
        <v>221</v>
      </c>
      <c r="D407" s="52">
        <f t="shared" ref="D407:G407" si="105">D215*D311/SUMPRODUCT(D$199:D$287,D$295:D$383)</f>
        <v>5.4005633579361648E-3</v>
      </c>
      <c r="E407" s="52">
        <f t="shared" si="105"/>
        <v>5.3374353851224536E-3</v>
      </c>
      <c r="F407" s="52">
        <f t="shared" si="105"/>
        <v>5.1249223493040359E-3</v>
      </c>
      <c r="G407" s="52">
        <f t="shared" si="105"/>
        <v>5.3572147063694169E-3</v>
      </c>
    </row>
    <row r="408" spans="2:7" ht="14.45" customHeight="1">
      <c r="B408" s="34" t="s">
        <v>80</v>
      </c>
      <c r="C408" s="3" t="s">
        <v>221</v>
      </c>
      <c r="D408" s="52">
        <f t="shared" ref="D408:G408" si="106">D216*D312/SUMPRODUCT(D$199:D$287,D$295:D$383)</f>
        <v>2.8568993799440185E-3</v>
      </c>
      <c r="E408" s="52">
        <f t="shared" si="106"/>
        <v>2.8242384123306923E-3</v>
      </c>
      <c r="F408" s="52">
        <f t="shared" si="106"/>
        <v>2.7052637645118946E-3</v>
      </c>
      <c r="G408" s="52">
        <f t="shared" si="106"/>
        <v>2.8278268174105319E-3</v>
      </c>
    </row>
    <row r="409" spans="2:7" ht="14.45" customHeight="1">
      <c r="B409" s="34" t="s">
        <v>82</v>
      </c>
      <c r="C409" s="3" t="s">
        <v>221</v>
      </c>
      <c r="D409" s="52">
        <f t="shared" ref="D409:G409" si="107">D217*D313/SUMPRODUCT(D$199:D$287,D$295:D$383)</f>
        <v>6.4982062213905803E-2</v>
      </c>
      <c r="E409" s="52">
        <f t="shared" si="107"/>
        <v>6.424210188887769E-2</v>
      </c>
      <c r="F409" s="52">
        <f t="shared" si="107"/>
        <v>6.1485519426764383E-2</v>
      </c>
      <c r="G409" s="52">
        <f t="shared" si="107"/>
        <v>6.4272492689663341E-2</v>
      </c>
    </row>
    <row r="410" spans="2:7" ht="14.45" customHeight="1">
      <c r="B410" s="34" t="s">
        <v>83</v>
      </c>
      <c r="C410" s="3" t="s">
        <v>221</v>
      </c>
      <c r="D410" s="52">
        <f t="shared" ref="D410:G410" si="108">D218*D314/SUMPRODUCT(D$199:D$287,D$295:D$383)</f>
        <v>1.2929223786858029E-3</v>
      </c>
      <c r="E410" s="52">
        <f t="shared" si="108"/>
        <v>1.2778092324809125E-3</v>
      </c>
      <c r="F410" s="52">
        <f t="shared" si="108"/>
        <v>1.2269324064892453E-3</v>
      </c>
      <c r="G410" s="52">
        <f t="shared" si="108"/>
        <v>1.2825443751176423E-3</v>
      </c>
    </row>
    <row r="411" spans="2:7" ht="14.45" customHeight="1">
      <c r="B411" s="34" t="s">
        <v>84</v>
      </c>
      <c r="C411" s="3" t="s">
        <v>221</v>
      </c>
      <c r="D411" s="52">
        <f t="shared" ref="D411:G411" si="109">D219*D315/SUMPRODUCT(D$199:D$287,D$295:D$383)</f>
        <v>9.2143142658515219E-4</v>
      </c>
      <c r="E411" s="52">
        <f t="shared" si="109"/>
        <v>9.1057444372507506E-4</v>
      </c>
      <c r="F411" s="52">
        <f t="shared" si="109"/>
        <v>8.7687451868238462E-4</v>
      </c>
      <c r="G411" s="52">
        <f t="shared" si="109"/>
        <v>9.1651022201854617E-4</v>
      </c>
    </row>
    <row r="412" spans="2:7" ht="14.45" customHeight="1">
      <c r="B412" s="34" t="s">
        <v>86</v>
      </c>
      <c r="C412" s="3" t="s">
        <v>221</v>
      </c>
      <c r="D412" s="52">
        <f t="shared" ref="D412:G412" si="110">D220*D316/SUMPRODUCT(D$199:D$287,D$295:D$383)</f>
        <v>8.4477913109125052E-5</v>
      </c>
      <c r="E412" s="52">
        <f t="shared" si="110"/>
        <v>8.3491715934184716E-5</v>
      </c>
      <c r="F412" s="52">
        <f t="shared" si="110"/>
        <v>8.0318946347368131E-5</v>
      </c>
      <c r="G412" s="52">
        <f t="shared" si="110"/>
        <v>8.3948814167227414E-5</v>
      </c>
    </row>
    <row r="413" spans="2:7" ht="14.45" customHeight="1">
      <c r="B413" s="34" t="s">
        <v>88</v>
      </c>
      <c r="C413" s="3" t="s">
        <v>221</v>
      </c>
      <c r="D413" s="52">
        <f t="shared" ref="D413:G413" si="111">D221*D317/SUMPRODUCT(D$199:D$287,D$295:D$383)</f>
        <v>0</v>
      </c>
      <c r="E413" s="52">
        <f t="shared" si="111"/>
        <v>0</v>
      </c>
      <c r="F413" s="52">
        <f t="shared" si="111"/>
        <v>0</v>
      </c>
      <c r="G413" s="52">
        <f t="shared" si="111"/>
        <v>0</v>
      </c>
    </row>
    <row r="414" spans="2:7" ht="14.45" customHeight="1">
      <c r="B414" s="34" t="s">
        <v>90</v>
      </c>
      <c r="C414" s="3" t="s">
        <v>221</v>
      </c>
      <c r="D414" s="52">
        <f t="shared" ref="D414:G414" si="112">D222*D318/SUMPRODUCT(D$199:D$287,D$295:D$383)</f>
        <v>3.1670034756761585E-3</v>
      </c>
      <c r="E414" s="52">
        <f t="shared" si="112"/>
        <v>3.1293619589514978E-3</v>
      </c>
      <c r="F414" s="52">
        <f t="shared" si="112"/>
        <v>3.016480255138127E-3</v>
      </c>
      <c r="G414" s="52">
        <f t="shared" si="112"/>
        <v>3.1528511287382158E-3</v>
      </c>
    </row>
    <row r="415" spans="2:7" ht="14.45" customHeight="1">
      <c r="B415" s="34" t="s">
        <v>91</v>
      </c>
      <c r="C415" s="3" t="s">
        <v>221</v>
      </c>
      <c r="D415" s="52">
        <f t="shared" ref="D415:G415" si="113">D223*D319/SUMPRODUCT(D$199:D$287,D$295:D$383)</f>
        <v>1.7806544148574609E-3</v>
      </c>
      <c r="E415" s="52">
        <f t="shared" si="113"/>
        <v>1.759227470958153E-3</v>
      </c>
      <c r="F415" s="52">
        <f t="shared" si="113"/>
        <v>1.7031652824274278E-3</v>
      </c>
      <c r="G415" s="52">
        <f t="shared" si="113"/>
        <v>1.779855537976474E-3</v>
      </c>
    </row>
    <row r="416" spans="2:7" ht="14.45" customHeight="1">
      <c r="B416" s="34" t="s">
        <v>93</v>
      </c>
      <c r="C416" s="3" t="s">
        <v>221</v>
      </c>
      <c r="D416" s="52">
        <f t="shared" ref="D416:G416" si="114">D224*D320/SUMPRODUCT(D$199:D$287,D$295:D$383)</f>
        <v>3.7364327985124411E-3</v>
      </c>
      <c r="E416" s="52">
        <f t="shared" si="114"/>
        <v>3.6900517893026373E-3</v>
      </c>
      <c r="F416" s="52">
        <f t="shared" si="114"/>
        <v>3.5964227444127174E-3</v>
      </c>
      <c r="G416" s="52">
        <f t="shared" si="114"/>
        <v>3.7577422260333618E-3</v>
      </c>
    </row>
    <row r="417" spans="2:7" ht="14.45" customHeight="1">
      <c r="B417" s="34" t="s">
        <v>95</v>
      </c>
      <c r="C417" s="3" t="s">
        <v>221</v>
      </c>
      <c r="D417" s="52">
        <f t="shared" ref="D417:G417" si="115">D225*D321/SUMPRODUCT(D$199:D$287,D$295:D$383)</f>
        <v>3.9924773083980349E-3</v>
      </c>
      <c r="E417" s="52">
        <f t="shared" si="115"/>
        <v>3.9424513576022729E-3</v>
      </c>
      <c r="F417" s="52">
        <f t="shared" si="115"/>
        <v>3.8502966262924355E-3</v>
      </c>
      <c r="G417" s="52">
        <f t="shared" si="115"/>
        <v>4.022801110638098E-3</v>
      </c>
    </row>
    <row r="418" spans="2:7" ht="14.45" customHeight="1">
      <c r="B418" s="34" t="s">
        <v>97</v>
      </c>
      <c r="C418" s="3" t="s">
        <v>221</v>
      </c>
      <c r="D418" s="52">
        <f t="shared" ref="D418:G418" si="116">D226*D322/SUMPRODUCT(D$199:D$287,D$295:D$383)</f>
        <v>1.0502787191116494E-2</v>
      </c>
      <c r="E418" s="52">
        <f t="shared" si="116"/>
        <v>1.0370595989662616E-2</v>
      </c>
      <c r="F418" s="52">
        <f t="shared" si="116"/>
        <v>1.0138158739695188E-2</v>
      </c>
      <c r="G418" s="52">
        <f t="shared" si="116"/>
        <v>1.0592121677477945E-2</v>
      </c>
    </row>
    <row r="419" spans="2:7" ht="14.45" customHeight="1">
      <c r="B419" s="34" t="s">
        <v>99</v>
      </c>
      <c r="C419" s="3" t="s">
        <v>221</v>
      </c>
      <c r="D419" s="52">
        <f t="shared" ref="D419:G419" si="117">D227*D323/SUMPRODUCT(D$199:D$287,D$295:D$383)</f>
        <v>0</v>
      </c>
      <c r="E419" s="52">
        <f t="shared" si="117"/>
        <v>0</v>
      </c>
      <c r="F419" s="52">
        <f t="shared" si="117"/>
        <v>0</v>
      </c>
      <c r="G419" s="52">
        <f t="shared" si="117"/>
        <v>0</v>
      </c>
    </row>
    <row r="420" spans="2:7" ht="14.45" customHeight="1">
      <c r="B420" s="34" t="s">
        <v>101</v>
      </c>
      <c r="C420" s="3" t="s">
        <v>221</v>
      </c>
      <c r="D420" s="52">
        <f t="shared" ref="D420:G420" si="118">D228*D324/SUMPRODUCT(D$199:D$287,D$295:D$383)</f>
        <v>2.7753225591093417E-2</v>
      </c>
      <c r="E420" s="52">
        <f t="shared" si="118"/>
        <v>2.7401525872416815E-2</v>
      </c>
      <c r="F420" s="52">
        <f t="shared" si="118"/>
        <v>2.6848937751822174E-2</v>
      </c>
      <c r="G420" s="52">
        <f t="shared" si="118"/>
        <v>2.8048769699674337E-2</v>
      </c>
    </row>
    <row r="421" spans="2:7" ht="14.45" customHeight="1">
      <c r="B421" s="34" t="s">
        <v>103</v>
      </c>
      <c r="C421" s="3" t="s">
        <v>221</v>
      </c>
      <c r="D421" s="52">
        <f t="shared" ref="D421:G421" si="119">D229*D325/SUMPRODUCT(D$199:D$287,D$295:D$383)</f>
        <v>0</v>
      </c>
      <c r="E421" s="52">
        <f t="shared" si="119"/>
        <v>0</v>
      </c>
      <c r="F421" s="52">
        <f t="shared" si="119"/>
        <v>0</v>
      </c>
      <c r="G421" s="52">
        <f t="shared" si="119"/>
        <v>0</v>
      </c>
    </row>
    <row r="422" spans="2:7" ht="14.45" customHeight="1">
      <c r="B422" s="34" t="s">
        <v>104</v>
      </c>
      <c r="C422" s="3" t="s">
        <v>221</v>
      </c>
      <c r="D422" s="52">
        <f t="shared" ref="D422:G422" si="120">D230*D326/SUMPRODUCT(D$199:D$287,D$295:D$383)</f>
        <v>0.1066249878471159</v>
      </c>
      <c r="E422" s="52">
        <f t="shared" si="120"/>
        <v>0.10527030323445145</v>
      </c>
      <c r="F422" s="52">
        <f t="shared" si="120"/>
        <v>0.10313857613308954</v>
      </c>
      <c r="G422" s="52">
        <f t="shared" si="120"/>
        <v>0.10775050835068317</v>
      </c>
    </row>
    <row r="423" spans="2:7" ht="14.45" customHeight="1">
      <c r="B423" s="34" t="s">
        <v>106</v>
      </c>
      <c r="C423" s="3" t="s">
        <v>221</v>
      </c>
      <c r="D423" s="52">
        <f t="shared" ref="D423:G423" si="121">D231*D327/SUMPRODUCT(D$199:D$287,D$295:D$383)</f>
        <v>3.4060237861187883E-3</v>
      </c>
      <c r="E423" s="52">
        <f t="shared" si="121"/>
        <v>3.3625503026064258E-3</v>
      </c>
      <c r="F423" s="52">
        <f t="shared" si="121"/>
        <v>3.295623246291372E-3</v>
      </c>
      <c r="G423" s="52">
        <f t="shared" si="121"/>
        <v>3.4430455382344987E-3</v>
      </c>
    </row>
    <row r="424" spans="2:7" ht="14.45" customHeight="1">
      <c r="B424" s="34" t="s">
        <v>108</v>
      </c>
      <c r="C424" s="3" t="s">
        <v>221</v>
      </c>
      <c r="D424" s="52">
        <f t="shared" ref="D424:G424" si="122">D232*D328/SUMPRODUCT(D$199:D$287,D$295:D$383)</f>
        <v>0</v>
      </c>
      <c r="E424" s="52">
        <f t="shared" si="122"/>
        <v>0</v>
      </c>
      <c r="F424" s="52">
        <f t="shared" si="122"/>
        <v>0</v>
      </c>
      <c r="G424" s="52">
        <f t="shared" si="122"/>
        <v>0</v>
      </c>
    </row>
    <row r="425" spans="2:7" ht="14.45" customHeight="1">
      <c r="B425" s="34" t="s">
        <v>109</v>
      </c>
      <c r="C425" s="3" t="s">
        <v>221</v>
      </c>
      <c r="D425" s="52">
        <f t="shared" ref="D425:G425" si="123">D233*D329/SUMPRODUCT(D$199:D$287,D$295:D$383)</f>
        <v>1.3685826675901715E-4</v>
      </c>
      <c r="E425" s="52">
        <f t="shared" si="123"/>
        <v>1.3510234933381053E-4</v>
      </c>
      <c r="F425" s="52">
        <f t="shared" si="123"/>
        <v>1.3241096302702763E-4</v>
      </c>
      <c r="G425" s="52">
        <f t="shared" si="123"/>
        <v>1.383401734700775E-4</v>
      </c>
    </row>
    <row r="426" spans="2:7" ht="14.45" customHeight="1">
      <c r="B426" s="34" t="s">
        <v>111</v>
      </c>
      <c r="C426" s="3" t="s">
        <v>221</v>
      </c>
      <c r="D426" s="52">
        <f t="shared" ref="D426:G426" si="124">D234*D330/SUMPRODUCT(D$199:D$287,D$295:D$383)</f>
        <v>4.9944244729980321E-3</v>
      </c>
      <c r="E426" s="52">
        <f t="shared" si="124"/>
        <v>4.9302481465205491E-3</v>
      </c>
      <c r="F426" s="52">
        <f t="shared" si="124"/>
        <v>4.8316819603304246E-3</v>
      </c>
      <c r="G426" s="52">
        <f t="shared" si="124"/>
        <v>5.0481250690764994E-3</v>
      </c>
    </row>
    <row r="427" spans="2:7" ht="14.45" customHeight="1">
      <c r="B427" s="34" t="s">
        <v>113</v>
      </c>
      <c r="C427" s="3" t="s">
        <v>221</v>
      </c>
      <c r="D427" s="52">
        <f t="shared" ref="D427:G427" si="125">D235*D331/SUMPRODUCT(D$199:D$287,D$295:D$383)</f>
        <v>1.4036464559776681E-3</v>
      </c>
      <c r="E427" s="52">
        <f t="shared" si="125"/>
        <v>1.3856103740719676E-3</v>
      </c>
      <c r="F427" s="52">
        <f t="shared" si="125"/>
        <v>1.3580669404101569E-3</v>
      </c>
      <c r="G427" s="52">
        <f t="shared" si="125"/>
        <v>1.4188934733810824E-3</v>
      </c>
    </row>
    <row r="428" spans="2:7" ht="14.45" customHeight="1">
      <c r="B428" s="34" t="s">
        <v>115</v>
      </c>
      <c r="C428" s="3" t="s">
        <v>221</v>
      </c>
      <c r="D428" s="52">
        <f t="shared" ref="D428:G428" si="126">D236*D332/SUMPRODUCT(D$199:D$287,D$295:D$383)</f>
        <v>0</v>
      </c>
      <c r="E428" s="52">
        <f t="shared" si="126"/>
        <v>0</v>
      </c>
      <c r="F428" s="52">
        <f t="shared" si="126"/>
        <v>0</v>
      </c>
      <c r="G428" s="52">
        <f t="shared" si="126"/>
        <v>0</v>
      </c>
    </row>
    <row r="429" spans="2:7" ht="14.45" customHeight="1">
      <c r="B429" s="34" t="s">
        <v>117</v>
      </c>
      <c r="C429" s="3" t="s">
        <v>221</v>
      </c>
      <c r="D429" s="52">
        <f t="shared" ref="D429:G429" si="127">D237*D333/SUMPRODUCT(D$199:D$287,D$295:D$383)</f>
        <v>3.5582650697779487E-3</v>
      </c>
      <c r="E429" s="52">
        <f t="shared" si="127"/>
        <v>3.5123717518978363E-3</v>
      </c>
      <c r="F429" s="52">
        <f t="shared" si="127"/>
        <v>3.4426024452462976E-3</v>
      </c>
      <c r="G429" s="52">
        <f t="shared" si="127"/>
        <v>3.5969023651445681E-3</v>
      </c>
    </row>
    <row r="430" spans="2:7" ht="14.45" customHeight="1">
      <c r="B430" s="34" t="s">
        <v>119</v>
      </c>
      <c r="C430" s="3" t="s">
        <v>221</v>
      </c>
      <c r="D430" s="52">
        <f t="shared" ref="D430:G430" si="128">D238*D334/SUMPRODUCT(D$199:D$287,D$295:D$383)</f>
        <v>0</v>
      </c>
      <c r="E430" s="52">
        <f t="shared" si="128"/>
        <v>0</v>
      </c>
      <c r="F430" s="52">
        <f t="shared" si="128"/>
        <v>0</v>
      </c>
      <c r="G430" s="52">
        <f t="shared" si="128"/>
        <v>0</v>
      </c>
    </row>
    <row r="431" spans="2:7" ht="14.45" customHeight="1">
      <c r="B431" s="34" t="s">
        <v>121</v>
      </c>
      <c r="C431" s="3" t="s">
        <v>221</v>
      </c>
      <c r="D431" s="52">
        <f t="shared" ref="D431:G431" si="129">D239*D335/SUMPRODUCT(D$199:D$287,D$295:D$383)</f>
        <v>1.659939396759893E-3</v>
      </c>
      <c r="E431" s="52">
        <f t="shared" si="129"/>
        <v>1.6384852552339766E-3</v>
      </c>
      <c r="F431" s="52">
        <f t="shared" si="129"/>
        <v>1.6059517266254651E-3</v>
      </c>
      <c r="G431" s="52">
        <f t="shared" si="129"/>
        <v>1.6779601021071214E-3</v>
      </c>
    </row>
    <row r="432" spans="2:7" ht="14.45" customHeight="1">
      <c r="B432" s="34" t="s">
        <v>123</v>
      </c>
      <c r="C432" s="3" t="s">
        <v>221</v>
      </c>
      <c r="D432" s="52">
        <f t="shared" ref="D432:G432" si="130">D240*D336/SUMPRODUCT(D$199:D$287,D$295:D$383)</f>
        <v>4.7924257320966683E-3</v>
      </c>
      <c r="E432" s="52">
        <f t="shared" si="130"/>
        <v>4.7304339766537319E-3</v>
      </c>
      <c r="F432" s="52">
        <f t="shared" si="130"/>
        <v>4.6365222028878017E-3</v>
      </c>
      <c r="G432" s="52">
        <f t="shared" si="130"/>
        <v>4.8444492456701065E-3</v>
      </c>
    </row>
    <row r="433" spans="2:7" ht="14.45" customHeight="1">
      <c r="B433" s="34" t="s">
        <v>125</v>
      </c>
      <c r="C433" s="3" t="s">
        <v>221</v>
      </c>
      <c r="D433" s="52">
        <f t="shared" ref="D433:G433" si="131">D241*D337/SUMPRODUCT(D$199:D$287,D$295:D$383)</f>
        <v>1.0466345703138587E-2</v>
      </c>
      <c r="E433" s="52">
        <f t="shared" si="131"/>
        <v>1.0330615304236762E-2</v>
      </c>
      <c r="F433" s="52">
        <f t="shared" si="131"/>
        <v>1.0125625941137993E-2</v>
      </c>
      <c r="G433" s="52">
        <f t="shared" si="131"/>
        <v>1.0579933312420816E-2</v>
      </c>
    </row>
    <row r="434" spans="2:7" ht="14.45" customHeight="1">
      <c r="B434" s="34" t="s">
        <v>127</v>
      </c>
      <c r="C434" s="3" t="s">
        <v>221</v>
      </c>
      <c r="D434" s="52">
        <f t="shared" ref="D434:G434" si="132">D242*D338/SUMPRODUCT(D$199:D$287,D$295:D$383)</f>
        <v>2.7448255363286388E-3</v>
      </c>
      <c r="E434" s="52">
        <f t="shared" si="132"/>
        <v>2.7091932962278326E-3</v>
      </c>
      <c r="F434" s="52">
        <f t="shared" si="132"/>
        <v>2.65544577788589E-3</v>
      </c>
      <c r="G434" s="52">
        <f t="shared" si="132"/>
        <v>2.7746111599093386E-3</v>
      </c>
    </row>
    <row r="435" spans="2:7" ht="14.45" customHeight="1">
      <c r="B435" s="34" t="s">
        <v>129</v>
      </c>
      <c r="C435" s="3" t="s">
        <v>221</v>
      </c>
      <c r="D435" s="52">
        <f t="shared" ref="D435:G435" si="133">D243*D339/SUMPRODUCT(D$199:D$287,D$295:D$383)</f>
        <v>1.0552464007874343E-2</v>
      </c>
      <c r="E435" s="52">
        <f t="shared" si="133"/>
        <v>1.0415280043323977E-2</v>
      </c>
      <c r="F435" s="52">
        <f t="shared" si="133"/>
        <v>1.0208232166326905E-2</v>
      </c>
      <c r="G435" s="52">
        <f t="shared" si="133"/>
        <v>1.0666490590555293E-2</v>
      </c>
    </row>
    <row r="436" spans="2:7" ht="14.45" customHeight="1">
      <c r="B436" s="34" t="s">
        <v>131</v>
      </c>
      <c r="C436" s="3" t="s">
        <v>221</v>
      </c>
      <c r="D436" s="52">
        <f t="shared" ref="D436:G436" si="134">D244*D340/SUMPRODUCT(D$199:D$287,D$295:D$383)</f>
        <v>7.8815623060354747E-3</v>
      </c>
      <c r="E436" s="52">
        <f t="shared" si="134"/>
        <v>7.7791005616607333E-3</v>
      </c>
      <c r="F436" s="52">
        <f t="shared" si="134"/>
        <v>7.6244579820091132E-3</v>
      </c>
      <c r="G436" s="52">
        <f t="shared" si="134"/>
        <v>7.9667280198877661E-3</v>
      </c>
    </row>
    <row r="437" spans="2:7" ht="14.45" customHeight="1">
      <c r="B437" s="34" t="s">
        <v>132</v>
      </c>
      <c r="C437" s="3" t="s">
        <v>221</v>
      </c>
      <c r="D437" s="52">
        <f t="shared" ref="D437:G437" si="135">D245*D341/SUMPRODUCT(D$199:D$287,D$295:D$383)</f>
        <v>2.5366856477994495E-4</v>
      </c>
      <c r="E437" s="52">
        <f t="shared" si="135"/>
        <v>2.5036779470469759E-4</v>
      </c>
      <c r="F437" s="52">
        <f t="shared" si="135"/>
        <v>2.4540303459992746E-4</v>
      </c>
      <c r="G437" s="52">
        <f t="shared" si="135"/>
        <v>2.5642062538981669E-4</v>
      </c>
    </row>
    <row r="438" spans="2:7" ht="14.45" customHeight="1">
      <c r="B438" s="34" t="s">
        <v>134</v>
      </c>
      <c r="C438" s="3" t="s">
        <v>221</v>
      </c>
      <c r="D438" s="52">
        <f t="shared" ref="D438:G438" si="136">D246*D342/SUMPRODUCT(D$199:D$287,D$295:D$383)</f>
        <v>1.0973394208672941E-2</v>
      </c>
      <c r="E438" s="52">
        <f t="shared" si="136"/>
        <v>1.0830449139584853E-2</v>
      </c>
      <c r="F438" s="52">
        <f t="shared" si="136"/>
        <v>1.061572896741934E-2</v>
      </c>
      <c r="G438" s="52">
        <f t="shared" si="136"/>
        <v>1.1092431956522873E-2</v>
      </c>
    </row>
    <row r="439" spans="2:7" ht="14.45" customHeight="1">
      <c r="B439" s="34" t="s">
        <v>136</v>
      </c>
      <c r="C439" s="3" t="s">
        <v>221</v>
      </c>
      <c r="D439" s="52">
        <f t="shared" ref="D439:G439" si="137">D247*D343/SUMPRODUCT(D$199:D$287,D$295:D$383)</f>
        <v>8.5277288947807044E-3</v>
      </c>
      <c r="E439" s="52">
        <f t="shared" si="137"/>
        <v>8.416642326953756E-3</v>
      </c>
      <c r="F439" s="52">
        <f t="shared" si="137"/>
        <v>8.249777377108589E-3</v>
      </c>
      <c r="G439" s="52">
        <f t="shared" si="137"/>
        <v>8.6202364809975229E-3</v>
      </c>
    </row>
    <row r="440" spans="2:7" ht="14.45" customHeight="1">
      <c r="B440" s="34" t="s">
        <v>137</v>
      </c>
      <c r="C440" s="3" t="s">
        <v>221</v>
      </c>
      <c r="D440" s="52">
        <f t="shared" ref="D440:G440" si="138">D248*D344/SUMPRODUCT(D$199:D$287,D$295:D$383)</f>
        <v>1.4579123592649446E-2</v>
      </c>
      <c r="E440" s="52">
        <f t="shared" si="138"/>
        <v>1.4388910981968381E-2</v>
      </c>
      <c r="F440" s="52">
        <f t="shared" si="138"/>
        <v>1.410372947993108E-2</v>
      </c>
      <c r="G440" s="52">
        <f t="shared" si="138"/>
        <v>1.4737251355330105E-2</v>
      </c>
    </row>
    <row r="441" spans="2:7" ht="14.45" customHeight="1">
      <c r="B441" s="34" t="s">
        <v>139</v>
      </c>
      <c r="C441" s="3" t="s">
        <v>221</v>
      </c>
      <c r="D441" s="52">
        <f t="shared" ref="D441:G441" si="139">D249*D345/SUMPRODUCT(D$199:D$287,D$295:D$383)</f>
        <v>3.4377273081342041E-3</v>
      </c>
      <c r="E441" s="52">
        <f t="shared" si="139"/>
        <v>3.3927889058638638E-3</v>
      </c>
      <c r="F441" s="52">
        <f t="shared" si="139"/>
        <v>3.3255708261449237E-3</v>
      </c>
      <c r="G441" s="52">
        <f t="shared" si="139"/>
        <v>3.4750063744163969E-3</v>
      </c>
    </row>
    <row r="442" spans="2:7" ht="14.45" customHeight="1">
      <c r="B442" s="34" t="s">
        <v>141</v>
      </c>
      <c r="C442" s="3" t="s">
        <v>221</v>
      </c>
      <c r="D442" s="52">
        <f t="shared" ref="D442:G442" si="140">D250*D346/SUMPRODUCT(D$199:D$287,D$295:D$383)</f>
        <v>7.674684724550602E-3</v>
      </c>
      <c r="E442" s="52">
        <f t="shared" si="140"/>
        <v>7.5742471128852351E-3</v>
      </c>
      <c r="F442" s="52">
        <f t="shared" si="140"/>
        <v>7.4238645811703224E-3</v>
      </c>
      <c r="G442" s="52">
        <f t="shared" si="140"/>
        <v>7.7575530080617513E-3</v>
      </c>
    </row>
    <row r="443" spans="2:7" ht="14.45" customHeight="1">
      <c r="B443" s="34" t="s">
        <v>143</v>
      </c>
      <c r="C443" s="3" t="s">
        <v>221</v>
      </c>
      <c r="D443" s="52">
        <f t="shared" ref="D443:G443" si="141">D251*D347/SUMPRODUCT(D$199:D$287,D$295:D$383)</f>
        <v>6.6782423686886994E-3</v>
      </c>
      <c r="E443" s="52">
        <f t="shared" si="141"/>
        <v>6.5908593616073527E-3</v>
      </c>
      <c r="F443" s="52">
        <f t="shared" si="141"/>
        <v>6.4600960362422325E-3</v>
      </c>
      <c r="G443" s="52">
        <f t="shared" si="141"/>
        <v>6.7504494643856883E-3</v>
      </c>
    </row>
    <row r="444" spans="2:7" ht="14.45" customHeight="1">
      <c r="B444" s="34" t="s">
        <v>145</v>
      </c>
      <c r="C444" s="3" t="s">
        <v>221</v>
      </c>
      <c r="D444" s="52">
        <f t="shared" ref="D444:G444" si="142">D252*D348/SUMPRODUCT(D$199:D$287,D$295:D$383)</f>
        <v>0.17963465010028154</v>
      </c>
      <c r="E444" s="52">
        <f t="shared" si="142"/>
        <v>0.17728321078958509</v>
      </c>
      <c r="F444" s="52">
        <f t="shared" si="142"/>
        <v>0.17376495733587735</v>
      </c>
      <c r="G444" s="52">
        <f t="shared" si="142"/>
        <v>0.18157563602835883</v>
      </c>
    </row>
    <row r="445" spans="2:7" ht="14.45" customHeight="1">
      <c r="B445" s="34" t="s">
        <v>147</v>
      </c>
      <c r="C445" s="3" t="s">
        <v>221</v>
      </c>
      <c r="D445" s="52">
        <f t="shared" ref="D445:G445" si="143">D253*D349/SUMPRODUCT(D$199:D$287,D$295:D$383)</f>
        <v>2.2401035243768592E-2</v>
      </c>
      <c r="E445" s="52">
        <f t="shared" si="143"/>
        <v>2.2107543319448336E-2</v>
      </c>
      <c r="F445" s="52">
        <f t="shared" si="143"/>
        <v>2.1669742088051655E-2</v>
      </c>
      <c r="G445" s="52">
        <f t="shared" si="143"/>
        <v>2.2643899795283352E-2</v>
      </c>
    </row>
    <row r="446" spans="2:7" ht="14.45" customHeight="1">
      <c r="B446" s="34" t="s">
        <v>149</v>
      </c>
      <c r="C446" s="3" t="s">
        <v>221</v>
      </c>
      <c r="D446" s="52">
        <f t="shared" ref="D446:G446" si="144">D254*D350/SUMPRODUCT(D$199:D$287,D$295:D$383)</f>
        <v>1.9498897231605358E-2</v>
      </c>
      <c r="E446" s="52">
        <f t="shared" si="144"/>
        <v>1.9243204475867973E-2</v>
      </c>
      <c r="F446" s="52">
        <f t="shared" si="144"/>
        <v>1.8862192102006053E-2</v>
      </c>
      <c r="G446" s="52">
        <f t="shared" si="144"/>
        <v>1.97102793456208E-2</v>
      </c>
    </row>
    <row r="447" spans="2:7" ht="14.45" customHeight="1">
      <c r="B447" s="34" t="s">
        <v>151</v>
      </c>
      <c r="C447" s="3" t="s">
        <v>221</v>
      </c>
      <c r="D447" s="52">
        <f t="shared" ref="D447:G447" si="145">D255*D351/SUMPRODUCT(D$199:D$287,D$295:D$383)</f>
        <v>5.8729465220541004E-2</v>
      </c>
      <c r="E447" s="52">
        <f t="shared" si="145"/>
        <v>5.7957949522396669E-2</v>
      </c>
      <c r="F447" s="52">
        <f t="shared" si="145"/>
        <v>5.6803954056833007E-2</v>
      </c>
      <c r="G447" s="52">
        <f t="shared" si="145"/>
        <v>5.9359311571186894E-2</v>
      </c>
    </row>
    <row r="448" spans="2:7" ht="14.45" customHeight="1">
      <c r="B448" s="34" t="s">
        <v>153</v>
      </c>
      <c r="C448" s="3" t="s">
        <v>221</v>
      </c>
      <c r="D448" s="52">
        <f t="shared" ref="D448:G448" si="146">D256*D352/SUMPRODUCT(D$199:D$287,D$295:D$383)</f>
        <v>3.9033268631972651E-2</v>
      </c>
      <c r="E448" s="52">
        <f t="shared" si="146"/>
        <v>3.8520952728886199E-2</v>
      </c>
      <c r="F448" s="52">
        <f t="shared" si="146"/>
        <v>3.7758380453433771E-2</v>
      </c>
      <c r="G448" s="52">
        <f t="shared" si="146"/>
        <v>3.9456379126657989E-2</v>
      </c>
    </row>
    <row r="449" spans="2:7" ht="14.45" customHeight="1">
      <c r="B449" s="34" t="s">
        <v>155</v>
      </c>
      <c r="C449" s="3" t="s">
        <v>221</v>
      </c>
      <c r="D449" s="52">
        <f t="shared" ref="D449:G449" si="147">D257*D353/SUMPRODUCT(D$199:D$287,D$295:D$383)</f>
        <v>3.6604278951633838E-2</v>
      </c>
      <c r="E449" s="52">
        <f t="shared" si="147"/>
        <v>3.6123474805186864E-2</v>
      </c>
      <c r="F449" s="52">
        <f t="shared" si="147"/>
        <v>3.5408471935997679E-2</v>
      </c>
      <c r="G449" s="52">
        <f t="shared" si="147"/>
        <v>3.7001029451019428E-2</v>
      </c>
    </row>
    <row r="450" spans="2:7" ht="14.45" customHeight="1">
      <c r="B450" s="34" t="s">
        <v>157</v>
      </c>
      <c r="C450" s="3" t="s">
        <v>221</v>
      </c>
      <c r="D450" s="52">
        <f t="shared" ref="D450:G450" si="148">D258*D354/SUMPRODUCT(D$199:D$287,D$295:D$383)</f>
        <v>4.7318113798108345E-3</v>
      </c>
      <c r="E450" s="52">
        <f t="shared" si="148"/>
        <v>4.6696018368929584E-3</v>
      </c>
      <c r="F450" s="52">
        <f t="shared" si="148"/>
        <v>4.5770411978029732E-3</v>
      </c>
      <c r="G450" s="52">
        <f t="shared" si="148"/>
        <v>4.7829470606181113E-3</v>
      </c>
    </row>
    <row r="451" spans="2:7" ht="14.45" customHeight="1">
      <c r="B451" s="34" t="s">
        <v>159</v>
      </c>
      <c r="C451" s="3" t="s">
        <v>221</v>
      </c>
      <c r="D451" s="52">
        <f t="shared" ref="D451:G451" si="149">D259*D355/SUMPRODUCT(D$199:D$287,D$295:D$383)</f>
        <v>2.0558512679255306E-2</v>
      </c>
      <c r="E451" s="52">
        <f t="shared" si="149"/>
        <v>2.0288002875055219E-2</v>
      </c>
      <c r="F451" s="52">
        <f t="shared" si="149"/>
        <v>1.9886574088353974E-2</v>
      </c>
      <c r="G451" s="52">
        <f t="shared" si="149"/>
        <v>2.0781305875894156E-2</v>
      </c>
    </row>
    <row r="452" spans="2:7" ht="14.45" customHeight="1">
      <c r="B452" s="34" t="s">
        <v>161</v>
      </c>
      <c r="C452" s="3" t="s">
        <v>221</v>
      </c>
      <c r="D452" s="52">
        <f t="shared" ref="D452:G452" si="150">D260*D356/SUMPRODUCT(D$199:D$287,D$295:D$383)</f>
        <v>2.9171866907877146E-2</v>
      </c>
      <c r="E452" s="52">
        <f t="shared" si="150"/>
        <v>2.8787514221542146E-2</v>
      </c>
      <c r="F452" s="52">
        <f t="shared" si="150"/>
        <v>2.8215459648809463E-2</v>
      </c>
      <c r="G452" s="52">
        <f t="shared" si="150"/>
        <v>2.9485413287735487E-2</v>
      </c>
    </row>
    <row r="453" spans="2:7" ht="14.45" customHeight="1">
      <c r="B453" s="34" t="s">
        <v>163</v>
      </c>
      <c r="C453" s="3" t="s">
        <v>221</v>
      </c>
      <c r="D453" s="52">
        <f t="shared" ref="D453:G453" si="151">D261*D357/SUMPRODUCT(D$199:D$287,D$295:D$383)</f>
        <v>3.0684460686009448E-4</v>
      </c>
      <c r="E453" s="52">
        <f t="shared" si="151"/>
        <v>3.0279976734728708E-4</v>
      </c>
      <c r="F453" s="52">
        <f t="shared" si="151"/>
        <v>2.968105764933189E-4</v>
      </c>
      <c r="G453" s="52">
        <f t="shared" si="151"/>
        <v>3.1016928442645971E-4</v>
      </c>
    </row>
    <row r="454" spans="2:7" ht="14.45" customHeight="1">
      <c r="B454" s="34" t="s">
        <v>165</v>
      </c>
      <c r="C454" s="3" t="s">
        <v>221</v>
      </c>
      <c r="D454" s="52">
        <f t="shared" ref="D454:G454" si="152">D262*D358/SUMPRODUCT(D$199:D$287,D$295:D$383)</f>
        <v>1.1004543651685341E-3</v>
      </c>
      <c r="E454" s="52">
        <f t="shared" si="152"/>
        <v>1.0859203304386595E-3</v>
      </c>
      <c r="F454" s="52">
        <f t="shared" si="152"/>
        <v>1.0644496546508165E-3</v>
      </c>
      <c r="G454" s="52">
        <f t="shared" si="152"/>
        <v>1.112375558218671E-3</v>
      </c>
    </row>
    <row r="455" spans="2:7" ht="14.45" customHeight="1">
      <c r="B455" s="34" t="s">
        <v>167</v>
      </c>
      <c r="C455" s="3" t="s">
        <v>221</v>
      </c>
      <c r="D455" s="52">
        <f t="shared" ref="D455:G455" si="153">D263*D359/SUMPRODUCT(D$199:D$287,D$295:D$383)</f>
        <v>8.4061369700162301E-4</v>
      </c>
      <c r="E455" s="52">
        <f t="shared" si="153"/>
        <v>8.2845252271708276E-4</v>
      </c>
      <c r="F455" s="52">
        <f t="shared" si="153"/>
        <v>8.2405463237575599E-4</v>
      </c>
      <c r="G455" s="52">
        <f t="shared" si="153"/>
        <v>8.6107571476614503E-4</v>
      </c>
    </row>
    <row r="456" spans="2:7" ht="14.45" customHeight="1">
      <c r="B456" s="34" t="s">
        <v>169</v>
      </c>
      <c r="C456" s="3" t="s">
        <v>221</v>
      </c>
      <c r="D456" s="52">
        <f t="shared" ref="D456:G456" si="154">D264*D360/SUMPRODUCT(D$199:D$287,D$295:D$383)</f>
        <v>2.3358931105284426E-4</v>
      </c>
      <c r="E456" s="52">
        <f t="shared" si="154"/>
        <v>2.303446404571852E-4</v>
      </c>
      <c r="F456" s="52">
        <f t="shared" si="154"/>
        <v>2.2800240075384788E-4</v>
      </c>
      <c r="G456" s="52">
        <f t="shared" si="154"/>
        <v>2.382295041541491E-4</v>
      </c>
    </row>
    <row r="457" spans="2:7" ht="14.45" customHeight="1">
      <c r="B457" s="34" t="s">
        <v>171</v>
      </c>
      <c r="C457" s="3" t="s">
        <v>221</v>
      </c>
      <c r="D457" s="52">
        <f t="shared" ref="D457:G457" si="155">D265*D361/SUMPRODUCT(D$199:D$287,D$295:D$383)</f>
        <v>7.7893578397606681E-4</v>
      </c>
      <c r="E457" s="52">
        <f t="shared" si="155"/>
        <v>7.6824684992725964E-4</v>
      </c>
      <c r="F457" s="52">
        <f t="shared" si="155"/>
        <v>7.5934780232232084E-4</v>
      </c>
      <c r="G457" s="52">
        <f t="shared" si="155"/>
        <v>7.9339289580682203E-4</v>
      </c>
    </row>
    <row r="458" spans="2:7" ht="14.45" customHeight="1">
      <c r="B458" s="34" t="s">
        <v>173</v>
      </c>
      <c r="C458" s="3" t="s">
        <v>221</v>
      </c>
      <c r="D458" s="52">
        <f t="shared" ref="D458:G458" si="156">D266*D362/SUMPRODUCT(D$199:D$287,D$295:D$383)</f>
        <v>0.11437563027771309</v>
      </c>
      <c r="E458" s="52">
        <f t="shared" si="156"/>
        <v>0.11280661820666041</v>
      </c>
      <c r="F458" s="52">
        <f t="shared" si="156"/>
        <v>0.11148274974478657</v>
      </c>
      <c r="G458" s="52">
        <f t="shared" si="156"/>
        <v>0.11648181465234113</v>
      </c>
    </row>
    <row r="459" spans="2:7" ht="14.45" customHeight="1">
      <c r="B459" s="34" t="s">
        <v>175</v>
      </c>
      <c r="C459" s="3" t="s">
        <v>221</v>
      </c>
      <c r="D459" s="52">
        <f t="shared" ref="D459:G459" si="157">D267*D363/SUMPRODUCT(D$199:D$287,D$295:D$383)</f>
        <v>1.6903502093777215E-3</v>
      </c>
      <c r="E459" s="52">
        <f t="shared" si="157"/>
        <v>1.6674341506327636E-3</v>
      </c>
      <c r="F459" s="52">
        <f t="shared" si="157"/>
        <v>1.6457956813046742E-3</v>
      </c>
      <c r="G459" s="52">
        <f t="shared" si="157"/>
        <v>1.7195508861038719E-3</v>
      </c>
    </row>
    <row r="460" spans="2:7" ht="14.45" customHeight="1">
      <c r="B460" s="34" t="s">
        <v>177</v>
      </c>
      <c r="C460" s="3" t="s">
        <v>221</v>
      </c>
      <c r="D460" s="52">
        <f t="shared" ref="D460:G460" si="158">D268*D364/SUMPRODUCT(D$199:D$287,D$295:D$383)</f>
        <v>8.669128503999245E-3</v>
      </c>
      <c r="E460" s="52">
        <f t="shared" si="158"/>
        <v>8.5530596259779431E-3</v>
      </c>
      <c r="F460" s="52">
        <f t="shared" si="158"/>
        <v>8.4299539744392121E-3</v>
      </c>
      <c r="G460" s="52">
        <f t="shared" si="158"/>
        <v>8.8075618756883762E-3</v>
      </c>
    </row>
    <row r="461" spans="2:7" ht="14.45" customHeight="1">
      <c r="B461" s="34" t="s">
        <v>179</v>
      </c>
      <c r="C461" s="3" t="s">
        <v>221</v>
      </c>
      <c r="D461" s="52">
        <f t="shared" ref="D461:G461" si="159">D269*D365/SUMPRODUCT(D$199:D$287,D$295:D$383)</f>
        <v>1.6287727802704606E-3</v>
      </c>
      <c r="E461" s="52">
        <f t="shared" si="159"/>
        <v>1.6072858302144427E-3</v>
      </c>
      <c r="F461" s="52">
        <f t="shared" si="159"/>
        <v>1.5814923442599416E-3</v>
      </c>
      <c r="G461" s="52">
        <f t="shared" si="159"/>
        <v>1.6522946460539975E-3</v>
      </c>
    </row>
    <row r="462" spans="2:7" ht="14.45" customHeight="1">
      <c r="B462" s="34" t="s">
        <v>181</v>
      </c>
      <c r="C462" s="3" t="s">
        <v>221</v>
      </c>
      <c r="D462" s="52">
        <f t="shared" ref="D462:G462" si="160">D270*D366/SUMPRODUCT(D$199:D$287,D$295:D$383)</f>
        <v>4.182319910355353E-3</v>
      </c>
      <c r="E462" s="52">
        <f t="shared" si="160"/>
        <v>4.1288428857023411E-3</v>
      </c>
      <c r="F462" s="52">
        <f t="shared" si="160"/>
        <v>4.0484991323711901E-3</v>
      </c>
      <c r="G462" s="52">
        <f t="shared" si="160"/>
        <v>4.229543797286143E-3</v>
      </c>
    </row>
    <row r="463" spans="2:7" ht="14.45" customHeight="1">
      <c r="B463" s="34" t="s">
        <v>183</v>
      </c>
      <c r="C463" s="3" t="s">
        <v>221</v>
      </c>
      <c r="D463" s="52">
        <f t="shared" ref="D463:G463" si="161">D271*D367/SUMPRODUCT(D$199:D$287,D$295:D$383)</f>
        <v>2.120329183141062E-3</v>
      </c>
      <c r="E463" s="52">
        <f t="shared" si="161"/>
        <v>2.0902547621491612E-3</v>
      </c>
      <c r="F463" s="52">
        <f t="shared" si="161"/>
        <v>2.0733328016965284E-3</v>
      </c>
      <c r="G463" s="52">
        <f t="shared" si="161"/>
        <v>2.1664607773393511E-3</v>
      </c>
    </row>
    <row r="464" spans="2:7" ht="14.45" customHeight="1">
      <c r="B464" s="34" t="s">
        <v>185</v>
      </c>
      <c r="C464" s="3" t="s">
        <v>221</v>
      </c>
      <c r="D464" s="52">
        <f t="shared" ref="D464:G464" si="162">D272*D368/SUMPRODUCT(D$199:D$287,D$295:D$383)</f>
        <v>8.7860041476054886E-3</v>
      </c>
      <c r="E464" s="52">
        <f t="shared" si="162"/>
        <v>8.6618636548246239E-3</v>
      </c>
      <c r="F464" s="52">
        <f t="shared" si="162"/>
        <v>8.5825108869873028E-3</v>
      </c>
      <c r="G464" s="52">
        <f t="shared" si="162"/>
        <v>8.9682936157924626E-3</v>
      </c>
    </row>
    <row r="465" spans="2:7" ht="14.45" customHeight="1">
      <c r="B465" s="34" t="s">
        <v>187</v>
      </c>
      <c r="C465" s="3" t="s">
        <v>221</v>
      </c>
      <c r="D465" s="52">
        <f t="shared" ref="D465:G465" si="163">D273*D369/SUMPRODUCT(D$199:D$287,D$295:D$383)</f>
        <v>1.4326382378260908E-3</v>
      </c>
      <c r="E465" s="52">
        <f t="shared" si="163"/>
        <v>1.4124304872864862E-3</v>
      </c>
      <c r="F465" s="52">
        <f t="shared" si="163"/>
        <v>1.398759188248879E-3</v>
      </c>
      <c r="G465" s="52">
        <f t="shared" si="163"/>
        <v>1.4616578687516332E-3</v>
      </c>
    </row>
    <row r="466" spans="2:7" ht="14.45" customHeight="1">
      <c r="B466" s="34" t="s">
        <v>189</v>
      </c>
      <c r="C466" s="3" t="s">
        <v>221</v>
      </c>
      <c r="D466" s="52">
        <f t="shared" ref="D466:G466" si="164">D274*D370/SUMPRODUCT(D$199:D$287,D$295:D$383)</f>
        <v>4.0918701934378779E-4</v>
      </c>
      <c r="E466" s="52">
        <f t="shared" si="164"/>
        <v>4.0345950294516934E-4</v>
      </c>
      <c r="F466" s="52">
        <f t="shared" si="164"/>
        <v>3.9903138422523761E-4</v>
      </c>
      <c r="G466" s="52">
        <f t="shared" si="164"/>
        <v>4.1697964408266789E-4</v>
      </c>
    </row>
    <row r="467" spans="2:7" ht="14.45" customHeight="1">
      <c r="B467" s="34" t="s">
        <v>191</v>
      </c>
      <c r="C467" s="3" t="s">
        <v>221</v>
      </c>
      <c r="D467" s="52">
        <f t="shared" ref="D467:G467" si="165">D275*D371/SUMPRODUCT(D$199:D$287,D$295:D$383)</f>
        <v>2.2287193842559882E-3</v>
      </c>
      <c r="E467" s="52">
        <f t="shared" si="165"/>
        <v>2.1976407732402807E-3</v>
      </c>
      <c r="F467" s="52">
        <f t="shared" si="165"/>
        <v>2.1724719604019759E-3</v>
      </c>
      <c r="G467" s="52">
        <f t="shared" si="165"/>
        <v>2.2701796109036716E-3</v>
      </c>
    </row>
    <row r="468" spans="2:7" ht="14.45" customHeight="1">
      <c r="B468" s="34" t="s">
        <v>193</v>
      </c>
      <c r="C468" s="3" t="s">
        <v>221</v>
      </c>
      <c r="D468" s="52">
        <f t="shared" ref="D468:G468" si="166">D276*D372/SUMPRODUCT(D$199:D$287,D$295:D$383)</f>
        <v>2.1083506314171002E-3</v>
      </c>
      <c r="E468" s="52">
        <f t="shared" si="166"/>
        <v>2.0793979285580375E-3</v>
      </c>
      <c r="F468" s="52">
        <f t="shared" si="166"/>
        <v>2.0515882064111573E-3</v>
      </c>
      <c r="G468" s="52">
        <f t="shared" si="166"/>
        <v>2.1438239998471764E-3</v>
      </c>
    </row>
    <row r="469" spans="2:7" ht="14.45" customHeight="1">
      <c r="B469" s="34" t="s">
        <v>195</v>
      </c>
      <c r="C469" s="3" t="s">
        <v>221</v>
      </c>
      <c r="D469" s="52">
        <f t="shared" ref="D469:G469" si="167">D277*D373/SUMPRODUCT(D$199:D$287,D$295:D$383)</f>
        <v>1.1054494022388638E-3</v>
      </c>
      <c r="E469" s="52">
        <f t="shared" si="167"/>
        <v>1.0911158413884103E-3</v>
      </c>
      <c r="F469" s="52">
        <f t="shared" si="167"/>
        <v>1.0692990455116091E-3</v>
      </c>
      <c r="G469" s="52">
        <f t="shared" si="167"/>
        <v>1.1172846331178338E-3</v>
      </c>
    </row>
    <row r="470" spans="2:7" ht="14.45" customHeight="1">
      <c r="B470" s="34" t="s">
        <v>197</v>
      </c>
      <c r="C470" s="3" t="s">
        <v>221</v>
      </c>
      <c r="D470" s="52">
        <f t="shared" ref="D470:G470" si="168">D278*D374/SUMPRODUCT(D$199:D$287,D$295:D$383)</f>
        <v>6.7121227022272812E-4</v>
      </c>
      <c r="E470" s="52">
        <f t="shared" si="168"/>
        <v>6.6250121709988887E-4</v>
      </c>
      <c r="F470" s="52">
        <f t="shared" si="168"/>
        <v>6.4921852261399582E-4</v>
      </c>
      <c r="G470" s="52">
        <f t="shared" si="168"/>
        <v>6.783601967058257E-4</v>
      </c>
    </row>
    <row r="471" spans="2:7" ht="14.45" customHeight="1">
      <c r="B471" s="34" t="s">
        <v>199</v>
      </c>
      <c r="C471" s="3" t="s">
        <v>221</v>
      </c>
      <c r="D471" s="52">
        <f t="shared" ref="D471:G471" si="169">D279*D375/SUMPRODUCT(D$199:D$287,D$295:D$383)</f>
        <v>8.4108091963881477E-4</v>
      </c>
      <c r="E471" s="52">
        <f t="shared" si="169"/>
        <v>8.3014010417039198E-4</v>
      </c>
      <c r="F471" s="52">
        <f t="shared" si="169"/>
        <v>8.1359893633150898E-4</v>
      </c>
      <c r="G471" s="52">
        <f t="shared" si="169"/>
        <v>8.501290747919654E-4</v>
      </c>
    </row>
    <row r="472" spans="2:7" ht="14.45" customHeight="1">
      <c r="B472" s="34" t="s">
        <v>201</v>
      </c>
      <c r="C472" s="3" t="s">
        <v>221</v>
      </c>
      <c r="D472" s="52">
        <f t="shared" ref="D472:G472" si="170">D280*D376/SUMPRODUCT(D$199:D$287,D$295:D$383)</f>
        <v>2.9286071304375685E-3</v>
      </c>
      <c r="E472" s="52">
        <f t="shared" si="170"/>
        <v>2.8901381580545525E-3</v>
      </c>
      <c r="F472" s="52">
        <f t="shared" si="170"/>
        <v>2.8355338726704935E-3</v>
      </c>
      <c r="G472" s="52">
        <f t="shared" si="170"/>
        <v>2.9628997303408127E-3</v>
      </c>
    </row>
    <row r="473" spans="2:7" ht="14.45" customHeight="1">
      <c r="B473" s="34" t="s">
        <v>203</v>
      </c>
      <c r="C473" s="3" t="s">
        <v>221</v>
      </c>
      <c r="D473" s="52">
        <f t="shared" ref="D473:G473" si="171">D281*D377/SUMPRODUCT(D$199:D$287,D$295:D$383)</f>
        <v>3.6790377062070152E-3</v>
      </c>
      <c r="E473" s="52">
        <f t="shared" si="171"/>
        <v>3.6304232134842973E-3</v>
      </c>
      <c r="F473" s="52">
        <f t="shared" si="171"/>
        <v>3.5648411087502246E-3</v>
      </c>
      <c r="G473" s="52">
        <f t="shared" si="171"/>
        <v>3.724960311938448E-3</v>
      </c>
    </row>
    <row r="474" spans="2:7" ht="14.45" customHeight="1">
      <c r="B474" s="34" t="s">
        <v>205</v>
      </c>
      <c r="C474" s="3" t="s">
        <v>221</v>
      </c>
      <c r="D474" s="52">
        <f t="shared" ref="D474:G474" si="172">D282*D378/SUMPRODUCT(D$199:D$287,D$295:D$383)</f>
        <v>6.5407992520986344E-3</v>
      </c>
      <c r="E474" s="52">
        <f t="shared" si="172"/>
        <v>6.4800407124102222E-3</v>
      </c>
      <c r="F474" s="52">
        <f t="shared" si="172"/>
        <v>5.9706106598161465E-3</v>
      </c>
      <c r="G474" s="52">
        <f t="shared" si="172"/>
        <v>6.2472997525290326E-3</v>
      </c>
    </row>
    <row r="475" spans="2:7" ht="14.45" customHeight="1">
      <c r="B475" s="34" t="s">
        <v>207</v>
      </c>
      <c r="C475" s="3" t="s">
        <v>221</v>
      </c>
      <c r="D475" s="52">
        <f t="shared" ref="D475:G475" si="173">D283*D379/SUMPRODUCT(D$199:D$287,D$295:D$383)</f>
        <v>4.4884960215721848E-3</v>
      </c>
      <c r="E475" s="52">
        <f t="shared" si="173"/>
        <v>4.5001411857078424E-3</v>
      </c>
      <c r="F475" s="52">
        <f t="shared" si="173"/>
        <v>3.2485928494514287E-3</v>
      </c>
      <c r="G475" s="52">
        <f t="shared" si="173"/>
        <v>3.4235648503902426E-3</v>
      </c>
    </row>
    <row r="476" spans="2:7" ht="14.45" customHeight="1">
      <c r="B476" s="34" t="s">
        <v>209</v>
      </c>
      <c r="C476" s="3" t="s">
        <v>221</v>
      </c>
      <c r="D476" s="52">
        <f t="shared" ref="D476:G476" si="174">D284*D380/SUMPRODUCT(D$199:D$287,D$295:D$383)</f>
        <v>1.8927694122493094E-3</v>
      </c>
      <c r="E476" s="52">
        <f t="shared" si="174"/>
        <v>1.8976791319565789E-3</v>
      </c>
      <c r="F476" s="52">
        <f t="shared" si="174"/>
        <v>1.3699249549548572E-3</v>
      </c>
      <c r="G476" s="52">
        <f t="shared" si="174"/>
        <v>1.4437097904180397E-3</v>
      </c>
    </row>
    <row r="477" spans="2:7" ht="14.45" customHeight="1">
      <c r="B477" s="34" t="s">
        <v>210</v>
      </c>
      <c r="C477" s="3" t="s">
        <v>221</v>
      </c>
      <c r="D477" s="52">
        <f t="shared" ref="D477:G477" si="175">D285*D381/SUMPRODUCT(D$199:D$287,D$295:D$383)</f>
        <v>4.8713982521102386E-5</v>
      </c>
      <c r="E477" s="52">
        <f t="shared" si="175"/>
        <v>4.8808731816602717E-5</v>
      </c>
      <c r="F477" s="52">
        <f t="shared" si="175"/>
        <v>3.5733479125720474E-5</v>
      </c>
      <c r="G477" s="52">
        <f t="shared" si="175"/>
        <v>3.7641831609645019E-5</v>
      </c>
    </row>
    <row r="478" spans="2:7" ht="14.45" customHeight="1">
      <c r="B478" s="34" t="s">
        <v>212</v>
      </c>
      <c r="C478" s="3" t="s">
        <v>221</v>
      </c>
      <c r="D478" s="52">
        <f t="shared" ref="D478:G478" si="176">D286*D382/SUMPRODUCT(D$199:D$287,D$295:D$383)</f>
        <v>3.675308204634286E-3</v>
      </c>
      <c r="E478" s="52">
        <f t="shared" si="176"/>
        <v>3.6848417130510014E-3</v>
      </c>
      <c r="F478" s="52">
        <f t="shared" si="176"/>
        <v>2.6600685715306035E-3</v>
      </c>
      <c r="G478" s="52">
        <f t="shared" si="176"/>
        <v>2.8033411801222439E-3</v>
      </c>
    </row>
    <row r="479" spans="2:7" ht="14.45" customHeight="1">
      <c r="B479" s="34" t="s">
        <v>213</v>
      </c>
      <c r="C479" s="3" t="s">
        <v>221</v>
      </c>
      <c r="D479" s="52">
        <f t="shared" ref="D479:G479" si="177">D287*D383/SUMPRODUCT(D$199:D$287,D$295:D$383)</f>
        <v>1.0930520908353548E-5</v>
      </c>
      <c r="E479" s="52">
        <f t="shared" si="177"/>
        <v>1.1007295073572071E-5</v>
      </c>
      <c r="F479" s="52">
        <f t="shared" si="177"/>
        <v>7.1407891816235525E-6</v>
      </c>
      <c r="G479" s="52">
        <f t="shared" si="177"/>
        <v>7.553361313044034E-6</v>
      </c>
    </row>
    <row r="482" spans="2:15" ht="28.9" customHeight="1">
      <c r="B482" s="31" t="s">
        <v>609</v>
      </c>
      <c r="C482" s="4"/>
      <c r="D482" s="4"/>
      <c r="E482" s="4"/>
      <c r="F482" s="4"/>
      <c r="G482" s="4"/>
    </row>
    <row r="483" spans="2:15" ht="14.45" customHeight="1">
      <c r="B483" s="35"/>
    </row>
    <row r="484" spans="2:15" ht="14.45" customHeight="1">
      <c r="B484" s="8" t="s">
        <v>1</v>
      </c>
      <c r="C484" s="8" t="s">
        <v>215</v>
      </c>
      <c r="D484" s="5"/>
      <c r="E484" s="5"/>
      <c r="F484" s="5"/>
      <c r="G484" s="5"/>
    </row>
    <row r="485" spans="2:15" ht="14.45" customHeight="1">
      <c r="B485" s="24"/>
      <c r="C485" s="24"/>
      <c r="D485" s="22" t="str">
        <f>'Input data'!D$5</f>
        <v>2023-24</v>
      </c>
      <c r="E485" s="22" t="str">
        <f>'Input data'!E$5</f>
        <v>2024-25</v>
      </c>
      <c r="F485" s="22" t="str">
        <f>'Input data'!F$5</f>
        <v>2025-26</v>
      </c>
      <c r="G485" s="22" t="str">
        <f>'Input data'!G$5</f>
        <v>2026-27</v>
      </c>
    </row>
    <row r="486" spans="2:15" ht="14.45" customHeight="1">
      <c r="B486" s="23"/>
      <c r="C486" s="23"/>
      <c r="D486" s="7"/>
      <c r="E486" s="7"/>
      <c r="F486" s="7"/>
      <c r="G486" s="7"/>
    </row>
    <row r="487" spans="2:15" ht="14.45" customHeight="1">
      <c r="B487" s="34" t="s">
        <v>0</v>
      </c>
      <c r="C487" s="3" t="s">
        <v>217</v>
      </c>
      <c r="D487" s="53">
        <f>IF(D7=0,0,'Input data'!D$191*D391*'Input data'!D$7/D7)</f>
        <v>3.1108334911301012E-2</v>
      </c>
      <c r="E487" s="53">
        <f>IF(E7=0,0,'Input data'!E$191*E391*'Input data'!E$7/E7)</f>
        <v>3.2731429792492182E-2</v>
      </c>
      <c r="F487" s="53">
        <f>IF(F7=0,0,'Input data'!F$191*F391*'Input data'!F$7/F7)</f>
        <v>3.4928060172683205E-2</v>
      </c>
      <c r="G487" s="53">
        <f>IF(G7=0,0,'Input data'!G$191*G391*'Input data'!G$7/G7)</f>
        <v>3.582633207751898E-2</v>
      </c>
      <c r="I487"/>
      <c r="J487"/>
      <c r="K487"/>
      <c r="L487"/>
      <c r="M487"/>
      <c r="N487"/>
      <c r="O487"/>
    </row>
    <row r="488" spans="2:15" ht="14.45" customHeight="1">
      <c r="B488" s="34" t="s">
        <v>216</v>
      </c>
      <c r="C488" s="3" t="s">
        <v>217</v>
      </c>
      <c r="D488" s="53">
        <f>IF(D8=0,0,'Input data'!D$191*D392*'Input data'!D$7/D8)</f>
        <v>3.5394565875922636E-2</v>
      </c>
      <c r="E488" s="53">
        <f>IF(E8=0,0,'Input data'!E$191*E392*'Input data'!E$7/E8)</f>
        <v>3.7233909674774981E-2</v>
      </c>
      <c r="F488" s="53">
        <f>IF(F8=0,0,'Input data'!F$191*F392*'Input data'!F$7/F8)</f>
        <v>3.9784166801373762E-2</v>
      </c>
      <c r="G488" s="53">
        <f>IF(G8=0,0,'Input data'!G$191*G392*'Input data'!G$7/G8)</f>
        <v>4.0809042907019602E-2</v>
      </c>
      <c r="J488"/>
      <c r="K488"/>
      <c r="L488"/>
      <c r="M488"/>
      <c r="N488"/>
      <c r="O488"/>
    </row>
    <row r="489" spans="2:15" ht="14.45" customHeight="1">
      <c r="B489" s="34" t="s">
        <v>218</v>
      </c>
      <c r="C489" s="3" t="s">
        <v>14</v>
      </c>
      <c r="D489" s="53">
        <f>IF(D9=0,0,'Input data'!D$191*D393*'Input data'!D$7/D9)</f>
        <v>0</v>
      </c>
      <c r="E489" s="53">
        <f>IF(E9=0,0,'Input data'!E$191*E393*'Input data'!E$7/E9)</f>
        <v>0</v>
      </c>
      <c r="F489" s="53">
        <f>IF(F9=0,0,'Input data'!F$191*F393*'Input data'!F$7/F9)</f>
        <v>0</v>
      </c>
      <c r="G489" s="53">
        <f>IF(G9=0,0,'Input data'!G$191*G393*'Input data'!G$7/G9)</f>
        <v>0</v>
      </c>
      <c r="J489"/>
      <c r="K489"/>
      <c r="L489"/>
      <c r="M489"/>
      <c r="N489"/>
      <c r="O489"/>
    </row>
    <row r="490" spans="2:15" ht="14.45" customHeight="1">
      <c r="B490" s="34" t="s">
        <v>219</v>
      </c>
      <c r="C490" s="3" t="s">
        <v>15</v>
      </c>
      <c r="D490" s="53">
        <f>IF(D10=0,0,'Input data'!D$191*D394*'Input data'!D$7/D10)</f>
        <v>6.591930713292575E-2</v>
      </c>
      <c r="E490" s="53">
        <f>IF(E10=0,0,'Input data'!E$191*E394*'Input data'!E$7/E10)</f>
        <v>6.9308347509266177E-2</v>
      </c>
      <c r="F490" s="53">
        <f>IF(F10=0,0,'Input data'!F$191*F394*'Input data'!F$7/F10)</f>
        <v>7.4143465063682509E-2</v>
      </c>
      <c r="G490" s="53">
        <f>IF(G10=0,0,'Input data'!G$191*G394*'Input data'!G$7/G10)</f>
        <v>7.607361093300441E-2</v>
      </c>
      <c r="J490"/>
      <c r="K490"/>
      <c r="L490"/>
      <c r="M490"/>
      <c r="N490"/>
      <c r="O490"/>
    </row>
    <row r="491" spans="2:15" ht="14.45" customHeight="1">
      <c r="B491" s="34" t="s">
        <v>55</v>
      </c>
      <c r="C491" s="3" t="s">
        <v>221</v>
      </c>
      <c r="D491" s="53">
        <f>IF(D11=0,0,'Input data'!D$191*D395*'Input data'!D$7/D11)</f>
        <v>5.5528397266404968E-2</v>
      </c>
      <c r="E491" s="53">
        <f>IF(E11=0,0,'Input data'!E$191*E395*'Input data'!E$7/E11)</f>
        <v>5.8624307267003802E-2</v>
      </c>
      <c r="F491" s="53">
        <f>IF(F11=0,0,'Input data'!F$191*F395*'Input data'!F$7/F11)</f>
        <v>5.9232138276884505E-2</v>
      </c>
      <c r="G491" s="53">
        <f>IF(G11=0,0,'Input data'!G$191*G395*'Input data'!G$7/G11)</f>
        <v>6.0826744404204137E-2</v>
      </c>
      <c r="J491"/>
      <c r="K491"/>
      <c r="L491"/>
      <c r="M491"/>
      <c r="N491"/>
      <c r="O491"/>
    </row>
    <row r="492" spans="2:15" ht="14.45" customHeight="1">
      <c r="B492" s="34" t="s">
        <v>57</v>
      </c>
      <c r="C492" s="3" t="s">
        <v>221</v>
      </c>
      <c r="D492" s="53">
        <f>IF(D12=0,0,'Input data'!D$191*D396*'Input data'!D$7/D12)</f>
        <v>6.9280020235607351E-2</v>
      </c>
      <c r="E492" s="53">
        <f>IF(E12=0,0,'Input data'!E$191*E396*'Input data'!E$7/E12)</f>
        <v>7.3081061682584866E-2</v>
      </c>
      <c r="F492" s="53">
        <f>IF(F12=0,0,'Input data'!F$191*F396*'Input data'!F$7/F12)</f>
        <v>7.4801527749171801E-2</v>
      </c>
      <c r="G492" s="53">
        <f>IF(G12=0,0,'Input data'!G$191*G396*'Input data'!G$7/G12)</f>
        <v>7.6796101714637646E-2</v>
      </c>
      <c r="J492"/>
      <c r="K492"/>
      <c r="L492"/>
      <c r="M492"/>
      <c r="N492"/>
      <c r="O492"/>
    </row>
    <row r="493" spans="2:15" ht="14.45" customHeight="1">
      <c r="B493" s="34" t="s">
        <v>59</v>
      </c>
      <c r="C493" s="3" t="s">
        <v>221</v>
      </c>
      <c r="D493" s="53">
        <f>IF(D13=0,0,'Input data'!D$191*D397*'Input data'!D$7/D13)</f>
        <v>6.4793503807150044E-2</v>
      </c>
      <c r="E493" s="53">
        <f>IF(E13=0,0,'Input data'!E$191*E397*'Input data'!E$7/E13)</f>
        <v>6.8362917822611252E-2</v>
      </c>
      <c r="F493" s="53">
        <f>IF(F13=0,0,'Input data'!F$191*F397*'Input data'!F$7/F13)</f>
        <v>6.9765836516640992E-2</v>
      </c>
      <c r="G493" s="53">
        <f>IF(G13=0,0,'Input data'!G$191*G397*'Input data'!G$7/G13)</f>
        <v>7.1629264284969268E-2</v>
      </c>
      <c r="J493"/>
      <c r="K493"/>
      <c r="L493"/>
      <c r="M493"/>
      <c r="N493"/>
      <c r="O493"/>
    </row>
    <row r="494" spans="2:15" ht="14.45" customHeight="1">
      <c r="B494" s="34" t="s">
        <v>61</v>
      </c>
      <c r="C494" s="3" t="s">
        <v>221</v>
      </c>
      <c r="D494" s="53">
        <f>IF(D14=0,0,'Input data'!D$191*D398*'Input data'!D$7/D14)</f>
        <v>6.9279480406895008E-2</v>
      </c>
      <c r="E494" s="53">
        <f>IF(E14=0,0,'Input data'!E$191*E398*'Input data'!E$7/E14)</f>
        <v>7.3080493983889175E-2</v>
      </c>
      <c r="F494" s="53">
        <f>IF(F14=0,0,'Input data'!F$191*F398*'Input data'!F$7/F14)</f>
        <v>7.4800921842393717E-2</v>
      </c>
      <c r="G494" s="53">
        <f>IF(G14=0,0,'Input data'!G$191*G398*'Input data'!G$7/G14)</f>
        <v>7.679548002802597E-2</v>
      </c>
      <c r="J494"/>
      <c r="K494"/>
      <c r="L494"/>
      <c r="M494"/>
      <c r="N494"/>
      <c r="O494"/>
    </row>
    <row r="495" spans="2:15" ht="14.45" customHeight="1">
      <c r="B495" s="34" t="s">
        <v>62</v>
      </c>
      <c r="C495" s="3" t="s">
        <v>221</v>
      </c>
      <c r="D495" s="53">
        <f>IF(D15=0,0,'Input data'!D$191*D399*'Input data'!D$7/D15)</f>
        <v>6.3205348698558775E-2</v>
      </c>
      <c r="E495" s="53">
        <f>IF(E15=0,0,'Input data'!E$191*E399*'Input data'!E$7/E15)</f>
        <v>6.6685924936317753E-2</v>
      </c>
      <c r="F495" s="53">
        <f>IF(F15=0,0,'Input data'!F$191*F399*'Input data'!F$7/F15)</f>
        <v>6.8173895734457243E-2</v>
      </c>
      <c r="G495" s="53">
        <f>IF(G15=0,0,'Input data'!G$191*G399*'Input data'!G$7/G15)</f>
        <v>6.9988053322755484E-2</v>
      </c>
    </row>
    <row r="496" spans="2:15" ht="14.45" customHeight="1">
      <c r="B496" s="34" t="s">
        <v>64</v>
      </c>
      <c r="C496" s="3" t="s">
        <v>221</v>
      </c>
      <c r="D496" s="53">
        <f>IF(D16=0,0,'Input data'!D$191*D400*'Input data'!D$7/D16)</f>
        <v>6.9176310923567311E-2</v>
      </c>
      <c r="E496" s="53">
        <f>IF(E16=0,0,'Input data'!E$191*E400*'Input data'!E$7/E16)</f>
        <v>7.2956072012450829E-2</v>
      </c>
      <c r="F496" s="53">
        <f>IF(F16=0,0,'Input data'!F$191*F400*'Input data'!F$7/F16)</f>
        <v>7.5128595979236087E-2</v>
      </c>
      <c r="G496" s="53">
        <f>IF(G16=0,0,'Input data'!G$191*G400*'Input data'!G$7/G16)</f>
        <v>7.7113515814962105E-2</v>
      </c>
    </row>
    <row r="497" spans="2:7" ht="14.45" customHeight="1">
      <c r="B497" s="34" t="s">
        <v>66</v>
      </c>
      <c r="C497" s="3" t="s">
        <v>221</v>
      </c>
      <c r="D497" s="53">
        <f>IF(D17=0,0,'Input data'!D$191*D401*'Input data'!D$7/D17)</f>
        <v>7.2658808146293774E-2</v>
      </c>
      <c r="E497" s="53">
        <f>IF(E17=0,0,'Input data'!E$191*E401*'Input data'!E$7/E17)</f>
        <v>7.6634287818979407E-2</v>
      </c>
      <c r="F497" s="53">
        <f>IF(F17=0,0,'Input data'!F$191*F401*'Input data'!F$7/F17)</f>
        <v>7.8593898273105187E-2</v>
      </c>
      <c r="G497" s="53">
        <f>IF(G17=0,0,'Input data'!G$191*G401*'Input data'!G$7/G17)</f>
        <v>8.068723821713969E-2</v>
      </c>
    </row>
    <row r="498" spans="2:7" ht="14.45" customHeight="1">
      <c r="B498" s="34" t="s">
        <v>68</v>
      </c>
      <c r="C498" s="3" t="s">
        <v>221</v>
      </c>
      <c r="D498" s="53">
        <f>IF(D18=0,0,'Input data'!D$191*D402*'Input data'!D$7/D18)</f>
        <v>7.7224339104167983E-2</v>
      </c>
      <c r="E498" s="53">
        <f>IF(E18=0,0,'Input data'!E$191*E402*'Input data'!E$7/E18)</f>
        <v>8.1407359839038532E-2</v>
      </c>
      <c r="F498" s="53">
        <f>IF(F18=0,0,'Input data'!F$191*F402*'Input data'!F$7/F18)</f>
        <v>8.4502566446371372E-2</v>
      </c>
      <c r="G498" s="53">
        <f>IF(G18=0,0,'Input data'!G$191*G402*'Input data'!G$7/G18)</f>
        <v>8.6717650086136494E-2</v>
      </c>
    </row>
    <row r="499" spans="2:7" ht="14.45" customHeight="1">
      <c r="B499" s="34" t="s">
        <v>70</v>
      </c>
      <c r="C499" s="3" t="s">
        <v>221</v>
      </c>
      <c r="D499" s="53">
        <f>IF(D19=0,0,'Input data'!D$191*D403*'Input data'!D$7/D19)</f>
        <v>8.3229035579035313E-2</v>
      </c>
      <c r="E499" s="53">
        <f>IF(E19=0,0,'Input data'!E$191*E403*'Input data'!E$7/E19)</f>
        <v>8.7712931474923803E-2</v>
      </c>
      <c r="F499" s="53">
        <f>IF(F19=0,0,'Input data'!F$191*F403*'Input data'!F$7/F19)</f>
        <v>9.1496558782928561E-2</v>
      </c>
      <c r="G499" s="53">
        <f>IF(G19=0,0,'Input data'!G$191*G403*'Input data'!G$7/G19)</f>
        <v>9.3883369428581581E-2</v>
      </c>
    </row>
    <row r="500" spans="2:7" ht="14.45" customHeight="1">
      <c r="B500" s="34" t="s">
        <v>72</v>
      </c>
      <c r="C500" s="3" t="s">
        <v>221</v>
      </c>
      <c r="D500" s="53">
        <f>IF(D20=0,0,'Input data'!D$191*D404*'Input data'!D$7/D20)</f>
        <v>0.10287694809095539</v>
      </c>
      <c r="E500" s="53">
        <f>IF(E20=0,0,'Input data'!E$191*E404*'Input data'!E$7/E20)</f>
        <v>0.10837245266785767</v>
      </c>
      <c r="F500" s="53">
        <f>IF(F20=0,0,'Input data'!F$191*F404*'Input data'!F$7/F20)</f>
        <v>0.11362642536938906</v>
      </c>
      <c r="G500" s="53">
        <f>IF(G20=0,0,'Input data'!G$191*G404*'Input data'!G$7/G20)</f>
        <v>0.11658641883323853</v>
      </c>
    </row>
    <row r="501" spans="2:7" ht="14.45" customHeight="1">
      <c r="B501" s="34" t="s">
        <v>74</v>
      </c>
      <c r="C501" s="3" t="s">
        <v>221</v>
      </c>
      <c r="D501" s="53">
        <f>IF(D21=0,0,'Input data'!D$191*D405*'Input data'!D$7/D21)</f>
        <v>0</v>
      </c>
      <c r="E501" s="53">
        <f>IF(E21=0,0,'Input data'!E$191*E405*'Input data'!E$7/E21)</f>
        <v>0</v>
      </c>
      <c r="F501" s="53">
        <f>IF(F21=0,0,'Input data'!F$191*F405*'Input data'!F$7/F21)</f>
        <v>0</v>
      </c>
      <c r="G501" s="53">
        <f>IF(G21=0,0,'Input data'!G$191*G405*'Input data'!G$7/G21)</f>
        <v>0</v>
      </c>
    </row>
    <row r="502" spans="2:7" ht="14.45" customHeight="1">
      <c r="B502" s="34" t="s">
        <v>76</v>
      </c>
      <c r="C502" s="3" t="s">
        <v>221</v>
      </c>
      <c r="D502" s="53">
        <f>IF(D22=0,0,'Input data'!D$191*D406*'Input data'!D$7/D22)</f>
        <v>9.6339622384227122E-2</v>
      </c>
      <c r="E502" s="53">
        <f>IF(E22=0,0,'Input data'!E$191*E406*'Input data'!E$7/E22)</f>
        <v>0.10149762146291472</v>
      </c>
      <c r="F502" s="53">
        <f>IF(F22=0,0,'Input data'!F$191*F406*'Input data'!F$7/F22)</f>
        <v>0.10628889428697438</v>
      </c>
      <c r="G502" s="53">
        <f>IF(G22=0,0,'Input data'!G$191*G406*'Input data'!G$7/G22)</f>
        <v>0.10905779396579968</v>
      </c>
    </row>
    <row r="503" spans="2:7" ht="14.45" customHeight="1">
      <c r="B503" s="34" t="s">
        <v>78</v>
      </c>
      <c r="C503" s="3" t="s">
        <v>221</v>
      </c>
      <c r="D503" s="53">
        <f>IF(D23=0,0,'Input data'!D$191*D407*'Input data'!D$7/D23)</f>
        <v>9.9994802595643903E-2</v>
      </c>
      <c r="E503" s="53">
        <f>IF(E23=0,0,'Input data'!E$191*E407*'Input data'!E$7/E23)</f>
        <v>0.10534150933150833</v>
      </c>
      <c r="F503" s="53">
        <f>IF(F23=0,0,'Input data'!F$191*F407*'Input data'!F$7/F23)</f>
        <v>0.11039148908127909</v>
      </c>
      <c r="G503" s="53">
        <f>IF(G23=0,0,'Input data'!G$191*G407*'Input data'!G$7/G23)</f>
        <v>0.11326723401348165</v>
      </c>
    </row>
    <row r="504" spans="2:7" ht="14.45" customHeight="1">
      <c r="B504" s="34" t="s">
        <v>80</v>
      </c>
      <c r="C504" s="3" t="s">
        <v>221</v>
      </c>
      <c r="D504" s="53">
        <f>IF(D24=0,0,'Input data'!D$191*D408*'Input data'!D$7/D24)</f>
        <v>8.6216926280815218E-2</v>
      </c>
      <c r="E504" s="53">
        <f>IF(E24=0,0,'Input data'!E$191*E408*'Input data'!E$7/E24)</f>
        <v>9.0850535338686922E-2</v>
      </c>
      <c r="F504" s="53">
        <f>IF(F24=0,0,'Input data'!F$191*F408*'Input data'!F$7/F24)</f>
        <v>9.4976715483302165E-2</v>
      </c>
      <c r="G504" s="53">
        <f>IF(G24=0,0,'Input data'!G$191*G408*'Input data'!G$7/G24)</f>
        <v>9.7448976163987663E-2</v>
      </c>
    </row>
    <row r="505" spans="2:7" ht="14.45" customHeight="1">
      <c r="B505" s="34" t="s">
        <v>82</v>
      </c>
      <c r="C505" s="3" t="s">
        <v>221</v>
      </c>
      <c r="D505" s="53">
        <f>IF(D25=0,0,'Input data'!D$191*D409*'Input data'!D$7/D25)</f>
        <v>8.5121981741302866E-2</v>
      </c>
      <c r="E505" s="53">
        <f>IF(E25=0,0,'Input data'!E$191*E409*'Input data'!E$7/E25)</f>
        <v>8.9700842566241362E-2</v>
      </c>
      <c r="F505" s="53">
        <f>IF(F25=0,0,'Input data'!F$191*F409*'Input data'!F$7/F25)</f>
        <v>9.3698151438702193E-2</v>
      </c>
      <c r="G505" s="53">
        <f>IF(G25=0,0,'Input data'!G$191*G409*'Input data'!G$7/G25)</f>
        <v>9.6139146175099513E-2</v>
      </c>
    </row>
    <row r="506" spans="2:7" ht="14.45" customHeight="1">
      <c r="B506" s="34" t="s">
        <v>83</v>
      </c>
      <c r="C506" s="3" t="s">
        <v>221</v>
      </c>
      <c r="D506" s="53">
        <f>IF(D26=0,0,'Input data'!D$191*D410*'Input data'!D$7/D26)</f>
        <v>9.9994262766931519E-2</v>
      </c>
      <c r="E506" s="53">
        <f>IF(E26=0,0,'Input data'!E$191*E410*'Input data'!E$7/E26)</f>
        <v>0.10534094163281262</v>
      </c>
      <c r="F506" s="53">
        <f>IF(F26=0,0,'Input data'!F$191*F410*'Input data'!F$7/F26)</f>
        <v>0.11039088317450105</v>
      </c>
      <c r="G506" s="53">
        <f>IF(G26=0,0,'Input data'!G$191*G410*'Input data'!G$7/G26)</f>
        <v>0.11326661232686996</v>
      </c>
    </row>
    <row r="507" spans="2:7" ht="14.45" customHeight="1">
      <c r="B507" s="34" t="s">
        <v>84</v>
      </c>
      <c r="C507" s="3" t="s">
        <v>221</v>
      </c>
      <c r="D507" s="53">
        <f>IF(D27=0,0,'Input data'!D$191*D411*'Input data'!D$7/D27)</f>
        <v>9.8960528007051685E-2</v>
      </c>
      <c r="E507" s="53">
        <f>IF(E27=0,0,'Input data'!E$191*E411*'Input data'!E$7/E27)</f>
        <v>0.10424205993083181</v>
      </c>
      <c r="F507" s="53">
        <f>IF(F27=0,0,'Input data'!F$191*F411*'Input data'!F$7/F27)</f>
        <v>0.10955857469745185</v>
      </c>
      <c r="G507" s="53">
        <f>IF(G27=0,0,'Input data'!G$191*G411*'Input data'!G$7/G27)</f>
        <v>0.11239918895337779</v>
      </c>
    </row>
    <row r="508" spans="2:7" ht="14.45" customHeight="1">
      <c r="B508" s="34" t="s">
        <v>86</v>
      </c>
      <c r="C508" s="3" t="s">
        <v>221</v>
      </c>
      <c r="D508" s="53">
        <f>IF(D28=0,0,'Input data'!D$191*D412*'Input data'!D$7/D28)</f>
        <v>9.2790285824730964E-2</v>
      </c>
      <c r="E508" s="53">
        <f>IF(E28=0,0,'Input data'!E$191*E412*'Input data'!E$7/E28)</f>
        <v>9.7753263838965779E-2</v>
      </c>
      <c r="F508" s="53">
        <f>IF(F28=0,0,'Input data'!F$191*F412*'Input data'!F$7/F28)</f>
        <v>0.10263306022412402</v>
      </c>
      <c r="G508" s="53">
        <f>IF(G28=0,0,'Input data'!G$191*G412*'Input data'!G$7/G28)</f>
        <v>0.10529331098188101</v>
      </c>
    </row>
    <row r="509" spans="2:7" ht="14.45" customHeight="1">
      <c r="B509" s="34" t="s">
        <v>88</v>
      </c>
      <c r="C509" s="3" t="s">
        <v>221</v>
      </c>
      <c r="D509" s="53">
        <f>IF(D29=0,0,'Input data'!D$191*D413*'Input data'!D$7/D29)</f>
        <v>0</v>
      </c>
      <c r="E509" s="53">
        <f>IF(E29=0,0,'Input data'!E$191*E413*'Input data'!E$7/E29)</f>
        <v>0</v>
      </c>
      <c r="F509" s="53">
        <f>IF(F29=0,0,'Input data'!F$191*F413*'Input data'!F$7/F29)</f>
        <v>0</v>
      </c>
      <c r="G509" s="53">
        <f>IF(G29=0,0,'Input data'!G$191*G413*'Input data'!G$7/G29)</f>
        <v>0</v>
      </c>
    </row>
    <row r="510" spans="2:7" ht="14.45" customHeight="1">
      <c r="B510" s="34" t="s">
        <v>90</v>
      </c>
      <c r="C510" s="3" t="s">
        <v>221</v>
      </c>
      <c r="D510" s="53">
        <f>IF(D30=0,0,'Input data'!D$191*D414*'Input data'!D$7/D30)</f>
        <v>0.10560042116912906</v>
      </c>
      <c r="E510" s="53">
        <f>IF(E30=0,0,'Input data'!E$191*E414*'Input data'!E$7/E30)</f>
        <v>0.11122475388795797</v>
      </c>
      <c r="F510" s="53">
        <f>IF(F30=0,0,'Input data'!F$191*F414*'Input data'!F$7/F30)</f>
        <v>0.11701122806769956</v>
      </c>
      <c r="G510" s="53">
        <f>IF(G30=0,0,'Input data'!G$191*G414*'Input data'!G$7/G30)</f>
        <v>0.12004593427703567</v>
      </c>
    </row>
    <row r="511" spans="2:7" ht="14.45" customHeight="1">
      <c r="B511" s="34" t="s">
        <v>91</v>
      </c>
      <c r="C511" s="3" t="s">
        <v>221</v>
      </c>
      <c r="D511" s="53">
        <f>IF(D31=0,0,'Input data'!D$191*D415*'Input data'!D$7/D31)</f>
        <v>0.10464546506082535</v>
      </c>
      <c r="E511" s="53">
        <f>IF(E31=0,0,'Input data'!E$191*E415*'Input data'!E$7/E31)</f>
        <v>0.11020246626615489</v>
      </c>
      <c r="F511" s="53">
        <f>IF(F31=0,0,'Input data'!F$191*F415*'Input data'!F$7/F31)</f>
        <v>0.11644142390625142</v>
      </c>
      <c r="G511" s="53">
        <f>IF(G31=0,0,'Input data'!G$191*G415*'Input data'!G$7/G31)</f>
        <v>0.11944071835139533</v>
      </c>
    </row>
    <row r="512" spans="2:7" ht="14.45" customHeight="1">
      <c r="B512" s="34" t="s">
        <v>93</v>
      </c>
      <c r="C512" s="3" t="s">
        <v>221</v>
      </c>
      <c r="D512" s="53">
        <f>IF(D32=0,0,'Input data'!D$191*D416*'Input data'!D$7/D32)</f>
        <v>0.12100175706379465</v>
      </c>
      <c r="E512" s="53">
        <f>IF(E32=0,0,'Input data'!E$191*E416*'Input data'!E$7/E32)</f>
        <v>0.12737831709456138</v>
      </c>
      <c r="F512" s="53">
        <f>IF(F32=0,0,'Input data'!F$191*F416*'Input data'!F$7/F32)</f>
        <v>0.13549247526281263</v>
      </c>
      <c r="G512" s="53">
        <f>IF(G32=0,0,'Input data'!G$191*G416*'Input data'!G$7/G32)</f>
        <v>0.13895953973844086</v>
      </c>
    </row>
    <row r="513" spans="2:7" ht="14.45" customHeight="1">
      <c r="B513" s="34" t="s">
        <v>95</v>
      </c>
      <c r="C513" s="3" t="s">
        <v>221</v>
      </c>
      <c r="D513" s="53">
        <f>IF(D33=0,0,'Input data'!D$191*D417*'Input data'!D$7/D33)</f>
        <v>0.12711247546678967</v>
      </c>
      <c r="E513" s="53">
        <f>IF(E33=0,0,'Input data'!E$191*E417*'Input data'!E$7/E33)</f>
        <v>0.13379522306109629</v>
      </c>
      <c r="F513" s="53">
        <f>IF(F33=0,0,'Input data'!F$191*F417*'Input data'!F$7/F33)</f>
        <v>0.14260995703067345</v>
      </c>
      <c r="G513" s="53">
        <f>IF(G33=0,0,'Input data'!G$191*G417*'Input data'!G$7/G33)</f>
        <v>0.14625178061020672</v>
      </c>
    </row>
    <row r="514" spans="2:7" ht="14.45" customHeight="1">
      <c r="B514" s="34" t="s">
        <v>97</v>
      </c>
      <c r="C514" s="3" t="s">
        <v>221</v>
      </c>
      <c r="D514" s="53">
        <f>IF(D34=0,0,'Input data'!D$191*D418*'Input data'!D$7/D34)</f>
        <v>0.1302786757749661</v>
      </c>
      <c r="E514" s="53">
        <f>IF(E34=0,0,'Input data'!E$191*E418*'Input data'!E$7/E34)</f>
        <v>0.13712007102640653</v>
      </c>
      <c r="F514" s="53">
        <f>IF(F34=0,0,'Input data'!F$191*F418*'Input data'!F$7/F34)</f>
        <v>0.14629780050187574</v>
      </c>
      <c r="G514" s="53">
        <f>IF(G34=0,0,'Input data'!G$191*G418*'Input data'!G$7/G34)</f>
        <v>0.1500301735540161</v>
      </c>
    </row>
    <row r="515" spans="2:7" ht="14.45" customHeight="1">
      <c r="B515" s="34" t="s">
        <v>99</v>
      </c>
      <c r="C515" s="3" t="s">
        <v>221</v>
      </c>
      <c r="D515" s="53">
        <f>IF(D35=0,0,'Input data'!D$191*D419*'Input data'!D$7/D35)</f>
        <v>0</v>
      </c>
      <c r="E515" s="53">
        <f>IF(E35=0,0,'Input data'!E$191*E419*'Input data'!E$7/E35)</f>
        <v>0</v>
      </c>
      <c r="F515" s="53">
        <f>IF(F35=0,0,'Input data'!F$191*F419*'Input data'!F$7/F35)</f>
        <v>0</v>
      </c>
      <c r="G515" s="53">
        <f>IF(G35=0,0,'Input data'!G$191*G419*'Input data'!G$7/G35)</f>
        <v>0</v>
      </c>
    </row>
    <row r="516" spans="2:7" ht="14.45" customHeight="1">
      <c r="B516" s="34" t="s">
        <v>101</v>
      </c>
      <c r="C516" s="3" t="s">
        <v>221</v>
      </c>
      <c r="D516" s="53">
        <f>IF(D36=0,0,'Input data'!D$191*D420*'Input data'!D$7/D36)</f>
        <v>0.15481771820008827</v>
      </c>
      <c r="E516" s="53">
        <f>IF(E36=0,0,'Input data'!E$191*E420*'Input data'!E$7/E36)</f>
        <v>0.16293353802794933</v>
      </c>
      <c r="F516" s="53">
        <f>IF(F36=0,0,'Input data'!F$191*F420*'Input data'!F$7/F36)</f>
        <v>0.1742385485381725</v>
      </c>
      <c r="G516" s="53">
        <f>IF(G36=0,0,'Input data'!G$191*G420*'Input data'!G$7/G36)</f>
        <v>0.17866845992353189</v>
      </c>
    </row>
    <row r="517" spans="2:7" ht="14.45" customHeight="1">
      <c r="B517" s="34" t="s">
        <v>103</v>
      </c>
      <c r="C517" s="3" t="s">
        <v>221</v>
      </c>
      <c r="D517" s="53">
        <f>IF(D37=0,0,'Input data'!D$191*D421*'Input data'!D$7/D37)</f>
        <v>0</v>
      </c>
      <c r="E517" s="53">
        <f>IF(E37=0,0,'Input data'!E$191*E421*'Input data'!E$7/E37)</f>
        <v>0</v>
      </c>
      <c r="F517" s="53">
        <f>IF(F37=0,0,'Input data'!F$191*F421*'Input data'!F$7/F37)</f>
        <v>0</v>
      </c>
      <c r="G517" s="53">
        <f>IF(G37=0,0,'Input data'!G$191*G421*'Input data'!G$7/G37)</f>
        <v>0</v>
      </c>
    </row>
    <row r="518" spans="2:7" ht="14.45" customHeight="1">
      <c r="B518" s="34" t="s">
        <v>104</v>
      </c>
      <c r="C518" s="3" t="s">
        <v>221</v>
      </c>
      <c r="D518" s="53">
        <f>IF(D38=0,0,'Input data'!D$191*D422*'Input data'!D$7/D38)</f>
        <v>0.16193266062904604</v>
      </c>
      <c r="E518" s="53">
        <f>IF(E38=0,0,'Input data'!E$191*E422*'Input data'!E$7/E38)</f>
        <v>0.17041580683729263</v>
      </c>
      <c r="F518" s="53">
        <f>IF(F38=0,0,'Input data'!F$191*F422*'Input data'!F$7/F38)</f>
        <v>0.18222439987312089</v>
      </c>
      <c r="G518" s="53">
        <f>IF(G38=0,0,'Input data'!G$191*G422*'Input data'!G$7/G38)</f>
        <v>0.18686228946546779</v>
      </c>
    </row>
    <row r="519" spans="2:7" ht="14.45" customHeight="1">
      <c r="B519" s="34" t="s">
        <v>106</v>
      </c>
      <c r="C519" s="3" t="s">
        <v>221</v>
      </c>
      <c r="D519" s="53">
        <f>IF(D39=0,0,'Input data'!D$191*D423*'Input data'!D$7/D39)</f>
        <v>0.1442501379985251</v>
      </c>
      <c r="E519" s="53">
        <f>IF(E39=0,0,'Input data'!E$191*E423*'Input data'!E$7/E39)</f>
        <v>0.15179794593969248</v>
      </c>
      <c r="F519" s="53">
        <f>IF(F39=0,0,'Input data'!F$191*F423*'Input data'!F$7/F39)</f>
        <v>0.16237383888656051</v>
      </c>
      <c r="G519" s="53">
        <f>IF(G39=0,0,'Input data'!G$191*G423*'Input data'!G$7/G39)</f>
        <v>0.16650919010624088</v>
      </c>
    </row>
    <row r="520" spans="2:7" ht="14.45" customHeight="1">
      <c r="B520" s="34" t="s">
        <v>108</v>
      </c>
      <c r="C520" s="3" t="s">
        <v>221</v>
      </c>
      <c r="D520" s="53">
        <f>IF(D40=0,0,'Input data'!D$191*D424*'Input data'!D$7/D40)</f>
        <v>0</v>
      </c>
      <c r="E520" s="53">
        <f>IF(E40=0,0,'Input data'!E$191*E424*'Input data'!E$7/E40)</f>
        <v>0</v>
      </c>
      <c r="F520" s="53">
        <f>IF(F40=0,0,'Input data'!F$191*F424*'Input data'!F$7/F40)</f>
        <v>0</v>
      </c>
      <c r="G520" s="53">
        <f>IF(G40=0,0,'Input data'!G$191*G424*'Input data'!G$7/G40)</f>
        <v>0</v>
      </c>
    </row>
    <row r="521" spans="2:7" ht="14.45" customHeight="1">
      <c r="B521" s="34" t="s">
        <v>109</v>
      </c>
      <c r="C521" s="3" t="s">
        <v>221</v>
      </c>
      <c r="D521" s="53">
        <f>IF(D41=0,0,'Input data'!D$191*D425*'Input data'!D$7/D41)</f>
        <v>0.15674468445458131</v>
      </c>
      <c r="E521" s="53">
        <f>IF(E41=0,0,'Input data'!E$191*E425*'Input data'!E$7/E41)</f>
        <v>0.16493515453421642</v>
      </c>
      <c r="F521" s="53">
        <f>IF(F41=0,0,'Input data'!F$191*F425*'Input data'!F$7/F41)</f>
        <v>0.17642319008311019</v>
      </c>
      <c r="G521" s="53">
        <f>IF(G41=0,0,'Input data'!G$191*G425*'Input data'!G$7/G41)</f>
        <v>0.18092433421719784</v>
      </c>
    </row>
    <row r="522" spans="2:7" ht="14.45" customHeight="1">
      <c r="B522" s="34" t="s">
        <v>111</v>
      </c>
      <c r="C522" s="3" t="s">
        <v>221</v>
      </c>
      <c r="D522" s="53">
        <f>IF(D42=0,0,'Input data'!D$191*D426*'Input data'!D$7/D42)</f>
        <v>0.16209978528123242</v>
      </c>
      <c r="E522" s="53">
        <f>IF(E42=0,0,'Input data'!E$191*E426*'Input data'!E$7/E42)</f>
        <v>0.17056672559557348</v>
      </c>
      <c r="F522" s="53">
        <f>IF(F42=0,0,'Input data'!F$191*F426*'Input data'!F$7/F42)</f>
        <v>0.18243378532155394</v>
      </c>
      <c r="G522" s="53">
        <f>IF(G42=0,0,'Input data'!G$191*G426*'Input data'!G$7/G42)</f>
        <v>0.1870914654050585</v>
      </c>
    </row>
    <row r="523" spans="2:7" ht="14.45" customHeight="1">
      <c r="B523" s="34" t="s">
        <v>113</v>
      </c>
      <c r="C523" s="3" t="s">
        <v>221</v>
      </c>
      <c r="D523" s="53">
        <f>IF(D43=0,0,'Input data'!D$191*D427*'Input data'!D$7/D43)</f>
        <v>0.15985447494505359</v>
      </c>
      <c r="E523" s="53">
        <f>IF(E43=0,0,'Input data'!E$191*E427*'Input data'!E$7/E43)</f>
        <v>0.16820416110843128</v>
      </c>
      <c r="F523" s="53">
        <f>IF(F43=0,0,'Input data'!F$191*F427*'Input data'!F$7/F43)</f>
        <v>0.17992776375953079</v>
      </c>
      <c r="G523" s="53">
        <f>IF(G43=0,0,'Input data'!G$191*G427*'Input data'!G$7/G43)</f>
        <v>0.18452012359294809</v>
      </c>
    </row>
    <row r="524" spans="2:7" ht="14.45" customHeight="1">
      <c r="B524" s="34" t="s">
        <v>115</v>
      </c>
      <c r="C524" s="3" t="s">
        <v>221</v>
      </c>
      <c r="D524" s="53">
        <f>IF(D44=0,0,'Input data'!D$191*D428*'Input data'!D$7/D44)</f>
        <v>0</v>
      </c>
      <c r="E524" s="53">
        <f>IF(E44=0,0,'Input data'!E$191*E428*'Input data'!E$7/E44)</f>
        <v>0</v>
      </c>
      <c r="F524" s="53">
        <f>IF(F44=0,0,'Input data'!F$191*F428*'Input data'!F$7/F44)</f>
        <v>0</v>
      </c>
      <c r="G524" s="53">
        <f>IF(G44=0,0,'Input data'!G$191*G428*'Input data'!G$7/G44)</f>
        <v>0</v>
      </c>
    </row>
    <row r="525" spans="2:7" ht="14.45" customHeight="1">
      <c r="B525" s="34" t="s">
        <v>117</v>
      </c>
      <c r="C525" s="3" t="s">
        <v>221</v>
      </c>
      <c r="D525" s="53">
        <f>IF(D45=0,0,'Input data'!D$191*D429*'Input data'!D$7/D45)</f>
        <v>0.17020910540682221</v>
      </c>
      <c r="E525" s="53">
        <f>IF(E45=0,0,'Input data'!E$191*E429*'Input data'!E$7/E45)</f>
        <v>0.17909089701593459</v>
      </c>
      <c r="F525" s="53">
        <f>IF(F45=0,0,'Input data'!F$191*F429*'Input data'!F$7/F45)</f>
        <v>0.19157608985221322</v>
      </c>
      <c r="G525" s="53">
        <f>IF(G45=0,0,'Input data'!G$191*G429*'Input data'!G$7/G45)</f>
        <v>0.1964717086660861</v>
      </c>
    </row>
    <row r="526" spans="2:7" ht="14.45" customHeight="1">
      <c r="B526" s="34" t="s">
        <v>119</v>
      </c>
      <c r="C526" s="3" t="s">
        <v>221</v>
      </c>
      <c r="D526" s="53">
        <f>IF(D46=0,0,'Input data'!D$191*D430*'Input data'!D$7/D46)</f>
        <v>0</v>
      </c>
      <c r="E526" s="53">
        <f>IF(E46=0,0,'Input data'!E$191*E430*'Input data'!E$7/E46)</f>
        <v>0</v>
      </c>
      <c r="F526" s="53">
        <f>IF(F46=0,0,'Input data'!F$191*F430*'Input data'!F$7/F46)</f>
        <v>0</v>
      </c>
      <c r="G526" s="53">
        <f>IF(G46=0,0,'Input data'!G$191*G430*'Input data'!G$7/G46)</f>
        <v>0</v>
      </c>
    </row>
    <row r="527" spans="2:7" ht="14.45" customHeight="1">
      <c r="B527" s="34" t="s">
        <v>121</v>
      </c>
      <c r="C527" s="3" t="s">
        <v>221</v>
      </c>
      <c r="D527" s="53">
        <f>IF(D47=0,0,'Input data'!D$191*D431*'Input data'!D$7/D47)</f>
        <v>0.17661170963849057</v>
      </c>
      <c r="E527" s="53">
        <f>IF(E47=0,0,'Input data'!E$191*E431*'Input data'!E$7/E47)</f>
        <v>0.18582251932228308</v>
      </c>
      <c r="F527" s="53">
        <f>IF(F47=0,0,'Input data'!F$191*F431*'Input data'!F$7/F47)</f>
        <v>0.19877862809906083</v>
      </c>
      <c r="G527" s="53">
        <f>IF(G47=0,0,'Input data'!G$191*G431*'Input data'!G$7/G47)</f>
        <v>0.20386176178743598</v>
      </c>
    </row>
    <row r="528" spans="2:7" ht="14.45" customHeight="1">
      <c r="B528" s="34" t="s">
        <v>123</v>
      </c>
      <c r="C528" s="3" t="s">
        <v>221</v>
      </c>
      <c r="D528" s="53">
        <f>IF(D48=0,0,'Input data'!D$191*D432*'Input data'!D$7/D48)</f>
        <v>0.1792875048743387</v>
      </c>
      <c r="E528" s="53">
        <f>IF(E48=0,0,'Input data'!E$191*E432*'Input data'!E$7/E48)</f>
        <v>0.18863581876187097</v>
      </c>
      <c r="F528" s="53">
        <f>IF(F48=0,0,'Input data'!F$191*F432*'Input data'!F$7/F48)</f>
        <v>0.2017887341167971</v>
      </c>
      <c r="G528" s="53">
        <f>IF(G48=0,0,'Input data'!G$191*G432*'Input data'!G$7/G48)</f>
        <v>0.20695023457433184</v>
      </c>
    </row>
    <row r="529" spans="2:7" ht="14.45" customHeight="1">
      <c r="B529" s="34" t="s">
        <v>125</v>
      </c>
      <c r="C529" s="3" t="s">
        <v>221</v>
      </c>
      <c r="D529" s="53">
        <f>IF(D49=0,0,'Input data'!D$191*D433*'Input data'!D$7/D49)</f>
        <v>0.1880441654357411</v>
      </c>
      <c r="E529" s="53">
        <f>IF(E49=0,0,'Input data'!E$191*E433*'Input data'!E$7/E49)</f>
        <v>0.19784246803010141</v>
      </c>
      <c r="F529" s="53">
        <f>IF(F49=0,0,'Input data'!F$191*F433*'Input data'!F$7/F49)</f>
        <v>0.21163944178606184</v>
      </c>
      <c r="G529" s="53">
        <f>IF(G49=0,0,'Input data'!G$191*G433*'Input data'!G$7/G49)</f>
        <v>0.21705740102924342</v>
      </c>
    </row>
    <row r="530" spans="2:7" ht="14.45" customHeight="1">
      <c r="B530" s="34" t="s">
        <v>127</v>
      </c>
      <c r="C530" s="3" t="s">
        <v>221</v>
      </c>
      <c r="D530" s="53">
        <f>IF(D50=0,0,'Input data'!D$191*D434*'Input data'!D$7/D50)</f>
        <v>0.19184068452788614</v>
      </c>
      <c r="E530" s="53">
        <f>IF(E50=0,0,'Input data'!E$191*E434*'Input data'!E$7/E50)</f>
        <v>0.20183408326703164</v>
      </c>
      <c r="F530" s="53">
        <f>IF(F50=0,0,'Input data'!F$191*F434*'Input data'!F$7/F50)</f>
        <v>0.2159102936108257</v>
      </c>
      <c r="G530" s="53">
        <f>IF(G50=0,0,'Input data'!G$191*G434*'Input data'!G$7/G50)</f>
        <v>0.22143944257858664</v>
      </c>
    </row>
    <row r="531" spans="2:7" ht="14.45" customHeight="1">
      <c r="B531" s="34" t="s">
        <v>129</v>
      </c>
      <c r="C531" s="3" t="s">
        <v>221</v>
      </c>
      <c r="D531" s="53">
        <f>IF(D51=0,0,'Input data'!D$191*D435*'Input data'!D$7/D51)</f>
        <v>0.19874139634075674</v>
      </c>
      <c r="E531" s="53">
        <f>IF(E51=0,0,'Input data'!E$191*E435*'Input data'!E$7/E51)</f>
        <v>0.20909033244198447</v>
      </c>
      <c r="F531" s="53">
        <f>IF(F51=0,0,'Input data'!F$191*F435*'Input data'!F$7/F51)</f>
        <v>0.22366340701536891</v>
      </c>
      <c r="G531" s="53">
        <f>IF(G51=0,0,'Input data'!G$191*G435*'Input data'!G$7/G51)</f>
        <v>0.22939444283082006</v>
      </c>
    </row>
    <row r="532" spans="2:7" ht="14.45" customHeight="1">
      <c r="B532" s="34" t="s">
        <v>131</v>
      </c>
      <c r="C532" s="3" t="s">
        <v>221</v>
      </c>
      <c r="D532" s="53">
        <f>IF(D52=0,0,'Input data'!D$191*D436*'Input data'!D$7/D52)</f>
        <v>0.19874085651204432</v>
      </c>
      <c r="E532" s="53">
        <f>IF(E52=0,0,'Input data'!E$191*E436*'Input data'!E$7/E52)</f>
        <v>0.20908976474328875</v>
      </c>
      <c r="F532" s="53">
        <f>IF(F52=0,0,'Input data'!F$191*F436*'Input data'!F$7/F52)</f>
        <v>0.2236628011085908</v>
      </c>
      <c r="G532" s="53">
        <f>IF(G52=0,0,'Input data'!G$191*G436*'Input data'!G$7/G52)</f>
        <v>0.22939382114420845</v>
      </c>
    </row>
    <row r="533" spans="2:7" ht="14.45" customHeight="1">
      <c r="B533" s="34" t="s">
        <v>132</v>
      </c>
      <c r="C533" s="3" t="s">
        <v>221</v>
      </c>
      <c r="D533" s="53">
        <f>IF(D53=0,0,'Input data'!D$191*D437*'Input data'!D$7/D53)</f>
        <v>0.20113893891458051</v>
      </c>
      <c r="E533" s="53">
        <f>IF(E53=0,0,'Input data'!E$191*E437*'Input data'!E$7/E53)</f>
        <v>0.21161015787273382</v>
      </c>
      <c r="F533" s="53">
        <f>IF(F53=0,0,'Input data'!F$191*F437*'Input data'!F$7/F53)</f>
        <v>0.22637026121554413</v>
      </c>
      <c r="G533" s="53">
        <f>IF(G53=0,0,'Input data'!G$191*G437*'Input data'!G$7/G53)</f>
        <v>0.23217173077994416</v>
      </c>
    </row>
    <row r="534" spans="2:7" ht="14.45" customHeight="1">
      <c r="B534" s="34" t="s">
        <v>134</v>
      </c>
      <c r="C534" s="3" t="s">
        <v>221</v>
      </c>
      <c r="D534" s="53">
        <f>IF(D54=0,0,'Input data'!D$191*D438*'Input data'!D$7/D54)</f>
        <v>0.20583686677255714</v>
      </c>
      <c r="E534" s="53">
        <f>IF(E54=0,0,'Input data'!E$191*E438*'Input data'!E$7/E54)</f>
        <v>0.21654950374593648</v>
      </c>
      <c r="F534" s="53">
        <f>IF(F54=0,0,'Input data'!F$191*F438*'Input data'!F$7/F54)</f>
        <v>0.23165514141397925</v>
      </c>
      <c r="G534" s="53">
        <f>IF(G54=0,0,'Input data'!G$191*G438*'Input data'!G$7/G54)</f>
        <v>0.23759420048523464</v>
      </c>
    </row>
    <row r="535" spans="2:7" ht="14.45" customHeight="1">
      <c r="B535" s="34" t="s">
        <v>136</v>
      </c>
      <c r="C535" s="3" t="s">
        <v>221</v>
      </c>
      <c r="D535" s="53">
        <f>IF(D55=0,0,'Input data'!D$191*D439*'Input data'!D$7/D55)</f>
        <v>0.20583632694384474</v>
      </c>
      <c r="E535" s="53">
        <f>IF(E55=0,0,'Input data'!E$191*E439*'Input data'!E$7/E55)</f>
        <v>0.21654893604724068</v>
      </c>
      <c r="F535" s="53">
        <f>IF(F55=0,0,'Input data'!F$191*F439*'Input data'!F$7/F55)</f>
        <v>0.23165453550720114</v>
      </c>
      <c r="G535" s="53">
        <f>IF(G55=0,0,'Input data'!G$191*G439*'Input data'!G$7/G55)</f>
        <v>0.23759357879862295</v>
      </c>
    </row>
    <row r="536" spans="2:7" ht="14.45" customHeight="1">
      <c r="B536" s="34" t="s">
        <v>137</v>
      </c>
      <c r="C536" s="3" t="s">
        <v>221</v>
      </c>
      <c r="D536" s="53">
        <f>IF(D56=0,0,'Input data'!D$191*D440*'Input data'!D$7/D56)</f>
        <v>0.21289313361794496</v>
      </c>
      <c r="E536" s="53">
        <f>IF(E56=0,0,'Input data'!E$191*E440*'Input data'!E$7/E56)</f>
        <v>0.223968379058258</v>
      </c>
      <c r="F536" s="53">
        <f>IF(F56=0,0,'Input data'!F$191*F440*'Input data'!F$7/F56)</f>
        <v>0.23959301149786397</v>
      </c>
      <c r="G536" s="53">
        <f>IF(G56=0,0,'Input data'!G$191*G440*'Input data'!G$7/G56)</f>
        <v>0.24573872947508565</v>
      </c>
    </row>
    <row r="537" spans="2:7" ht="14.45" customHeight="1">
      <c r="B537" s="34" t="s">
        <v>139</v>
      </c>
      <c r="C537" s="3" t="s">
        <v>221</v>
      </c>
      <c r="D537" s="53">
        <f>IF(D57=0,0,'Input data'!D$191*D441*'Input data'!D$7/D57)</f>
        <v>0.22230935893688103</v>
      </c>
      <c r="E537" s="53">
        <f>IF(E57=0,0,'Input data'!E$191*E441*'Input data'!E$7/E57)</f>
        <v>0.23386848690578568</v>
      </c>
      <c r="F537" s="53">
        <f>IF(F57=0,0,'Input data'!F$191*F441*'Input data'!F$7/F57)</f>
        <v>0.25018568918753264</v>
      </c>
      <c r="G537" s="53">
        <f>IF(G57=0,0,'Input data'!G$191*G441*'Input data'!G$7/G57)</f>
        <v>0.25660718280933237</v>
      </c>
    </row>
    <row r="538" spans="2:7" ht="14.45" customHeight="1">
      <c r="B538" s="34" t="s">
        <v>141</v>
      </c>
      <c r="C538" s="3" t="s">
        <v>221</v>
      </c>
      <c r="D538" s="53">
        <f>IF(D58=0,0,'Input data'!D$191*D442*'Input data'!D$7/D58)</f>
        <v>0.23005609075486383</v>
      </c>
      <c r="E538" s="53">
        <f>IF(E58=0,0,'Input data'!E$191*E442*'Input data'!E$7/E58)</f>
        <v>0.2420143993014221</v>
      </c>
      <c r="F538" s="53">
        <f>IF(F58=0,0,'Input data'!F$191*F442*'Input data'!F$7/F58)</f>
        <v>0.258888746964681</v>
      </c>
      <c r="G538" s="53">
        <f>IF(G58=0,0,'Input data'!G$191*G442*'Input data'!G$7/G58)</f>
        <v>0.26553686572413798</v>
      </c>
    </row>
    <row r="539" spans="2:7" ht="14.45" customHeight="1">
      <c r="B539" s="34" t="s">
        <v>143</v>
      </c>
      <c r="C539" s="3" t="s">
        <v>221</v>
      </c>
      <c r="D539" s="53">
        <f>IF(D59=0,0,'Input data'!D$191*D443*'Input data'!D$7/D59)</f>
        <v>0.22857696008298634</v>
      </c>
      <c r="E539" s="53">
        <f>IF(E59=0,0,'Input data'!E$191*E443*'Input data'!E$7/E59)</f>
        <v>0.2404589048752005</v>
      </c>
      <c r="F539" s="53">
        <f>IF(F59=0,0,'Input data'!F$191*F443*'Input data'!F$7/F59)</f>
        <v>0.25722856239277214</v>
      </c>
      <c r="G539" s="53">
        <f>IF(G59=0,0,'Input data'!G$191*G443*'Input data'!G$7/G59)</f>
        <v>0.26383344440813616</v>
      </c>
    </row>
    <row r="540" spans="2:7" ht="14.45" customHeight="1">
      <c r="B540" s="34" t="s">
        <v>145</v>
      </c>
      <c r="C540" s="3" t="s">
        <v>221</v>
      </c>
      <c r="D540" s="53">
        <f>IF(D60=0,0,'Input data'!D$191*D444*'Input data'!D$7/D60)</f>
        <v>0.23109659820062534</v>
      </c>
      <c r="E540" s="53">
        <f>IF(E60=0,0,'Input data'!E$191*E444*'Input data'!E$7/E60)</f>
        <v>0.24310819179097942</v>
      </c>
      <c r="F540" s="53">
        <f>IF(F60=0,0,'Input data'!F$191*F444*'Input data'!F$7/F60)</f>
        <v>0.26006120975900593</v>
      </c>
      <c r="G540" s="53">
        <f>IF(G60=0,0,'Input data'!G$191*G444*'Input data'!G$7/G60)</f>
        <v>0.26673984545655205</v>
      </c>
    </row>
    <row r="541" spans="2:7" ht="14.45" customHeight="1">
      <c r="B541" s="34" t="s">
        <v>147</v>
      </c>
      <c r="C541" s="3" t="s">
        <v>221</v>
      </c>
      <c r="D541" s="53">
        <f>IF(D61=0,0,'Input data'!D$191*D445*'Input data'!D$7/D61)</f>
        <v>0.23448181421819372</v>
      </c>
      <c r="E541" s="53">
        <f>IF(E61=0,0,'Input data'!E$191*E445*'Input data'!E$7/E61)</f>
        <v>0.24666646231232767</v>
      </c>
      <c r="F541" s="53">
        <f>IF(F61=0,0,'Input data'!F$191*F445*'Input data'!F$7/F61)</f>
        <v>0.26387895704376735</v>
      </c>
      <c r="G541" s="53">
        <f>IF(G61=0,0,'Input data'!G$191*G445*'Input data'!G$7/G61)</f>
        <v>0.27065694879380842</v>
      </c>
    </row>
    <row r="542" spans="2:7" ht="14.45" customHeight="1">
      <c r="B542" s="34" t="s">
        <v>149</v>
      </c>
      <c r="C542" s="3" t="s">
        <v>221</v>
      </c>
      <c r="D542" s="53">
        <f>IF(D62=0,0,'Input data'!D$191*D446*'Input data'!D$7/D62)</f>
        <v>0.23957065124989663</v>
      </c>
      <c r="E542" s="53">
        <f>IF(E62=0,0,'Input data'!E$191*E446*'Input data'!E$7/E62)</f>
        <v>0.25201680533471016</v>
      </c>
      <c r="F542" s="53">
        <f>IF(F62=0,0,'Input data'!F$191*F446*'Input data'!F$7/F62)</f>
        <v>0.26960358752639579</v>
      </c>
      <c r="G542" s="53">
        <f>IF(G62=0,0,'Input data'!G$191*G446*'Input data'!G$7/G62)</f>
        <v>0.27653061748071051</v>
      </c>
    </row>
    <row r="543" spans="2:7" ht="14.45" customHeight="1">
      <c r="B543" s="34" t="s">
        <v>151</v>
      </c>
      <c r="C543" s="3" t="s">
        <v>221</v>
      </c>
      <c r="D543" s="53">
        <f>IF(D63=0,0,'Input data'!D$191*D447*'Input data'!D$7/D63)</f>
        <v>0.25644545741355662</v>
      </c>
      <c r="E543" s="53">
        <f>IF(E63=0,0,'Input data'!E$191*E447*'Input data'!E$7/E63)</f>
        <v>0.26976184346438287</v>
      </c>
      <c r="F543" s="53">
        <f>IF(F63=0,0,'Input data'!F$191*F447*'Input data'!F$7/F63)</f>
        <v>0.28855424781535988</v>
      </c>
      <c r="G543" s="53">
        <f>IF(G63=0,0,'Input data'!G$191*G447*'Input data'!G$7/G63)</f>
        <v>0.29597477607821471</v>
      </c>
    </row>
    <row r="544" spans="2:7" ht="14.45" customHeight="1">
      <c r="B544" s="34" t="s">
        <v>153</v>
      </c>
      <c r="C544" s="3" t="s">
        <v>221</v>
      </c>
      <c r="D544" s="53">
        <f>IF(D64=0,0,'Input data'!D$191*D448*'Input data'!D$7/D64)</f>
        <v>0.24509383580485353</v>
      </c>
      <c r="E544" s="53">
        <f>IF(E64=0,0,'Input data'!E$191*E448*'Input data'!E$7/E64)</f>
        <v>0.25782381620199568</v>
      </c>
      <c r="F544" s="53">
        <f>IF(F64=0,0,'Input data'!F$191*F448*'Input data'!F$7/F64)</f>
        <v>0.27581683241270483</v>
      </c>
      <c r="G544" s="53">
        <f>IF(G64=0,0,'Input data'!G$191*G448*'Input data'!G$7/G64)</f>
        <v>0.28290562142961373</v>
      </c>
    </row>
    <row r="545" spans="2:7" ht="14.45" customHeight="1">
      <c r="B545" s="34" t="s">
        <v>155</v>
      </c>
      <c r="C545" s="3" t="s">
        <v>221</v>
      </c>
      <c r="D545" s="53">
        <f>IF(D65=0,0,'Input data'!D$191*D449*'Input data'!D$7/D65)</f>
        <v>0.24996818023248044</v>
      </c>
      <c r="E545" s="53">
        <f>IF(E65=0,0,'Input data'!E$191*E449*'Input data'!E$7/E65)</f>
        <v>0.26294864423924086</v>
      </c>
      <c r="F545" s="53">
        <f>IF(F65=0,0,'Input data'!F$191*F449*'Input data'!F$7/F65)</f>
        <v>0.28130017183178729</v>
      </c>
      <c r="G545" s="53">
        <f>IF(G65=0,0,'Input data'!G$191*G449*'Input data'!G$7/G65)</f>
        <v>0.28853171714762632</v>
      </c>
    </row>
    <row r="546" spans="2:7" ht="14.45" customHeight="1">
      <c r="B546" s="34" t="s">
        <v>157</v>
      </c>
      <c r="C546" s="3" t="s">
        <v>221</v>
      </c>
      <c r="D546" s="53">
        <f>IF(D66=0,0,'Input data'!D$191*D450*'Input data'!D$7/D66)</f>
        <v>0.25756851328559621</v>
      </c>
      <c r="E546" s="53">
        <f>IF(E66=0,0,'Input data'!E$191*E450*'Input data'!E$7/E66)</f>
        <v>0.27094038410279353</v>
      </c>
      <c r="F546" s="53">
        <f>IF(F66=0,0,'Input data'!F$191*F450*'Input data'!F$7/F66)</f>
        <v>0.28984119292637506</v>
      </c>
      <c r="G546" s="53">
        <f>IF(G66=0,0,'Input data'!G$191*G450*'Input data'!G$7/G66)</f>
        <v>0.29729513450510936</v>
      </c>
    </row>
    <row r="547" spans="2:7" ht="14.45" customHeight="1">
      <c r="B547" s="34" t="s">
        <v>159</v>
      </c>
      <c r="C547" s="3" t="s">
        <v>221</v>
      </c>
      <c r="D547" s="53">
        <f>IF(D67=0,0,'Input data'!D$191*D451*'Input data'!D$7/D67)</f>
        <v>0.26177063577176213</v>
      </c>
      <c r="E547" s="53">
        <f>IF(E67=0,0,'Input data'!E$191*E451*'Input data'!E$7/E67)</f>
        <v>0.27535760629642103</v>
      </c>
      <c r="F547" s="53">
        <f>IF(F67=0,0,'Input data'!F$191*F451*'Input data'!F$7/F67)</f>
        <v>0.29457721260340519</v>
      </c>
      <c r="G547" s="53">
        <f>IF(G67=0,0,'Input data'!G$191*G451*'Input data'!G$7/G67)</f>
        <v>0.30215441976076818</v>
      </c>
    </row>
    <row r="548" spans="2:7" ht="14.45" customHeight="1">
      <c r="B548" s="34" t="s">
        <v>161</v>
      </c>
      <c r="C548" s="3" t="s">
        <v>221</v>
      </c>
      <c r="D548" s="53">
        <f>IF(D68=0,0,'Input data'!D$191*D452*'Input data'!D$7/D68)</f>
        <v>0.27662497172626743</v>
      </c>
      <c r="E548" s="53">
        <f>IF(E68=0,0,'Input data'!E$191*E452*'Input data'!E$7/E68)</f>
        <v>0.29097780858637046</v>
      </c>
      <c r="F548" s="53">
        <f>IF(F68=0,0,'Input data'!F$191*F452*'Input data'!F$7/F68)</f>
        <v>0.31126065631232563</v>
      </c>
      <c r="G548" s="53">
        <f>IF(G68=0,0,'Input data'!G$191*G452*'Input data'!G$7/G68)</f>
        <v>0.3192723136710196</v>
      </c>
    </row>
    <row r="549" spans="2:7" ht="14.45" customHeight="1">
      <c r="B549" s="34" t="s">
        <v>163</v>
      </c>
      <c r="C549" s="3" t="s">
        <v>221</v>
      </c>
      <c r="D549" s="53">
        <f>IF(D69=0,0,'Input data'!D$191*D453*'Input data'!D$7/D69)</f>
        <v>0.27542845233630092</v>
      </c>
      <c r="E549" s="53">
        <f>IF(E69=0,0,'Input data'!E$191*E453*'Input data'!E$7/E69)</f>
        <v>0.28971727297503885</v>
      </c>
      <c r="F549" s="53">
        <f>IF(F69=0,0,'Input data'!F$191*F453*'Input data'!F$7/F69)</f>
        <v>0.30994142107469569</v>
      </c>
      <c r="G549" s="53">
        <f>IF(G69=0,0,'Input data'!G$191*G453*'Input data'!G$7/G69)</f>
        <v>0.31791862855480368</v>
      </c>
    </row>
    <row r="550" spans="2:7" ht="14.45" customHeight="1">
      <c r="B550" s="34" t="s">
        <v>165</v>
      </c>
      <c r="C550" s="3" t="s">
        <v>221</v>
      </c>
      <c r="D550" s="53">
        <f>IF(D70=0,0,'Input data'!D$191*D454*'Input data'!D$7/D70)</f>
        <v>0.29142960060037015</v>
      </c>
      <c r="E550" s="53">
        <f>IF(E70=0,0,'Input data'!E$191*E454*'Input data'!E$7/E70)</f>
        <v>0.30654069086628183</v>
      </c>
      <c r="F550" s="53">
        <f>IF(F70=0,0,'Input data'!F$191*F454*'Input data'!F$7/F70)</f>
        <v>0.32794173441522617</v>
      </c>
      <c r="G550" s="53">
        <f>IF(G70=0,0,'Input data'!G$191*G454*'Input data'!G$7/G70)</f>
        <v>0.33638757203395614</v>
      </c>
    </row>
    <row r="551" spans="2:7" ht="14.45" customHeight="1">
      <c r="B551" s="34" t="s">
        <v>167</v>
      </c>
      <c r="C551" s="3" t="s">
        <v>221</v>
      </c>
      <c r="D551" s="53">
        <f>IF(D71=0,0,'Input data'!D$191*D455*'Input data'!D$7/D71)</f>
        <v>0.2475612813201159</v>
      </c>
      <c r="E551" s="53">
        <f>IF(E71=0,0,'Input data'!E$191*E455*'Input data'!E$7/E71)</f>
        <v>0.26006531177034925</v>
      </c>
      <c r="F551" s="53">
        <f>IF(F71=0,0,'Input data'!F$191*F455*'Input data'!F$7/F71)</f>
        <v>0.28232686452828915</v>
      </c>
      <c r="G551" s="53">
        <f>IF(G71=0,0,'Input data'!G$191*G455*'Input data'!G$7/G71)</f>
        <v>0.28957061028246567</v>
      </c>
    </row>
    <row r="552" spans="2:7" ht="14.45" customHeight="1">
      <c r="B552" s="34" t="s">
        <v>169</v>
      </c>
      <c r="C552" s="3" t="s">
        <v>221</v>
      </c>
      <c r="D552" s="53">
        <f>IF(D72=0,0,'Input data'!D$191*D456*'Input data'!D$7/D72)</f>
        <v>0.19673696442999397</v>
      </c>
      <c r="E552" s="53">
        <f>IF(E72=0,0,'Input data'!E$191*E456*'Input data'!E$7/E72)</f>
        <v>0.20679482019714965</v>
      </c>
      <c r="F552" s="53">
        <f>IF(F72=0,0,'Input data'!F$191*F456*'Input data'!F$7/F72)</f>
        <v>0.22339958421182071</v>
      </c>
      <c r="G552" s="53">
        <f>IF(G72=0,0,'Input data'!G$191*G456*'Input data'!G$7/G72)</f>
        <v>0.22911600498677187</v>
      </c>
    </row>
    <row r="553" spans="2:7" ht="14.45" customHeight="1">
      <c r="B553" s="34" t="s">
        <v>171</v>
      </c>
      <c r="C553" s="3" t="s">
        <v>221</v>
      </c>
      <c r="D553" s="53">
        <f>IF(D73=0,0,'Input data'!D$191*D457*'Input data'!D$7/D73)</f>
        <v>0.18563112849898358</v>
      </c>
      <c r="E553" s="53">
        <f>IF(E73=0,0,'Input data'!E$191*E457*'Input data'!E$7/E73)</f>
        <v>0.1951544603147877</v>
      </c>
      <c r="F553" s="53">
        <f>IF(F73=0,0,'Input data'!F$191*F457*'Input data'!F$7/F73)</f>
        <v>0.2105231355529987</v>
      </c>
      <c r="G553" s="53">
        <f>IF(G73=0,0,'Input data'!G$191*G457*'Input data'!G$7/G73)</f>
        <v>0.21590581410236753</v>
      </c>
    </row>
    <row r="554" spans="2:7" ht="14.45" customHeight="1">
      <c r="B554" s="34" t="s">
        <v>173</v>
      </c>
      <c r="C554" s="3" t="s">
        <v>221</v>
      </c>
      <c r="D554" s="53">
        <f>IF(D74=0,0,'Input data'!D$191*D458*'Input data'!D$7/D74)</f>
        <v>0.18836266178354547</v>
      </c>
      <c r="E554" s="53">
        <f>IF(E74=0,0,'Input data'!E$191*E458*'Input data'!E$7/E74)</f>
        <v>0.19802701571503631</v>
      </c>
      <c r="F554" s="53">
        <f>IF(F74=0,0,'Input data'!F$191*F458*'Input data'!F$7/F74)</f>
        <v>0.21358902385002743</v>
      </c>
      <c r="G554" s="53">
        <f>IF(G74=0,0,'Input data'!G$191*G458*'Input data'!G$7/G74)</f>
        <v>0.21905154835746585</v>
      </c>
    </row>
    <row r="555" spans="2:7" ht="14.45" customHeight="1">
      <c r="B555" s="34" t="s">
        <v>175</v>
      </c>
      <c r="C555" s="3" t="s">
        <v>221</v>
      </c>
      <c r="D555" s="53">
        <f>IF(D75=0,0,'Input data'!D$191*D459*'Input data'!D$7/D75)</f>
        <v>0.17585268331669951</v>
      </c>
      <c r="E555" s="53">
        <f>IF(E75=0,0,'Input data'!E$191*E459*'Input data'!E$7/E75)</f>
        <v>0.18490537850601479</v>
      </c>
      <c r="F555" s="53">
        <f>IF(F75=0,0,'Input data'!F$191*F459*'Input data'!F$7/F75)</f>
        <v>0.19918570466216334</v>
      </c>
      <c r="G555" s="53">
        <f>IF(G75=0,0,'Input data'!G$191*G459*'Input data'!G$7/G75)</f>
        <v>0.20427453049498356</v>
      </c>
    </row>
    <row r="556" spans="2:7" ht="14.45" customHeight="1">
      <c r="B556" s="34" t="s">
        <v>177</v>
      </c>
      <c r="C556" s="3" t="s">
        <v>221</v>
      </c>
      <c r="D556" s="53">
        <f>IF(D76=0,0,'Input data'!D$191*D460*'Input data'!D$7/D76)</f>
        <v>0.1669149189419421</v>
      </c>
      <c r="E556" s="53">
        <f>IF(E76=0,0,'Input data'!E$191*E460*'Input data'!E$7/E76)</f>
        <v>0.17553743947718167</v>
      </c>
      <c r="F556" s="53">
        <f>IF(F76=0,0,'Input data'!F$191*F460*'Input data'!F$7/F76)</f>
        <v>0.18882298502438627</v>
      </c>
      <c r="G556" s="53">
        <f>IF(G76=0,0,'Input data'!G$191*G460*'Input data'!G$7/G76)</f>
        <v>0.1936432214963793</v>
      </c>
    </row>
    <row r="557" spans="2:7" ht="14.45" customHeight="1">
      <c r="B557" s="34" t="s">
        <v>179</v>
      </c>
      <c r="C557" s="3" t="s">
        <v>221</v>
      </c>
      <c r="D557" s="53">
        <f>IF(D77=0,0,'Input data'!D$191*D461*'Input data'!D$7/D77)</f>
        <v>0.15755435603240531</v>
      </c>
      <c r="E557" s="53">
        <f>IF(E77=0,0,'Input data'!E$191*E461*'Input data'!E$7/E77)</f>
        <v>0.16572635261750165</v>
      </c>
      <c r="F557" s="53">
        <f>IF(F77=0,0,'Input data'!F$191*F461*'Input data'!F$7/F77)</f>
        <v>0.17797005972717644</v>
      </c>
      <c r="G557" s="53">
        <f>IF(G77=0,0,'Input data'!G$191*G461*'Input data'!G$7/G77)</f>
        <v>0.18250900129102038</v>
      </c>
    </row>
    <row r="558" spans="2:7" ht="14.45" customHeight="1">
      <c r="B558" s="34" t="s">
        <v>181</v>
      </c>
      <c r="C558" s="3" t="s">
        <v>221</v>
      </c>
      <c r="D558" s="53">
        <f>IF(D78=0,0,'Input data'!D$191*D462*'Input data'!D$7/D78)</f>
        <v>0.14121761729900661</v>
      </c>
      <c r="E558" s="53">
        <f>IF(E78=0,0,'Input data'!E$191*E462*'Input data'!E$7/E78)</f>
        <v>0.14860332654884781</v>
      </c>
      <c r="F558" s="53">
        <f>IF(F78=0,0,'Input data'!F$191*F462*'Input data'!F$7/F78)</f>
        <v>0.1590287410493253</v>
      </c>
      <c r="G558" s="53">
        <f>IF(G78=0,0,'Input data'!G$191*G462*'Input data'!G$7/G78)</f>
        <v>0.1630767461742095</v>
      </c>
    </row>
    <row r="559" spans="2:7" ht="14.45" customHeight="1">
      <c r="B559" s="34" t="s">
        <v>183</v>
      </c>
      <c r="C559" s="3" t="s">
        <v>221</v>
      </c>
      <c r="D559" s="53">
        <f>IF(D79=0,0,'Input data'!D$191*D463*'Input data'!D$7/D79)</f>
        <v>0.23513845387785196</v>
      </c>
      <c r="E559" s="53">
        <f>IF(E79=0,0,'Input data'!E$191*E463*'Input data'!E$7/E79)</f>
        <v>0.24708599681612617</v>
      </c>
      <c r="F559" s="53">
        <f>IF(F79=0,0,'Input data'!F$191*F463*'Input data'!F$7/F79)</f>
        <v>0.26748493441400145</v>
      </c>
      <c r="G559" s="53">
        <f>IF(G79=0,0,'Input data'!G$191*G463*'Input data'!G$7/G79)</f>
        <v>0.27434565039688857</v>
      </c>
    </row>
    <row r="560" spans="2:7" ht="14.45" customHeight="1">
      <c r="B560" s="34" t="s">
        <v>185</v>
      </c>
      <c r="C560" s="3" t="s">
        <v>221</v>
      </c>
      <c r="D560" s="53">
        <f>IF(D80=0,0,'Input data'!D$191*D464*'Input data'!D$7/D80)</f>
        <v>0.25658285926046193</v>
      </c>
      <c r="E560" s="53">
        <f>IF(E80=0,0,'Input data'!E$191*E464*'Input data'!E$7/E80)</f>
        <v>0.26963491235044779</v>
      </c>
      <c r="F560" s="53">
        <f>IF(F80=0,0,'Input data'!F$191*F464*'Input data'!F$7/F80)</f>
        <v>0.29158188530322021</v>
      </c>
      <c r="G560" s="53">
        <f>IF(G80=0,0,'Input data'!G$191*G464*'Input data'!G$7/G80)</f>
        <v>0.29907005852490076</v>
      </c>
    </row>
    <row r="561" spans="2:7" ht="14.45" customHeight="1">
      <c r="B561" s="34" t="s">
        <v>187</v>
      </c>
      <c r="C561" s="3" t="s">
        <v>221</v>
      </c>
      <c r="D561" s="53">
        <f>IF(D81=0,0,'Input data'!D$191*D465*'Input data'!D$7/D81)</f>
        <v>0.26991893691888669</v>
      </c>
      <c r="E561" s="53">
        <f>IF(E81=0,0,'Input data'!E$191*E465*'Input data'!E$7/E81)</f>
        <v>0.28365630655135954</v>
      </c>
      <c r="F561" s="53">
        <f>IF(F81=0,0,'Input data'!F$191*F465*'Input data'!F$7/F81)</f>
        <v>0.3065841571791918</v>
      </c>
      <c r="G561" s="53">
        <f>IF(G81=0,0,'Input data'!G$191*G465*'Input data'!G$7/G81)</f>
        <v>0.3144629078656021</v>
      </c>
    </row>
    <row r="562" spans="2:7" ht="14.45" customHeight="1">
      <c r="B562" s="34" t="s">
        <v>189</v>
      </c>
      <c r="C562" s="3" t="s">
        <v>221</v>
      </c>
      <c r="D562" s="53">
        <f>IF(D82=0,0,'Input data'!D$191*D466*'Input data'!D$7/D82)</f>
        <v>0.27695152378986365</v>
      </c>
      <c r="E562" s="53">
        <f>IF(E82=0,0,'Input data'!E$191*E466*'Input data'!E$7/E82)</f>
        <v>0.29107868498516459</v>
      </c>
      <c r="F562" s="53">
        <f>IF(F82=0,0,'Input data'!F$191*F466*'Input data'!F$7/F82)</f>
        <v>0.31419473684360977</v>
      </c>
      <c r="G562" s="53">
        <f>IF(G82=0,0,'Input data'!G$191*G466*'Input data'!G$7/G82)</f>
        <v>0.32227279532054209</v>
      </c>
    </row>
    <row r="563" spans="2:7" ht="14.45" customHeight="1">
      <c r="B563" s="34" t="s">
        <v>191</v>
      </c>
      <c r="C563" s="3" t="s">
        <v>221</v>
      </c>
      <c r="D563" s="53">
        <f>IF(D83=0,0,'Input data'!D$191*D467*'Input data'!D$7/D83)</f>
        <v>0.27165179331902289</v>
      </c>
      <c r="E563" s="53">
        <f>IF(E83=0,0,'Input data'!E$191*E467*'Input data'!E$7/E83)</f>
        <v>0.2855238784543162</v>
      </c>
      <c r="F563" s="53">
        <f>IF(F83=0,0,'Input data'!F$191*F467*'Input data'!F$7/F83)</f>
        <v>0.30805006590327766</v>
      </c>
      <c r="G563" s="53">
        <f>IF(G83=0,0,'Input data'!G$191*G467*'Input data'!G$7/G83)</f>
        <v>0.31596886182191969</v>
      </c>
    </row>
    <row r="564" spans="2:7" ht="14.45" customHeight="1">
      <c r="B564" s="34" t="s">
        <v>193</v>
      </c>
      <c r="C564" s="3" t="s">
        <v>221</v>
      </c>
      <c r="D564" s="53">
        <f>IF(D84=0,0,'Input data'!D$191*D468*'Input data'!D$7/D84)</f>
        <v>0.25221780950526279</v>
      </c>
      <c r="E564" s="53">
        <f>IF(E84=0,0,'Input data'!E$191*E468*'Input data'!E$7/E84)</f>
        <v>0.26515453688062129</v>
      </c>
      <c r="F564" s="53">
        <f>IF(F84=0,0,'Input data'!F$191*F468*'Input data'!F$7/F84)</f>
        <v>0.28551770576679092</v>
      </c>
      <c r="G564" s="53">
        <f>IF(G84=0,0,'Input data'!G$191*G468*'Input data'!G$7/G84)</f>
        <v>0.29285248972539446</v>
      </c>
    </row>
    <row r="565" spans="2:7" ht="14.45" customHeight="1">
      <c r="B565" s="34" t="s">
        <v>195</v>
      </c>
      <c r="C565" s="3" t="s">
        <v>221</v>
      </c>
      <c r="D565" s="53">
        <f>IF(D85=0,0,'Input data'!D$191*D469*'Input data'!D$7/D85)</f>
        <v>0.1915686080806201</v>
      </c>
      <c r="E565" s="53">
        <f>IF(E85=0,0,'Input data'!E$191*E469*'Input data'!E$7/E85)</f>
        <v>0.20155096408907594</v>
      </c>
      <c r="F565" s="53">
        <f>IF(F85=0,0,'Input data'!F$191*F469*'Input data'!F$7/F85)</f>
        <v>0.21557311331786499</v>
      </c>
      <c r="G565" s="53">
        <f>IF(G85=0,0,'Input data'!G$191*G469*'Input data'!G$7/G85)</f>
        <v>0.22109360499004066</v>
      </c>
    </row>
    <row r="566" spans="2:7" ht="14.45" customHeight="1">
      <c r="B566" s="34" t="s">
        <v>197</v>
      </c>
      <c r="C566" s="3" t="s">
        <v>221</v>
      </c>
      <c r="D566" s="53">
        <f>IF(D86=0,0,'Input data'!D$191*D470*'Input data'!D$7/D86)</f>
        <v>0.19671857399657269</v>
      </c>
      <c r="E566" s="53">
        <f>IF(E86=0,0,'Input data'!E$191*E470*'Input data'!E$7/E86)</f>
        <v>0.20696680964606637</v>
      </c>
      <c r="F566" s="53">
        <f>IF(F86=0,0,'Input data'!F$191*F470*'Input data'!F$7/F86)</f>
        <v>0.22135346398064251</v>
      </c>
      <c r="G566" s="53">
        <f>IF(G86=0,0,'Input data'!G$191*G470*'Input data'!G$7/G86)</f>
        <v>0.22702449526546309</v>
      </c>
    </row>
    <row r="567" spans="2:7" ht="14.45" customHeight="1">
      <c r="B567" s="34" t="s">
        <v>199</v>
      </c>
      <c r="C567" s="3" t="s">
        <v>221</v>
      </c>
      <c r="D567" s="53">
        <f>IF(D87=0,0,'Input data'!D$191*D471*'Input data'!D$7/D87)</f>
        <v>0.20271596710183495</v>
      </c>
      <c r="E567" s="53">
        <f>IF(E87=0,0,'Input data'!E$191*E471*'Input data'!E$7/E87)</f>
        <v>0.21327017049925667</v>
      </c>
      <c r="F567" s="53">
        <f>IF(F87=0,0,'Input data'!F$191*F471*'Input data'!F$7/F87)</f>
        <v>0.22812374315250192</v>
      </c>
      <c r="G567" s="53">
        <f>IF(G87=0,0,'Input data'!G$191*G471*'Input data'!G$7/G87)</f>
        <v>0.23397094390199141</v>
      </c>
    </row>
    <row r="568" spans="2:7" ht="14.45" customHeight="1">
      <c r="B568" s="34" t="s">
        <v>201</v>
      </c>
      <c r="C568" s="3" t="s">
        <v>221</v>
      </c>
      <c r="D568" s="53">
        <f>IF(D88=0,0,'Input data'!D$191*D472*'Input data'!D$7/D88)</f>
        <v>0.21403371583725825</v>
      </c>
      <c r="E568" s="53">
        <f>IF(E88=0,0,'Input data'!E$191*E472*'Input data'!E$7/E88)</f>
        <v>0.22514806770755375</v>
      </c>
      <c r="F568" s="53">
        <f>IF(F88=0,0,'Input data'!F$191*F472*'Input data'!F$7/F88)</f>
        <v>0.24108259398866316</v>
      </c>
      <c r="G568" s="53">
        <f>IF(G88=0,0,'Input data'!G$191*G472*'Input data'!G$7/G88)</f>
        <v>0.24726628916464904</v>
      </c>
    </row>
    <row r="569" spans="2:7" ht="14.45" customHeight="1">
      <c r="B569" s="34" t="s">
        <v>203</v>
      </c>
      <c r="C569" s="3" t="s">
        <v>221</v>
      </c>
      <c r="D569" s="53">
        <f>IF(D89=0,0,'Input data'!D$191*D473*'Input data'!D$7/D89)</f>
        <v>0.2146919814125659</v>
      </c>
      <c r="E569" s="53">
        <f>IF(E89=0,0,'Input data'!E$191*E473*'Input data'!E$7/E89)</f>
        <v>0.22582259045208261</v>
      </c>
      <c r="F569" s="53">
        <f>IF(F89=0,0,'Input data'!F$191*F473*'Input data'!F$7/F89)</f>
        <v>0.24200910345922624</v>
      </c>
      <c r="G569" s="53">
        <f>IF(G89=0,0,'Input data'!G$191*G473*'Input data'!G$7/G89)</f>
        <v>0.24821619622355368</v>
      </c>
    </row>
    <row r="570" spans="2:7" ht="14.45" customHeight="1">
      <c r="B570" s="34" t="s">
        <v>205</v>
      </c>
      <c r="C570" s="3" t="s">
        <v>221</v>
      </c>
      <c r="D570" s="53">
        <f>IF(D90=0,0,'Input data'!D$191*D474*'Input data'!D$7/D90)</f>
        <v>5.2954955920033263E-2</v>
      </c>
      <c r="E570" s="53">
        <f>IF(E90=0,0,'Input data'!E$191*E474*'Input data'!E$7/E90)</f>
        <v>5.592191942305301E-2</v>
      </c>
      <c r="F570" s="53">
        <f>IF(F90=0,0,'Input data'!F$191*F474*'Input data'!F$7/F90)</f>
        <v>5.623471298978857E-2</v>
      </c>
      <c r="G570" s="53">
        <f>IF(G90=0,0,'Input data'!G$191*G474*'Input data'!G$7/G90)</f>
        <v>5.7755721828870503E-2</v>
      </c>
    </row>
    <row r="571" spans="2:7" ht="14.45" customHeight="1">
      <c r="B571" s="34" t="s">
        <v>207</v>
      </c>
      <c r="C571" s="3" t="s">
        <v>221</v>
      </c>
      <c r="D571" s="53">
        <f>IF(D91=0,0,'Input data'!D$191*D475*'Input data'!D$7/D91)</f>
        <v>1.6868946928214171E-2</v>
      </c>
      <c r="E571" s="53">
        <f>IF(E91=0,0,'Input data'!E$191*E475*'Input data'!E$7/E91)</f>
        <v>1.8027761791023618E-2</v>
      </c>
      <c r="F571" s="53">
        <f>IF(F91=0,0,'Input data'!F$191*F475*'Input data'!F$7/F91)</f>
        <v>1.4203401098825081E-2</v>
      </c>
      <c r="G571" s="53">
        <f>IF(G91=0,0,'Input data'!G$191*G475*'Input data'!G$7/G91)</f>
        <v>1.4692394030934057E-2</v>
      </c>
    </row>
    <row r="572" spans="2:7" ht="14.45" customHeight="1">
      <c r="B572" s="34" t="s">
        <v>209</v>
      </c>
      <c r="C572" s="3" t="s">
        <v>221</v>
      </c>
      <c r="D572" s="53">
        <f>IF(D92=0,0,'Input data'!D$191*D476*'Input data'!D$7/D92)</f>
        <v>1.6869486756926531E-2</v>
      </c>
      <c r="E572" s="53">
        <f>IF(E92=0,0,'Input data'!E$191*E476*'Input data'!E$7/E92)</f>
        <v>1.8028329489719316E-2</v>
      </c>
      <c r="F572" s="53">
        <f>IF(F92=0,0,'Input data'!F$191*F476*'Input data'!F$7/F92)</f>
        <v>1.4204007005603153E-2</v>
      </c>
      <c r="G572" s="53">
        <f>IF(G92=0,0,'Input data'!G$191*G476*'Input data'!G$7/G92)</f>
        <v>1.4693015717545742E-2</v>
      </c>
    </row>
    <row r="573" spans="2:7" ht="14.45" customHeight="1">
      <c r="B573" s="34" t="s">
        <v>210</v>
      </c>
      <c r="C573" s="3" t="s">
        <v>221</v>
      </c>
      <c r="D573" s="53">
        <f>IF(D93=0,0,'Input data'!D$191*D477*'Input data'!D$7/D93)</f>
        <v>1.7582060657247035E-2</v>
      </c>
      <c r="E573" s="53">
        <f>IF(E93=0,0,'Input data'!E$191*E477*'Input data'!E$7/E93)</f>
        <v>1.877769176804505E-2</v>
      </c>
      <c r="F573" s="53">
        <f>IF(F93=0,0,'Input data'!F$191*F477*'Input data'!F$7/F93)</f>
        <v>1.5003803952654127E-2</v>
      </c>
      <c r="G573" s="53">
        <f>IF(G93=0,0,'Input data'!G$191*G477*'Input data'!G$7/G93)</f>
        <v>1.5513642044962693E-2</v>
      </c>
    </row>
    <row r="574" spans="2:7" ht="14.45" customHeight="1">
      <c r="B574" s="34" t="s">
        <v>212</v>
      </c>
      <c r="C574" s="3" t="s">
        <v>221</v>
      </c>
      <c r="D574" s="53">
        <f>IF(D94=0,0,'Input data'!D$191*D478*'Input data'!D$7/D94)</f>
        <v>1.6869486756926535E-2</v>
      </c>
      <c r="E574" s="53">
        <f>IF(E94=0,0,'Input data'!E$191*E478*'Input data'!E$7/E94)</f>
        <v>1.8028329489719316E-2</v>
      </c>
      <c r="F574" s="53">
        <f>IF(F94=0,0,'Input data'!F$191*F478*'Input data'!F$7/F94)</f>
        <v>1.4204007005603153E-2</v>
      </c>
      <c r="G574" s="53">
        <f>IF(G94=0,0,'Input data'!G$191*G478*'Input data'!G$7/G94)</f>
        <v>1.4693015717545742E-2</v>
      </c>
    </row>
    <row r="575" spans="2:7" ht="14.45" customHeight="1">
      <c r="B575" s="34" t="s">
        <v>213</v>
      </c>
      <c r="C575" s="3" t="s">
        <v>221</v>
      </c>
      <c r="D575" s="53">
        <f>IF(D95=0,0,'Input data'!D$191*D479*'Input data'!D$7/D95)</f>
        <v>1.3452149335372327E-2</v>
      </c>
      <c r="E575" s="53">
        <f>IF(E95=0,0,'Input data'!E$191*E479*'Input data'!E$7/E95)</f>
        <v>1.4439759953268698E-2</v>
      </c>
      <c r="F575" s="53">
        <f>IF(F95=0,0,'Input data'!F$191*F479*'Input data'!F$7/F95)</f>
        <v>1.0223673517268843E-2</v>
      </c>
      <c r="G575" s="53">
        <f>IF(G95=0,0,'Input data'!G$191*G479*'Input data'!G$7/G95)</f>
        <v>1.0614950199639065E-2</v>
      </c>
    </row>
    <row r="578" spans="2:14" ht="28.9" customHeight="1">
      <c r="B578" s="31" t="s">
        <v>610</v>
      </c>
      <c r="C578" s="4"/>
      <c r="D578" s="4"/>
      <c r="E578" s="4"/>
      <c r="F578" s="4"/>
      <c r="G578" s="4"/>
    </row>
    <row r="579" spans="2:14" ht="14.45" customHeight="1">
      <c r="B579" s="35" t="s">
        <v>288</v>
      </c>
    </row>
    <row r="580" spans="2:14" ht="14.45" customHeight="1">
      <c r="B580" s="8" t="s">
        <v>1</v>
      </c>
      <c r="C580" s="8" t="s">
        <v>215</v>
      </c>
      <c r="D580" s="5"/>
      <c r="E580" s="5"/>
      <c r="F580" s="5"/>
      <c r="G580" s="5"/>
    </row>
    <row r="581" spans="2:14" ht="14.45" customHeight="1">
      <c r="B581" s="24"/>
      <c r="C581" s="24"/>
      <c r="D581" s="22" t="str">
        <f>'Input data'!D$5</f>
        <v>2023-24</v>
      </c>
      <c r="E581" s="22" t="str">
        <f>'Input data'!E$5</f>
        <v>2024-25</v>
      </c>
      <c r="F581" s="22" t="str">
        <f>'Input data'!F$5</f>
        <v>2025-26</v>
      </c>
      <c r="G581" s="22" t="str">
        <f>'Input data'!G$5</f>
        <v>2026-27</v>
      </c>
    </row>
    <row r="582" spans="2:14" ht="14.45" customHeight="1">
      <c r="B582" s="23"/>
      <c r="C582" s="23"/>
      <c r="D582" s="7"/>
      <c r="E582" s="7"/>
      <c r="F582" s="7"/>
      <c r="G582" s="7"/>
    </row>
    <row r="583" spans="2:14" ht="14.45" customHeight="1">
      <c r="B583" s="34" t="s">
        <v>226</v>
      </c>
      <c r="C583" s="3" t="s">
        <v>225</v>
      </c>
      <c r="D583" s="53">
        <f>IF('RPM &amp; Discounts'!$B$3='A0.Support'!$B$5,1,SUMPRODUCT(D$487:D$488,D$7:D$8)/SUM(D$7:D$8))</f>
        <v>3.2447782087745271E-2</v>
      </c>
      <c r="E583" s="53">
        <f>IF('RPM &amp; Discounts'!$B$3='A0.Support'!$B$5,1,SUMPRODUCT(E$487:E$488,E$7:E$8)/SUM(E$7:E$8))</f>
        <v>3.4138454755705552E-2</v>
      </c>
      <c r="F583" s="53">
        <f>IF('RPM &amp; Discounts'!$B$3='A0.Support'!$B$5,1,SUMPRODUCT(F$487:F$488,F$7:F$8)/SUM(F$7:F$8))</f>
        <v>3.6445593494149005E-2</v>
      </c>
      <c r="G583" s="53">
        <f>IF('RPM &amp; Discounts'!$B$3='A0.Support'!$B$5,1,SUMPRODUCT(G$487:G$488,G$7:G$8)/SUM(G$7:G$8))</f>
        <v>3.7383429211737915E-2</v>
      </c>
      <c r="J583"/>
      <c r="K583"/>
      <c r="L583"/>
      <c r="M583"/>
      <c r="N583"/>
    </row>
    <row r="584" spans="2:14" ht="14.45" customHeight="1">
      <c r="B584" s="34" t="s">
        <v>218</v>
      </c>
      <c r="C584" s="3" t="s">
        <v>14</v>
      </c>
      <c r="D584" s="53">
        <f>IF('RPM &amp; Discounts'!$B$3='A0.Support'!$B$5,1,D489)</f>
        <v>0</v>
      </c>
      <c r="E584" s="53">
        <f>IF('RPM &amp; Discounts'!$B$3='A0.Support'!$B$5,1,E489)</f>
        <v>0</v>
      </c>
      <c r="F584" s="53">
        <f>IF('RPM &amp; Discounts'!$B$3='A0.Support'!$B$5,1,F489)</f>
        <v>0</v>
      </c>
      <c r="G584" s="53">
        <f>IF('RPM &amp; Discounts'!$B$3='A0.Support'!$B$5,1,G489)</f>
        <v>0</v>
      </c>
      <c r="J584"/>
      <c r="K584"/>
      <c r="L584"/>
      <c r="M584"/>
      <c r="N584"/>
    </row>
    <row r="585" spans="2:14" ht="14.45" customHeight="1">
      <c r="B585" s="34" t="s">
        <v>219</v>
      </c>
      <c r="C585" s="3" t="s">
        <v>15</v>
      </c>
      <c r="D585" s="53">
        <f>IF('RPM &amp; Discounts'!$B$3='A0.Support'!$B$5,1,D490)</f>
        <v>6.591930713292575E-2</v>
      </c>
      <c r="E585" s="53">
        <f>IF('RPM &amp; Discounts'!$B$3='A0.Support'!$B$5,1,E490)</f>
        <v>6.9308347509266177E-2</v>
      </c>
      <c r="F585" s="53">
        <f>IF('RPM &amp; Discounts'!$B$3='A0.Support'!$B$5,1,F490)</f>
        <v>7.4143465063682509E-2</v>
      </c>
      <c r="G585" s="53">
        <f>IF('RPM &amp; Discounts'!$B$3='A0.Support'!$B$5,1,G490)</f>
        <v>7.607361093300441E-2</v>
      </c>
      <c r="J585"/>
      <c r="K585"/>
      <c r="L585"/>
      <c r="M585"/>
      <c r="N585"/>
    </row>
    <row r="586" spans="2:14" ht="14.45" customHeight="1">
      <c r="B586" s="34" t="s">
        <v>228</v>
      </c>
      <c r="C586" s="3" t="s">
        <v>221</v>
      </c>
      <c r="D586" s="53">
        <f>IF('RPM &amp; Discounts'!$B$3='A0.Support'!$B$5,1,SUMPRODUCT(D$491:D$575,D$11:D$95)/SUM(D$11:D$95))</f>
        <v>0.15640388150834197</v>
      </c>
      <c r="E586" s="53">
        <f>IF('RPM &amp; Discounts'!$B$3='A0.Support'!$B$5,1,SUMPRODUCT(E$491:E$575,E$11:E$95)/SUM(E$11:E$95))</f>
        <v>0.16459629927964933</v>
      </c>
      <c r="F586" s="53">
        <f>IF('RPM &amp; Discounts'!$B$3='A0.Support'!$B$5,1,SUMPRODUCT(F$491:F$575,F$11:F$95)/SUM(F$11:F$95))</f>
        <v>0.1751529253505594</v>
      </c>
      <c r="G586" s="53">
        <f>IF('RPM &amp; Discounts'!$B$3='A0.Support'!$B$5,1,SUMPRODUCT(G$491:G$575,G$11:G$95)/SUM(G$11:G$95))</f>
        <v>0.17966517816192487</v>
      </c>
      <c r="J586"/>
      <c r="K586"/>
      <c r="L586"/>
      <c r="M586"/>
      <c r="N586"/>
    </row>
    <row r="589" spans="2:14" ht="28.9" customHeight="1">
      <c r="B589" s="31" t="s">
        <v>611</v>
      </c>
      <c r="C589" s="4"/>
      <c r="D589" s="4"/>
      <c r="E589" s="4"/>
      <c r="F589" s="4"/>
      <c r="G589" s="4"/>
    </row>
    <row r="590" spans="2:14" ht="14.45" customHeight="1">
      <c r="B590" s="35"/>
    </row>
    <row r="591" spans="2:14" ht="14.45" customHeight="1">
      <c r="B591" s="8" t="s">
        <v>1</v>
      </c>
      <c r="C591" s="8" t="s">
        <v>239</v>
      </c>
      <c r="D591" s="5"/>
      <c r="E591" s="5"/>
      <c r="F591" s="5"/>
      <c r="G591" s="5"/>
    </row>
    <row r="592" spans="2:14" ht="14.45" customHeight="1">
      <c r="B592" s="24"/>
      <c r="C592" s="24"/>
      <c r="D592" s="22" t="str">
        <f>'Input data'!D$5</f>
        <v>2023-24</v>
      </c>
      <c r="E592" s="22" t="str">
        <f>'Input data'!E$5</f>
        <v>2024-25</v>
      </c>
      <c r="F592" s="22" t="str">
        <f>'Input data'!F$5</f>
        <v>2025-26</v>
      </c>
      <c r="G592" s="22" t="str">
        <f>'Input data'!G$5</f>
        <v>2026-27</v>
      </c>
    </row>
    <row r="593" spans="2:7" ht="14.45" customHeight="1">
      <c r="B593" s="23"/>
      <c r="C593" s="23"/>
      <c r="D593" s="7"/>
      <c r="E593" s="7"/>
      <c r="F593" s="7"/>
      <c r="G593" s="7"/>
    </row>
    <row r="594" spans="2:7" ht="14.45" customHeight="1">
      <c r="B594" s="34" t="s">
        <v>226</v>
      </c>
      <c r="C594" s="3" t="s">
        <v>225</v>
      </c>
      <c r="D594" s="53">
        <f t="shared" ref="D594:G594" si="178">D583</f>
        <v>3.2447782087745271E-2</v>
      </c>
      <c r="E594" s="53">
        <f t="shared" si="178"/>
        <v>3.4138454755705552E-2</v>
      </c>
      <c r="F594" s="53">
        <f t="shared" si="178"/>
        <v>3.6445593494149005E-2</v>
      </c>
      <c r="G594" s="53">
        <f t="shared" si="178"/>
        <v>3.7383429211737915E-2</v>
      </c>
    </row>
    <row r="595" spans="2:7" ht="14.45" customHeight="1">
      <c r="B595" s="34" t="s">
        <v>218</v>
      </c>
      <c r="C595" s="3" t="s">
        <v>14</v>
      </c>
      <c r="D595" s="53">
        <f t="shared" ref="D595:G597" si="179">D584</f>
        <v>0</v>
      </c>
      <c r="E595" s="53">
        <f t="shared" si="179"/>
        <v>0</v>
      </c>
      <c r="F595" s="53">
        <f t="shared" si="179"/>
        <v>0</v>
      </c>
      <c r="G595" s="53">
        <f t="shared" si="179"/>
        <v>0</v>
      </c>
    </row>
    <row r="596" spans="2:7" ht="14.45" customHeight="1">
      <c r="B596" s="34" t="s">
        <v>219</v>
      </c>
      <c r="C596" s="3" t="s">
        <v>15</v>
      </c>
      <c r="D596" s="53">
        <f t="shared" si="179"/>
        <v>6.591930713292575E-2</v>
      </c>
      <c r="E596" s="53">
        <f t="shared" si="179"/>
        <v>6.9308347509266177E-2</v>
      </c>
      <c r="F596" s="53">
        <f t="shared" si="179"/>
        <v>7.4143465063682509E-2</v>
      </c>
      <c r="G596" s="53">
        <f t="shared" si="179"/>
        <v>7.607361093300441E-2</v>
      </c>
    </row>
    <row r="597" spans="2:7" ht="14.45" customHeight="1">
      <c r="B597" s="34" t="s">
        <v>228</v>
      </c>
      <c r="C597" s="3" t="s">
        <v>221</v>
      </c>
      <c r="D597" s="53">
        <f t="shared" si="179"/>
        <v>0.15640388150834197</v>
      </c>
      <c r="E597" s="53">
        <f t="shared" si="179"/>
        <v>0.16459629927964933</v>
      </c>
      <c r="F597" s="53">
        <f t="shared" si="179"/>
        <v>0.1751529253505594</v>
      </c>
      <c r="G597" s="53">
        <f t="shared" si="179"/>
        <v>0.17966517816192487</v>
      </c>
    </row>
    <row r="598" spans="2:7" ht="14.45" customHeight="1">
      <c r="B598" s="8" t="s">
        <v>1</v>
      </c>
      <c r="C598" s="8" t="s">
        <v>240</v>
      </c>
      <c r="D598" s="5"/>
      <c r="E598" s="5"/>
      <c r="F598" s="5"/>
      <c r="G598" s="5"/>
    </row>
    <row r="599" spans="2:7" ht="14.45" customHeight="1">
      <c r="B599" s="24"/>
      <c r="C599" s="24"/>
      <c r="D599" s="22" t="str">
        <f>'Input data'!D$5</f>
        <v>2023-24</v>
      </c>
      <c r="E599" s="22" t="str">
        <f>'Input data'!E$5</f>
        <v>2024-25</v>
      </c>
      <c r="F599" s="22" t="str">
        <f>'Input data'!F$5</f>
        <v>2025-26</v>
      </c>
      <c r="G599" s="22" t="str">
        <f>'Input data'!G$5</f>
        <v>2026-27</v>
      </c>
    </row>
    <row r="600" spans="2:7" ht="14.45" customHeight="1">
      <c r="B600" s="23"/>
      <c r="C600" s="23"/>
      <c r="D600" s="7"/>
      <c r="E600" s="7"/>
      <c r="F600" s="7"/>
      <c r="G600" s="7"/>
    </row>
    <row r="601" spans="2:7" ht="14.45" customHeight="1">
      <c r="B601" s="34" t="s">
        <v>226</v>
      </c>
      <c r="C601" s="3" t="s">
        <v>225</v>
      </c>
      <c r="D601" s="53">
        <f t="shared" ref="D601:G601" si="180">D583</f>
        <v>3.2447782087745271E-2</v>
      </c>
      <c r="E601" s="53">
        <f t="shared" si="180"/>
        <v>3.4138454755705552E-2</v>
      </c>
      <c r="F601" s="53">
        <f t="shared" si="180"/>
        <v>3.6445593494149005E-2</v>
      </c>
      <c r="G601" s="53">
        <f t="shared" si="180"/>
        <v>3.7383429211737915E-2</v>
      </c>
    </row>
    <row r="602" spans="2:7" ht="14.45" customHeight="1">
      <c r="B602" s="34" t="s">
        <v>218</v>
      </c>
      <c r="C602" s="3" t="s">
        <v>14</v>
      </c>
      <c r="D602" s="53">
        <f t="shared" ref="D602:G603" si="181">D584</f>
        <v>0</v>
      </c>
      <c r="E602" s="53">
        <f t="shared" si="181"/>
        <v>0</v>
      </c>
      <c r="F602" s="53">
        <f t="shared" si="181"/>
        <v>0</v>
      </c>
      <c r="G602" s="53">
        <f t="shared" si="181"/>
        <v>0</v>
      </c>
    </row>
    <row r="603" spans="2:7" ht="14.45" customHeight="1">
      <c r="B603" s="34" t="s">
        <v>219</v>
      </c>
      <c r="C603" s="3" t="s">
        <v>15</v>
      </c>
      <c r="D603" s="53">
        <f t="shared" si="181"/>
        <v>6.591930713292575E-2</v>
      </c>
      <c r="E603" s="53">
        <f t="shared" si="181"/>
        <v>6.9308347509266177E-2</v>
      </c>
      <c r="F603" s="53">
        <f t="shared" si="181"/>
        <v>7.4143465063682509E-2</v>
      </c>
      <c r="G603" s="53">
        <f t="shared" si="181"/>
        <v>7.607361093300441E-2</v>
      </c>
    </row>
    <row r="606" spans="2:7" ht="28.9" customHeight="1">
      <c r="B606" s="31" t="s">
        <v>235</v>
      </c>
      <c r="C606" s="4"/>
      <c r="D606" s="4"/>
      <c r="E606" s="4"/>
      <c r="F606" s="4"/>
      <c r="G606" s="4"/>
    </row>
    <row r="607" spans="2:7" ht="14.45" customHeight="1">
      <c r="B607" s="35"/>
    </row>
    <row r="608" spans="2:7" ht="14.45" customHeight="1">
      <c r="B608" s="8" t="s">
        <v>1</v>
      </c>
      <c r="C608" s="8" t="s">
        <v>239</v>
      </c>
      <c r="D608" s="5"/>
      <c r="E608" s="5"/>
      <c r="F608" s="5"/>
      <c r="G608" s="5"/>
    </row>
    <row r="609" spans="2:9" ht="14.45" customHeight="1">
      <c r="B609" s="24"/>
      <c r="C609" s="24"/>
      <c r="D609" s="22" t="str">
        <f>'Input data'!D$5</f>
        <v>2023-24</v>
      </c>
      <c r="E609" s="22" t="str">
        <f>'Input data'!E$5</f>
        <v>2024-25</v>
      </c>
      <c r="F609" s="22" t="str">
        <f>'Input data'!F$5</f>
        <v>2025-26</v>
      </c>
      <c r="G609" s="22" t="str">
        <f>'Input data'!G$5</f>
        <v>2026-27</v>
      </c>
    </row>
    <row r="610" spans="2:9" ht="14.45" customHeight="1">
      <c r="B610" s="23"/>
      <c r="C610" s="23"/>
      <c r="D610" s="7"/>
      <c r="E610" s="7"/>
      <c r="F610" s="7"/>
      <c r="G610" s="7"/>
    </row>
    <row r="611" spans="2:9" ht="14.45" customHeight="1">
      <c r="B611" s="34" t="s">
        <v>226</v>
      </c>
      <c r="C611" s="3" t="s">
        <v>225</v>
      </c>
      <c r="D611" s="50">
        <v>0</v>
      </c>
      <c r="E611" s="50">
        <v>0</v>
      </c>
      <c r="F611" s="50">
        <v>0</v>
      </c>
      <c r="G611" s="50">
        <v>0</v>
      </c>
      <c r="I611"/>
    </row>
    <row r="612" spans="2:9" ht="14.45" customHeight="1">
      <c r="B612" s="34" t="s">
        <v>218</v>
      </c>
      <c r="C612" s="3" t="s">
        <v>14</v>
      </c>
      <c r="D612" s="50">
        <v>0</v>
      </c>
      <c r="E612" s="50">
        <v>0</v>
      </c>
      <c r="F612" s="50">
        <v>0</v>
      </c>
      <c r="G612" s="50">
        <v>0</v>
      </c>
    </row>
    <row r="613" spans="2:9" ht="14.45" customHeight="1">
      <c r="B613" s="34" t="s">
        <v>219</v>
      </c>
      <c r="C613" s="3" t="s">
        <v>15</v>
      </c>
      <c r="D613" s="50">
        <f>IF('RPM &amp; Discounts'!$B$8='A0.Support'!$B$12,'Input data'!D171,IF('RPM &amp; Discounts'!$B$8='A0.Support'!$B$13,0,"Error"))</f>
        <v>1</v>
      </c>
      <c r="E613" s="50">
        <f>IF('RPM &amp; Discounts'!$B$8='A0.Support'!$B$12,'Input data'!E171,IF('RPM &amp; Discounts'!$B$8='A0.Support'!$B$13,0,"Error"))</f>
        <v>1</v>
      </c>
      <c r="F613" s="50">
        <f>IF('RPM &amp; Discounts'!$B$8='A0.Support'!$B$12,'Input data'!F171,IF('RPM &amp; Discounts'!$B$8='A0.Support'!$B$13,0,"Error"))</f>
        <v>1</v>
      </c>
      <c r="G613" s="50">
        <f>IF('RPM &amp; Discounts'!$B$8='A0.Support'!$B$12,'Input data'!G171,IF('RPM &amp; Discounts'!$B$8='A0.Support'!$B$13,0,"Error"))</f>
        <v>1</v>
      </c>
    </row>
    <row r="614" spans="2:9" ht="14.45" customHeight="1">
      <c r="B614" s="34" t="s">
        <v>228</v>
      </c>
      <c r="C614" s="3" t="s">
        <v>221</v>
      </c>
      <c r="D614" s="50">
        <v>0</v>
      </c>
      <c r="E614" s="50">
        <v>0</v>
      </c>
      <c r="F614" s="50">
        <v>0</v>
      </c>
      <c r="G614" s="50">
        <v>0</v>
      </c>
    </row>
    <row r="615" spans="2:9" ht="14.45" customHeight="1">
      <c r="B615" s="8" t="s">
        <v>1</v>
      </c>
      <c r="C615" s="8" t="s">
        <v>240</v>
      </c>
      <c r="D615" s="5"/>
      <c r="E615" s="5"/>
      <c r="F615" s="5"/>
      <c r="G615" s="5"/>
    </row>
    <row r="616" spans="2:9" ht="14.45" customHeight="1">
      <c r="B616" s="24"/>
      <c r="C616" s="24"/>
      <c r="D616" s="22" t="str">
        <f>'Input data'!D$5</f>
        <v>2023-24</v>
      </c>
      <c r="E616" s="22" t="str">
        <f>'Input data'!E$5</f>
        <v>2024-25</v>
      </c>
      <c r="F616" s="22" t="str">
        <f>'Input data'!F$5</f>
        <v>2025-26</v>
      </c>
      <c r="G616" s="22" t="str">
        <f>'Input data'!G$5</f>
        <v>2026-27</v>
      </c>
    </row>
    <row r="617" spans="2:9" ht="14.45" customHeight="1">
      <c r="B617" s="23"/>
      <c r="C617" s="23"/>
      <c r="D617" s="7"/>
      <c r="E617" s="7"/>
      <c r="F617" s="7"/>
      <c r="G617" s="7"/>
    </row>
    <row r="618" spans="2:9" ht="14.45" customHeight="1">
      <c r="B618" s="34" t="s">
        <v>226</v>
      </c>
      <c r="C618" s="3" t="s">
        <v>225</v>
      </c>
      <c r="D618" s="52">
        <f>IF('RPM &amp; Discounts'!$B$8='A0.Support'!$B$12,1-(1-D611)*(1-'Input data'!D178),IF('RPM &amp; Discounts'!$B$8='A0.Support'!$B$13,0,"Error"))</f>
        <v>4.6000000000000041E-2</v>
      </c>
      <c r="E618" s="52">
        <f>IF('RPM &amp; Discounts'!$B$8='A0.Support'!$B$12,1-(1-E611)*(1-'Input data'!E178),IF('RPM &amp; Discounts'!$B$8='A0.Support'!$B$13,0,"Error"))</f>
        <v>4.6000000000000041E-2</v>
      </c>
      <c r="F618" s="52">
        <f>IF('RPM &amp; Discounts'!$B$8='A0.Support'!$B$12,1-(1-F611)*(1-'Input data'!F178),IF('RPM &amp; Discounts'!$B$8='A0.Support'!$B$13,0,"Error"))</f>
        <v>4.6000000000000041E-2</v>
      </c>
      <c r="G618" s="52">
        <f>IF('RPM &amp; Discounts'!$B$8='A0.Support'!$B$12,1-(1-G611)*(1-'Input data'!G178),IF('RPM &amp; Discounts'!$B$8='A0.Support'!$B$13,0,"Error"))</f>
        <v>4.6000000000000041E-2</v>
      </c>
    </row>
    <row r="619" spans="2:9" ht="14.45" customHeight="1">
      <c r="B619" s="34" t="s">
        <v>218</v>
      </c>
      <c r="C619" s="3" t="s">
        <v>14</v>
      </c>
      <c r="D619" s="50">
        <f>IF('RPM &amp; Discounts'!$B$8='A0.Support'!$B$12,1-(1-D612)*(1-'Input data'!D180),IF('RPM &amp; Discounts'!$B$8='A0.Support'!$B$13,0,"Error"))</f>
        <v>0</v>
      </c>
      <c r="E619" s="50">
        <f>IF('RPM &amp; Discounts'!$B$8='A0.Support'!$B$12,1-(1-E612)*(1-'Input data'!E180),IF('RPM &amp; Discounts'!$B$8='A0.Support'!$B$13,0,"Error"))</f>
        <v>0</v>
      </c>
      <c r="F619" s="50">
        <f>IF('RPM &amp; Discounts'!$B$8='A0.Support'!$B$12,1-(1-F612)*(1-'Input data'!F180),IF('RPM &amp; Discounts'!$B$8='A0.Support'!$B$13,0,"Error"))</f>
        <v>0</v>
      </c>
      <c r="G619" s="50">
        <f>IF('RPM &amp; Discounts'!$B$8='A0.Support'!$B$12,1-(1-G612)*(1-'Input data'!G180),IF('RPM &amp; Discounts'!$B$8='A0.Support'!$B$13,0,"Error"))</f>
        <v>0</v>
      </c>
    </row>
    <row r="620" spans="2:9" ht="14.45" customHeight="1">
      <c r="B620" s="34" t="s">
        <v>219</v>
      </c>
      <c r="C620" s="3" t="s">
        <v>15</v>
      </c>
      <c r="D620" s="50">
        <f>IF('RPM &amp; Discounts'!$B$8='A0.Support'!$B$12,1-(1-D613)*(1-'Input data'!D182),IF('RPM &amp; Discounts'!$B$8='A0.Support'!$B$13,0,"Error"))</f>
        <v>1</v>
      </c>
      <c r="E620" s="50">
        <f>IF('RPM &amp; Discounts'!$B$8='A0.Support'!$B$12,1-(1-E613)*(1-'Input data'!E182),IF('RPM &amp; Discounts'!$B$8='A0.Support'!$B$13,0,"Error"))</f>
        <v>1</v>
      </c>
      <c r="F620" s="50">
        <f>IF('RPM &amp; Discounts'!$B$8='A0.Support'!$B$12,1-(1-F613)*(1-'Input data'!F182),IF('RPM &amp; Discounts'!$B$8='A0.Support'!$B$13,0,"Error"))</f>
        <v>1</v>
      </c>
      <c r="G620" s="50">
        <f>IF('RPM &amp; Discounts'!$B$8='A0.Support'!$B$12,1-(1-G613)*(1-'Input data'!G182),IF('RPM &amp; Discounts'!$B$8='A0.Support'!$B$13,0,"Error"))</f>
        <v>1</v>
      </c>
    </row>
    <row r="623" spans="2:9" ht="28.9" customHeight="1">
      <c r="B623" s="31" t="s">
        <v>597</v>
      </c>
      <c r="C623" s="4"/>
      <c r="D623" s="4"/>
      <c r="E623" s="4"/>
      <c r="F623" s="4"/>
      <c r="G623" s="4"/>
    </row>
    <row r="624" spans="2:9" ht="14.45" customHeight="1">
      <c r="B624" s="35" t="s">
        <v>236</v>
      </c>
    </row>
    <row r="625" spans="2:7" ht="14.45" customHeight="1">
      <c r="B625" s="8" t="s">
        <v>1</v>
      </c>
      <c r="C625" s="8" t="s">
        <v>239</v>
      </c>
      <c r="D625" s="5"/>
      <c r="E625" s="5"/>
      <c r="F625" s="5"/>
      <c r="G625" s="5"/>
    </row>
    <row r="626" spans="2:7" ht="14.45" customHeight="1">
      <c r="B626" s="24"/>
      <c r="C626" s="24"/>
      <c r="D626" s="22" t="str">
        <f>'Input data'!D$5</f>
        <v>2023-24</v>
      </c>
      <c r="E626" s="22" t="str">
        <f>'Input data'!E$5</f>
        <v>2024-25</v>
      </c>
      <c r="F626" s="22" t="str">
        <f>'Input data'!F$5</f>
        <v>2025-26</v>
      </c>
      <c r="G626" s="22" t="str">
        <f>'Input data'!G$5</f>
        <v>2026-27</v>
      </c>
    </row>
    <row r="627" spans="2:7" ht="14.45" customHeight="1">
      <c r="B627" s="23"/>
      <c r="C627" s="23"/>
      <c r="D627" s="7"/>
      <c r="E627" s="7"/>
      <c r="F627" s="7"/>
      <c r="G627" s="7"/>
    </row>
    <row r="628" spans="2:7" ht="14.45" customHeight="1">
      <c r="B628" s="34" t="s">
        <v>226</v>
      </c>
      <c r="C628" s="3" t="s">
        <v>225</v>
      </c>
      <c r="D628" s="53">
        <f t="shared" ref="D628:G628" si="182">D594*(1-D611)</f>
        <v>3.2447782087745271E-2</v>
      </c>
      <c r="E628" s="53">
        <f t="shared" si="182"/>
        <v>3.4138454755705552E-2</v>
      </c>
      <c r="F628" s="53">
        <f t="shared" si="182"/>
        <v>3.6445593494149005E-2</v>
      </c>
      <c r="G628" s="53">
        <f t="shared" si="182"/>
        <v>3.7383429211737915E-2</v>
      </c>
    </row>
    <row r="629" spans="2:7" ht="14.45" customHeight="1">
      <c r="B629" s="34" t="s">
        <v>218</v>
      </c>
      <c r="C629" s="3" t="s">
        <v>14</v>
      </c>
      <c r="D629" s="53">
        <f t="shared" ref="D629:G631" si="183">D595*(1-D612)</f>
        <v>0</v>
      </c>
      <c r="E629" s="53">
        <f t="shared" si="183"/>
        <v>0</v>
      </c>
      <c r="F629" s="53">
        <f t="shared" si="183"/>
        <v>0</v>
      </c>
      <c r="G629" s="53">
        <f t="shared" si="183"/>
        <v>0</v>
      </c>
    </row>
    <row r="630" spans="2:7" ht="14.45" customHeight="1">
      <c r="B630" s="34" t="s">
        <v>219</v>
      </c>
      <c r="C630" s="3" t="s">
        <v>15</v>
      </c>
      <c r="D630" s="53">
        <f t="shared" si="183"/>
        <v>0</v>
      </c>
      <c r="E630" s="53">
        <f t="shared" si="183"/>
        <v>0</v>
      </c>
      <c r="F630" s="53">
        <f t="shared" si="183"/>
        <v>0</v>
      </c>
      <c r="G630" s="53">
        <f t="shared" si="183"/>
        <v>0</v>
      </c>
    </row>
    <row r="631" spans="2:7" ht="14.45" customHeight="1">
      <c r="B631" s="34" t="s">
        <v>228</v>
      </c>
      <c r="C631" s="3" t="s">
        <v>221</v>
      </c>
      <c r="D631" s="53">
        <f t="shared" si="183"/>
        <v>0.15640388150834197</v>
      </c>
      <c r="E631" s="53">
        <f t="shared" si="183"/>
        <v>0.16459629927964933</v>
      </c>
      <c r="F631" s="53">
        <f t="shared" si="183"/>
        <v>0.1751529253505594</v>
      </c>
      <c r="G631" s="53">
        <f t="shared" si="183"/>
        <v>0.17966517816192487</v>
      </c>
    </row>
    <row r="632" spans="2:7" ht="14.45" customHeight="1">
      <c r="B632" s="8" t="s">
        <v>1</v>
      </c>
      <c r="C632" s="8" t="s">
        <v>240</v>
      </c>
      <c r="D632" s="5"/>
      <c r="E632" s="5"/>
      <c r="F632" s="5"/>
      <c r="G632" s="5"/>
    </row>
    <row r="633" spans="2:7" ht="14.45" customHeight="1">
      <c r="B633" s="24"/>
      <c r="C633" s="24"/>
      <c r="D633" s="22" t="str">
        <f>'Input data'!D$5</f>
        <v>2023-24</v>
      </c>
      <c r="E633" s="22" t="str">
        <f>'Input data'!E$5</f>
        <v>2024-25</v>
      </c>
      <c r="F633" s="22" t="str">
        <f>'Input data'!F$5</f>
        <v>2025-26</v>
      </c>
      <c r="G633" s="22" t="str">
        <f>'Input data'!G$5</f>
        <v>2026-27</v>
      </c>
    </row>
    <row r="634" spans="2:7" ht="14.45" customHeight="1">
      <c r="B634" s="23"/>
      <c r="C634" s="23"/>
      <c r="D634" s="7"/>
      <c r="E634" s="7"/>
      <c r="F634" s="7"/>
      <c r="G634" s="7"/>
    </row>
    <row r="635" spans="2:7" ht="14.45" customHeight="1">
      <c r="B635" s="34" t="s">
        <v>226</v>
      </c>
      <c r="C635" s="3" t="s">
        <v>225</v>
      </c>
      <c r="D635" s="53">
        <f t="shared" ref="D635:G637" si="184">D601*(1-D618)</f>
        <v>3.0955184111708986E-2</v>
      </c>
      <c r="E635" s="53">
        <f t="shared" si="184"/>
        <v>3.2568085836943095E-2</v>
      </c>
      <c r="F635" s="53">
        <f t="shared" si="184"/>
        <v>3.4769096193418149E-2</v>
      </c>
      <c r="G635" s="53">
        <f t="shared" si="184"/>
        <v>3.5663791467997967E-2</v>
      </c>
    </row>
    <row r="636" spans="2:7" ht="14.45" customHeight="1">
      <c r="B636" s="34" t="s">
        <v>218</v>
      </c>
      <c r="C636" s="3" t="s">
        <v>14</v>
      </c>
      <c r="D636" s="53">
        <f t="shared" si="184"/>
        <v>0</v>
      </c>
      <c r="E636" s="53">
        <f t="shared" si="184"/>
        <v>0</v>
      </c>
      <c r="F636" s="53">
        <f t="shared" si="184"/>
        <v>0</v>
      </c>
      <c r="G636" s="53">
        <f t="shared" si="184"/>
        <v>0</v>
      </c>
    </row>
    <row r="637" spans="2:7" ht="14.45" customHeight="1">
      <c r="B637" s="34" t="s">
        <v>219</v>
      </c>
      <c r="C637" s="3" t="s">
        <v>15</v>
      </c>
      <c r="D637" s="53">
        <f t="shared" si="184"/>
        <v>0</v>
      </c>
      <c r="E637" s="53">
        <f t="shared" si="184"/>
        <v>0</v>
      </c>
      <c r="F637" s="53">
        <f t="shared" si="184"/>
        <v>0</v>
      </c>
      <c r="G637" s="53">
        <f t="shared" si="184"/>
        <v>0</v>
      </c>
    </row>
    <row r="640" spans="2:7" ht="28.9" customHeight="1">
      <c r="B640" s="31" t="s">
        <v>612</v>
      </c>
      <c r="C640" s="4"/>
      <c r="D640" s="4"/>
      <c r="E640" s="4"/>
      <c r="F640" s="4"/>
      <c r="G640" s="4"/>
    </row>
    <row r="641" spans="2:7" ht="14.45" customHeight="1">
      <c r="B641" s="35"/>
    </row>
    <row r="642" spans="2:7" ht="14.45" customHeight="1">
      <c r="B642" s="8" t="s">
        <v>1</v>
      </c>
      <c r="C642" s="8" t="s">
        <v>239</v>
      </c>
      <c r="D642" s="5"/>
      <c r="E642" s="5"/>
      <c r="F642" s="5"/>
      <c r="G642" s="5"/>
    </row>
    <row r="643" spans="2:7" ht="14.45" customHeight="1">
      <c r="B643" s="24"/>
      <c r="C643" s="24"/>
      <c r="D643" s="22" t="str">
        <f>'Input data'!D$5</f>
        <v>2023-24</v>
      </c>
      <c r="E643" s="22" t="str">
        <f>'Input data'!E$5</f>
        <v>2024-25</v>
      </c>
      <c r="F643" s="22" t="str">
        <f>'Input data'!F$5</f>
        <v>2025-26</v>
      </c>
      <c r="G643" s="22" t="str">
        <f>'Input data'!G$5</f>
        <v>2026-27</v>
      </c>
    </row>
    <row r="644" spans="2:7" ht="14.45" customHeight="1">
      <c r="B644" s="23"/>
      <c r="C644" s="23"/>
      <c r="D644" s="7"/>
      <c r="E644" s="7"/>
      <c r="F644" s="7"/>
      <c r="G644" s="7"/>
    </row>
    <row r="645" spans="2:7" ht="14.45" customHeight="1">
      <c r="B645" s="34" t="s">
        <v>226</v>
      </c>
      <c r="C645" s="3" t="s">
        <v>225</v>
      </c>
      <c r="D645" s="36">
        <f>SUMPRODUCT('Input data'!D65:D69,'Input data'!D133:D137)</f>
        <v>23735665.193424653</v>
      </c>
      <c r="E645" s="36">
        <f>SUMPRODUCT('Input data'!E65:E69,'Input data'!E133:E137)</f>
        <v>53185677.116301365</v>
      </c>
      <c r="F645" s="36">
        <f>SUMPRODUCT('Input data'!F65:F69,'Input data'!F133:F137)</f>
        <v>78142994.060000002</v>
      </c>
      <c r="G645" s="36">
        <f>SUMPRODUCT('Input data'!G65:G69,'Input data'!G133:G137)</f>
        <v>28225695.350000001</v>
      </c>
    </row>
    <row r="646" spans="2:7" ht="14.45" customHeight="1">
      <c r="B646" s="34" t="s">
        <v>218</v>
      </c>
      <c r="C646" s="3" t="s">
        <v>14</v>
      </c>
      <c r="D646" s="36">
        <f>SUMPRODUCT('Input data'!D70:D74,'Input data'!D138:D142)</f>
        <v>0</v>
      </c>
      <c r="E646" s="36">
        <f>SUMPRODUCT('Input data'!E70:E74,'Input data'!E138:E142)</f>
        <v>0</v>
      </c>
      <c r="F646" s="36">
        <f>SUMPRODUCT('Input data'!F70:F74,'Input data'!F138:F142)</f>
        <v>0</v>
      </c>
      <c r="G646" s="36">
        <f>SUMPRODUCT('Input data'!G70:G74,'Input data'!G138:G142)</f>
        <v>0</v>
      </c>
    </row>
    <row r="647" spans="2:7" ht="14.45" customHeight="1">
      <c r="B647" s="34" t="s">
        <v>219</v>
      </c>
      <c r="C647" s="3" t="s">
        <v>15</v>
      </c>
      <c r="D647" s="36">
        <f>SUMPRODUCT('Input data'!D75:D76,'Input data'!D143:D144)</f>
        <v>11893399.989315068</v>
      </c>
      <c r="E647" s="36">
        <f>SUMPRODUCT('Input data'!E75:E76,'Input data'!E143:E144)</f>
        <v>7121971.8712328775</v>
      </c>
      <c r="F647" s="36">
        <f>SUMPRODUCT('Input data'!F75:F76,'Input data'!F143:F144)</f>
        <v>7345604.5458560269</v>
      </c>
      <c r="G647" s="36">
        <f>SUMPRODUCT('Input data'!G75:G76,'Input data'!G143:G144)</f>
        <v>5706229.4995389394</v>
      </c>
    </row>
    <row r="648" spans="2:7" ht="14.45" customHeight="1">
      <c r="B648" s="34" t="s">
        <v>228</v>
      </c>
      <c r="C648" s="3" t="s">
        <v>221</v>
      </c>
      <c r="D648" s="36">
        <f>SUM('Input data'!D77:D78)+SUMPRODUCT('Input data'!D79:D83,'Input data'!D145:D149)</f>
        <v>316330818.97743207</v>
      </c>
      <c r="E648" s="36">
        <f>SUM('Input data'!E77:E78)+SUMPRODUCT('Input data'!E79:E83,'Input data'!E145:E149)</f>
        <v>313920462.95069277</v>
      </c>
      <c r="F648" s="36">
        <f>SUM('Input data'!F77:F78)+SUMPRODUCT('Input data'!F79:F83,'Input data'!F145:F149)</f>
        <v>271081899.61141425</v>
      </c>
      <c r="G648" s="36">
        <f>SUM('Input data'!G77:G78)+SUMPRODUCT('Input data'!G79:G83,'Input data'!G145:G149)</f>
        <v>327872619.48201811</v>
      </c>
    </row>
    <row r="649" spans="2:7" ht="14.45" customHeight="1">
      <c r="B649" s="8" t="s">
        <v>1</v>
      </c>
      <c r="C649" s="8" t="s">
        <v>240</v>
      </c>
      <c r="D649" s="5"/>
      <c r="E649" s="5"/>
      <c r="F649" s="5"/>
      <c r="G649" s="5"/>
    </row>
    <row r="650" spans="2:7" ht="14.45" customHeight="1">
      <c r="B650" s="24"/>
      <c r="C650" s="24"/>
      <c r="D650" s="22" t="str">
        <f>'Input data'!D$5</f>
        <v>2023-24</v>
      </c>
      <c r="E650" s="22" t="str">
        <f>'Input data'!E$5</f>
        <v>2024-25</v>
      </c>
      <c r="F650" s="22" t="str">
        <f>'Input data'!F$5</f>
        <v>2025-26</v>
      </c>
      <c r="G650" s="22" t="str">
        <f>'Input data'!G$5</f>
        <v>2026-27</v>
      </c>
    </row>
    <row r="651" spans="2:7" ht="14.45" customHeight="1">
      <c r="B651" s="23"/>
      <c r="C651" s="23"/>
      <c r="D651" s="7"/>
      <c r="E651" s="7"/>
      <c r="F651" s="7"/>
      <c r="G651" s="7"/>
    </row>
    <row r="652" spans="2:7" ht="14.45" customHeight="1">
      <c r="B652" s="34" t="s">
        <v>226</v>
      </c>
      <c r="C652" s="3" t="s">
        <v>225</v>
      </c>
      <c r="D652" s="36">
        <f>'Input data'!D91*'Input data'!D136+'Input data'!D92*'Input data'!D137</f>
        <v>0</v>
      </c>
      <c r="E652" s="36">
        <f>'Input data'!E91*'Input data'!E136+'Input data'!E92*'Input data'!E137</f>
        <v>0</v>
      </c>
      <c r="F652" s="36">
        <f>'Input data'!F91*'Input data'!F136+'Input data'!F92*'Input data'!F137</f>
        <v>0</v>
      </c>
      <c r="G652" s="36">
        <f>'Input data'!G91*'Input data'!G136+'Input data'!G92*'Input data'!G137</f>
        <v>0</v>
      </c>
    </row>
    <row r="653" spans="2:7" ht="14.45" customHeight="1">
      <c r="B653" s="34" t="s">
        <v>218</v>
      </c>
      <c r="C653" s="3" t="s">
        <v>14</v>
      </c>
      <c r="D653" s="36">
        <f>'Input data'!D93*'Input data'!D141+'Input data'!D94*'Input data'!D142</f>
        <v>2</v>
      </c>
      <c r="E653" s="36">
        <f>'Input data'!E93*'Input data'!E141+'Input data'!E94*'Input data'!E142</f>
        <v>1.94</v>
      </c>
      <c r="F653" s="36">
        <f>'Input data'!F93*'Input data'!F141+'Input data'!F94*'Input data'!F142</f>
        <v>1.94</v>
      </c>
      <c r="G653" s="36">
        <f>'Input data'!G93*'Input data'!G141+'Input data'!G94*'Input data'!G142</f>
        <v>1.94</v>
      </c>
    </row>
    <row r="654" spans="2:7" ht="14.45" customHeight="1">
      <c r="B654" s="34" t="s">
        <v>219</v>
      </c>
      <c r="C654" s="3" t="s">
        <v>15</v>
      </c>
      <c r="D654" s="36">
        <f>'Input data'!D95*'Input data'!D144</f>
        <v>0</v>
      </c>
      <c r="E654" s="36">
        <f>'Input data'!E95*'Input data'!E144</f>
        <v>0</v>
      </c>
      <c r="F654" s="36">
        <f>'Input data'!F95*'Input data'!F144</f>
        <v>0</v>
      </c>
      <c r="G654" s="36">
        <f>'Input data'!G95*'Input data'!G144</f>
        <v>0</v>
      </c>
    </row>
    <row r="657" spans="2:7" ht="28.9" customHeight="1">
      <c r="B657" s="31" t="s">
        <v>599</v>
      </c>
      <c r="C657" s="4"/>
      <c r="D657" s="4"/>
      <c r="E657" s="4"/>
      <c r="F657" s="4"/>
      <c r="G657" s="4"/>
    </row>
    <row r="658" spans="2:7" ht="14.45" customHeight="1">
      <c r="B658" s="35"/>
    </row>
    <row r="659" spans="2:7" ht="14.45" customHeight="1">
      <c r="B659" s="8" t="s">
        <v>1</v>
      </c>
      <c r="C659" s="8" t="s">
        <v>239</v>
      </c>
      <c r="D659" s="5"/>
      <c r="E659" s="5"/>
      <c r="F659" s="5"/>
      <c r="G659" s="5"/>
    </row>
    <row r="660" spans="2:7" ht="14.45" customHeight="1">
      <c r="B660" s="24"/>
      <c r="C660" s="24"/>
      <c r="D660" s="22" t="str">
        <f>'Input data'!D$5</f>
        <v>2023-24</v>
      </c>
      <c r="E660" s="22" t="str">
        <f>'Input data'!E$5</f>
        <v>2024-25</v>
      </c>
      <c r="F660" s="22" t="str">
        <f>'Input data'!F$5</f>
        <v>2025-26</v>
      </c>
      <c r="G660" s="22" t="str">
        <f>'Input data'!G$5</f>
        <v>2026-27</v>
      </c>
    </row>
    <row r="661" spans="2:7" ht="14.45" customHeight="1">
      <c r="B661" s="23"/>
      <c r="C661" s="23"/>
      <c r="D661" s="7"/>
      <c r="E661" s="7"/>
      <c r="F661" s="7"/>
      <c r="G661" s="7"/>
    </row>
    <row r="662" spans="2:7" ht="14.45" customHeight="1">
      <c r="B662" s="34" t="s">
        <v>226</v>
      </c>
      <c r="C662" s="3" t="s">
        <v>225</v>
      </c>
      <c r="D662" s="53">
        <f>D628*'Input data'!D$191*'Input data'!D$7/(SUMPRODUCT(D$628:D$631,D$645:D$648)+SUMPRODUCT(D$635:D$637,D$652:D$654))</f>
        <v>3.2954080048441671E-2</v>
      </c>
      <c r="E662" s="53">
        <f>E628*'Input data'!E$191*'Input data'!E$7/(SUMPRODUCT(E$628:E$631,E$645:E$648)+SUMPRODUCT(E$635:E$637,E$652:E$654))</f>
        <v>3.4453513089865273E-2</v>
      </c>
      <c r="F662" s="53">
        <f>F628*'Input data'!F$191*'Input data'!F$7/(SUMPRODUCT(F$628:F$631,F$645:F$648)+SUMPRODUCT(F$635:F$637,F$652:F$654))</f>
        <v>3.6839986548534723E-2</v>
      </c>
      <c r="G662" s="53">
        <f>G628*'Input data'!G$191*'Input data'!G$7/(SUMPRODUCT(G$628:G$631,G$645:G$648)+SUMPRODUCT(G$635:G$637,G$652:G$654))</f>
        <v>3.7654063561903033E-2</v>
      </c>
    </row>
    <row r="663" spans="2:7" ht="14.45" customHeight="1">
      <c r="B663" s="34" t="s">
        <v>218</v>
      </c>
      <c r="C663" s="3" t="s">
        <v>14</v>
      </c>
      <c r="D663" s="53">
        <f>D629*'Input data'!D$191*'Input data'!D$7/(SUMPRODUCT(D$628:D$631,D$645:D$648)+SUMPRODUCT(D$635:D$637,D$652:D$654))</f>
        <v>0</v>
      </c>
      <c r="E663" s="53">
        <f>E629*'Input data'!E$191*'Input data'!E$7/(SUMPRODUCT(E$628:E$631,E$645:E$648)+SUMPRODUCT(E$635:E$637,E$652:E$654))</f>
        <v>0</v>
      </c>
      <c r="F663" s="53">
        <f>F629*'Input data'!F$191*'Input data'!F$7/(SUMPRODUCT(F$628:F$631,F$645:F$648)+SUMPRODUCT(F$635:F$637,F$652:F$654))</f>
        <v>0</v>
      </c>
      <c r="G663" s="53">
        <f>G629*'Input data'!G$191*'Input data'!G$7/(SUMPRODUCT(G$628:G$631,G$645:G$648)+SUMPRODUCT(G$635:G$637,G$652:G$654))</f>
        <v>0</v>
      </c>
    </row>
    <row r="664" spans="2:7" ht="14.45" customHeight="1">
      <c r="B664" s="34" t="s">
        <v>219</v>
      </c>
      <c r="C664" s="3" t="s">
        <v>15</v>
      </c>
      <c r="D664" s="53">
        <f>D630*'Input data'!D$191*'Input data'!D$7/(SUMPRODUCT(D$628:D$631,D$645:D$648)+SUMPRODUCT(D$635:D$637,D$652:D$654))</f>
        <v>0</v>
      </c>
      <c r="E664" s="53">
        <f>E630*'Input data'!E$191*'Input data'!E$7/(SUMPRODUCT(E$628:E$631,E$645:E$648)+SUMPRODUCT(E$635:E$637,E$652:E$654))</f>
        <v>0</v>
      </c>
      <c r="F664" s="53">
        <f>F630*'Input data'!F$191*'Input data'!F$7/(SUMPRODUCT(F$628:F$631,F$645:F$648)+SUMPRODUCT(F$635:F$637,F$652:F$654))</f>
        <v>0</v>
      </c>
      <c r="G664" s="53">
        <f>G630*'Input data'!G$191*'Input data'!G$7/(SUMPRODUCT(G$628:G$631,G$645:G$648)+SUMPRODUCT(G$635:G$637,G$652:G$654))</f>
        <v>0</v>
      </c>
    </row>
    <row r="665" spans="2:7" ht="14.45" customHeight="1">
      <c r="B665" s="34" t="s">
        <v>228</v>
      </c>
      <c r="C665" s="3" t="s">
        <v>221</v>
      </c>
      <c r="D665" s="53">
        <f>D631*'Input data'!D$191*'Input data'!D$7/(SUMPRODUCT(D$628:D$631,D$645:D$648)+SUMPRODUCT(D$635:D$637,D$652:D$654))</f>
        <v>0.15884432461901554</v>
      </c>
      <c r="E665" s="53">
        <f>E631*'Input data'!E$191*'Input data'!E$7/(SUMPRODUCT(E$628:E$631,E$645:E$648)+SUMPRODUCT(E$635:E$637,E$652:E$654))</f>
        <v>0.16611533217762292</v>
      </c>
      <c r="F665" s="53">
        <f>F631*'Input data'!F$191*'Input data'!F$7/(SUMPRODUCT(F$628:F$631,F$645:F$648)+SUMPRODUCT(F$635:F$637,F$652:F$654))</f>
        <v>0.17704832862406325</v>
      </c>
      <c r="G665" s="53">
        <f>G631*'Input data'!G$191*'Input data'!G$7/(SUMPRODUCT(G$628:G$631,G$645:G$648)+SUMPRODUCT(G$635:G$637,G$652:G$654))</f>
        <v>0.18096584987033748</v>
      </c>
    </row>
    <row r="666" spans="2:7" ht="14.45" customHeight="1">
      <c r="B666" s="8" t="s">
        <v>1</v>
      </c>
      <c r="C666" s="8" t="s">
        <v>240</v>
      </c>
      <c r="D666" s="5"/>
      <c r="E666" s="5"/>
      <c r="F666" s="5"/>
      <c r="G666" s="5"/>
    </row>
    <row r="667" spans="2:7" ht="14.45" customHeight="1">
      <c r="B667" s="24"/>
      <c r="C667" s="24"/>
      <c r="D667" s="22" t="str">
        <f>'Input data'!D$5</f>
        <v>2023-24</v>
      </c>
      <c r="E667" s="22" t="str">
        <f>'Input data'!E$5</f>
        <v>2024-25</v>
      </c>
      <c r="F667" s="22" t="str">
        <f>'Input data'!F$5</f>
        <v>2025-26</v>
      </c>
      <c r="G667" s="22" t="str">
        <f>'Input data'!G$5</f>
        <v>2026-27</v>
      </c>
    </row>
    <row r="668" spans="2:7" ht="14.45" customHeight="1">
      <c r="B668" s="23"/>
      <c r="C668" s="23"/>
      <c r="D668" s="7"/>
      <c r="E668" s="7"/>
      <c r="F668" s="7"/>
      <c r="G668" s="7"/>
    </row>
    <row r="669" spans="2:7" ht="14.45" customHeight="1">
      <c r="B669" s="34" t="s">
        <v>226</v>
      </c>
      <c r="C669" s="3" t="s">
        <v>225</v>
      </c>
      <c r="D669" s="53">
        <f>D635*'Input data'!D$191*'Input data'!D$7/(SUMPRODUCT(D$628:D$631,D$645:D$648)+SUMPRODUCT(D$635:D$637,D$652:D$654))</f>
        <v>3.1438192366213355E-2</v>
      </c>
      <c r="E669" s="53">
        <f>E635*'Input data'!E$191*'Input data'!E$7/(SUMPRODUCT(E$628:E$631,E$645:E$648)+SUMPRODUCT(E$635:E$637,E$652:E$654))</f>
        <v>3.2868651487731465E-2</v>
      </c>
      <c r="F669" s="53">
        <f>F635*'Input data'!F$191*'Input data'!F$7/(SUMPRODUCT(F$628:F$631,F$645:F$648)+SUMPRODUCT(F$635:F$637,F$652:F$654))</f>
        <v>3.5145347167302124E-2</v>
      </c>
      <c r="G669" s="53">
        <f>G635*'Input data'!G$191*'Input data'!G$7/(SUMPRODUCT(G$628:G$631,G$645:G$648)+SUMPRODUCT(G$635:G$637,G$652:G$654))</f>
        <v>3.5921976638055492E-2</v>
      </c>
    </row>
    <row r="670" spans="2:7" ht="14.45" customHeight="1">
      <c r="B670" s="34" t="s">
        <v>218</v>
      </c>
      <c r="C670" s="3" t="s">
        <v>14</v>
      </c>
      <c r="D670" s="53">
        <f>D636*'Input data'!D$191*'Input data'!D$7/(SUMPRODUCT(D$628:D$631,D$645:D$648)+SUMPRODUCT(D$635:D$637,D$652:D$654))</f>
        <v>0</v>
      </c>
      <c r="E670" s="53">
        <f>E636*'Input data'!E$191*'Input data'!E$7/(SUMPRODUCT(E$628:E$631,E$645:E$648)+SUMPRODUCT(E$635:E$637,E$652:E$654))</f>
        <v>0</v>
      </c>
      <c r="F670" s="53">
        <f>F636*'Input data'!F$191*'Input data'!F$7/(SUMPRODUCT(F$628:F$631,F$645:F$648)+SUMPRODUCT(F$635:F$637,F$652:F$654))</f>
        <v>0</v>
      </c>
      <c r="G670" s="53">
        <f>G636*'Input data'!G$191*'Input data'!G$7/(SUMPRODUCT(G$628:G$631,G$645:G$648)+SUMPRODUCT(G$635:G$637,G$652:G$654))</f>
        <v>0</v>
      </c>
    </row>
    <row r="671" spans="2:7" ht="14.45" customHeight="1">
      <c r="B671" s="34" t="s">
        <v>219</v>
      </c>
      <c r="C671" s="3" t="s">
        <v>15</v>
      </c>
      <c r="D671" s="53">
        <f>D637*'Input data'!D$191*'Input data'!D$7/(SUMPRODUCT(D$628:D$631,D$645:D$648)+SUMPRODUCT(D$635:D$637,D$652:D$654))</f>
        <v>0</v>
      </c>
      <c r="E671" s="53">
        <f>E637*'Input data'!E$191*'Input data'!E$7/(SUMPRODUCT(E$628:E$631,E$645:E$648)+SUMPRODUCT(E$635:E$637,E$652:E$654))</f>
        <v>0</v>
      </c>
      <c r="F671" s="53">
        <f>F637*'Input data'!F$191*'Input data'!F$7/(SUMPRODUCT(F$628:F$631,F$645:F$648)+SUMPRODUCT(F$635:F$637,F$652:F$654))</f>
        <v>0</v>
      </c>
      <c r="G671" s="53">
        <f>G637*'Input data'!G$191*'Input data'!G$7/(SUMPRODUCT(G$628:G$631,G$645:G$648)+SUMPRODUCT(G$635:G$637,G$652:G$654))</f>
        <v>0</v>
      </c>
    </row>
    <row r="672" spans="2:7" ht="14.45" customHeight="1">
      <c r="B672" s="115"/>
      <c r="C672" s="116"/>
      <c r="D672" s="117"/>
      <c r="E672" s="117"/>
      <c r="F672" s="117"/>
      <c r="G672" s="117"/>
    </row>
    <row r="673" spans="2:7" ht="14.45" customHeight="1">
      <c r="B673" s="115"/>
      <c r="C673" s="116"/>
      <c r="D673" s="117"/>
      <c r="E673" s="117"/>
      <c r="F673" s="117"/>
      <c r="G673" s="117"/>
    </row>
    <row r="674" spans="2:7" ht="28.9" customHeight="1">
      <c r="B674" s="31" t="s">
        <v>613</v>
      </c>
      <c r="C674" s="4"/>
      <c r="D674" s="4"/>
      <c r="E674" s="4"/>
      <c r="F674" s="4"/>
      <c r="G674" s="4"/>
    </row>
    <row r="675" spans="2:7" ht="14.45" customHeight="1">
      <c r="B675" s="35" t="s">
        <v>566</v>
      </c>
    </row>
    <row r="676" spans="2:7" ht="14.45" customHeight="1">
      <c r="B676" s="8" t="s">
        <v>1</v>
      </c>
      <c r="C676" s="8" t="s">
        <v>239</v>
      </c>
      <c r="D676" s="5"/>
      <c r="E676" s="5"/>
      <c r="F676" s="5"/>
      <c r="G676" s="5"/>
    </row>
    <row r="677" spans="2:7" ht="14.45" customHeight="1">
      <c r="B677" s="24"/>
      <c r="C677" s="24"/>
      <c r="D677" s="22" t="str">
        <f>'Input data'!D$5</f>
        <v>2023-24</v>
      </c>
      <c r="E677" s="22" t="str">
        <f>'Input data'!E$5</f>
        <v>2024-25</v>
      </c>
      <c r="F677" s="22" t="str">
        <f>'Input data'!F$5</f>
        <v>2025-26</v>
      </c>
      <c r="G677" s="22" t="str">
        <f>'Input data'!G$5</f>
        <v>2026-27</v>
      </c>
    </row>
    <row r="678" spans="2:7" ht="14.45" customHeight="1">
      <c r="B678" s="23"/>
      <c r="C678" s="23"/>
      <c r="D678" s="7"/>
      <c r="E678" s="7"/>
      <c r="F678" s="7"/>
      <c r="G678" s="7"/>
    </row>
    <row r="679" spans="2:7" ht="14.45" customHeight="1">
      <c r="B679" s="34" t="s">
        <v>226</v>
      </c>
      <c r="C679" s="3" t="s">
        <v>225</v>
      </c>
      <c r="D679" s="53">
        <v>0</v>
      </c>
      <c r="E679" s="53">
        <v>0</v>
      </c>
      <c r="F679" s="53">
        <v>0</v>
      </c>
      <c r="G679" s="53">
        <v>0</v>
      </c>
    </row>
    <row r="680" spans="2:7" ht="14.45" customHeight="1">
      <c r="B680" s="34" t="s">
        <v>218</v>
      </c>
      <c r="C680" s="3" t="s">
        <v>14</v>
      </c>
      <c r="D680" s="53">
        <v>0</v>
      </c>
      <c r="E680" s="53">
        <v>0</v>
      </c>
      <c r="F680" s="53">
        <v>0</v>
      </c>
      <c r="G680" s="53">
        <v>0</v>
      </c>
    </row>
    <row r="681" spans="2:7" ht="14.45" customHeight="1">
      <c r="B681" s="34" t="s">
        <v>219</v>
      </c>
      <c r="C681" s="3" t="s">
        <v>15</v>
      </c>
      <c r="D681" s="53">
        <v>0</v>
      </c>
      <c r="E681" s="53">
        <v>0</v>
      </c>
      <c r="F681" s="53">
        <v>0</v>
      </c>
      <c r="G681" s="53">
        <v>0</v>
      </c>
    </row>
    <row r="682" spans="2:7" ht="14.45" customHeight="1">
      <c r="B682" s="34" t="s">
        <v>228</v>
      </c>
      <c r="C682" s="3" t="s">
        <v>221</v>
      </c>
      <c r="D682" s="53">
        <f>'Input data'!D8/D648</f>
        <v>0</v>
      </c>
      <c r="E682" s="53">
        <f>'Input data'!E8/E648</f>
        <v>0</v>
      </c>
      <c r="F682" s="53">
        <f>'Input data'!F8/F648</f>
        <v>0</v>
      </c>
      <c r="G682" s="53">
        <f>'Input data'!G8/G648</f>
        <v>0</v>
      </c>
    </row>
    <row r="683" spans="2:7" ht="14.45" customHeight="1">
      <c r="B683" s="8" t="s">
        <v>1</v>
      </c>
      <c r="C683" s="8" t="s">
        <v>240</v>
      </c>
      <c r="D683" s="5"/>
      <c r="E683" s="5"/>
      <c r="F683" s="5"/>
      <c r="G683" s="5"/>
    </row>
    <row r="684" spans="2:7" ht="14.45" customHeight="1">
      <c r="B684" s="24"/>
      <c r="C684" s="24"/>
      <c r="D684" s="22" t="str">
        <f>'Input data'!D$5</f>
        <v>2023-24</v>
      </c>
      <c r="E684" s="22" t="str">
        <f>'Input data'!E$5</f>
        <v>2024-25</v>
      </c>
      <c r="F684" s="22" t="str">
        <f>'Input data'!F$5</f>
        <v>2025-26</v>
      </c>
      <c r="G684" s="22" t="str">
        <f>'Input data'!G$5</f>
        <v>2026-27</v>
      </c>
    </row>
    <row r="685" spans="2:7" ht="14.45" customHeight="1">
      <c r="B685" s="23"/>
      <c r="C685" s="23"/>
      <c r="D685" s="7"/>
      <c r="E685" s="7"/>
      <c r="F685" s="7"/>
      <c r="G685" s="7"/>
    </row>
    <row r="686" spans="2:7" ht="14.45" customHeight="1">
      <c r="B686" s="34" t="s">
        <v>226</v>
      </c>
      <c r="C686" s="3" t="s">
        <v>225</v>
      </c>
      <c r="D686" s="53">
        <v>0</v>
      </c>
      <c r="E686" s="53">
        <v>0</v>
      </c>
      <c r="F686" s="53">
        <v>0</v>
      </c>
      <c r="G686" s="53">
        <v>0</v>
      </c>
    </row>
    <row r="687" spans="2:7" ht="14.45" customHeight="1">
      <c r="B687" s="34" t="s">
        <v>218</v>
      </c>
      <c r="C687" s="3" t="s">
        <v>14</v>
      </c>
      <c r="D687" s="53">
        <v>0</v>
      </c>
      <c r="E687" s="53">
        <v>0</v>
      </c>
      <c r="F687" s="53">
        <v>0</v>
      </c>
      <c r="G687" s="53">
        <v>0</v>
      </c>
    </row>
    <row r="688" spans="2:7" ht="14.45" customHeight="1">
      <c r="B688" s="34" t="s">
        <v>219</v>
      </c>
      <c r="C688" s="3" t="s">
        <v>15</v>
      </c>
      <c r="D688" s="53">
        <v>0</v>
      </c>
      <c r="E688" s="53">
        <v>0</v>
      </c>
      <c r="F688" s="53">
        <v>0</v>
      </c>
      <c r="G688" s="53">
        <v>0</v>
      </c>
    </row>
    <row r="691" spans="2:7" ht="28.9" customHeight="1">
      <c r="B691" s="31" t="s">
        <v>614</v>
      </c>
      <c r="C691" s="4"/>
      <c r="D691" s="4"/>
      <c r="E691" s="4"/>
      <c r="F691" s="4"/>
      <c r="G691" s="4"/>
    </row>
    <row r="692" spans="2:7" ht="14.45" customHeight="1">
      <c r="B692" s="35" t="s">
        <v>567</v>
      </c>
    </row>
    <row r="693" spans="2:7" ht="14.45" customHeight="1">
      <c r="B693" s="8" t="s">
        <v>1</v>
      </c>
      <c r="C693" s="8" t="s">
        <v>239</v>
      </c>
      <c r="D693" s="5"/>
      <c r="E693" s="5"/>
      <c r="F693" s="5"/>
      <c r="G693" s="5"/>
    </row>
    <row r="694" spans="2:7" ht="14.45" customHeight="1">
      <c r="B694" s="24"/>
      <c r="C694" s="24"/>
      <c r="D694" s="22" t="str">
        <f>'Input data'!D$5</f>
        <v>2023-24</v>
      </c>
      <c r="E694" s="22" t="str">
        <f>'Input data'!E$5</f>
        <v>2024-25</v>
      </c>
      <c r="F694" s="22" t="str">
        <f>'Input data'!F$5</f>
        <v>2025-26</v>
      </c>
      <c r="G694" s="22" t="str">
        <f>'Input data'!G$5</f>
        <v>2026-27</v>
      </c>
    </row>
    <row r="695" spans="2:7" ht="14.45" customHeight="1">
      <c r="B695" s="23"/>
      <c r="C695" s="23"/>
      <c r="D695" s="7"/>
      <c r="E695" s="7"/>
      <c r="F695" s="7"/>
      <c r="G695" s="7"/>
    </row>
    <row r="696" spans="2:7" ht="14.45" customHeight="1">
      <c r="B696" s="34" t="s">
        <v>226</v>
      </c>
      <c r="C696" s="3" t="s">
        <v>225</v>
      </c>
      <c r="D696" s="36">
        <f>D645*(D662+D679)</f>
        <v>782187.01078712672</v>
      </c>
      <c r="E696" s="36">
        <f t="shared" ref="E696:G696" si="185">E645*(E662+E679)</f>
        <v>1832433.4227198369</v>
      </c>
      <c r="F696" s="36">
        <f t="shared" si="185"/>
        <v>2878786.850032629</v>
      </c>
      <c r="G696" s="36">
        <f t="shared" si="185"/>
        <v>1062812.1267878108</v>
      </c>
    </row>
    <row r="697" spans="2:7" ht="14.45" customHeight="1">
      <c r="B697" s="34" t="s">
        <v>218</v>
      </c>
      <c r="C697" s="3" t="s">
        <v>14</v>
      </c>
      <c r="D697" s="36">
        <f t="shared" ref="D697:G697" si="186">D646*(D663+D680)</f>
        <v>0</v>
      </c>
      <c r="E697" s="36">
        <f t="shared" si="186"/>
        <v>0</v>
      </c>
      <c r="F697" s="36">
        <f t="shared" si="186"/>
        <v>0</v>
      </c>
      <c r="G697" s="36">
        <f t="shared" si="186"/>
        <v>0</v>
      </c>
    </row>
    <row r="698" spans="2:7" ht="14.45" customHeight="1">
      <c r="B698" s="34" t="s">
        <v>219</v>
      </c>
      <c r="C698" s="3" t="s">
        <v>15</v>
      </c>
      <c r="D698" s="36">
        <f t="shared" ref="D698:G698" si="187">D647*(D664+D681)</f>
        <v>0</v>
      </c>
      <c r="E698" s="36">
        <f t="shared" si="187"/>
        <v>0</v>
      </c>
      <c r="F698" s="36">
        <f t="shared" si="187"/>
        <v>0</v>
      </c>
      <c r="G698" s="36">
        <f t="shared" si="187"/>
        <v>0</v>
      </c>
    </row>
    <row r="699" spans="2:7" ht="14.45" customHeight="1">
      <c r="B699" s="34" t="s">
        <v>228</v>
      </c>
      <c r="C699" s="3" t="s">
        <v>221</v>
      </c>
      <c r="D699" s="36">
        <f t="shared" ref="D699:G699" si="188">D648*(D665+D682)</f>
        <v>50247355.296650261</v>
      </c>
      <c r="E699" s="36">
        <f t="shared" si="188"/>
        <v>52147001.980407499</v>
      </c>
      <c r="F699" s="36">
        <f t="shared" si="188"/>
        <v>47994597.246436998</v>
      </c>
      <c r="G699" s="36">
        <f t="shared" si="188"/>
        <v>59333747.23377718</v>
      </c>
    </row>
    <row r="700" spans="2:7" ht="14.45" customHeight="1">
      <c r="B700" s="8" t="s">
        <v>1</v>
      </c>
      <c r="C700" s="8" t="s">
        <v>240</v>
      </c>
      <c r="D700" s="5"/>
      <c r="E700" s="5"/>
      <c r="F700" s="5"/>
      <c r="G700" s="5"/>
    </row>
    <row r="701" spans="2:7" ht="14.45" customHeight="1">
      <c r="B701" s="24"/>
      <c r="C701" s="24"/>
      <c r="D701" s="22" t="str">
        <f>'Input data'!D$5</f>
        <v>2023-24</v>
      </c>
      <c r="E701" s="22" t="str">
        <f>'Input data'!E$5</f>
        <v>2024-25</v>
      </c>
      <c r="F701" s="22" t="str">
        <f>'Input data'!F$5</f>
        <v>2025-26</v>
      </c>
      <c r="G701" s="22" t="str">
        <f>'Input data'!G$5</f>
        <v>2026-27</v>
      </c>
    </row>
    <row r="702" spans="2:7" ht="14.45" customHeight="1">
      <c r="B702" s="23"/>
      <c r="C702" s="23"/>
      <c r="D702" s="7"/>
      <c r="E702" s="7"/>
      <c r="F702" s="7"/>
      <c r="G702" s="7"/>
    </row>
    <row r="703" spans="2:7" ht="14.45" customHeight="1">
      <c r="B703" s="34" t="s">
        <v>226</v>
      </c>
      <c r="C703" s="3" t="s">
        <v>225</v>
      </c>
      <c r="D703" s="36">
        <f t="shared" ref="D703:G703" si="189">D652*(D669+D686)</f>
        <v>0</v>
      </c>
      <c r="E703" s="36">
        <f t="shared" si="189"/>
        <v>0</v>
      </c>
      <c r="F703" s="36">
        <f t="shared" si="189"/>
        <v>0</v>
      </c>
      <c r="G703" s="36">
        <f t="shared" si="189"/>
        <v>0</v>
      </c>
    </row>
    <row r="704" spans="2:7" ht="14.45" customHeight="1">
      <c r="B704" s="34" t="s">
        <v>218</v>
      </c>
      <c r="C704" s="3" t="s">
        <v>14</v>
      </c>
      <c r="D704" s="36">
        <f t="shared" ref="D704:G704" si="190">D653*(D670+D687)</f>
        <v>0</v>
      </c>
      <c r="E704" s="36">
        <f t="shared" si="190"/>
        <v>0</v>
      </c>
      <c r="F704" s="36">
        <f t="shared" si="190"/>
        <v>0</v>
      </c>
      <c r="G704" s="36">
        <f t="shared" si="190"/>
        <v>0</v>
      </c>
    </row>
    <row r="705" spans="2:7" ht="14.45" customHeight="1">
      <c r="B705" s="34" t="s">
        <v>219</v>
      </c>
      <c r="C705" s="3" t="s">
        <v>15</v>
      </c>
      <c r="D705" s="36">
        <f t="shared" ref="D705:G705" si="191">D654*(D671+D688)</f>
        <v>0</v>
      </c>
      <c r="E705" s="36">
        <f t="shared" si="191"/>
        <v>0</v>
      </c>
      <c r="F705" s="36">
        <f t="shared" si="191"/>
        <v>0</v>
      </c>
      <c r="G705" s="36">
        <f t="shared" si="191"/>
        <v>0</v>
      </c>
    </row>
    <row r="706" spans="2:7" ht="14.45" customHeight="1">
      <c r="B706" s="20" t="s">
        <v>32</v>
      </c>
      <c r="C706" s="21"/>
      <c r="D706" s="19">
        <f t="shared" ref="D706:G706" si="192">SUM(D696:D699,D702:D705)</f>
        <v>51029542.30743739</v>
      </c>
      <c r="E706" s="19">
        <f t="shared" si="192"/>
        <v>53979435.403127335</v>
      </c>
      <c r="F706" s="19">
        <f t="shared" si="192"/>
        <v>50873384.096469626</v>
      </c>
      <c r="G706" s="19">
        <f t="shared" si="192"/>
        <v>60396559.360564992</v>
      </c>
    </row>
    <row r="707" spans="2:7" ht="14.45" customHeight="1">
      <c r="D707" s="58">
        <f>'Input data'!D191*'Input data'!D7+'Input data'!D8-D706</f>
        <v>0</v>
      </c>
      <c r="E707" s="58">
        <f>'Input data'!E191*'Input data'!E7+'Input data'!E8-E706</f>
        <v>0</v>
      </c>
      <c r="F707" s="58">
        <f>'Input data'!F191*'Input data'!F7+'Input data'!F8-F706</f>
        <v>0</v>
      </c>
      <c r="G707" s="58">
        <f>'Input data'!G191*'Input data'!G7+'Input data'!G8-G706</f>
        <v>0</v>
      </c>
    </row>
  </sheetData>
  <conditionalFormatting sqref="D707:G707">
    <cfRule type="cellIs" dxfId="40" priority="1" operator="equal">
      <formula>0</formula>
    </cfRule>
    <cfRule type="cellIs" dxfId="39" priority="2" operator="lessThan">
      <formula>0</formula>
    </cfRule>
    <cfRule type="cellIs" dxfId="38" priority="3" operator="greaterThan">
      <formula>0</formula>
    </cfRule>
  </conditionalFormatting>
  <pageMargins left="0.7" right="0.7" top="0.75" bottom="0.75" header="0.3" footer="0.3"/>
  <pageSetup orientation="portrait" r:id="rId1"/>
  <ignoredErrors>
    <ignoredError sqref="D645:G647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79998168889431442"/>
  </sheetPr>
  <dimension ref="B2:I308"/>
  <sheetViews>
    <sheetView showGridLines="0" topLeftCell="A288" zoomScale="80" zoomScaleNormal="8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60.42578125" style="1" bestFit="1" customWidth="1"/>
    <col min="4" max="7" width="11.7109375" style="1" customWidth="1"/>
    <col min="8" max="8" width="8.85546875" style="1"/>
    <col min="9" max="9" width="12" style="1" bestFit="1" customWidth="1"/>
    <col min="10" max="16384" width="8.85546875" style="1"/>
  </cols>
  <sheetData>
    <row r="2" spans="2:7" ht="28.9" customHeight="1">
      <c r="B2" s="31" t="s">
        <v>615</v>
      </c>
      <c r="C2" s="4"/>
      <c r="D2" s="4"/>
      <c r="E2" s="4"/>
      <c r="F2" s="4"/>
      <c r="G2" s="4"/>
    </row>
    <row r="3" spans="2:7" ht="14.45" customHeight="1">
      <c r="B3" s="35" t="s">
        <v>233</v>
      </c>
    </row>
    <row r="4" spans="2:7" ht="14.45" customHeight="1">
      <c r="B4" s="8" t="s">
        <v>1</v>
      </c>
      <c r="C4" s="8" t="s">
        <v>229</v>
      </c>
      <c r="D4" s="5"/>
      <c r="E4" s="5"/>
      <c r="F4" s="5"/>
      <c r="G4" s="5"/>
    </row>
    <row r="5" spans="2:7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7" ht="14.45" customHeight="1">
      <c r="B6" s="23"/>
      <c r="C6" s="23"/>
      <c r="D6" s="7"/>
      <c r="E6" s="7"/>
      <c r="F6" s="7"/>
      <c r="G6" s="7"/>
    </row>
    <row r="7" spans="2:7" ht="14.45" customHeight="1">
      <c r="B7" s="9" t="s">
        <v>8</v>
      </c>
      <c r="C7" s="3" t="s">
        <v>9</v>
      </c>
      <c r="D7" s="53">
        <f>'Exit Tariff_1'!D$583</f>
        <v>3.2447782087745271E-2</v>
      </c>
      <c r="E7" s="53">
        <f>'Exit Tariff_1'!E$583</f>
        <v>3.4138454755705552E-2</v>
      </c>
      <c r="F7" s="53">
        <f>'Exit Tariff_1'!F$583</f>
        <v>3.6445593494149005E-2</v>
      </c>
      <c r="G7" s="53">
        <f>'Exit Tariff_1'!G$583</f>
        <v>3.7383429211737915E-2</v>
      </c>
    </row>
    <row r="8" spans="2:7" ht="14.45" customHeight="1">
      <c r="B8" s="12"/>
      <c r="C8" s="3" t="s">
        <v>10</v>
      </c>
      <c r="D8" s="53">
        <f>'Exit Tariff_1'!D$583</f>
        <v>3.2447782087745271E-2</v>
      </c>
      <c r="E8" s="53">
        <f>'Exit Tariff_1'!E$583</f>
        <v>3.4138454755705552E-2</v>
      </c>
      <c r="F8" s="53">
        <f>'Exit Tariff_1'!F$583</f>
        <v>3.6445593494149005E-2</v>
      </c>
      <c r="G8" s="53">
        <f>'Exit Tariff_1'!G$583</f>
        <v>3.7383429211737915E-2</v>
      </c>
    </row>
    <row r="9" spans="2:7" ht="14.45" customHeight="1">
      <c r="B9" s="12"/>
      <c r="C9" s="3" t="s">
        <v>11</v>
      </c>
      <c r="D9" s="53">
        <f>'Exit Tariff_1'!D$583</f>
        <v>3.2447782087745271E-2</v>
      </c>
      <c r="E9" s="53">
        <f>'Exit Tariff_1'!E$583</f>
        <v>3.4138454755705552E-2</v>
      </c>
      <c r="F9" s="53">
        <f>'Exit Tariff_1'!F$583</f>
        <v>3.6445593494149005E-2</v>
      </c>
      <c r="G9" s="53">
        <f>'Exit Tariff_1'!G$583</f>
        <v>3.7383429211737915E-2</v>
      </c>
    </row>
    <row r="10" spans="2:7" ht="14.45" customHeight="1">
      <c r="B10" s="12"/>
      <c r="C10" s="3" t="s">
        <v>12</v>
      </c>
      <c r="D10" s="53">
        <f>'Exit Tariff_1'!D$583</f>
        <v>3.2447782087745271E-2</v>
      </c>
      <c r="E10" s="53">
        <f>'Exit Tariff_1'!E$583</f>
        <v>3.4138454755705552E-2</v>
      </c>
      <c r="F10" s="53">
        <f>'Exit Tariff_1'!F$583</f>
        <v>3.6445593494149005E-2</v>
      </c>
      <c r="G10" s="53">
        <f>'Exit Tariff_1'!G$583</f>
        <v>3.7383429211737915E-2</v>
      </c>
    </row>
    <row r="11" spans="2:7" ht="14.45" customHeight="1">
      <c r="B11" s="13"/>
      <c r="C11" s="3" t="s">
        <v>13</v>
      </c>
      <c r="D11" s="53">
        <f>'Exit Tariff_1'!D$583</f>
        <v>3.2447782087745271E-2</v>
      </c>
      <c r="E11" s="53">
        <f>'Exit Tariff_1'!E$583</f>
        <v>3.4138454755705552E-2</v>
      </c>
      <c r="F11" s="53">
        <f>'Exit Tariff_1'!F$583</f>
        <v>3.6445593494149005E-2</v>
      </c>
      <c r="G11" s="53">
        <f>'Exit Tariff_1'!G$583</f>
        <v>3.7383429211737915E-2</v>
      </c>
    </row>
    <row r="12" spans="2:7" ht="14.45" customHeight="1">
      <c r="B12" s="9" t="s">
        <v>14</v>
      </c>
      <c r="C12" s="3" t="s">
        <v>9</v>
      </c>
      <c r="D12" s="53">
        <f>'Exit Tariff_1'!D$584</f>
        <v>0</v>
      </c>
      <c r="E12" s="53">
        <f>'Exit Tariff_1'!E$584</f>
        <v>0</v>
      </c>
      <c r="F12" s="53">
        <f>'Exit Tariff_1'!F$584</f>
        <v>0</v>
      </c>
      <c r="G12" s="53">
        <f>'Exit Tariff_1'!G$584</f>
        <v>0</v>
      </c>
    </row>
    <row r="13" spans="2:7" ht="14.45" customHeight="1">
      <c r="B13" s="12"/>
      <c r="C13" s="3" t="s">
        <v>10</v>
      </c>
      <c r="D13" s="53">
        <f>'Exit Tariff_1'!D$584</f>
        <v>0</v>
      </c>
      <c r="E13" s="53">
        <f>'Exit Tariff_1'!E$584</f>
        <v>0</v>
      </c>
      <c r="F13" s="53">
        <f>'Exit Tariff_1'!F$584</f>
        <v>0</v>
      </c>
      <c r="G13" s="53">
        <f>'Exit Tariff_1'!G$584</f>
        <v>0</v>
      </c>
    </row>
    <row r="14" spans="2:7" ht="14.45" customHeight="1">
      <c r="B14" s="12"/>
      <c r="C14" s="3" t="s">
        <v>11</v>
      </c>
      <c r="D14" s="53">
        <f>'Exit Tariff_1'!D$584</f>
        <v>0</v>
      </c>
      <c r="E14" s="53">
        <f>'Exit Tariff_1'!E$584</f>
        <v>0</v>
      </c>
      <c r="F14" s="53">
        <f>'Exit Tariff_1'!F$584</f>
        <v>0</v>
      </c>
      <c r="G14" s="53">
        <f>'Exit Tariff_1'!G$584</f>
        <v>0</v>
      </c>
    </row>
    <row r="15" spans="2:7" ht="14.45" customHeight="1">
      <c r="B15" s="12"/>
      <c r="C15" s="3" t="s">
        <v>12</v>
      </c>
      <c r="D15" s="53">
        <f>'Exit Tariff_1'!D$584</f>
        <v>0</v>
      </c>
      <c r="E15" s="53">
        <f>'Exit Tariff_1'!E$584</f>
        <v>0</v>
      </c>
      <c r="F15" s="53">
        <f>'Exit Tariff_1'!F$584</f>
        <v>0</v>
      </c>
      <c r="G15" s="53">
        <f>'Exit Tariff_1'!G$584</f>
        <v>0</v>
      </c>
    </row>
    <row r="16" spans="2:7" ht="14.45" customHeight="1">
      <c r="B16" s="13"/>
      <c r="C16" s="3" t="s">
        <v>13</v>
      </c>
      <c r="D16" s="53">
        <f>'Exit Tariff_1'!D$584</f>
        <v>0</v>
      </c>
      <c r="E16" s="53">
        <f>'Exit Tariff_1'!E$584</f>
        <v>0</v>
      </c>
      <c r="F16" s="53">
        <f>'Exit Tariff_1'!F$584</f>
        <v>0</v>
      </c>
      <c r="G16" s="53">
        <f>'Exit Tariff_1'!G$584</f>
        <v>0</v>
      </c>
    </row>
    <row r="17" spans="2:7" ht="14.45" customHeight="1">
      <c r="B17" s="9" t="s">
        <v>15</v>
      </c>
      <c r="C17" s="3" t="s">
        <v>12</v>
      </c>
      <c r="D17" s="53">
        <f>'Exit Tariff_1'!D$585</f>
        <v>6.591930713292575E-2</v>
      </c>
      <c r="E17" s="53">
        <f>'Exit Tariff_1'!E$585</f>
        <v>6.9308347509266177E-2</v>
      </c>
      <c r="F17" s="53">
        <f>'Exit Tariff_1'!F$585</f>
        <v>7.4143465063682509E-2</v>
      </c>
      <c r="G17" s="53">
        <f>'Exit Tariff_1'!G$585</f>
        <v>7.607361093300441E-2</v>
      </c>
    </row>
    <row r="18" spans="2:7" ht="14.45" customHeight="1">
      <c r="B18" s="13"/>
      <c r="C18" s="3" t="s">
        <v>13</v>
      </c>
      <c r="D18" s="53">
        <f>'Exit Tariff_1'!D$585</f>
        <v>6.591930713292575E-2</v>
      </c>
      <c r="E18" s="53">
        <f>'Exit Tariff_1'!E$585</f>
        <v>6.9308347509266177E-2</v>
      </c>
      <c r="F18" s="53">
        <f>'Exit Tariff_1'!F$585</f>
        <v>7.4143465063682509E-2</v>
      </c>
      <c r="G18" s="53">
        <f>'Exit Tariff_1'!G$585</f>
        <v>7.607361093300441E-2</v>
      </c>
    </row>
    <row r="19" spans="2:7" ht="14.45" customHeight="1">
      <c r="B19" s="14" t="s">
        <v>17</v>
      </c>
      <c r="C19" s="3" t="s">
        <v>18</v>
      </c>
      <c r="D19" s="53">
        <f>'Exit Tariff_1'!D$586</f>
        <v>0.15640388150834197</v>
      </c>
      <c r="E19" s="53">
        <f>'Exit Tariff_1'!E$586</f>
        <v>0.16459629927964933</v>
      </c>
      <c r="F19" s="53">
        <f>'Exit Tariff_1'!F$586</f>
        <v>0.1751529253505594</v>
      </c>
      <c r="G19" s="53">
        <f>'Exit Tariff_1'!G$586</f>
        <v>0.17966517816192487</v>
      </c>
    </row>
    <row r="20" spans="2:7" ht="14.45" customHeight="1">
      <c r="B20" s="9" t="s">
        <v>19</v>
      </c>
      <c r="C20" s="3" t="s">
        <v>20</v>
      </c>
      <c r="D20" s="53">
        <f>'Exit Tariff_1'!D$586</f>
        <v>0.15640388150834197</v>
      </c>
      <c r="E20" s="53">
        <f>'Exit Tariff_1'!E$586</f>
        <v>0.16459629927964933</v>
      </c>
      <c r="F20" s="53">
        <f>'Exit Tariff_1'!F$586</f>
        <v>0.1751529253505594</v>
      </c>
      <c r="G20" s="53">
        <f>'Exit Tariff_1'!G$586</f>
        <v>0.17966517816192487</v>
      </c>
    </row>
    <row r="21" spans="2:7" ht="14.45" customHeight="1">
      <c r="B21" s="12"/>
      <c r="C21" s="3" t="s">
        <v>21</v>
      </c>
      <c r="D21" s="53">
        <f>'Exit Tariff_1'!D$586</f>
        <v>0.15640388150834197</v>
      </c>
      <c r="E21" s="53">
        <f>'Exit Tariff_1'!E$586</f>
        <v>0.16459629927964933</v>
      </c>
      <c r="F21" s="53">
        <f>'Exit Tariff_1'!F$586</f>
        <v>0.1751529253505594</v>
      </c>
      <c r="G21" s="53">
        <f>'Exit Tariff_1'!G$586</f>
        <v>0.17966517816192487</v>
      </c>
    </row>
    <row r="22" spans="2:7" ht="14.45" customHeight="1">
      <c r="B22" s="12"/>
      <c r="C22" s="3" t="s">
        <v>22</v>
      </c>
      <c r="D22" s="53">
        <f>'Exit Tariff_1'!D$586</f>
        <v>0.15640388150834197</v>
      </c>
      <c r="E22" s="53">
        <f>'Exit Tariff_1'!E$586</f>
        <v>0.16459629927964933</v>
      </c>
      <c r="F22" s="53">
        <f>'Exit Tariff_1'!F$586</f>
        <v>0.1751529253505594</v>
      </c>
      <c r="G22" s="53">
        <f>'Exit Tariff_1'!G$586</f>
        <v>0.17966517816192487</v>
      </c>
    </row>
    <row r="23" spans="2:7" ht="14.45" customHeight="1">
      <c r="B23" s="12"/>
      <c r="C23" s="3" t="s">
        <v>23</v>
      </c>
      <c r="D23" s="53">
        <f>'Exit Tariff_1'!D$586</f>
        <v>0.15640388150834197</v>
      </c>
      <c r="E23" s="53">
        <f>'Exit Tariff_1'!E$586</f>
        <v>0.16459629927964933</v>
      </c>
      <c r="F23" s="53">
        <f>'Exit Tariff_1'!F$586</f>
        <v>0.1751529253505594</v>
      </c>
      <c r="G23" s="53">
        <f>'Exit Tariff_1'!G$586</f>
        <v>0.17966517816192487</v>
      </c>
    </row>
    <row r="24" spans="2:7" ht="14.45" customHeight="1">
      <c r="B24" s="12"/>
      <c r="C24" s="3" t="s">
        <v>24</v>
      </c>
      <c r="D24" s="53">
        <f>'Exit Tariff_1'!D$586</f>
        <v>0.15640388150834197</v>
      </c>
      <c r="E24" s="53">
        <f>'Exit Tariff_1'!E$586</f>
        <v>0.16459629927964933</v>
      </c>
      <c r="F24" s="53">
        <f>'Exit Tariff_1'!F$586</f>
        <v>0.1751529253505594</v>
      </c>
      <c r="G24" s="53">
        <f>'Exit Tariff_1'!G$586</f>
        <v>0.17966517816192487</v>
      </c>
    </row>
    <row r="25" spans="2:7" ht="14.45" customHeight="1">
      <c r="B25" s="13"/>
      <c r="C25" s="3" t="s">
        <v>25</v>
      </c>
      <c r="D25" s="53">
        <f>'Exit Tariff_1'!D$586</f>
        <v>0.15640388150834197</v>
      </c>
      <c r="E25" s="53">
        <f>'Exit Tariff_1'!E$586</f>
        <v>0.16459629927964933</v>
      </c>
      <c r="F25" s="53">
        <f>'Exit Tariff_1'!F$586</f>
        <v>0.1751529253505594</v>
      </c>
      <c r="G25" s="53">
        <f>'Exit Tariff_1'!G$586</f>
        <v>0.17966517816192487</v>
      </c>
    </row>
    <row r="26" spans="2:7" ht="14.45" customHeight="1">
      <c r="B26" s="8" t="s">
        <v>1</v>
      </c>
      <c r="C26" s="8" t="s">
        <v>230</v>
      </c>
      <c r="D26" s="5"/>
      <c r="E26" s="5"/>
      <c r="F26" s="5"/>
      <c r="G26" s="5"/>
    </row>
    <row r="27" spans="2:7" ht="14.45" customHeight="1">
      <c r="B27" s="24"/>
      <c r="C27" s="24"/>
      <c r="D27" s="22" t="str">
        <f>'Input data'!D$5</f>
        <v>2023-24</v>
      </c>
      <c r="E27" s="22" t="str">
        <f>'Input data'!E$5</f>
        <v>2024-25</v>
      </c>
      <c r="F27" s="22" t="str">
        <f>'Input data'!F$5</f>
        <v>2025-26</v>
      </c>
      <c r="G27" s="22" t="str">
        <f>'Input data'!G$5</f>
        <v>2026-27</v>
      </c>
    </row>
    <row r="28" spans="2:7" ht="14.45" customHeight="1">
      <c r="B28" s="23"/>
      <c r="C28" s="23"/>
      <c r="D28" s="7"/>
      <c r="E28" s="7"/>
      <c r="F28" s="7"/>
      <c r="G28" s="7"/>
    </row>
    <row r="29" spans="2:7" ht="14.45" customHeight="1">
      <c r="B29" s="9" t="s">
        <v>8</v>
      </c>
      <c r="C29" s="3" t="s">
        <v>12</v>
      </c>
      <c r="D29" s="53">
        <f>'Exit Tariff_1'!D$583</f>
        <v>3.2447782087745271E-2</v>
      </c>
      <c r="E29" s="53">
        <f>'Exit Tariff_1'!E$583</f>
        <v>3.4138454755705552E-2</v>
      </c>
      <c r="F29" s="53">
        <f>'Exit Tariff_1'!F$583</f>
        <v>3.6445593494149005E-2</v>
      </c>
      <c r="G29" s="53">
        <f>'Exit Tariff_1'!G$583</f>
        <v>3.7383429211737915E-2</v>
      </c>
    </row>
    <row r="30" spans="2:7" ht="14.45" customHeight="1">
      <c r="B30" s="11"/>
      <c r="C30" s="3" t="s">
        <v>13</v>
      </c>
      <c r="D30" s="53">
        <f>'Exit Tariff_1'!D$583</f>
        <v>3.2447782087745271E-2</v>
      </c>
      <c r="E30" s="53">
        <f>'Exit Tariff_1'!E$583</f>
        <v>3.4138454755705552E-2</v>
      </c>
      <c r="F30" s="53">
        <f>'Exit Tariff_1'!F$583</f>
        <v>3.6445593494149005E-2</v>
      </c>
      <c r="G30" s="53">
        <f>'Exit Tariff_1'!G$583</f>
        <v>3.7383429211737915E-2</v>
      </c>
    </row>
    <row r="31" spans="2:7" ht="14.45" customHeight="1">
      <c r="B31" s="9" t="s">
        <v>14</v>
      </c>
      <c r="C31" s="3" t="s">
        <v>12</v>
      </c>
      <c r="D31" s="53">
        <f>'Exit Tariff_1'!D$584</f>
        <v>0</v>
      </c>
      <c r="E31" s="53">
        <f>'Exit Tariff_1'!E$584</f>
        <v>0</v>
      </c>
      <c r="F31" s="53">
        <f>'Exit Tariff_1'!F$584</f>
        <v>0</v>
      </c>
      <c r="G31" s="53">
        <f>'Exit Tariff_1'!G$584</f>
        <v>0</v>
      </c>
    </row>
    <row r="32" spans="2:7" ht="14.45" customHeight="1">
      <c r="B32" s="11"/>
      <c r="C32" s="3" t="s">
        <v>13</v>
      </c>
      <c r="D32" s="53">
        <f>'Exit Tariff_1'!D$584</f>
        <v>0</v>
      </c>
      <c r="E32" s="53">
        <f>'Exit Tariff_1'!E$584</f>
        <v>0</v>
      </c>
      <c r="F32" s="53">
        <f>'Exit Tariff_1'!F$584</f>
        <v>0</v>
      </c>
      <c r="G32" s="53">
        <f>'Exit Tariff_1'!G$584</f>
        <v>0</v>
      </c>
    </row>
    <row r="33" spans="2:9" ht="14.45" customHeight="1">
      <c r="B33" s="14" t="s">
        <v>15</v>
      </c>
      <c r="C33" s="3" t="s">
        <v>13</v>
      </c>
      <c r="D33" s="53">
        <f>'Exit Tariff_1'!D$585</f>
        <v>6.591930713292575E-2</v>
      </c>
      <c r="E33" s="53">
        <f>'Exit Tariff_1'!E$585</f>
        <v>6.9308347509266177E-2</v>
      </c>
      <c r="F33" s="53">
        <f>'Exit Tariff_1'!F$585</f>
        <v>7.4143465063682509E-2</v>
      </c>
      <c r="G33" s="53">
        <f>'Exit Tariff_1'!G$585</f>
        <v>7.607361093300441E-2</v>
      </c>
    </row>
    <row r="36" spans="2:9" ht="28.9" customHeight="1">
      <c r="B36" s="31" t="s">
        <v>231</v>
      </c>
      <c r="C36" s="4"/>
      <c r="D36" s="4"/>
      <c r="E36" s="4"/>
      <c r="F36" s="4"/>
      <c r="G36" s="4"/>
    </row>
    <row r="37" spans="2:9" ht="14.45" customHeight="1">
      <c r="B37" s="35"/>
    </row>
    <row r="38" spans="2:9" ht="14.45" customHeight="1">
      <c r="B38" s="8" t="s">
        <v>1</v>
      </c>
      <c r="C38" s="8" t="s">
        <v>229</v>
      </c>
      <c r="D38" s="5"/>
      <c r="E38" s="5"/>
      <c r="F38" s="5"/>
      <c r="G38" s="5"/>
    </row>
    <row r="39" spans="2:9" ht="14.45" customHeight="1">
      <c r="B39" s="24"/>
      <c r="C39" s="24"/>
      <c r="D39" s="22" t="str">
        <f>'Input data'!D$5</f>
        <v>2023-24</v>
      </c>
      <c r="E39" s="22" t="str">
        <f>'Input data'!E$5</f>
        <v>2024-25</v>
      </c>
      <c r="F39" s="22" t="str">
        <f>'Input data'!F$5</f>
        <v>2025-26</v>
      </c>
      <c r="G39" s="22" t="str">
        <f>'Input data'!G$5</f>
        <v>2026-27</v>
      </c>
    </row>
    <row r="40" spans="2:9" ht="14.45" customHeight="1">
      <c r="B40" s="23"/>
      <c r="C40" s="23"/>
      <c r="D40" s="7"/>
      <c r="E40" s="7"/>
      <c r="F40" s="7"/>
      <c r="G40" s="7"/>
    </row>
    <row r="41" spans="2:9" ht="14.45" customHeight="1">
      <c r="B41" s="9" t="s">
        <v>8</v>
      </c>
      <c r="C41" s="3" t="s">
        <v>9</v>
      </c>
      <c r="D41" s="54">
        <f>'Input data'!D133</f>
        <v>1</v>
      </c>
      <c r="E41" s="54">
        <f>'Input data'!E133</f>
        <v>1</v>
      </c>
      <c r="F41" s="54">
        <f>'Input data'!F133</f>
        <v>1</v>
      </c>
      <c r="G41" s="54">
        <f>'Input data'!G133</f>
        <v>1</v>
      </c>
      <c r="I41"/>
    </row>
    <row r="42" spans="2:9" ht="14.45" customHeight="1">
      <c r="B42" s="12"/>
      <c r="C42" s="3" t="s">
        <v>10</v>
      </c>
      <c r="D42" s="54">
        <f>'Input data'!D134</f>
        <v>1.3</v>
      </c>
      <c r="E42" s="54">
        <f>'Input data'!E134</f>
        <v>1.18</v>
      </c>
      <c r="F42" s="54">
        <f>'Input data'!F134</f>
        <v>1.18</v>
      </c>
      <c r="G42" s="54">
        <f>'Input data'!G134</f>
        <v>1.18</v>
      </c>
      <c r="I42"/>
    </row>
    <row r="43" spans="2:9" ht="14.45" customHeight="1">
      <c r="B43" s="12"/>
      <c r="C43" s="3" t="s">
        <v>11</v>
      </c>
      <c r="D43" s="54">
        <f>'Input data'!D135</f>
        <v>1.5</v>
      </c>
      <c r="E43" s="54">
        <f>'Input data'!E135</f>
        <v>1.35</v>
      </c>
      <c r="F43" s="54">
        <f>'Input data'!F135</f>
        <v>1.35</v>
      </c>
      <c r="G43" s="54">
        <f>'Input data'!G135</f>
        <v>1.35</v>
      </c>
      <c r="I43"/>
    </row>
    <row r="44" spans="2:9" ht="14.45" customHeight="1">
      <c r="B44" s="12"/>
      <c r="C44" s="3" t="s">
        <v>12</v>
      </c>
      <c r="D44" s="54">
        <f>'Input data'!D136</f>
        <v>2</v>
      </c>
      <c r="E44" s="54">
        <f>'Input data'!E136</f>
        <v>1.94</v>
      </c>
      <c r="F44" s="54">
        <f>'Input data'!F136</f>
        <v>1.94</v>
      </c>
      <c r="G44" s="54">
        <f>'Input data'!G136</f>
        <v>1.94</v>
      </c>
      <c r="I44"/>
    </row>
    <row r="45" spans="2:9" ht="14.45" customHeight="1">
      <c r="B45" s="13"/>
      <c r="C45" s="3" t="s">
        <v>13</v>
      </c>
      <c r="D45" s="54">
        <f>'Input data'!D137</f>
        <v>2.2000000000000002</v>
      </c>
      <c r="E45" s="54">
        <f>'Input data'!E137</f>
        <v>2.13</v>
      </c>
      <c r="F45" s="54">
        <f>'Input data'!F137</f>
        <v>2.13</v>
      </c>
      <c r="G45" s="54">
        <f>'Input data'!G137</f>
        <v>2.13</v>
      </c>
      <c r="I45"/>
    </row>
    <row r="46" spans="2:9" ht="14.45" customHeight="1">
      <c r="B46" s="9" t="s">
        <v>14</v>
      </c>
      <c r="C46" s="3" t="s">
        <v>9</v>
      </c>
      <c r="D46" s="54">
        <f>'Input data'!D138</f>
        <v>1</v>
      </c>
      <c r="E46" s="54">
        <f>'Input data'!E138</f>
        <v>1</v>
      </c>
      <c r="F46" s="54">
        <f>'Input data'!F138</f>
        <v>1</v>
      </c>
      <c r="G46" s="54">
        <f>'Input data'!G138</f>
        <v>1</v>
      </c>
      <c r="I46"/>
    </row>
    <row r="47" spans="2:9" ht="14.45" customHeight="1">
      <c r="B47" s="12"/>
      <c r="C47" s="3" t="s">
        <v>10</v>
      </c>
      <c r="D47" s="54">
        <f>'Input data'!D139</f>
        <v>1.3</v>
      </c>
      <c r="E47" s="54">
        <f>'Input data'!E139</f>
        <v>1.18</v>
      </c>
      <c r="F47" s="54">
        <f>'Input data'!F139</f>
        <v>1.18</v>
      </c>
      <c r="G47" s="54">
        <f>'Input data'!G139</f>
        <v>1.18</v>
      </c>
      <c r="I47"/>
    </row>
    <row r="48" spans="2:9" ht="14.45" customHeight="1">
      <c r="B48" s="12"/>
      <c r="C48" s="3" t="s">
        <v>11</v>
      </c>
      <c r="D48" s="54">
        <f>'Input data'!D140</f>
        <v>1.5</v>
      </c>
      <c r="E48" s="54">
        <f>'Input data'!E140</f>
        <v>1.35</v>
      </c>
      <c r="F48" s="54">
        <f>'Input data'!F140</f>
        <v>1.35</v>
      </c>
      <c r="G48" s="54">
        <f>'Input data'!G140</f>
        <v>1.35</v>
      </c>
      <c r="I48"/>
    </row>
    <row r="49" spans="2:9" ht="14.45" customHeight="1">
      <c r="B49" s="12"/>
      <c r="C49" s="3" t="s">
        <v>12</v>
      </c>
      <c r="D49" s="54">
        <f>'Input data'!D141</f>
        <v>2</v>
      </c>
      <c r="E49" s="54">
        <f>'Input data'!E141</f>
        <v>1.94</v>
      </c>
      <c r="F49" s="54">
        <f>'Input data'!F141</f>
        <v>1.94</v>
      </c>
      <c r="G49" s="54">
        <f>'Input data'!G141</f>
        <v>1.94</v>
      </c>
      <c r="I49"/>
    </row>
    <row r="50" spans="2:9" ht="14.45" customHeight="1">
      <c r="B50" s="13"/>
      <c r="C50" s="3" t="s">
        <v>13</v>
      </c>
      <c r="D50" s="54">
        <f>'Input data'!D142</f>
        <v>2.2000000000000002</v>
      </c>
      <c r="E50" s="54">
        <f>'Input data'!E142</f>
        <v>2.13</v>
      </c>
      <c r="F50" s="54">
        <f>'Input data'!F142</f>
        <v>2.13</v>
      </c>
      <c r="G50" s="54">
        <f>'Input data'!G142</f>
        <v>2.13</v>
      </c>
      <c r="I50"/>
    </row>
    <row r="51" spans="2:9" ht="14.45" customHeight="1">
      <c r="B51" s="9" t="s">
        <v>15</v>
      </c>
      <c r="C51" s="3" t="s">
        <v>12</v>
      </c>
      <c r="D51" s="54">
        <f>'Input data'!D143</f>
        <v>1</v>
      </c>
      <c r="E51" s="54">
        <f>'Input data'!E143</f>
        <v>1</v>
      </c>
      <c r="F51" s="54">
        <f>'Input data'!F143</f>
        <v>1</v>
      </c>
      <c r="G51" s="54">
        <f>'Input data'!G143</f>
        <v>1</v>
      </c>
      <c r="I51"/>
    </row>
    <row r="52" spans="2:9" ht="14.45" customHeight="1">
      <c r="B52" s="13"/>
      <c r="C52" s="3" t="s">
        <v>13</v>
      </c>
      <c r="D52" s="54">
        <f>'Input data'!D144</f>
        <v>1.1000000000000001</v>
      </c>
      <c r="E52" s="54">
        <f>'Input data'!E144</f>
        <v>1.1000000000000001</v>
      </c>
      <c r="F52" s="54">
        <f>'Input data'!F144</f>
        <v>1.1000000000000001</v>
      </c>
      <c r="G52" s="54">
        <f>'Input data'!G144</f>
        <v>1.1000000000000001</v>
      </c>
      <c r="I52"/>
    </row>
    <row r="53" spans="2:9" ht="14.45" customHeight="1">
      <c r="B53" s="14" t="s">
        <v>17</v>
      </c>
      <c r="C53" s="3" t="s">
        <v>18</v>
      </c>
      <c r="D53" s="54">
        <v>1</v>
      </c>
      <c r="E53" s="54">
        <v>1</v>
      </c>
      <c r="F53" s="54">
        <v>1</v>
      </c>
      <c r="G53" s="54">
        <v>1</v>
      </c>
      <c r="I53"/>
    </row>
    <row r="54" spans="2:9" ht="14.45" customHeight="1">
      <c r="B54" s="9" t="s">
        <v>19</v>
      </c>
      <c r="C54" s="3" t="s">
        <v>20</v>
      </c>
      <c r="D54" s="54">
        <v>1</v>
      </c>
      <c r="E54" s="54">
        <v>1</v>
      </c>
      <c r="F54" s="54">
        <v>1</v>
      </c>
      <c r="G54" s="54">
        <v>1</v>
      </c>
      <c r="I54"/>
    </row>
    <row r="55" spans="2:9" ht="14.45" customHeight="1">
      <c r="B55" s="12"/>
      <c r="C55" s="3" t="s">
        <v>21</v>
      </c>
      <c r="D55" s="54">
        <f>'Input data'!D145</f>
        <v>1.5</v>
      </c>
      <c r="E55" s="54">
        <f>'Input data'!E145</f>
        <v>1.5</v>
      </c>
      <c r="F55" s="54">
        <f>'Input data'!F145</f>
        <v>1.5</v>
      </c>
      <c r="G55" s="54">
        <f>'Input data'!G145</f>
        <v>1.5</v>
      </c>
      <c r="I55"/>
    </row>
    <row r="56" spans="2:9" ht="14.45" customHeight="1">
      <c r="B56" s="12"/>
      <c r="C56" s="3" t="s">
        <v>22</v>
      </c>
      <c r="D56" s="54">
        <f>'Input data'!D146</f>
        <v>3</v>
      </c>
      <c r="E56" s="54">
        <f>'Input data'!E146</f>
        <v>3</v>
      </c>
      <c r="F56" s="54">
        <f>'Input data'!F146</f>
        <v>3</v>
      </c>
      <c r="G56" s="54">
        <f>'Input data'!G146</f>
        <v>3</v>
      </c>
      <c r="I56"/>
    </row>
    <row r="57" spans="2:9" ht="14.45" customHeight="1">
      <c r="B57" s="12"/>
      <c r="C57" s="3" t="s">
        <v>23</v>
      </c>
      <c r="D57" s="54">
        <f>'Input data'!D147</f>
        <v>1.5</v>
      </c>
      <c r="E57" s="54">
        <f>'Input data'!E147</f>
        <v>1.5</v>
      </c>
      <c r="F57" s="54">
        <f>'Input data'!F147</f>
        <v>1.5</v>
      </c>
      <c r="G57" s="54">
        <f>'Input data'!G147</f>
        <v>1.5</v>
      </c>
      <c r="I57"/>
    </row>
    <row r="58" spans="2:9" ht="14.45" customHeight="1">
      <c r="B58" s="12"/>
      <c r="C58" s="3" t="s">
        <v>24</v>
      </c>
      <c r="D58" s="54">
        <f>'Input data'!D148</f>
        <v>10</v>
      </c>
      <c r="E58" s="54">
        <f>'Input data'!E148</f>
        <v>10</v>
      </c>
      <c r="F58" s="54">
        <f>'Input data'!F148</f>
        <v>10</v>
      </c>
      <c r="G58" s="54">
        <f>'Input data'!G148</f>
        <v>10</v>
      </c>
      <c r="I58"/>
    </row>
    <row r="59" spans="2:9" ht="14.45" customHeight="1">
      <c r="B59" s="13"/>
      <c r="C59" s="3" t="s">
        <v>25</v>
      </c>
      <c r="D59" s="54">
        <f>'Input data'!D149</f>
        <v>6</v>
      </c>
      <c r="E59" s="54">
        <f>'Input data'!E149</f>
        <v>6</v>
      </c>
      <c r="F59" s="54">
        <f>'Input data'!F149</f>
        <v>6</v>
      </c>
      <c r="G59" s="54">
        <f>'Input data'!G149</f>
        <v>6</v>
      </c>
      <c r="I59"/>
    </row>
    <row r="60" spans="2:9" ht="14.45" customHeight="1">
      <c r="B60" s="8" t="s">
        <v>1</v>
      </c>
      <c r="C60" s="8" t="s">
        <v>230</v>
      </c>
      <c r="D60" s="5"/>
      <c r="E60" s="5"/>
      <c r="F60" s="5"/>
      <c r="G60" s="5"/>
      <c r="I60"/>
    </row>
    <row r="61" spans="2:9" ht="14.45" customHeight="1">
      <c r="B61" s="24"/>
      <c r="C61" s="24"/>
      <c r="D61" s="22" t="str">
        <f>'Input data'!D$5</f>
        <v>2023-24</v>
      </c>
      <c r="E61" s="22" t="str">
        <f>'Input data'!E$5</f>
        <v>2024-25</v>
      </c>
      <c r="F61" s="22" t="str">
        <f>'Input data'!F$5</f>
        <v>2025-26</v>
      </c>
      <c r="G61" s="22" t="str">
        <f>'Input data'!G$5</f>
        <v>2026-27</v>
      </c>
      <c r="I61"/>
    </row>
    <row r="62" spans="2:9" ht="14.45" customHeight="1">
      <c r="B62" s="23"/>
      <c r="C62" s="23"/>
      <c r="D62" s="7"/>
      <c r="E62" s="7"/>
      <c r="F62" s="7"/>
      <c r="G62" s="7"/>
      <c r="I62"/>
    </row>
    <row r="63" spans="2:9" ht="14.45" customHeight="1">
      <c r="B63" s="9" t="s">
        <v>8</v>
      </c>
      <c r="C63" s="3" t="s">
        <v>12</v>
      </c>
      <c r="D63" s="54">
        <f>'Input data'!D136</f>
        <v>2</v>
      </c>
      <c r="E63" s="54">
        <f>'Input data'!E136</f>
        <v>1.94</v>
      </c>
      <c r="F63" s="54">
        <f>'Input data'!F136</f>
        <v>1.94</v>
      </c>
      <c r="G63" s="54">
        <f>'Input data'!G136</f>
        <v>1.94</v>
      </c>
      <c r="I63"/>
    </row>
    <row r="64" spans="2:9" ht="14.45" customHeight="1">
      <c r="B64" s="11"/>
      <c r="C64" s="3" t="s">
        <v>13</v>
      </c>
      <c r="D64" s="54">
        <f>'Input data'!D137</f>
        <v>2.2000000000000002</v>
      </c>
      <c r="E64" s="54">
        <f>'Input data'!E137</f>
        <v>2.13</v>
      </c>
      <c r="F64" s="54">
        <f>'Input data'!F137</f>
        <v>2.13</v>
      </c>
      <c r="G64" s="54">
        <f>'Input data'!G137</f>
        <v>2.13</v>
      </c>
      <c r="I64"/>
    </row>
    <row r="65" spans="2:9" ht="14.45" customHeight="1">
      <c r="B65" s="9" t="s">
        <v>14</v>
      </c>
      <c r="C65" s="3" t="s">
        <v>12</v>
      </c>
      <c r="D65" s="54">
        <f>'Input data'!D141</f>
        <v>2</v>
      </c>
      <c r="E65" s="54">
        <f>'Input data'!E141</f>
        <v>1.94</v>
      </c>
      <c r="F65" s="54">
        <f>'Input data'!F141</f>
        <v>1.94</v>
      </c>
      <c r="G65" s="54">
        <f>'Input data'!G141</f>
        <v>1.94</v>
      </c>
      <c r="I65"/>
    </row>
    <row r="66" spans="2:9" ht="14.45" customHeight="1">
      <c r="B66" s="11"/>
      <c r="C66" s="3" t="s">
        <v>13</v>
      </c>
      <c r="D66" s="54">
        <f>'Input data'!D142</f>
        <v>2.2000000000000002</v>
      </c>
      <c r="E66" s="54">
        <f>'Input data'!E142</f>
        <v>2.13</v>
      </c>
      <c r="F66" s="54">
        <f>'Input data'!F142</f>
        <v>2.13</v>
      </c>
      <c r="G66" s="54">
        <f>'Input data'!G142</f>
        <v>2.13</v>
      </c>
      <c r="I66"/>
    </row>
    <row r="67" spans="2:9" ht="14.45" customHeight="1">
      <c r="B67" s="14" t="s">
        <v>15</v>
      </c>
      <c r="C67" s="3" t="s">
        <v>13</v>
      </c>
      <c r="D67" s="54">
        <f>'Input data'!D144</f>
        <v>1.1000000000000001</v>
      </c>
      <c r="E67" s="54">
        <f>'Input data'!E144</f>
        <v>1.1000000000000001</v>
      </c>
      <c r="F67" s="54">
        <f>'Input data'!F144</f>
        <v>1.1000000000000001</v>
      </c>
      <c r="G67" s="54">
        <f>'Input data'!G144</f>
        <v>1.1000000000000001</v>
      </c>
      <c r="I67"/>
    </row>
    <row r="70" spans="2:9" ht="28.9" customHeight="1">
      <c r="B70" s="31" t="s">
        <v>232</v>
      </c>
      <c r="C70" s="4"/>
      <c r="D70" s="4"/>
      <c r="E70" s="4"/>
      <c r="F70" s="4"/>
      <c r="G70" s="4"/>
      <c r="I70"/>
    </row>
    <row r="71" spans="2:9" ht="14.45" customHeight="1">
      <c r="B71" s="35"/>
      <c r="I71"/>
    </row>
    <row r="72" spans="2:9" ht="14.45" customHeight="1">
      <c r="B72" s="8" t="s">
        <v>1</v>
      </c>
      <c r="C72" s="8" t="s">
        <v>229</v>
      </c>
      <c r="D72" s="5"/>
      <c r="E72" s="5"/>
      <c r="F72" s="5"/>
      <c r="G72" s="5"/>
      <c r="I72"/>
    </row>
    <row r="73" spans="2:9" ht="14.45" customHeight="1">
      <c r="B73" s="24"/>
      <c r="C73" s="24"/>
      <c r="D73" s="22" t="str">
        <f>'Input data'!D$5</f>
        <v>2023-24</v>
      </c>
      <c r="E73" s="22" t="str">
        <f>'Input data'!E$5</f>
        <v>2024-25</v>
      </c>
      <c r="F73" s="22" t="str">
        <f>'Input data'!F$5</f>
        <v>2025-26</v>
      </c>
      <c r="G73" s="22" t="str">
        <f>'Input data'!G$5</f>
        <v>2026-27</v>
      </c>
      <c r="I73"/>
    </row>
    <row r="74" spans="2:9" ht="14.45" customHeight="1">
      <c r="B74" s="23"/>
      <c r="C74" s="23"/>
      <c r="D74" s="7"/>
      <c r="E74" s="7"/>
      <c r="F74" s="7"/>
      <c r="G74" s="7"/>
      <c r="I74"/>
    </row>
    <row r="75" spans="2:9" ht="14.45" customHeight="1">
      <c r="B75" s="9" t="s">
        <v>8</v>
      </c>
      <c r="C75" s="3" t="s">
        <v>9</v>
      </c>
      <c r="D75" s="50">
        <f>'Exit Tariff_1'!D$611</f>
        <v>0</v>
      </c>
      <c r="E75" s="50">
        <f>'Exit Tariff_1'!E$611</f>
        <v>0</v>
      </c>
      <c r="F75" s="50">
        <f>'Exit Tariff_1'!F$611</f>
        <v>0</v>
      </c>
      <c r="G75" s="50">
        <f>'Exit Tariff_1'!G$611</f>
        <v>0</v>
      </c>
      <c r="I75"/>
    </row>
    <row r="76" spans="2:9" ht="14.45" customHeight="1">
      <c r="B76" s="12"/>
      <c r="C76" s="3" t="s">
        <v>10</v>
      </c>
      <c r="D76" s="50">
        <f>'Exit Tariff_1'!D$611</f>
        <v>0</v>
      </c>
      <c r="E76" s="50">
        <f>'Exit Tariff_1'!E$611</f>
        <v>0</v>
      </c>
      <c r="F76" s="50">
        <f>'Exit Tariff_1'!F$611</f>
        <v>0</v>
      </c>
      <c r="G76" s="50">
        <f>'Exit Tariff_1'!G$611</f>
        <v>0</v>
      </c>
      <c r="I76"/>
    </row>
    <row r="77" spans="2:9" ht="14.45" customHeight="1">
      <c r="B77" s="12"/>
      <c r="C77" s="3" t="s">
        <v>11</v>
      </c>
      <c r="D77" s="50">
        <f>'Exit Tariff_1'!D$611</f>
        <v>0</v>
      </c>
      <c r="E77" s="50">
        <f>'Exit Tariff_1'!E$611</f>
        <v>0</v>
      </c>
      <c r="F77" s="50">
        <f>'Exit Tariff_1'!F$611</f>
        <v>0</v>
      </c>
      <c r="G77" s="50">
        <f>'Exit Tariff_1'!G$611</f>
        <v>0</v>
      </c>
      <c r="I77"/>
    </row>
    <row r="78" spans="2:9" ht="14.45" customHeight="1">
      <c r="B78" s="12"/>
      <c r="C78" s="3" t="s">
        <v>12</v>
      </c>
      <c r="D78" s="50">
        <f>'Exit Tariff_1'!D$611</f>
        <v>0</v>
      </c>
      <c r="E78" s="50">
        <f>'Exit Tariff_1'!E$611</f>
        <v>0</v>
      </c>
      <c r="F78" s="50">
        <f>'Exit Tariff_1'!F$611</f>
        <v>0</v>
      </c>
      <c r="G78" s="50">
        <f>'Exit Tariff_1'!G$611</f>
        <v>0</v>
      </c>
      <c r="I78"/>
    </row>
    <row r="79" spans="2:9" ht="14.45" customHeight="1">
      <c r="B79" s="13"/>
      <c r="C79" s="3" t="s">
        <v>13</v>
      </c>
      <c r="D79" s="50">
        <f>'Exit Tariff_1'!D$611</f>
        <v>0</v>
      </c>
      <c r="E79" s="50">
        <f>'Exit Tariff_1'!E$611</f>
        <v>0</v>
      </c>
      <c r="F79" s="50">
        <f>'Exit Tariff_1'!F$611</f>
        <v>0</v>
      </c>
      <c r="G79" s="50">
        <f>'Exit Tariff_1'!G$611</f>
        <v>0</v>
      </c>
      <c r="I79"/>
    </row>
    <row r="80" spans="2:9" ht="14.45" customHeight="1">
      <c r="B80" s="9" t="s">
        <v>14</v>
      </c>
      <c r="C80" s="3" t="s">
        <v>9</v>
      </c>
      <c r="D80" s="50">
        <f>'Exit Tariff_1'!D$612</f>
        <v>0</v>
      </c>
      <c r="E80" s="50">
        <f>'Exit Tariff_1'!E$612</f>
        <v>0</v>
      </c>
      <c r="F80" s="50">
        <f>'Exit Tariff_1'!F$612</f>
        <v>0</v>
      </c>
      <c r="G80" s="50">
        <f>'Exit Tariff_1'!G$612</f>
        <v>0</v>
      </c>
      <c r="I80"/>
    </row>
    <row r="81" spans="2:9" ht="14.45" customHeight="1">
      <c r="B81" s="12"/>
      <c r="C81" s="3" t="s">
        <v>10</v>
      </c>
      <c r="D81" s="50">
        <f>'Exit Tariff_1'!D$612</f>
        <v>0</v>
      </c>
      <c r="E81" s="50">
        <f>'Exit Tariff_1'!E$612</f>
        <v>0</v>
      </c>
      <c r="F81" s="50">
        <f>'Exit Tariff_1'!F$612</f>
        <v>0</v>
      </c>
      <c r="G81" s="50">
        <f>'Exit Tariff_1'!G$612</f>
        <v>0</v>
      </c>
      <c r="I81"/>
    </row>
    <row r="82" spans="2:9" ht="14.45" customHeight="1">
      <c r="B82" s="12"/>
      <c r="C82" s="3" t="s">
        <v>11</v>
      </c>
      <c r="D82" s="50">
        <f>'Exit Tariff_1'!D$612</f>
        <v>0</v>
      </c>
      <c r="E82" s="50">
        <f>'Exit Tariff_1'!E$612</f>
        <v>0</v>
      </c>
      <c r="F82" s="50">
        <f>'Exit Tariff_1'!F$612</f>
        <v>0</v>
      </c>
      <c r="G82" s="50">
        <f>'Exit Tariff_1'!G$612</f>
        <v>0</v>
      </c>
      <c r="I82"/>
    </row>
    <row r="83" spans="2:9" ht="14.45" customHeight="1">
      <c r="B83" s="12"/>
      <c r="C83" s="3" t="s">
        <v>12</v>
      </c>
      <c r="D83" s="50">
        <f>'Exit Tariff_1'!D$612</f>
        <v>0</v>
      </c>
      <c r="E83" s="50">
        <f>'Exit Tariff_1'!E$612</f>
        <v>0</v>
      </c>
      <c r="F83" s="50">
        <f>'Exit Tariff_1'!F$612</f>
        <v>0</v>
      </c>
      <c r="G83" s="50">
        <f>'Exit Tariff_1'!G$612</f>
        <v>0</v>
      </c>
      <c r="I83"/>
    </row>
    <row r="84" spans="2:9" ht="14.45" customHeight="1">
      <c r="B84" s="13"/>
      <c r="C84" s="3" t="s">
        <v>13</v>
      </c>
      <c r="D84" s="50">
        <f>'Exit Tariff_1'!D$612</f>
        <v>0</v>
      </c>
      <c r="E84" s="50">
        <f>'Exit Tariff_1'!E$612</f>
        <v>0</v>
      </c>
      <c r="F84" s="50">
        <f>'Exit Tariff_1'!F$612</f>
        <v>0</v>
      </c>
      <c r="G84" s="50">
        <f>'Exit Tariff_1'!G$612</f>
        <v>0</v>
      </c>
      <c r="I84"/>
    </row>
    <row r="85" spans="2:9" ht="14.45" customHeight="1">
      <c r="B85" s="9" t="s">
        <v>15</v>
      </c>
      <c r="C85" s="3" t="s">
        <v>12</v>
      </c>
      <c r="D85" s="50">
        <f>'Exit Tariff_1'!D$613</f>
        <v>1</v>
      </c>
      <c r="E85" s="50">
        <f>'Exit Tariff_1'!E$613</f>
        <v>1</v>
      </c>
      <c r="F85" s="50">
        <f>'Exit Tariff_1'!F$613</f>
        <v>1</v>
      </c>
      <c r="G85" s="50">
        <f>'Exit Tariff_1'!G$613</f>
        <v>1</v>
      </c>
      <c r="I85"/>
    </row>
    <row r="86" spans="2:9" ht="14.45" customHeight="1">
      <c r="B86" s="13"/>
      <c r="C86" s="3" t="s">
        <v>13</v>
      </c>
      <c r="D86" s="50">
        <f>'Exit Tariff_1'!D$613</f>
        <v>1</v>
      </c>
      <c r="E86" s="50">
        <f>'Exit Tariff_1'!E$613</f>
        <v>1</v>
      </c>
      <c r="F86" s="50">
        <f>'Exit Tariff_1'!F$613</f>
        <v>1</v>
      </c>
      <c r="G86" s="50">
        <f>'Exit Tariff_1'!G$613</f>
        <v>1</v>
      </c>
      <c r="I86"/>
    </row>
    <row r="87" spans="2:9" ht="14.45" customHeight="1">
      <c r="B87" s="14" t="s">
        <v>17</v>
      </c>
      <c r="C87" s="3" t="s">
        <v>18</v>
      </c>
      <c r="D87" s="50">
        <f>'Exit Tariff_1'!D$614</f>
        <v>0</v>
      </c>
      <c r="E87" s="50">
        <f>'Exit Tariff_1'!E$614</f>
        <v>0</v>
      </c>
      <c r="F87" s="50">
        <f>'Exit Tariff_1'!F$614</f>
        <v>0</v>
      </c>
      <c r="G87" s="50">
        <f>'Exit Tariff_1'!G$614</f>
        <v>0</v>
      </c>
      <c r="I87"/>
    </row>
    <row r="88" spans="2:9" ht="14.45" customHeight="1">
      <c r="B88" s="9" t="s">
        <v>19</v>
      </c>
      <c r="C88" s="3" t="s">
        <v>20</v>
      </c>
      <c r="D88" s="50">
        <f>'Exit Tariff_1'!D$614</f>
        <v>0</v>
      </c>
      <c r="E88" s="50">
        <f>'Exit Tariff_1'!E$614</f>
        <v>0</v>
      </c>
      <c r="F88" s="50">
        <f>'Exit Tariff_1'!F$614</f>
        <v>0</v>
      </c>
      <c r="G88" s="50">
        <f>'Exit Tariff_1'!G$614</f>
        <v>0</v>
      </c>
      <c r="I88"/>
    </row>
    <row r="89" spans="2:9" ht="14.45" customHeight="1">
      <c r="B89" s="12"/>
      <c r="C89" s="3" t="s">
        <v>21</v>
      </c>
      <c r="D89" s="50">
        <f>'Exit Tariff_1'!D$614</f>
        <v>0</v>
      </c>
      <c r="E89" s="50">
        <f>'Exit Tariff_1'!E$614</f>
        <v>0</v>
      </c>
      <c r="F89" s="50">
        <f>'Exit Tariff_1'!F$614</f>
        <v>0</v>
      </c>
      <c r="G89" s="50">
        <f>'Exit Tariff_1'!G$614</f>
        <v>0</v>
      </c>
      <c r="I89"/>
    </row>
    <row r="90" spans="2:9" ht="14.45" customHeight="1">
      <c r="B90" s="12"/>
      <c r="C90" s="3" t="s">
        <v>22</v>
      </c>
      <c r="D90" s="50">
        <f>'Exit Tariff_1'!D$614</f>
        <v>0</v>
      </c>
      <c r="E90" s="50">
        <f>'Exit Tariff_1'!E$614</f>
        <v>0</v>
      </c>
      <c r="F90" s="50">
        <f>'Exit Tariff_1'!F$614</f>
        <v>0</v>
      </c>
      <c r="G90" s="50">
        <f>'Exit Tariff_1'!G$614</f>
        <v>0</v>
      </c>
      <c r="I90"/>
    </row>
    <row r="91" spans="2:9" ht="14.45" customHeight="1">
      <c r="B91" s="12"/>
      <c r="C91" s="3" t="s">
        <v>23</v>
      </c>
      <c r="D91" s="50">
        <f>'Exit Tariff_1'!D$614</f>
        <v>0</v>
      </c>
      <c r="E91" s="50">
        <f>'Exit Tariff_1'!E$614</f>
        <v>0</v>
      </c>
      <c r="F91" s="50">
        <f>'Exit Tariff_1'!F$614</f>
        <v>0</v>
      </c>
      <c r="G91" s="50">
        <f>'Exit Tariff_1'!G$614</f>
        <v>0</v>
      </c>
      <c r="I91"/>
    </row>
    <row r="92" spans="2:9" ht="14.45" customHeight="1">
      <c r="B92" s="12"/>
      <c r="C92" s="3" t="s">
        <v>24</v>
      </c>
      <c r="D92" s="50">
        <f>'Exit Tariff_1'!D$614</f>
        <v>0</v>
      </c>
      <c r="E92" s="50">
        <f>'Exit Tariff_1'!E$614</f>
        <v>0</v>
      </c>
      <c r="F92" s="50">
        <f>'Exit Tariff_1'!F$614</f>
        <v>0</v>
      </c>
      <c r="G92" s="50">
        <f>'Exit Tariff_1'!G$614</f>
        <v>0</v>
      </c>
      <c r="I92"/>
    </row>
    <row r="93" spans="2:9" ht="14.45" customHeight="1">
      <c r="B93" s="13"/>
      <c r="C93" s="3" t="s">
        <v>25</v>
      </c>
      <c r="D93" s="50">
        <f>'Exit Tariff_1'!D$614</f>
        <v>0</v>
      </c>
      <c r="E93" s="50">
        <f>'Exit Tariff_1'!E$614</f>
        <v>0</v>
      </c>
      <c r="F93" s="50">
        <f>'Exit Tariff_1'!F$614</f>
        <v>0</v>
      </c>
      <c r="G93" s="50">
        <f>'Exit Tariff_1'!G$614</f>
        <v>0</v>
      </c>
      <c r="I93"/>
    </row>
    <row r="94" spans="2:9" ht="14.45" customHeight="1">
      <c r="B94" s="8" t="s">
        <v>1</v>
      </c>
      <c r="C94" s="8" t="s">
        <v>230</v>
      </c>
      <c r="D94" s="5"/>
      <c r="E94" s="5"/>
      <c r="F94" s="5"/>
      <c r="G94" s="5"/>
      <c r="I94"/>
    </row>
    <row r="95" spans="2:9" ht="14.45" customHeight="1">
      <c r="B95" s="24"/>
      <c r="C95" s="24"/>
      <c r="D95" s="22" t="str">
        <f>'Input data'!D$5</f>
        <v>2023-24</v>
      </c>
      <c r="E95" s="22" t="str">
        <f>'Input data'!E$5</f>
        <v>2024-25</v>
      </c>
      <c r="F95" s="22" t="str">
        <f>'Input data'!F$5</f>
        <v>2025-26</v>
      </c>
      <c r="G95" s="22" t="str">
        <f>'Input data'!G$5</f>
        <v>2026-27</v>
      </c>
      <c r="I95"/>
    </row>
    <row r="96" spans="2:9" ht="14.45" customHeight="1">
      <c r="B96" s="23"/>
      <c r="C96" s="23"/>
      <c r="D96" s="7"/>
      <c r="E96" s="7"/>
      <c r="F96" s="7"/>
      <c r="G96" s="7"/>
      <c r="I96"/>
    </row>
    <row r="97" spans="2:9" ht="14.45" customHeight="1">
      <c r="B97" s="9" t="s">
        <v>8</v>
      </c>
      <c r="C97" s="3" t="s">
        <v>12</v>
      </c>
      <c r="D97" s="52">
        <f>'Exit Tariff_1'!D$618</f>
        <v>4.6000000000000041E-2</v>
      </c>
      <c r="E97" s="52">
        <f>'Exit Tariff_1'!E$618</f>
        <v>4.6000000000000041E-2</v>
      </c>
      <c r="F97" s="52">
        <f>'Exit Tariff_1'!F$618</f>
        <v>4.6000000000000041E-2</v>
      </c>
      <c r="G97" s="52">
        <f>'Exit Tariff_1'!G$618</f>
        <v>4.6000000000000041E-2</v>
      </c>
      <c r="I97"/>
    </row>
    <row r="98" spans="2:9" ht="14.45" customHeight="1">
      <c r="B98" s="11"/>
      <c r="C98" s="3" t="s">
        <v>13</v>
      </c>
      <c r="D98" s="52">
        <f>'Exit Tariff_1'!D$618</f>
        <v>4.6000000000000041E-2</v>
      </c>
      <c r="E98" s="52">
        <f>'Exit Tariff_1'!E$618</f>
        <v>4.6000000000000041E-2</v>
      </c>
      <c r="F98" s="52">
        <f>'Exit Tariff_1'!F$618</f>
        <v>4.6000000000000041E-2</v>
      </c>
      <c r="G98" s="52">
        <f>'Exit Tariff_1'!G$618</f>
        <v>4.6000000000000041E-2</v>
      </c>
      <c r="I98"/>
    </row>
    <row r="99" spans="2:9" ht="14.45" customHeight="1">
      <c r="B99" s="9" t="s">
        <v>14</v>
      </c>
      <c r="C99" s="3" t="s">
        <v>12</v>
      </c>
      <c r="D99" s="52">
        <f>'Exit Tariff_1'!D$619</f>
        <v>0</v>
      </c>
      <c r="E99" s="52">
        <f>'Exit Tariff_1'!E$619</f>
        <v>0</v>
      </c>
      <c r="F99" s="52">
        <f>'Exit Tariff_1'!F$619</f>
        <v>0</v>
      </c>
      <c r="G99" s="52">
        <f>'Exit Tariff_1'!G$619</f>
        <v>0</v>
      </c>
      <c r="I99"/>
    </row>
    <row r="100" spans="2:9" ht="14.45" customHeight="1">
      <c r="B100" s="11"/>
      <c r="C100" s="3" t="s">
        <v>13</v>
      </c>
      <c r="D100" s="52">
        <f>'Exit Tariff_1'!D$619</f>
        <v>0</v>
      </c>
      <c r="E100" s="52">
        <f>'Exit Tariff_1'!E$619</f>
        <v>0</v>
      </c>
      <c r="F100" s="52">
        <f>'Exit Tariff_1'!F$619</f>
        <v>0</v>
      </c>
      <c r="G100" s="52">
        <f>'Exit Tariff_1'!G$619</f>
        <v>0</v>
      </c>
      <c r="I100"/>
    </row>
    <row r="101" spans="2:9" ht="14.45" customHeight="1">
      <c r="B101" s="14" t="s">
        <v>15</v>
      </c>
      <c r="C101" s="3" t="s">
        <v>13</v>
      </c>
      <c r="D101" s="80">
        <f>'Exit Tariff_1'!D$620</f>
        <v>1</v>
      </c>
      <c r="E101" s="80">
        <f>'Exit Tariff_1'!E$620</f>
        <v>1</v>
      </c>
      <c r="F101" s="80">
        <f>'Exit Tariff_1'!F$620</f>
        <v>1</v>
      </c>
      <c r="G101" s="80">
        <f>'Exit Tariff_1'!G$620</f>
        <v>1</v>
      </c>
      <c r="I101"/>
    </row>
    <row r="104" spans="2:9" ht="28.9" customHeight="1">
      <c r="B104" s="31" t="s">
        <v>616</v>
      </c>
      <c r="C104" s="4"/>
      <c r="D104" s="4"/>
      <c r="E104" s="4"/>
      <c r="F104" s="4"/>
      <c r="G104" s="4"/>
    </row>
    <row r="105" spans="2:9" ht="14.45" customHeight="1">
      <c r="B105" s="35"/>
    </row>
    <row r="106" spans="2:9" ht="14.45" customHeight="1">
      <c r="B106" s="8" t="s">
        <v>1</v>
      </c>
      <c r="C106" s="8" t="s">
        <v>229</v>
      </c>
      <c r="D106" s="5"/>
      <c r="E106" s="5"/>
      <c r="F106" s="5"/>
      <c r="G106" s="5"/>
    </row>
    <row r="107" spans="2:9" ht="14.45" customHeight="1">
      <c r="B107" s="24"/>
      <c r="C107" s="24"/>
      <c r="D107" s="22" t="str">
        <f>'Input data'!D$5</f>
        <v>2023-24</v>
      </c>
      <c r="E107" s="22" t="str">
        <f>'Input data'!E$5</f>
        <v>2024-25</v>
      </c>
      <c r="F107" s="22" t="str">
        <f>'Input data'!F$5</f>
        <v>2025-26</v>
      </c>
      <c r="G107" s="22" t="str">
        <f>'Input data'!G$5</f>
        <v>2026-27</v>
      </c>
    </row>
    <row r="108" spans="2:9" ht="14.45" customHeight="1">
      <c r="B108" s="23"/>
      <c r="C108" s="23"/>
      <c r="D108" s="7"/>
      <c r="E108" s="7"/>
      <c r="F108" s="7"/>
      <c r="G108" s="7"/>
    </row>
    <row r="109" spans="2:9" ht="14.45" customHeight="1">
      <c r="B109" s="9" t="s">
        <v>8</v>
      </c>
      <c r="C109" s="3" t="s">
        <v>9</v>
      </c>
      <c r="D109" s="53">
        <f t="shared" ref="D109:G109" si="0">D7*D41*(1-D75)</f>
        <v>3.2447782087745271E-2</v>
      </c>
      <c r="E109" s="53">
        <f t="shared" si="0"/>
        <v>3.4138454755705552E-2</v>
      </c>
      <c r="F109" s="53">
        <f t="shared" si="0"/>
        <v>3.6445593494149005E-2</v>
      </c>
      <c r="G109" s="53">
        <f t="shared" si="0"/>
        <v>3.7383429211737915E-2</v>
      </c>
    </row>
    <row r="110" spans="2:9" ht="14.45" customHeight="1">
      <c r="B110" s="12"/>
      <c r="C110" s="3" t="s">
        <v>10</v>
      </c>
      <c r="D110" s="53">
        <f t="shared" ref="D110:G127" si="1">D8*D42*(1-D76)</f>
        <v>4.2182116714068851E-2</v>
      </c>
      <c r="E110" s="53">
        <f t="shared" si="1"/>
        <v>4.0283376611732549E-2</v>
      </c>
      <c r="F110" s="53">
        <f t="shared" si="1"/>
        <v>4.3005800323095825E-2</v>
      </c>
      <c r="G110" s="53">
        <f t="shared" si="1"/>
        <v>4.4112446469850734E-2</v>
      </c>
    </row>
    <row r="111" spans="2:9" ht="14.45" customHeight="1">
      <c r="B111" s="12"/>
      <c r="C111" s="3" t="s">
        <v>11</v>
      </c>
      <c r="D111" s="53">
        <f t="shared" si="1"/>
        <v>4.867167313161791E-2</v>
      </c>
      <c r="E111" s="53">
        <f t="shared" si="1"/>
        <v>4.6086913920202498E-2</v>
      </c>
      <c r="F111" s="53">
        <f t="shared" si="1"/>
        <v>4.920155121710116E-2</v>
      </c>
      <c r="G111" s="53">
        <f t="shared" si="1"/>
        <v>5.0467629435846185E-2</v>
      </c>
    </row>
    <row r="112" spans="2:9" ht="14.45" customHeight="1">
      <c r="B112" s="12"/>
      <c r="C112" s="3" t="s">
        <v>12</v>
      </c>
      <c r="D112" s="53">
        <f t="shared" si="1"/>
        <v>6.4895564175490542E-2</v>
      </c>
      <c r="E112" s="53">
        <f t="shared" si="1"/>
        <v>6.6228602226068772E-2</v>
      </c>
      <c r="F112" s="53">
        <f t="shared" si="1"/>
        <v>7.0704451378649072E-2</v>
      </c>
      <c r="G112" s="53">
        <f t="shared" si="1"/>
        <v>7.2523852670771549E-2</v>
      </c>
    </row>
    <row r="113" spans="2:7" ht="14.45" customHeight="1">
      <c r="B113" s="13"/>
      <c r="C113" s="3" t="s">
        <v>13</v>
      </c>
      <c r="D113" s="53">
        <f t="shared" si="1"/>
        <v>7.13851205930396E-2</v>
      </c>
      <c r="E113" s="53">
        <f t="shared" si="1"/>
        <v>7.2714908629652825E-2</v>
      </c>
      <c r="F113" s="53">
        <f t="shared" si="1"/>
        <v>7.762911414253737E-2</v>
      </c>
      <c r="G113" s="53">
        <f t="shared" si="1"/>
        <v>7.9626704221001751E-2</v>
      </c>
    </row>
    <row r="114" spans="2:7" ht="14.45" customHeight="1">
      <c r="B114" s="9" t="s">
        <v>14</v>
      </c>
      <c r="C114" s="3" t="s">
        <v>9</v>
      </c>
      <c r="D114" s="53">
        <f t="shared" si="1"/>
        <v>0</v>
      </c>
      <c r="E114" s="53">
        <f t="shared" si="1"/>
        <v>0</v>
      </c>
      <c r="F114" s="53">
        <f t="shared" si="1"/>
        <v>0</v>
      </c>
      <c r="G114" s="53">
        <f t="shared" si="1"/>
        <v>0</v>
      </c>
    </row>
    <row r="115" spans="2:7" ht="14.45" customHeight="1">
      <c r="B115" s="12"/>
      <c r="C115" s="3" t="s">
        <v>10</v>
      </c>
      <c r="D115" s="53">
        <f t="shared" si="1"/>
        <v>0</v>
      </c>
      <c r="E115" s="53">
        <f t="shared" si="1"/>
        <v>0</v>
      </c>
      <c r="F115" s="53">
        <f t="shared" si="1"/>
        <v>0</v>
      </c>
      <c r="G115" s="53">
        <f t="shared" si="1"/>
        <v>0</v>
      </c>
    </row>
    <row r="116" spans="2:7" ht="14.45" customHeight="1">
      <c r="B116" s="12"/>
      <c r="C116" s="3" t="s">
        <v>11</v>
      </c>
      <c r="D116" s="53">
        <f t="shared" si="1"/>
        <v>0</v>
      </c>
      <c r="E116" s="53">
        <f t="shared" si="1"/>
        <v>0</v>
      </c>
      <c r="F116" s="53">
        <f t="shared" si="1"/>
        <v>0</v>
      </c>
      <c r="G116" s="53">
        <f t="shared" si="1"/>
        <v>0</v>
      </c>
    </row>
    <row r="117" spans="2:7" ht="14.45" customHeight="1">
      <c r="B117" s="12"/>
      <c r="C117" s="3" t="s">
        <v>12</v>
      </c>
      <c r="D117" s="53">
        <f t="shared" si="1"/>
        <v>0</v>
      </c>
      <c r="E117" s="53">
        <f t="shared" si="1"/>
        <v>0</v>
      </c>
      <c r="F117" s="53">
        <f t="shared" si="1"/>
        <v>0</v>
      </c>
      <c r="G117" s="53">
        <f t="shared" si="1"/>
        <v>0</v>
      </c>
    </row>
    <row r="118" spans="2:7" ht="14.45" customHeight="1">
      <c r="B118" s="13"/>
      <c r="C118" s="3" t="s">
        <v>13</v>
      </c>
      <c r="D118" s="53">
        <f t="shared" si="1"/>
        <v>0</v>
      </c>
      <c r="E118" s="53">
        <f t="shared" si="1"/>
        <v>0</v>
      </c>
      <c r="F118" s="53">
        <f t="shared" si="1"/>
        <v>0</v>
      </c>
      <c r="G118" s="53">
        <f t="shared" si="1"/>
        <v>0</v>
      </c>
    </row>
    <row r="119" spans="2:7" ht="14.45" customHeight="1">
      <c r="B119" s="9" t="s">
        <v>15</v>
      </c>
      <c r="C119" s="3" t="s">
        <v>12</v>
      </c>
      <c r="D119" s="53">
        <f t="shared" si="1"/>
        <v>0</v>
      </c>
      <c r="E119" s="53">
        <f t="shared" si="1"/>
        <v>0</v>
      </c>
      <c r="F119" s="53">
        <f t="shared" si="1"/>
        <v>0</v>
      </c>
      <c r="G119" s="53">
        <f t="shared" si="1"/>
        <v>0</v>
      </c>
    </row>
    <row r="120" spans="2:7" ht="14.45" customHeight="1">
      <c r="B120" s="13"/>
      <c r="C120" s="3" t="s">
        <v>13</v>
      </c>
      <c r="D120" s="53">
        <f t="shared" si="1"/>
        <v>0</v>
      </c>
      <c r="E120" s="53">
        <f t="shared" si="1"/>
        <v>0</v>
      </c>
      <c r="F120" s="53">
        <f t="shared" si="1"/>
        <v>0</v>
      </c>
      <c r="G120" s="53">
        <f t="shared" si="1"/>
        <v>0</v>
      </c>
    </row>
    <row r="121" spans="2:7" ht="14.45" customHeight="1">
      <c r="B121" s="14" t="s">
        <v>17</v>
      </c>
      <c r="C121" s="3" t="s">
        <v>18</v>
      </c>
      <c r="D121" s="53">
        <f t="shared" si="1"/>
        <v>0.15640388150834197</v>
      </c>
      <c r="E121" s="53">
        <f t="shared" si="1"/>
        <v>0.16459629927964933</v>
      </c>
      <c r="F121" s="53">
        <f t="shared" si="1"/>
        <v>0.1751529253505594</v>
      </c>
      <c r="G121" s="53">
        <f t="shared" si="1"/>
        <v>0.17966517816192487</v>
      </c>
    </row>
    <row r="122" spans="2:7" ht="14.45" customHeight="1">
      <c r="B122" s="9" t="s">
        <v>19</v>
      </c>
      <c r="C122" s="3" t="s">
        <v>20</v>
      </c>
      <c r="D122" s="53">
        <f t="shared" si="1"/>
        <v>0.15640388150834197</v>
      </c>
      <c r="E122" s="53">
        <f t="shared" si="1"/>
        <v>0.16459629927964933</v>
      </c>
      <c r="F122" s="53">
        <f t="shared" si="1"/>
        <v>0.1751529253505594</v>
      </c>
      <c r="G122" s="53">
        <f t="shared" si="1"/>
        <v>0.17966517816192487</v>
      </c>
    </row>
    <row r="123" spans="2:7" ht="14.45" customHeight="1">
      <c r="B123" s="12"/>
      <c r="C123" s="3" t="s">
        <v>21</v>
      </c>
      <c r="D123" s="53">
        <f t="shared" si="1"/>
        <v>0.23460582226251298</v>
      </c>
      <c r="E123" s="53">
        <f t="shared" si="1"/>
        <v>0.24689444891947399</v>
      </c>
      <c r="F123" s="53">
        <f t="shared" si="1"/>
        <v>0.26272938802583912</v>
      </c>
      <c r="G123" s="53">
        <f t="shared" si="1"/>
        <v>0.26949776724288732</v>
      </c>
    </row>
    <row r="124" spans="2:7" ht="14.45" customHeight="1">
      <c r="B124" s="12"/>
      <c r="C124" s="3" t="s">
        <v>22</v>
      </c>
      <c r="D124" s="53">
        <f t="shared" si="1"/>
        <v>0.46921164452502595</v>
      </c>
      <c r="E124" s="53">
        <f t="shared" si="1"/>
        <v>0.49378889783894797</v>
      </c>
      <c r="F124" s="53">
        <f t="shared" si="1"/>
        <v>0.52545877605167823</v>
      </c>
      <c r="G124" s="53">
        <f t="shared" si="1"/>
        <v>0.53899553448577464</v>
      </c>
    </row>
    <row r="125" spans="2:7" ht="14.45" customHeight="1">
      <c r="B125" s="12"/>
      <c r="C125" s="3" t="s">
        <v>23</v>
      </c>
      <c r="D125" s="53">
        <f t="shared" si="1"/>
        <v>0.23460582226251298</v>
      </c>
      <c r="E125" s="53">
        <f t="shared" si="1"/>
        <v>0.24689444891947399</v>
      </c>
      <c r="F125" s="53">
        <f t="shared" si="1"/>
        <v>0.26272938802583912</v>
      </c>
      <c r="G125" s="53">
        <f t="shared" si="1"/>
        <v>0.26949776724288732</v>
      </c>
    </row>
    <row r="126" spans="2:7" ht="14.45" customHeight="1">
      <c r="B126" s="12"/>
      <c r="C126" s="3" t="s">
        <v>24</v>
      </c>
      <c r="D126" s="53">
        <f t="shared" si="1"/>
        <v>1.5640388150834197</v>
      </c>
      <c r="E126" s="53">
        <f t="shared" si="1"/>
        <v>1.6459629927964934</v>
      </c>
      <c r="F126" s="53">
        <f t="shared" si="1"/>
        <v>1.751529253505594</v>
      </c>
      <c r="G126" s="53">
        <f t="shared" si="1"/>
        <v>1.7966517816192487</v>
      </c>
    </row>
    <row r="127" spans="2:7" ht="14.45" customHeight="1">
      <c r="B127" s="13"/>
      <c r="C127" s="3" t="s">
        <v>25</v>
      </c>
      <c r="D127" s="53">
        <f t="shared" si="1"/>
        <v>0.9384232890500519</v>
      </c>
      <c r="E127" s="53">
        <f t="shared" si="1"/>
        <v>0.98757779567789594</v>
      </c>
      <c r="F127" s="53">
        <f t="shared" si="1"/>
        <v>1.0509175521033565</v>
      </c>
      <c r="G127" s="53">
        <f t="shared" si="1"/>
        <v>1.0779910689715493</v>
      </c>
    </row>
    <row r="128" spans="2:7" ht="14.45" customHeight="1">
      <c r="B128" s="8" t="s">
        <v>1</v>
      </c>
      <c r="C128" s="8" t="s">
        <v>230</v>
      </c>
      <c r="D128" s="5"/>
      <c r="E128" s="5"/>
      <c r="F128" s="5"/>
      <c r="G128" s="5"/>
    </row>
    <row r="129" spans="2:7" ht="14.45" customHeight="1">
      <c r="B129" s="24"/>
      <c r="C129" s="24"/>
      <c r="D129" s="22" t="str">
        <f>'Input data'!D$5</f>
        <v>2023-24</v>
      </c>
      <c r="E129" s="22" t="str">
        <f>'Input data'!E$5</f>
        <v>2024-25</v>
      </c>
      <c r="F129" s="22" t="str">
        <f>'Input data'!F$5</f>
        <v>2025-26</v>
      </c>
      <c r="G129" s="22" t="str">
        <f>'Input data'!G$5</f>
        <v>2026-27</v>
      </c>
    </row>
    <row r="130" spans="2:7" ht="14.45" customHeight="1">
      <c r="B130" s="23"/>
      <c r="C130" s="23"/>
      <c r="D130" s="7"/>
      <c r="E130" s="7"/>
      <c r="F130" s="7"/>
      <c r="G130" s="7"/>
    </row>
    <row r="131" spans="2:7" ht="14.45" customHeight="1">
      <c r="B131" s="9" t="s">
        <v>8</v>
      </c>
      <c r="C131" s="3" t="s">
        <v>12</v>
      </c>
      <c r="D131" s="53">
        <f t="shared" ref="D131:G131" si="2">D29*D63*(1-D97)</f>
        <v>6.1910368223417972E-2</v>
      </c>
      <c r="E131" s="53">
        <f t="shared" si="2"/>
        <v>6.3182086523669606E-2</v>
      </c>
      <c r="F131" s="53">
        <f t="shared" si="2"/>
        <v>6.7452046615231215E-2</v>
      </c>
      <c r="G131" s="53">
        <f t="shared" si="2"/>
        <v>6.9187755447916055E-2</v>
      </c>
    </row>
    <row r="132" spans="2:7" ht="14.45" customHeight="1">
      <c r="B132" s="11"/>
      <c r="C132" s="3" t="s">
        <v>13</v>
      </c>
      <c r="D132" s="53">
        <f t="shared" ref="D132:G135" si="3">D30*D64*(1-D98)</f>
        <v>6.8101405045759775E-2</v>
      </c>
      <c r="E132" s="53">
        <f t="shared" si="3"/>
        <v>6.9370022832688796E-2</v>
      </c>
      <c r="F132" s="53">
        <f t="shared" si="3"/>
        <v>7.4058174891980647E-2</v>
      </c>
      <c r="G132" s="53">
        <f t="shared" si="3"/>
        <v>7.596387582683567E-2</v>
      </c>
    </row>
    <row r="133" spans="2:7" ht="14.45" customHeight="1">
      <c r="B133" s="9" t="s">
        <v>14</v>
      </c>
      <c r="C133" s="3" t="s">
        <v>12</v>
      </c>
      <c r="D133" s="53">
        <f t="shared" si="3"/>
        <v>0</v>
      </c>
      <c r="E133" s="53">
        <f t="shared" si="3"/>
        <v>0</v>
      </c>
      <c r="F133" s="53">
        <f t="shared" si="3"/>
        <v>0</v>
      </c>
      <c r="G133" s="53">
        <f t="shared" si="3"/>
        <v>0</v>
      </c>
    </row>
    <row r="134" spans="2:7" ht="14.45" customHeight="1">
      <c r="B134" s="11"/>
      <c r="C134" s="3" t="s">
        <v>13</v>
      </c>
      <c r="D134" s="53">
        <f t="shared" si="3"/>
        <v>0</v>
      </c>
      <c r="E134" s="53">
        <f t="shared" si="3"/>
        <v>0</v>
      </c>
      <c r="F134" s="53">
        <f t="shared" si="3"/>
        <v>0</v>
      </c>
      <c r="G134" s="53">
        <f t="shared" si="3"/>
        <v>0</v>
      </c>
    </row>
    <row r="135" spans="2:7" ht="14.45" customHeight="1">
      <c r="B135" s="14" t="s">
        <v>15</v>
      </c>
      <c r="C135" s="3" t="s">
        <v>13</v>
      </c>
      <c r="D135" s="53">
        <f t="shared" si="3"/>
        <v>0</v>
      </c>
      <c r="E135" s="53">
        <f t="shared" si="3"/>
        <v>0</v>
      </c>
      <c r="F135" s="53">
        <f t="shared" si="3"/>
        <v>0</v>
      </c>
      <c r="G135" s="53">
        <f t="shared" si="3"/>
        <v>0</v>
      </c>
    </row>
    <row r="138" spans="2:7" ht="28.9" customHeight="1">
      <c r="B138" s="31" t="s">
        <v>617</v>
      </c>
      <c r="C138" s="4"/>
      <c r="D138" s="4"/>
      <c r="E138" s="4"/>
      <c r="F138" s="4"/>
      <c r="G138" s="4"/>
    </row>
    <row r="139" spans="2:7" ht="14.45" customHeight="1">
      <c r="B139" s="35"/>
    </row>
    <row r="140" spans="2:7" ht="14.45" customHeight="1">
      <c r="B140" s="8" t="s">
        <v>1</v>
      </c>
      <c r="C140" s="8" t="s">
        <v>229</v>
      </c>
      <c r="D140" s="5"/>
      <c r="E140" s="5"/>
      <c r="F140" s="5"/>
      <c r="G140" s="5"/>
    </row>
    <row r="141" spans="2:7" ht="14.45" customHeight="1">
      <c r="B141" s="24"/>
      <c r="C141" s="24"/>
      <c r="D141" s="22" t="str">
        <f>'Input data'!D$5</f>
        <v>2023-24</v>
      </c>
      <c r="E141" s="22" t="str">
        <f>'Input data'!E$5</f>
        <v>2024-25</v>
      </c>
      <c r="F141" s="22" t="str">
        <f>'Input data'!F$5</f>
        <v>2025-26</v>
      </c>
      <c r="G141" s="22" t="str">
        <f>'Input data'!G$5</f>
        <v>2026-27</v>
      </c>
    </row>
    <row r="142" spans="2:7" ht="14.45" customHeight="1">
      <c r="B142" s="23"/>
      <c r="C142" s="23"/>
      <c r="D142" s="7"/>
      <c r="E142" s="7"/>
      <c r="F142" s="7"/>
      <c r="G142" s="7"/>
    </row>
    <row r="143" spans="2:7" ht="14.45" customHeight="1">
      <c r="B143" s="9" t="s">
        <v>8</v>
      </c>
      <c r="C143" s="3" t="s">
        <v>9</v>
      </c>
      <c r="D143" s="36">
        <f>'Input data'!D65</f>
        <v>1994814</v>
      </c>
      <c r="E143" s="36">
        <f>'Input data'!E65</f>
        <v>0</v>
      </c>
      <c r="F143" s="36">
        <f>'Input data'!F65</f>
        <v>0</v>
      </c>
      <c r="G143" s="36">
        <f>'Input data'!G65</f>
        <v>0</v>
      </c>
    </row>
    <row r="144" spans="2:7" ht="14.45" customHeight="1">
      <c r="B144" s="12"/>
      <c r="C144" s="3" t="s">
        <v>10</v>
      </c>
      <c r="D144" s="36">
        <f>'Input data'!D66</f>
        <v>0</v>
      </c>
      <c r="E144" s="36">
        <f>'Input data'!E66</f>
        <v>0</v>
      </c>
      <c r="F144" s="36">
        <f>'Input data'!F66</f>
        <v>0</v>
      </c>
      <c r="G144" s="36">
        <f>'Input data'!G66</f>
        <v>0</v>
      </c>
    </row>
    <row r="145" spans="2:7" ht="14.45" customHeight="1">
      <c r="B145" s="12"/>
      <c r="C145" s="3" t="s">
        <v>11</v>
      </c>
      <c r="D145" s="36">
        <f>'Input data'!D67</f>
        <v>3844403.9999999995</v>
      </c>
      <c r="E145" s="36">
        <f>'Input data'!E67</f>
        <v>2561584.0000000005</v>
      </c>
      <c r="F145" s="36">
        <f>'Input data'!F67</f>
        <v>13013032</v>
      </c>
      <c r="G145" s="36">
        <f>'Input data'!G67</f>
        <v>10591008</v>
      </c>
    </row>
    <row r="146" spans="2:7" ht="14.45" customHeight="1">
      <c r="B146" s="12"/>
      <c r="C146" s="3" t="s">
        <v>12</v>
      </c>
      <c r="D146" s="36">
        <f>'Input data'!D68</f>
        <v>7164681.5342465742</v>
      </c>
      <c r="E146" s="36">
        <f>'Input data'!E68</f>
        <v>25198760.186301369</v>
      </c>
      <c r="F146" s="36">
        <f>'Input data'!F68</f>
        <v>31102189</v>
      </c>
      <c r="G146" s="36">
        <f>'Input data'!G68</f>
        <v>7155685</v>
      </c>
    </row>
    <row r="147" spans="2:7" ht="14.45" customHeight="1">
      <c r="B147" s="13"/>
      <c r="C147" s="3" t="s">
        <v>13</v>
      </c>
      <c r="D147" s="36">
        <f>'Input data'!D69</f>
        <v>747673.69315068494</v>
      </c>
      <c r="E147" s="36">
        <f>'Input data'!E69</f>
        <v>395278.85205479449</v>
      </c>
      <c r="F147" s="36">
        <f>'Input data'!F69</f>
        <v>111340</v>
      </c>
      <c r="G147" s="36">
        <f>'Input data'!G69</f>
        <v>21505</v>
      </c>
    </row>
    <row r="148" spans="2:7" ht="14.45" customHeight="1">
      <c r="B148" s="9" t="s">
        <v>14</v>
      </c>
      <c r="C148" s="3" t="s">
        <v>9</v>
      </c>
      <c r="D148" s="36">
        <f>'Input data'!D70</f>
        <v>0</v>
      </c>
      <c r="E148" s="36">
        <f>'Input data'!E70</f>
        <v>0</v>
      </c>
      <c r="F148" s="36">
        <f>'Input data'!F70</f>
        <v>0</v>
      </c>
      <c r="G148" s="36">
        <f>'Input data'!G70</f>
        <v>0</v>
      </c>
    </row>
    <row r="149" spans="2:7" ht="14.45" customHeight="1">
      <c r="B149" s="12"/>
      <c r="C149" s="3" t="s">
        <v>10</v>
      </c>
      <c r="D149" s="36">
        <f>'Input data'!D71</f>
        <v>0</v>
      </c>
      <c r="E149" s="36">
        <f>'Input data'!E71</f>
        <v>0</v>
      </c>
      <c r="F149" s="36">
        <f>'Input data'!F71</f>
        <v>0</v>
      </c>
      <c r="G149" s="36">
        <f>'Input data'!G71</f>
        <v>0</v>
      </c>
    </row>
    <row r="150" spans="2:7" ht="14.45" customHeight="1">
      <c r="B150" s="12"/>
      <c r="C150" s="3" t="s">
        <v>11</v>
      </c>
      <c r="D150" s="36">
        <f>'Input data'!D72</f>
        <v>0</v>
      </c>
      <c r="E150" s="36">
        <f>'Input data'!E72</f>
        <v>0</v>
      </c>
      <c r="F150" s="36">
        <f>'Input data'!F72</f>
        <v>0</v>
      </c>
      <c r="G150" s="36">
        <f>'Input data'!G72</f>
        <v>0</v>
      </c>
    </row>
    <row r="151" spans="2:7" ht="14.45" customHeight="1">
      <c r="B151" s="12"/>
      <c r="C151" s="3" t="s">
        <v>12</v>
      </c>
      <c r="D151" s="36">
        <f>'Input data'!D73</f>
        <v>0</v>
      </c>
      <c r="E151" s="36">
        <f>'Input data'!E73</f>
        <v>0</v>
      </c>
      <c r="F151" s="36">
        <f>'Input data'!F73</f>
        <v>0</v>
      </c>
      <c r="G151" s="36">
        <f>'Input data'!G73</f>
        <v>0</v>
      </c>
    </row>
    <row r="152" spans="2:7" ht="14.45" customHeight="1">
      <c r="B152" s="13"/>
      <c r="C152" s="3" t="s">
        <v>13</v>
      </c>
      <c r="D152" s="36">
        <f>'Input data'!D74</f>
        <v>0</v>
      </c>
      <c r="E152" s="36">
        <f>'Input data'!E74</f>
        <v>0</v>
      </c>
      <c r="F152" s="36">
        <f>'Input data'!F74</f>
        <v>0</v>
      </c>
      <c r="G152" s="36">
        <f>'Input data'!G74</f>
        <v>0</v>
      </c>
    </row>
    <row r="153" spans="2:7" ht="14.45" customHeight="1">
      <c r="B153" s="9" t="s">
        <v>15</v>
      </c>
      <c r="C153" s="3" t="s">
        <v>12</v>
      </c>
      <c r="D153" s="36">
        <f>'Input data'!D75</f>
        <v>8951694.2465753425</v>
      </c>
      <c r="E153" s="36">
        <f>'Input data'!E75</f>
        <v>6555128.6712328773</v>
      </c>
      <c r="F153" s="36">
        <f>'Input data'!F75</f>
        <v>6593617.2301879274</v>
      </c>
      <c r="G153" s="36">
        <f>'Input data'!G75</f>
        <v>4476108.8335881513</v>
      </c>
    </row>
    <row r="154" spans="2:7" ht="14.45" customHeight="1">
      <c r="B154" s="13"/>
      <c r="C154" s="3" t="s">
        <v>13</v>
      </c>
      <c r="D154" s="36">
        <f>'Input data'!D76</f>
        <v>2674277.9479452055</v>
      </c>
      <c r="E154" s="36">
        <f>'Input data'!E76</f>
        <v>515312</v>
      </c>
      <c r="F154" s="36">
        <f>'Input data'!F76</f>
        <v>683624.83242554544</v>
      </c>
      <c r="G154" s="36">
        <f>'Input data'!G76</f>
        <v>1118291.5145007165</v>
      </c>
    </row>
    <row r="155" spans="2:7" ht="14.45" customHeight="1">
      <c r="B155" s="14" t="s">
        <v>17</v>
      </c>
      <c r="C155" s="3" t="s">
        <v>18</v>
      </c>
      <c r="D155" s="36">
        <f>'Input data'!D77</f>
        <v>175449767.87513986</v>
      </c>
      <c r="E155" s="36">
        <f>'Input data'!E77</f>
        <v>165852149.48415494</v>
      </c>
      <c r="F155" s="36">
        <f>'Input data'!F77</f>
        <v>157646327.37832683</v>
      </c>
      <c r="G155" s="36">
        <f>'Input data'!G77</f>
        <v>152491321.29236305</v>
      </c>
    </row>
    <row r="156" spans="2:7" ht="14.45" customHeight="1">
      <c r="B156" s="9" t="s">
        <v>19</v>
      </c>
      <c r="C156" s="3" t="s">
        <v>20</v>
      </c>
      <c r="D156" s="36">
        <f>'Input data'!D78</f>
        <v>132905216.57454209</v>
      </c>
      <c r="E156" s="36">
        <f>'Input data'!E78</f>
        <v>146529209.96653783</v>
      </c>
      <c r="F156" s="36">
        <f>'Input data'!F78</f>
        <v>110137542.48308744</v>
      </c>
      <c r="G156" s="36">
        <f>'Input data'!G78</f>
        <v>65545994.761697069</v>
      </c>
    </row>
    <row r="157" spans="2:7" ht="14.45" customHeight="1">
      <c r="B157" s="12"/>
      <c r="C157" s="3" t="s">
        <v>21</v>
      </c>
      <c r="D157" s="36">
        <f>'Input data'!D79</f>
        <v>2812532.9945013379</v>
      </c>
      <c r="E157" s="36">
        <f>'Input data'!E79</f>
        <v>0</v>
      </c>
      <c r="F157" s="36">
        <f>'Input data'!F79</f>
        <v>0</v>
      </c>
      <c r="G157" s="36">
        <f>'Input data'!G79</f>
        <v>0</v>
      </c>
    </row>
    <row r="158" spans="2:7" ht="14.45" customHeight="1">
      <c r="B158" s="12"/>
      <c r="C158" s="3" t="s">
        <v>22</v>
      </c>
      <c r="D158" s="36">
        <f>'Input data'!D80</f>
        <v>1161559.1052387906</v>
      </c>
      <c r="E158" s="36">
        <f>'Input data'!E80</f>
        <v>342023</v>
      </c>
      <c r="F158" s="36">
        <f>'Input data'!F80</f>
        <v>732895.5</v>
      </c>
      <c r="G158" s="36">
        <f>'Input data'!G80</f>
        <v>24407845.206212893</v>
      </c>
    </row>
    <row r="159" spans="2:7" ht="14.45" customHeight="1">
      <c r="B159" s="12"/>
      <c r="C159" s="3" t="s">
        <v>23</v>
      </c>
      <c r="D159" s="36">
        <f>'Input data'!D81</f>
        <v>181571.81352116147</v>
      </c>
      <c r="E159" s="36">
        <f>'Input data'!E81</f>
        <v>342023</v>
      </c>
      <c r="F159" s="36">
        <f>'Input data'!F81</f>
        <v>732895.5</v>
      </c>
      <c r="G159" s="36">
        <f>'Input data'!G81</f>
        <v>24407845.206212893</v>
      </c>
    </row>
    <row r="160" spans="2:7" ht="14.45" customHeight="1">
      <c r="B160" s="12"/>
      <c r="C160" s="3" t="s">
        <v>24</v>
      </c>
      <c r="D160" s="36">
        <f>'Input data'!D82</f>
        <v>0</v>
      </c>
      <c r="E160" s="36">
        <f>'Input data'!E82</f>
        <v>0</v>
      </c>
      <c r="F160" s="36">
        <f>'Input data'!F82</f>
        <v>0</v>
      </c>
      <c r="G160" s="36">
        <f>'Input data'!G82</f>
        <v>0</v>
      </c>
    </row>
    <row r="161" spans="2:7" ht="14.45" customHeight="1">
      <c r="B161" s="13"/>
      <c r="C161" s="3" t="s">
        <v>25</v>
      </c>
      <c r="D161" s="36">
        <f>'Input data'!D83</f>
        <v>0</v>
      </c>
      <c r="E161" s="36">
        <f>'Input data'!E83</f>
        <v>0</v>
      </c>
      <c r="F161" s="36">
        <f>'Input data'!F83</f>
        <v>0</v>
      </c>
      <c r="G161" s="36">
        <f>'Input data'!G83</f>
        <v>0</v>
      </c>
    </row>
    <row r="162" spans="2:7" ht="14.45" customHeight="1">
      <c r="B162" s="8" t="s">
        <v>1</v>
      </c>
      <c r="C162" s="8" t="s">
        <v>230</v>
      </c>
      <c r="D162" s="5"/>
      <c r="E162" s="5"/>
      <c r="F162" s="5"/>
      <c r="G162" s="5"/>
    </row>
    <row r="163" spans="2:7" ht="14.45" customHeight="1">
      <c r="B163" s="24"/>
      <c r="C163" s="24"/>
      <c r="D163" s="22" t="str">
        <f>'Input data'!D$5</f>
        <v>2023-24</v>
      </c>
      <c r="E163" s="22" t="str">
        <f>'Input data'!E$5</f>
        <v>2024-25</v>
      </c>
      <c r="F163" s="22" t="str">
        <f>'Input data'!F$5</f>
        <v>2025-26</v>
      </c>
      <c r="G163" s="22" t="str">
        <f>'Input data'!G$5</f>
        <v>2026-27</v>
      </c>
    </row>
    <row r="164" spans="2:7" ht="14.45" customHeight="1">
      <c r="B164" s="23"/>
      <c r="C164" s="23"/>
      <c r="D164" s="7"/>
      <c r="E164" s="7"/>
      <c r="F164" s="7"/>
      <c r="G164" s="7"/>
    </row>
    <row r="165" spans="2:7" ht="14.45" customHeight="1">
      <c r="B165" s="9" t="s">
        <v>8</v>
      </c>
      <c r="C165" s="3" t="s">
        <v>12</v>
      </c>
      <c r="D165" s="36">
        <f>'Input data'!D91</f>
        <v>0</v>
      </c>
      <c r="E165" s="36">
        <f>'Input data'!E91</f>
        <v>0</v>
      </c>
      <c r="F165" s="36">
        <f>'Input data'!F91</f>
        <v>0</v>
      </c>
      <c r="G165" s="36">
        <f>'Input data'!G91</f>
        <v>0</v>
      </c>
    </row>
    <row r="166" spans="2:7" ht="14.45" customHeight="1">
      <c r="B166" s="11"/>
      <c r="C166" s="3" t="s">
        <v>13</v>
      </c>
      <c r="D166" s="36">
        <f>'Input data'!D92</f>
        <v>0</v>
      </c>
      <c r="E166" s="36">
        <f>'Input data'!E92</f>
        <v>0</v>
      </c>
      <c r="F166" s="36">
        <f>'Input data'!F92</f>
        <v>0</v>
      </c>
      <c r="G166" s="36">
        <f>'Input data'!G92</f>
        <v>0</v>
      </c>
    </row>
    <row r="167" spans="2:7" ht="14.45" customHeight="1">
      <c r="B167" s="9" t="s">
        <v>14</v>
      </c>
      <c r="C167" s="3" t="s">
        <v>12</v>
      </c>
      <c r="D167" s="36">
        <f>'Input data'!D93</f>
        <v>1</v>
      </c>
      <c r="E167" s="36">
        <f>'Input data'!E93</f>
        <v>1</v>
      </c>
      <c r="F167" s="36">
        <f>'Input data'!F93</f>
        <v>1</v>
      </c>
      <c r="G167" s="36">
        <f>'Input data'!G93</f>
        <v>1</v>
      </c>
    </row>
    <row r="168" spans="2:7" ht="14.45" customHeight="1">
      <c r="B168" s="11"/>
      <c r="C168" s="3" t="s">
        <v>13</v>
      </c>
      <c r="D168" s="36">
        <f>'Input data'!D94</f>
        <v>0</v>
      </c>
      <c r="E168" s="36">
        <f>'Input data'!E94</f>
        <v>0</v>
      </c>
      <c r="F168" s="36">
        <f>'Input data'!F94</f>
        <v>0</v>
      </c>
      <c r="G168" s="36">
        <f>'Input data'!G94</f>
        <v>0</v>
      </c>
    </row>
    <row r="169" spans="2:7" ht="14.45" customHeight="1">
      <c r="B169" s="14" t="s">
        <v>15</v>
      </c>
      <c r="C169" s="3" t="s">
        <v>13</v>
      </c>
      <c r="D169" s="36">
        <f>'Input data'!D95</f>
        <v>0</v>
      </c>
      <c r="E169" s="36">
        <f>'Input data'!E95</f>
        <v>0</v>
      </c>
      <c r="F169" s="36">
        <f>'Input data'!F95</f>
        <v>0</v>
      </c>
      <c r="G169" s="36">
        <f>'Input data'!G95</f>
        <v>0</v>
      </c>
    </row>
    <row r="172" spans="2:7" ht="28.9" customHeight="1">
      <c r="B172" s="31" t="s">
        <v>604</v>
      </c>
      <c r="C172" s="4"/>
      <c r="D172" s="4"/>
      <c r="E172" s="4"/>
      <c r="F172" s="4"/>
      <c r="G172" s="4"/>
    </row>
    <row r="173" spans="2:7" ht="14.45" customHeight="1">
      <c r="B173" s="35"/>
    </row>
    <row r="174" spans="2:7" ht="14.45" customHeight="1">
      <c r="B174" s="8" t="s">
        <v>1</v>
      </c>
      <c r="C174" s="8" t="s">
        <v>229</v>
      </c>
      <c r="D174" s="5"/>
      <c r="E174" s="5"/>
      <c r="F174" s="5"/>
      <c r="G174" s="5"/>
    </row>
    <row r="175" spans="2:7" ht="14.45" customHeight="1">
      <c r="B175" s="24"/>
      <c r="C175" s="24"/>
      <c r="D175" s="22" t="str">
        <f>'Input data'!D$5</f>
        <v>2023-24</v>
      </c>
      <c r="E175" s="22" t="str">
        <f>'Input data'!E$5</f>
        <v>2024-25</v>
      </c>
      <c r="F175" s="22" t="str">
        <f>'Input data'!F$5</f>
        <v>2025-26</v>
      </c>
      <c r="G175" s="22" t="str">
        <f>'Input data'!G$5</f>
        <v>2026-27</v>
      </c>
    </row>
    <row r="176" spans="2:7" ht="14.45" customHeight="1">
      <c r="B176" s="23"/>
      <c r="C176" s="23"/>
      <c r="D176" s="7"/>
      <c r="E176" s="7"/>
      <c r="F176" s="7"/>
      <c r="G176" s="7"/>
    </row>
    <row r="177" spans="2:7" ht="14.45" customHeight="1">
      <c r="B177" s="9" t="s">
        <v>8</v>
      </c>
      <c r="C177" s="3" t="s">
        <v>9</v>
      </c>
      <c r="D177" s="36">
        <f t="shared" ref="D177:G177" si="4">D109*D143</f>
        <v>64727.289977583496</v>
      </c>
      <c r="E177" s="36">
        <f t="shared" si="4"/>
        <v>0</v>
      </c>
      <c r="F177" s="36">
        <f t="shared" si="4"/>
        <v>0</v>
      </c>
      <c r="G177" s="36">
        <f t="shared" si="4"/>
        <v>0</v>
      </c>
    </row>
    <row r="178" spans="2:7" ht="14.45" customHeight="1">
      <c r="B178" s="12"/>
      <c r="C178" s="3" t="s">
        <v>10</v>
      </c>
      <c r="D178" s="36">
        <f t="shared" ref="D178:G195" si="5">D110*D144</f>
        <v>0</v>
      </c>
      <c r="E178" s="36">
        <f t="shared" si="5"/>
        <v>0</v>
      </c>
      <c r="F178" s="36">
        <f t="shared" si="5"/>
        <v>0</v>
      </c>
      <c r="G178" s="36">
        <f t="shared" si="5"/>
        <v>0</v>
      </c>
    </row>
    <row r="179" spans="2:7" ht="14.45" customHeight="1">
      <c r="B179" s="12"/>
      <c r="C179" s="3" t="s">
        <v>11</v>
      </c>
      <c r="D179" s="36">
        <f t="shared" si="5"/>
        <v>187113.57487388438</v>
      </c>
      <c r="E179" s="36">
        <f t="shared" si="5"/>
        <v>118055.50130736802</v>
      </c>
      <c r="F179" s="36">
        <f t="shared" si="5"/>
        <v>640261.36043777631</v>
      </c>
      <c r="G179" s="36">
        <f t="shared" si="5"/>
        <v>534503.06709608249</v>
      </c>
    </row>
    <row r="180" spans="2:7" ht="14.45" customHeight="1">
      <c r="B180" s="12"/>
      <c r="C180" s="3" t="s">
        <v>12</v>
      </c>
      <c r="D180" s="36">
        <f t="shared" si="5"/>
        <v>464956.0503026506</v>
      </c>
      <c r="E180" s="36">
        <f t="shared" si="5"/>
        <v>1668878.664968652</v>
      </c>
      <c r="F180" s="36">
        <f t="shared" si="5"/>
        <v>2199063.2099200538</v>
      </c>
      <c r="G180" s="36">
        <f t="shared" si="5"/>
        <v>518957.84469844989</v>
      </c>
    </row>
    <row r="181" spans="2:7" ht="14.45" customHeight="1">
      <c r="B181" s="13"/>
      <c r="C181" s="3" t="s">
        <v>13</v>
      </c>
      <c r="D181" s="36">
        <f t="shared" si="5"/>
        <v>53372.776749804929</v>
      </c>
      <c r="E181" s="36">
        <f t="shared" si="5"/>
        <v>28742.665610398439</v>
      </c>
      <c r="F181" s="36">
        <f t="shared" si="5"/>
        <v>8643.2255686301105</v>
      </c>
      <c r="G181" s="36">
        <f t="shared" si="5"/>
        <v>1712.3722742726427</v>
      </c>
    </row>
    <row r="182" spans="2:7" ht="14.45" customHeight="1">
      <c r="B182" s="9" t="s">
        <v>14</v>
      </c>
      <c r="C182" s="3" t="s">
        <v>9</v>
      </c>
      <c r="D182" s="36">
        <f t="shared" si="5"/>
        <v>0</v>
      </c>
      <c r="E182" s="36">
        <f t="shared" si="5"/>
        <v>0</v>
      </c>
      <c r="F182" s="36">
        <f t="shared" si="5"/>
        <v>0</v>
      </c>
      <c r="G182" s="36">
        <f t="shared" si="5"/>
        <v>0</v>
      </c>
    </row>
    <row r="183" spans="2:7" ht="14.45" customHeight="1">
      <c r="B183" s="12"/>
      <c r="C183" s="3" t="s">
        <v>10</v>
      </c>
      <c r="D183" s="36">
        <f t="shared" si="5"/>
        <v>0</v>
      </c>
      <c r="E183" s="36">
        <f t="shared" si="5"/>
        <v>0</v>
      </c>
      <c r="F183" s="36">
        <f t="shared" si="5"/>
        <v>0</v>
      </c>
      <c r="G183" s="36">
        <f t="shared" si="5"/>
        <v>0</v>
      </c>
    </row>
    <row r="184" spans="2:7" ht="14.45" customHeight="1">
      <c r="B184" s="12"/>
      <c r="C184" s="3" t="s">
        <v>11</v>
      </c>
      <c r="D184" s="36">
        <f t="shared" si="5"/>
        <v>0</v>
      </c>
      <c r="E184" s="36">
        <f t="shared" si="5"/>
        <v>0</v>
      </c>
      <c r="F184" s="36">
        <f t="shared" si="5"/>
        <v>0</v>
      </c>
      <c r="G184" s="36">
        <f t="shared" si="5"/>
        <v>0</v>
      </c>
    </row>
    <row r="185" spans="2:7" ht="14.45" customHeight="1">
      <c r="B185" s="12"/>
      <c r="C185" s="3" t="s">
        <v>12</v>
      </c>
      <c r="D185" s="36">
        <f t="shared" si="5"/>
        <v>0</v>
      </c>
      <c r="E185" s="36">
        <f t="shared" si="5"/>
        <v>0</v>
      </c>
      <c r="F185" s="36">
        <f t="shared" si="5"/>
        <v>0</v>
      </c>
      <c r="G185" s="36">
        <f t="shared" si="5"/>
        <v>0</v>
      </c>
    </row>
    <row r="186" spans="2:7" ht="14.45" customHeight="1">
      <c r="B186" s="13"/>
      <c r="C186" s="3" t="s">
        <v>13</v>
      </c>
      <c r="D186" s="36">
        <f t="shared" si="5"/>
        <v>0</v>
      </c>
      <c r="E186" s="36">
        <f t="shared" si="5"/>
        <v>0</v>
      </c>
      <c r="F186" s="36">
        <f t="shared" si="5"/>
        <v>0</v>
      </c>
      <c r="G186" s="36">
        <f t="shared" si="5"/>
        <v>0</v>
      </c>
    </row>
    <row r="187" spans="2:7" ht="14.45" customHeight="1">
      <c r="B187" s="9" t="s">
        <v>15</v>
      </c>
      <c r="C187" s="3" t="s">
        <v>12</v>
      </c>
      <c r="D187" s="36">
        <f t="shared" si="5"/>
        <v>0</v>
      </c>
      <c r="E187" s="36">
        <f t="shared" si="5"/>
        <v>0</v>
      </c>
      <c r="F187" s="36">
        <f t="shared" si="5"/>
        <v>0</v>
      </c>
      <c r="G187" s="36">
        <f t="shared" si="5"/>
        <v>0</v>
      </c>
    </row>
    <row r="188" spans="2:7" ht="14.45" customHeight="1">
      <c r="B188" s="13"/>
      <c r="C188" s="3" t="s">
        <v>13</v>
      </c>
      <c r="D188" s="36">
        <f t="shared" si="5"/>
        <v>0</v>
      </c>
      <c r="E188" s="36">
        <f t="shared" si="5"/>
        <v>0</v>
      </c>
      <c r="F188" s="36">
        <f t="shared" si="5"/>
        <v>0</v>
      </c>
      <c r="G188" s="36">
        <f t="shared" si="5"/>
        <v>0</v>
      </c>
    </row>
    <row r="189" spans="2:7" ht="14.45" customHeight="1">
      <c r="B189" s="14" t="s">
        <v>17</v>
      </c>
      <c r="C189" s="3" t="s">
        <v>18</v>
      </c>
      <c r="D189" s="36">
        <f t="shared" si="5"/>
        <v>27441024.705409478</v>
      </c>
      <c r="E189" s="36">
        <f t="shared" si="5"/>
        <v>27298650.032667104</v>
      </c>
      <c r="F189" s="36">
        <f t="shared" si="5"/>
        <v>27612215.41108593</v>
      </c>
      <c r="G189" s="36">
        <f t="shared" si="5"/>
        <v>27397380.408139735</v>
      </c>
    </row>
    <row r="190" spans="2:7" ht="14.45" customHeight="1">
      <c r="B190" s="9" t="s">
        <v>19</v>
      </c>
      <c r="C190" s="3" t="s">
        <v>20</v>
      </c>
      <c r="D190" s="36">
        <f t="shared" si="5"/>
        <v>20786891.744965211</v>
      </c>
      <c r="E190" s="36">
        <f t="shared" si="5"/>
        <v>24118165.696862835</v>
      </c>
      <c r="F190" s="36">
        <f t="shared" si="5"/>
        <v>19290912.75683428</v>
      </c>
      <c r="G190" s="36">
        <f t="shared" si="5"/>
        <v>11776332.826660898</v>
      </c>
    </row>
    <row r="191" spans="2:7" ht="14.45" customHeight="1">
      <c r="B191" s="12"/>
      <c r="C191" s="3" t="s">
        <v>21</v>
      </c>
      <c r="D191" s="36">
        <f t="shared" si="5"/>
        <v>659836.61581543426</v>
      </c>
      <c r="E191" s="36">
        <f t="shared" si="5"/>
        <v>0</v>
      </c>
      <c r="F191" s="36">
        <f t="shared" si="5"/>
        <v>0</v>
      </c>
      <c r="G191" s="36">
        <f t="shared" si="5"/>
        <v>0</v>
      </c>
    </row>
    <row r="192" spans="2:7" ht="14.45" customHeight="1">
      <c r="B192" s="12"/>
      <c r="C192" s="3" t="s">
        <v>22</v>
      </c>
      <c r="D192" s="36">
        <f t="shared" si="5"/>
        <v>545017.05798211065</v>
      </c>
      <c r="E192" s="36">
        <f t="shared" si="5"/>
        <v>168887.16020557052</v>
      </c>
      <c r="F192" s="36">
        <f t="shared" si="5"/>
        <v>385106.37240378273</v>
      </c>
      <c r="G192" s="36">
        <f t="shared" si="5"/>
        <v>13155719.57256877</v>
      </c>
    </row>
    <row r="193" spans="2:7" ht="14.45" customHeight="1">
      <c r="B193" s="12"/>
      <c r="C193" s="3" t="s">
        <v>23</v>
      </c>
      <c r="D193" s="36">
        <f t="shared" si="5"/>
        <v>42597.804610827756</v>
      </c>
      <c r="E193" s="36">
        <f t="shared" si="5"/>
        <v>84443.580102785258</v>
      </c>
      <c r="F193" s="36">
        <f t="shared" si="5"/>
        <v>192553.18620189137</v>
      </c>
      <c r="G193" s="36">
        <f t="shared" si="5"/>
        <v>6577859.7862843852</v>
      </c>
    </row>
    <row r="194" spans="2:7" ht="14.45" customHeight="1">
      <c r="B194" s="12"/>
      <c r="C194" s="3" t="s">
        <v>24</v>
      </c>
      <c r="D194" s="36">
        <f t="shared" si="5"/>
        <v>0</v>
      </c>
      <c r="E194" s="36">
        <f t="shared" si="5"/>
        <v>0</v>
      </c>
      <c r="F194" s="36">
        <f t="shared" si="5"/>
        <v>0</v>
      </c>
      <c r="G194" s="36">
        <f t="shared" si="5"/>
        <v>0</v>
      </c>
    </row>
    <row r="195" spans="2:7" ht="14.45" customHeight="1">
      <c r="B195" s="13"/>
      <c r="C195" s="3" t="s">
        <v>25</v>
      </c>
      <c r="D195" s="36">
        <f t="shared" si="5"/>
        <v>0</v>
      </c>
      <c r="E195" s="36">
        <f t="shared" si="5"/>
        <v>0</v>
      </c>
      <c r="F195" s="36">
        <f t="shared" si="5"/>
        <v>0</v>
      </c>
      <c r="G195" s="36">
        <f t="shared" si="5"/>
        <v>0</v>
      </c>
    </row>
    <row r="196" spans="2:7" ht="14.45" customHeight="1">
      <c r="B196" s="8" t="s">
        <v>1</v>
      </c>
      <c r="C196" s="8" t="s">
        <v>230</v>
      </c>
      <c r="D196" s="5"/>
      <c r="E196" s="5"/>
      <c r="F196" s="5"/>
      <c r="G196" s="5"/>
    </row>
    <row r="197" spans="2:7" ht="14.45" customHeight="1">
      <c r="B197" s="24"/>
      <c r="C197" s="24"/>
      <c r="D197" s="22" t="str">
        <f>'Input data'!D$5</f>
        <v>2023-24</v>
      </c>
      <c r="E197" s="22" t="str">
        <f>'Input data'!E$5</f>
        <v>2024-25</v>
      </c>
      <c r="F197" s="22" t="str">
        <f>'Input data'!F$5</f>
        <v>2025-26</v>
      </c>
      <c r="G197" s="22" t="str">
        <f>'Input data'!G$5</f>
        <v>2026-27</v>
      </c>
    </row>
    <row r="198" spans="2:7" ht="14.45" customHeight="1">
      <c r="B198" s="23"/>
      <c r="C198" s="23"/>
      <c r="D198" s="7"/>
      <c r="E198" s="7"/>
      <c r="F198" s="7"/>
      <c r="G198" s="7"/>
    </row>
    <row r="199" spans="2:7" ht="14.45" customHeight="1">
      <c r="B199" s="9" t="s">
        <v>8</v>
      </c>
      <c r="C199" s="3" t="s">
        <v>12</v>
      </c>
      <c r="D199" s="36">
        <f t="shared" ref="D199:G203" si="6">D131*D165</f>
        <v>0</v>
      </c>
      <c r="E199" s="36">
        <f t="shared" si="6"/>
        <v>0</v>
      </c>
      <c r="F199" s="36">
        <f t="shared" si="6"/>
        <v>0</v>
      </c>
      <c r="G199" s="36">
        <f t="shared" si="6"/>
        <v>0</v>
      </c>
    </row>
    <row r="200" spans="2:7" ht="14.45" customHeight="1">
      <c r="B200" s="11"/>
      <c r="C200" s="3" t="s">
        <v>13</v>
      </c>
      <c r="D200" s="36">
        <f t="shared" si="6"/>
        <v>0</v>
      </c>
      <c r="E200" s="36">
        <f t="shared" si="6"/>
        <v>0</v>
      </c>
      <c r="F200" s="36">
        <f t="shared" si="6"/>
        <v>0</v>
      </c>
      <c r="G200" s="36">
        <f t="shared" si="6"/>
        <v>0</v>
      </c>
    </row>
    <row r="201" spans="2:7" ht="14.45" customHeight="1">
      <c r="B201" s="9" t="s">
        <v>14</v>
      </c>
      <c r="C201" s="3" t="s">
        <v>12</v>
      </c>
      <c r="D201" s="36">
        <f t="shared" si="6"/>
        <v>0</v>
      </c>
      <c r="E201" s="36">
        <f t="shared" si="6"/>
        <v>0</v>
      </c>
      <c r="F201" s="36">
        <f t="shared" si="6"/>
        <v>0</v>
      </c>
      <c r="G201" s="36">
        <f t="shared" si="6"/>
        <v>0</v>
      </c>
    </row>
    <row r="202" spans="2:7" ht="14.45" customHeight="1">
      <c r="B202" s="11"/>
      <c r="C202" s="3" t="s">
        <v>13</v>
      </c>
      <c r="D202" s="36">
        <f t="shared" si="6"/>
        <v>0</v>
      </c>
      <c r="E202" s="36">
        <f t="shared" si="6"/>
        <v>0</v>
      </c>
      <c r="F202" s="36">
        <f t="shared" si="6"/>
        <v>0</v>
      </c>
      <c r="G202" s="36">
        <f t="shared" si="6"/>
        <v>0</v>
      </c>
    </row>
    <row r="203" spans="2:7" ht="14.45" customHeight="1">
      <c r="B203" s="14" t="s">
        <v>15</v>
      </c>
      <c r="C203" s="3" t="s">
        <v>13</v>
      </c>
      <c r="D203" s="36">
        <f t="shared" si="6"/>
        <v>0</v>
      </c>
      <c r="E203" s="36">
        <f t="shared" si="6"/>
        <v>0</v>
      </c>
      <c r="F203" s="36">
        <f t="shared" si="6"/>
        <v>0</v>
      </c>
      <c r="G203" s="36">
        <f t="shared" si="6"/>
        <v>0</v>
      </c>
    </row>
    <row r="204" spans="2:7" ht="14.45" customHeight="1">
      <c r="B204" s="20" t="s">
        <v>32</v>
      </c>
      <c r="C204" s="21"/>
      <c r="D204" s="19">
        <f>SUM(D177:D195,D199:D203)</f>
        <v>50245537.620686978</v>
      </c>
      <c r="E204" s="19">
        <f>SUM(E177:E195,E199:E203)</f>
        <v>53485823.301724717</v>
      </c>
      <c r="F204" s="19">
        <f>SUM(F177:F195,F199:F203)</f>
        <v>50328755.522452347</v>
      </c>
      <c r="G204" s="19">
        <f>SUM(G177:G195,G199:G203)</f>
        <v>59962465.877722591</v>
      </c>
    </row>
    <row r="205" spans="2:7" ht="14.45" customHeight="1">
      <c r="C205" s="56"/>
    </row>
    <row r="206" spans="2:7" ht="14.45" customHeight="1">
      <c r="C206" s="56"/>
    </row>
    <row r="207" spans="2:7" ht="28.9" customHeight="1">
      <c r="B207" s="31" t="s">
        <v>605</v>
      </c>
      <c r="C207" s="4"/>
      <c r="D207" s="4"/>
      <c r="E207" s="4"/>
      <c r="F207" s="4"/>
      <c r="G207" s="4"/>
    </row>
    <row r="208" spans="2:7" ht="14.45" customHeight="1">
      <c r="B208" s="35"/>
    </row>
    <row r="209" spans="2:7" ht="14.45" customHeight="1">
      <c r="B209" s="8" t="s">
        <v>1</v>
      </c>
      <c r="C209" s="8" t="s">
        <v>229</v>
      </c>
      <c r="D209" s="5"/>
      <c r="E209" s="5"/>
      <c r="F209" s="5"/>
      <c r="G209" s="5"/>
    </row>
    <row r="210" spans="2:7" ht="14.45" customHeight="1">
      <c r="B210" s="24"/>
      <c r="C210" s="24"/>
      <c r="D210" s="22" t="str">
        <f>'Input data'!D$5</f>
        <v>2023-24</v>
      </c>
      <c r="E210" s="22" t="str">
        <f>'Input data'!E$5</f>
        <v>2024-25</v>
      </c>
      <c r="F210" s="22" t="str">
        <f>'Input data'!F$5</f>
        <v>2025-26</v>
      </c>
      <c r="G210" s="22" t="str">
        <f>'Input data'!G$5</f>
        <v>2026-27</v>
      </c>
    </row>
    <row r="211" spans="2:7" ht="14.45" customHeight="1">
      <c r="B211" s="23"/>
      <c r="C211" s="23"/>
      <c r="D211" s="7"/>
      <c r="E211" s="7"/>
      <c r="F211" s="7"/>
      <c r="G211" s="7"/>
    </row>
    <row r="212" spans="2:7" ht="14.45" customHeight="1">
      <c r="B212" s="9" t="s">
        <v>8</v>
      </c>
      <c r="C212" s="3" t="s">
        <v>9</v>
      </c>
      <c r="D212" s="53">
        <f>D109*('Input data'!D$191*'Input data'!D$7)/D$204</f>
        <v>3.2954080048441685E-2</v>
      </c>
      <c r="E212" s="53">
        <f>E109*('Input data'!E$191*'Input data'!E$7)/E$204</f>
        <v>3.4453513089865266E-2</v>
      </c>
      <c r="F212" s="53">
        <f>F109*('Input data'!F$191*'Input data'!F$7)/F$204</f>
        <v>3.6839986548534723E-2</v>
      </c>
      <c r="G212" s="53">
        <f>G109*('Input data'!G$191*'Input data'!G$7)/G$204</f>
        <v>3.7654063561903033E-2</v>
      </c>
    </row>
    <row r="213" spans="2:7" ht="14.45" customHeight="1">
      <c r="B213" s="12"/>
      <c r="C213" s="3" t="s">
        <v>10</v>
      </c>
      <c r="D213" s="53">
        <f>D110*('Input data'!D$191*'Input data'!D$7)/D$204</f>
        <v>4.2840304062974184E-2</v>
      </c>
      <c r="E213" s="53">
        <f>E110*('Input data'!E$191*'Input data'!E$7)/E$204</f>
        <v>4.0655145446041013E-2</v>
      </c>
      <c r="F213" s="53">
        <f>F110*('Input data'!F$191*'Input data'!F$7)/F$204</f>
        <v>4.3471184127270961E-2</v>
      </c>
      <c r="G213" s="53">
        <f>G110*('Input data'!G$191*'Input data'!G$7)/G$204</f>
        <v>4.4431795003045574E-2</v>
      </c>
    </row>
    <row r="214" spans="2:7" ht="14.45" customHeight="1">
      <c r="B214" s="12"/>
      <c r="C214" s="3" t="s">
        <v>11</v>
      </c>
      <c r="D214" s="53">
        <f>D111*('Input data'!D$191*'Input data'!D$7)/D$204</f>
        <v>4.9431120072662531E-2</v>
      </c>
      <c r="E214" s="53">
        <f>E111*('Input data'!E$191*'Input data'!E$7)/E$204</f>
        <v>4.6512242671318114E-2</v>
      </c>
      <c r="F214" s="53">
        <f>F111*('Input data'!F$191*'Input data'!F$7)/F$204</f>
        <v>4.9733981840521871E-2</v>
      </c>
      <c r="G214" s="53">
        <f>G111*('Input data'!G$191*'Input data'!G$7)/G$204</f>
        <v>5.0832985808569105E-2</v>
      </c>
    </row>
    <row r="215" spans="2:7" ht="14.45" customHeight="1">
      <c r="B215" s="12"/>
      <c r="C215" s="3" t="s">
        <v>12</v>
      </c>
      <c r="D215" s="53">
        <f>D112*('Input data'!D$191*'Input data'!D$7)/D$204</f>
        <v>6.590816009688337E-2</v>
      </c>
      <c r="E215" s="53">
        <f>E112*('Input data'!E$191*'Input data'!E$7)/E$204</f>
        <v>6.6839815394338628E-2</v>
      </c>
      <c r="F215" s="53">
        <f>F112*('Input data'!F$191*'Input data'!F$7)/F$204</f>
        <v>7.1469573904157355E-2</v>
      </c>
      <c r="G215" s="53">
        <f>G112*('Input data'!G$191*'Input data'!G$7)/G$204</f>
        <v>7.3048883310091892E-2</v>
      </c>
    </row>
    <row r="216" spans="2:7" ht="14.45" customHeight="1">
      <c r="B216" s="13"/>
      <c r="C216" s="3" t="s">
        <v>13</v>
      </c>
      <c r="D216" s="53">
        <f>D113*('Input data'!D$191*'Input data'!D$7)/D$204</f>
        <v>7.2498976106571703E-2</v>
      </c>
      <c r="E216" s="53">
        <f>E113*('Input data'!E$191*'Input data'!E$7)/E$204</f>
        <v>7.3385982881413014E-2</v>
      </c>
      <c r="F216" s="53">
        <f>F113*('Input data'!F$191*'Input data'!F$7)/F$204</f>
        <v>7.8469171348378941E-2</v>
      </c>
      <c r="G216" s="53">
        <f>G113*('Input data'!G$191*'Input data'!G$7)/G$204</f>
        <v>8.020315538685345E-2</v>
      </c>
    </row>
    <row r="217" spans="2:7" ht="14.45" customHeight="1">
      <c r="B217" s="9" t="s">
        <v>14</v>
      </c>
      <c r="C217" s="3" t="s">
        <v>9</v>
      </c>
      <c r="D217" s="53">
        <f>D114*('Input data'!D$191*'Input data'!D$7)/D$204</f>
        <v>0</v>
      </c>
      <c r="E217" s="53">
        <f>E114*('Input data'!E$191*'Input data'!E$7)/E$204</f>
        <v>0</v>
      </c>
      <c r="F217" s="53">
        <f>F114*('Input data'!F$191*'Input data'!F$7)/F$204</f>
        <v>0</v>
      </c>
      <c r="G217" s="53">
        <f>G114*('Input data'!G$191*'Input data'!G$7)/G$204</f>
        <v>0</v>
      </c>
    </row>
    <row r="218" spans="2:7" ht="14.45" customHeight="1">
      <c r="B218" s="12"/>
      <c r="C218" s="3" t="s">
        <v>10</v>
      </c>
      <c r="D218" s="53">
        <f>D115*('Input data'!D$191*'Input data'!D$7)/D$204</f>
        <v>0</v>
      </c>
      <c r="E218" s="53">
        <f>E115*('Input data'!E$191*'Input data'!E$7)/E$204</f>
        <v>0</v>
      </c>
      <c r="F218" s="53">
        <f>F115*('Input data'!F$191*'Input data'!F$7)/F$204</f>
        <v>0</v>
      </c>
      <c r="G218" s="53">
        <f>G115*('Input data'!G$191*'Input data'!G$7)/G$204</f>
        <v>0</v>
      </c>
    </row>
    <row r="219" spans="2:7" ht="14.45" customHeight="1">
      <c r="B219" s="12"/>
      <c r="C219" s="3" t="s">
        <v>11</v>
      </c>
      <c r="D219" s="53">
        <f>D116*('Input data'!D$191*'Input data'!D$7)/D$204</f>
        <v>0</v>
      </c>
      <c r="E219" s="53">
        <f>E116*('Input data'!E$191*'Input data'!E$7)/E$204</f>
        <v>0</v>
      </c>
      <c r="F219" s="53">
        <f>F116*('Input data'!F$191*'Input data'!F$7)/F$204</f>
        <v>0</v>
      </c>
      <c r="G219" s="53">
        <f>G116*('Input data'!G$191*'Input data'!G$7)/G$204</f>
        <v>0</v>
      </c>
    </row>
    <row r="220" spans="2:7" ht="14.45" customHeight="1">
      <c r="B220" s="12"/>
      <c r="C220" s="3" t="s">
        <v>12</v>
      </c>
      <c r="D220" s="53">
        <f>D117*('Input data'!D$191*'Input data'!D$7)/D$204</f>
        <v>0</v>
      </c>
      <c r="E220" s="53">
        <f>E117*('Input data'!E$191*'Input data'!E$7)/E$204</f>
        <v>0</v>
      </c>
      <c r="F220" s="53">
        <f>F117*('Input data'!F$191*'Input data'!F$7)/F$204</f>
        <v>0</v>
      </c>
      <c r="G220" s="53">
        <f>G117*('Input data'!G$191*'Input data'!G$7)/G$204</f>
        <v>0</v>
      </c>
    </row>
    <row r="221" spans="2:7" ht="14.45" customHeight="1">
      <c r="B221" s="13"/>
      <c r="C221" s="3" t="s">
        <v>13</v>
      </c>
      <c r="D221" s="53">
        <f>D118*('Input data'!D$191*'Input data'!D$7)/D$204</f>
        <v>0</v>
      </c>
      <c r="E221" s="53">
        <f>E118*('Input data'!E$191*'Input data'!E$7)/E$204</f>
        <v>0</v>
      </c>
      <c r="F221" s="53">
        <f>F118*('Input data'!F$191*'Input data'!F$7)/F$204</f>
        <v>0</v>
      </c>
      <c r="G221" s="53">
        <f>G118*('Input data'!G$191*'Input data'!G$7)/G$204</f>
        <v>0</v>
      </c>
    </row>
    <row r="222" spans="2:7" ht="14.45" customHeight="1">
      <c r="B222" s="9" t="s">
        <v>15</v>
      </c>
      <c r="C222" s="3" t="s">
        <v>12</v>
      </c>
      <c r="D222" s="53">
        <f>D119*('Input data'!D$191*'Input data'!D$7)/D$204</f>
        <v>0</v>
      </c>
      <c r="E222" s="53">
        <f>E119*('Input data'!E$191*'Input data'!E$7)/E$204</f>
        <v>0</v>
      </c>
      <c r="F222" s="53">
        <f>F119*('Input data'!F$191*'Input data'!F$7)/F$204</f>
        <v>0</v>
      </c>
      <c r="G222" s="53">
        <f>G119*('Input data'!G$191*'Input data'!G$7)/G$204</f>
        <v>0</v>
      </c>
    </row>
    <row r="223" spans="2:7" ht="14.45" customHeight="1">
      <c r="B223" s="13"/>
      <c r="C223" s="3" t="s">
        <v>13</v>
      </c>
      <c r="D223" s="53">
        <f>D120*('Input data'!D$191*'Input data'!D$7)/D$204</f>
        <v>0</v>
      </c>
      <c r="E223" s="53">
        <f>E120*('Input data'!E$191*'Input data'!E$7)/E$204</f>
        <v>0</v>
      </c>
      <c r="F223" s="53">
        <f>F120*('Input data'!F$191*'Input data'!F$7)/F$204</f>
        <v>0</v>
      </c>
      <c r="G223" s="53">
        <f>G120*('Input data'!G$191*'Input data'!G$7)/G$204</f>
        <v>0</v>
      </c>
    </row>
    <row r="224" spans="2:7" ht="14.45" customHeight="1">
      <c r="B224" s="14" t="s">
        <v>17</v>
      </c>
      <c r="C224" s="3" t="s">
        <v>18</v>
      </c>
      <c r="D224" s="53">
        <f>D121*('Input data'!D$191*'Input data'!D$7)/D$204</f>
        <v>0.1588443246190156</v>
      </c>
      <c r="E224" s="53">
        <f>E121*('Input data'!E$191*'Input data'!E$7)/E$204</f>
        <v>0.16611533217762292</v>
      </c>
      <c r="F224" s="53">
        <f>F121*('Input data'!F$191*'Input data'!F$7)/F$204</f>
        <v>0.17704832862406322</v>
      </c>
      <c r="G224" s="53">
        <f>G121*('Input data'!G$191*'Input data'!G$7)/G$204</f>
        <v>0.18096584987033748</v>
      </c>
    </row>
    <row r="225" spans="2:7" ht="14.45" customHeight="1">
      <c r="B225" s="9" t="s">
        <v>19</v>
      </c>
      <c r="C225" s="3" t="s">
        <v>20</v>
      </c>
      <c r="D225" s="53">
        <f>D122*('Input data'!D$191*'Input data'!D$7)/D$204</f>
        <v>0.1588443246190156</v>
      </c>
      <c r="E225" s="53">
        <f>E122*('Input data'!E$191*'Input data'!E$7)/E$204</f>
        <v>0.16611533217762292</v>
      </c>
      <c r="F225" s="53">
        <f>F122*('Input data'!F$191*'Input data'!F$7)/F$204</f>
        <v>0.17704832862406322</v>
      </c>
      <c r="G225" s="53">
        <f>G122*('Input data'!G$191*'Input data'!G$7)/G$204</f>
        <v>0.18096584987033748</v>
      </c>
    </row>
    <row r="226" spans="2:7" ht="14.45" customHeight="1">
      <c r="B226" s="12"/>
      <c r="C226" s="3" t="s">
        <v>21</v>
      </c>
      <c r="D226" s="53">
        <f>D123*('Input data'!D$191*'Input data'!D$7)/D$204</f>
        <v>0.2382664869285234</v>
      </c>
      <c r="E226" s="53">
        <f>E123*('Input data'!E$191*'Input data'!E$7)/E$204</f>
        <v>0.24917299826643441</v>
      </c>
      <c r="F226" s="53">
        <f>F123*('Input data'!F$191*'Input data'!F$7)/F$204</f>
        <v>0.26557249293609486</v>
      </c>
      <c r="G226" s="53">
        <f>G123*('Input data'!G$191*'Input data'!G$7)/G$204</f>
        <v>0.27144877480550622</v>
      </c>
    </row>
    <row r="227" spans="2:7" ht="14.45" customHeight="1">
      <c r="B227" s="12"/>
      <c r="C227" s="3" t="s">
        <v>22</v>
      </c>
      <c r="D227" s="53">
        <f>D124*('Input data'!D$191*'Input data'!D$7)/D$204</f>
        <v>0.47653297385704679</v>
      </c>
      <c r="E227" s="53">
        <f>E124*('Input data'!E$191*'Input data'!E$7)/E$204</f>
        <v>0.49834599653286882</v>
      </c>
      <c r="F227" s="53">
        <f>F124*('Input data'!F$191*'Input data'!F$7)/F$204</f>
        <v>0.53114498587218972</v>
      </c>
      <c r="G227" s="53">
        <f>G124*('Input data'!G$191*'Input data'!G$7)/G$204</f>
        <v>0.54289754961101244</v>
      </c>
    </row>
    <row r="228" spans="2:7" ht="14.45" customHeight="1">
      <c r="B228" s="12"/>
      <c r="C228" s="3" t="s">
        <v>23</v>
      </c>
      <c r="D228" s="53">
        <f>D125*('Input data'!D$191*'Input data'!D$7)/D$204</f>
        <v>0.2382664869285234</v>
      </c>
      <c r="E228" s="53">
        <f>E125*('Input data'!E$191*'Input data'!E$7)/E$204</f>
        <v>0.24917299826643441</v>
      </c>
      <c r="F228" s="53">
        <f>F125*('Input data'!F$191*'Input data'!F$7)/F$204</f>
        <v>0.26557249293609486</v>
      </c>
      <c r="G228" s="53">
        <f>G125*('Input data'!G$191*'Input data'!G$7)/G$204</f>
        <v>0.27144877480550622</v>
      </c>
    </row>
    <row r="229" spans="2:7" ht="14.45" customHeight="1">
      <c r="B229" s="12"/>
      <c r="C229" s="3" t="s">
        <v>24</v>
      </c>
      <c r="D229" s="53">
        <f>D126*('Input data'!D$191*'Input data'!D$7)/D$204</f>
        <v>1.5884432461901559</v>
      </c>
      <c r="E229" s="53">
        <f>E126*('Input data'!E$191*'Input data'!E$7)/E$204</f>
        <v>1.6611533217762293</v>
      </c>
      <c r="F229" s="53">
        <f>F126*('Input data'!F$191*'Input data'!F$7)/F$204</f>
        <v>1.7704832862406321</v>
      </c>
      <c r="G229" s="53">
        <f>G126*('Input data'!G$191*'Input data'!G$7)/G$204</f>
        <v>1.8096584987033748</v>
      </c>
    </row>
    <row r="230" spans="2:7" ht="14.45" customHeight="1">
      <c r="B230" s="13"/>
      <c r="C230" s="3" t="s">
        <v>25</v>
      </c>
      <c r="D230" s="53">
        <f>D127*('Input data'!D$191*'Input data'!D$7)/D$204</f>
        <v>0.95306594771409359</v>
      </c>
      <c r="E230" s="53">
        <f>E127*('Input data'!E$191*'Input data'!E$7)/E$204</f>
        <v>0.99669199306573764</v>
      </c>
      <c r="F230" s="53">
        <f>F127*('Input data'!F$191*'Input data'!F$7)/F$204</f>
        <v>1.0622899717443794</v>
      </c>
      <c r="G230" s="53">
        <f>G127*('Input data'!G$191*'Input data'!G$7)/G$204</f>
        <v>1.0857950992220249</v>
      </c>
    </row>
    <row r="231" spans="2:7" ht="14.45" customHeight="1">
      <c r="B231" s="8" t="s">
        <v>1</v>
      </c>
      <c r="C231" s="8" t="s">
        <v>230</v>
      </c>
      <c r="D231" s="5"/>
      <c r="E231" s="5"/>
      <c r="F231" s="5"/>
      <c r="G231" s="5"/>
    </row>
    <row r="232" spans="2:7" ht="14.45" customHeight="1">
      <c r="B232" s="24"/>
      <c r="C232" s="24"/>
      <c r="D232" s="22" t="str">
        <f>'Input data'!D$5</f>
        <v>2023-24</v>
      </c>
      <c r="E232" s="22" t="str">
        <f>'Input data'!E$5</f>
        <v>2024-25</v>
      </c>
      <c r="F232" s="22" t="str">
        <f>'Input data'!F$5</f>
        <v>2025-26</v>
      </c>
      <c r="G232" s="22" t="str">
        <f>'Input data'!G$5</f>
        <v>2026-27</v>
      </c>
    </row>
    <row r="233" spans="2:7" ht="14.45" customHeight="1">
      <c r="B233" s="23"/>
      <c r="C233" s="23"/>
      <c r="D233" s="7"/>
      <c r="E233" s="7"/>
      <c r="F233" s="7"/>
      <c r="G233" s="7"/>
    </row>
    <row r="234" spans="2:7" ht="14.45" customHeight="1">
      <c r="B234" s="9" t="s">
        <v>8</v>
      </c>
      <c r="C234" s="3" t="s">
        <v>12</v>
      </c>
      <c r="D234" s="53">
        <f>D131*('Input data'!D$191*'Input data'!D$7)/D$204</f>
        <v>6.2876384732426724E-2</v>
      </c>
      <c r="E234" s="53">
        <f>E131*('Input data'!E$191*'Input data'!E$7)/E$204</f>
        <v>6.3765183886199048E-2</v>
      </c>
      <c r="F234" s="53">
        <f>F131*('Input data'!F$191*'Input data'!F$7)/F$204</f>
        <v>6.8181973504566118E-2</v>
      </c>
      <c r="G234" s="53">
        <f>G131*('Input data'!G$191*'Input data'!G$7)/G$204</f>
        <v>6.9688634677827654E-2</v>
      </c>
    </row>
    <row r="235" spans="2:7" ht="14.45" customHeight="1">
      <c r="B235" s="11"/>
      <c r="C235" s="3" t="s">
        <v>13</v>
      </c>
      <c r="D235" s="53">
        <f>D132*('Input data'!D$191*'Input data'!D$7)/D$204</f>
        <v>6.9164023205669403E-2</v>
      </c>
      <c r="E235" s="53">
        <f>E132*('Input data'!E$191*'Input data'!E$7)/E$204</f>
        <v>7.0010227668868025E-2</v>
      </c>
      <c r="F235" s="53">
        <f>F132*('Input data'!F$191*'Input data'!F$7)/F$204</f>
        <v>7.4859589466353502E-2</v>
      </c>
      <c r="G235" s="53">
        <f>G132*('Input data'!G$191*'Input data'!G$7)/G$204</f>
        <v>7.6513810239058205E-2</v>
      </c>
    </row>
    <row r="236" spans="2:7" ht="14.45" customHeight="1">
      <c r="B236" s="9" t="s">
        <v>14</v>
      </c>
      <c r="C236" s="3" t="s">
        <v>12</v>
      </c>
      <c r="D236" s="53">
        <f>D133*('Input data'!D$191*'Input data'!D$7)/D$204</f>
        <v>0</v>
      </c>
      <c r="E236" s="53">
        <f>E133*('Input data'!E$191*'Input data'!E$7)/E$204</f>
        <v>0</v>
      </c>
      <c r="F236" s="53">
        <f>F133*('Input data'!F$191*'Input data'!F$7)/F$204</f>
        <v>0</v>
      </c>
      <c r="G236" s="53">
        <f>G133*('Input data'!G$191*'Input data'!G$7)/G$204</f>
        <v>0</v>
      </c>
    </row>
    <row r="237" spans="2:7" ht="14.45" customHeight="1">
      <c r="B237" s="11"/>
      <c r="C237" s="3" t="s">
        <v>13</v>
      </c>
      <c r="D237" s="53">
        <f>D134*('Input data'!D$191*'Input data'!D$7)/D$204</f>
        <v>0</v>
      </c>
      <c r="E237" s="53">
        <f>E134*('Input data'!E$191*'Input data'!E$7)/E$204</f>
        <v>0</v>
      </c>
      <c r="F237" s="53">
        <f>F134*('Input data'!F$191*'Input data'!F$7)/F$204</f>
        <v>0</v>
      </c>
      <c r="G237" s="53">
        <f>G134*('Input data'!G$191*'Input data'!G$7)/G$204</f>
        <v>0</v>
      </c>
    </row>
    <row r="238" spans="2:7" ht="14.45" customHeight="1">
      <c r="B238" s="14" t="s">
        <v>15</v>
      </c>
      <c r="C238" s="3" t="s">
        <v>13</v>
      </c>
      <c r="D238" s="53">
        <f>D135*('Input data'!D$191*'Input data'!D$7)/D$204</f>
        <v>0</v>
      </c>
      <c r="E238" s="53">
        <f>E135*('Input data'!E$191*'Input data'!E$7)/E$204</f>
        <v>0</v>
      </c>
      <c r="F238" s="53">
        <f>F135*('Input data'!F$191*'Input data'!F$7)/F$204</f>
        <v>0</v>
      </c>
      <c r="G238" s="53">
        <f>G135*('Input data'!G$191*'Input data'!G$7)/G$204</f>
        <v>0</v>
      </c>
    </row>
    <row r="239" spans="2:7" ht="14.45" customHeight="1">
      <c r="B239"/>
      <c r="C239" s="116"/>
      <c r="D239" s="117"/>
      <c r="E239" s="117"/>
      <c r="F239" s="117"/>
      <c r="G239" s="117"/>
    </row>
    <row r="240" spans="2:7" ht="14.45" customHeight="1">
      <c r="B240"/>
      <c r="C240" s="116"/>
      <c r="D240" s="117"/>
      <c r="E240" s="117"/>
      <c r="F240" s="117"/>
      <c r="G240" s="117"/>
    </row>
    <row r="241" spans="2:7" ht="28.9" customHeight="1">
      <c r="B241" s="31" t="s">
        <v>618</v>
      </c>
      <c r="C241" s="4"/>
      <c r="D241" s="4"/>
      <c r="E241" s="4"/>
      <c r="F241" s="4"/>
      <c r="G241" s="4"/>
    </row>
    <row r="242" spans="2:7" ht="14.45" customHeight="1">
      <c r="B242" s="35" t="s">
        <v>566</v>
      </c>
    </row>
    <row r="243" spans="2:7" ht="14.45" customHeight="1">
      <c r="B243" s="8" t="s">
        <v>1</v>
      </c>
      <c r="C243" s="8" t="s">
        <v>229</v>
      </c>
      <c r="D243" s="5"/>
      <c r="E243" s="5"/>
      <c r="F243" s="5"/>
      <c r="G243" s="5"/>
    </row>
    <row r="244" spans="2:7" ht="14.45" customHeight="1">
      <c r="B244" s="24"/>
      <c r="C244" s="24"/>
      <c r="D244" s="22" t="str">
        <f>'Input data'!D$5</f>
        <v>2023-24</v>
      </c>
      <c r="E244" s="22" t="str">
        <f>'Input data'!E$5</f>
        <v>2024-25</v>
      </c>
      <c r="F244" s="22" t="str">
        <f>'Input data'!F$5</f>
        <v>2025-26</v>
      </c>
      <c r="G244" s="22" t="str">
        <f>'Input data'!G$5</f>
        <v>2026-27</v>
      </c>
    </row>
    <row r="245" spans="2:7" ht="14.45" customHeight="1">
      <c r="B245" s="23"/>
      <c r="C245" s="23"/>
      <c r="D245" s="7"/>
      <c r="E245" s="7"/>
      <c r="F245" s="7"/>
      <c r="G245" s="7"/>
    </row>
    <row r="246" spans="2:7" ht="14.45" customHeight="1">
      <c r="B246" s="9" t="s">
        <v>8</v>
      </c>
      <c r="C246" s="3" t="s">
        <v>9</v>
      </c>
      <c r="D246" s="53">
        <v>0</v>
      </c>
      <c r="E246" s="53">
        <v>0</v>
      </c>
      <c r="F246" s="53">
        <v>0</v>
      </c>
      <c r="G246" s="53">
        <v>0</v>
      </c>
    </row>
    <row r="247" spans="2:7" ht="14.45" customHeight="1">
      <c r="B247" s="12"/>
      <c r="C247" s="3" t="s">
        <v>10</v>
      </c>
      <c r="D247" s="53">
        <v>0</v>
      </c>
      <c r="E247" s="53">
        <v>0</v>
      </c>
      <c r="F247" s="53">
        <v>0</v>
      </c>
      <c r="G247" s="53">
        <v>0</v>
      </c>
    </row>
    <row r="248" spans="2:7" ht="14.45" customHeight="1">
      <c r="B248" s="12"/>
      <c r="C248" s="3" t="s">
        <v>11</v>
      </c>
      <c r="D248" s="53">
        <v>0</v>
      </c>
      <c r="E248" s="53">
        <v>0</v>
      </c>
      <c r="F248" s="53">
        <v>0</v>
      </c>
      <c r="G248" s="53">
        <v>0</v>
      </c>
    </row>
    <row r="249" spans="2:7" ht="14.45" customHeight="1">
      <c r="B249" s="12"/>
      <c r="C249" s="3" t="s">
        <v>12</v>
      </c>
      <c r="D249" s="53">
        <v>0</v>
      </c>
      <c r="E249" s="53">
        <v>0</v>
      </c>
      <c r="F249" s="53">
        <v>0</v>
      </c>
      <c r="G249" s="53">
        <v>0</v>
      </c>
    </row>
    <row r="250" spans="2:7" ht="14.45" customHeight="1">
      <c r="B250" s="13"/>
      <c r="C250" s="3" t="s">
        <v>13</v>
      </c>
      <c r="D250" s="53">
        <v>0</v>
      </c>
      <c r="E250" s="53">
        <v>0</v>
      </c>
      <c r="F250" s="53">
        <v>0</v>
      </c>
      <c r="G250" s="53">
        <v>0</v>
      </c>
    </row>
    <row r="251" spans="2:7" ht="14.45" customHeight="1">
      <c r="B251" s="9" t="s">
        <v>14</v>
      </c>
      <c r="C251" s="3" t="s">
        <v>9</v>
      </c>
      <c r="D251" s="53">
        <v>0</v>
      </c>
      <c r="E251" s="53">
        <v>0</v>
      </c>
      <c r="F251" s="53">
        <v>0</v>
      </c>
      <c r="G251" s="53">
        <v>0</v>
      </c>
    </row>
    <row r="252" spans="2:7" ht="14.45" customHeight="1">
      <c r="B252" s="12"/>
      <c r="C252" s="3" t="s">
        <v>10</v>
      </c>
      <c r="D252" s="53">
        <v>0</v>
      </c>
      <c r="E252" s="53">
        <v>0</v>
      </c>
      <c r="F252" s="53">
        <v>0</v>
      </c>
      <c r="G252" s="53">
        <v>0</v>
      </c>
    </row>
    <row r="253" spans="2:7" ht="14.45" customHeight="1">
      <c r="B253" s="12"/>
      <c r="C253" s="3" t="s">
        <v>11</v>
      </c>
      <c r="D253" s="53">
        <v>0</v>
      </c>
      <c r="E253" s="53">
        <v>0</v>
      </c>
      <c r="F253" s="53">
        <v>0</v>
      </c>
      <c r="G253" s="53">
        <v>0</v>
      </c>
    </row>
    <row r="254" spans="2:7" ht="14.45" customHeight="1">
      <c r="B254" s="12"/>
      <c r="C254" s="3" t="s">
        <v>12</v>
      </c>
      <c r="D254" s="53">
        <v>0</v>
      </c>
      <c r="E254" s="53">
        <v>0</v>
      </c>
      <c r="F254" s="53">
        <v>0</v>
      </c>
      <c r="G254" s="53">
        <v>0</v>
      </c>
    </row>
    <row r="255" spans="2:7" ht="14.45" customHeight="1">
      <c r="B255" s="13"/>
      <c r="C255" s="3" t="s">
        <v>13</v>
      </c>
      <c r="D255" s="53">
        <v>0</v>
      </c>
      <c r="E255" s="53">
        <v>0</v>
      </c>
      <c r="F255" s="53">
        <v>0</v>
      </c>
      <c r="G255" s="53">
        <v>0</v>
      </c>
    </row>
    <row r="256" spans="2:7" ht="14.45" customHeight="1">
      <c r="B256" s="9" t="s">
        <v>15</v>
      </c>
      <c r="C256" s="3" t="s">
        <v>12</v>
      </c>
      <c r="D256" s="53">
        <v>0</v>
      </c>
      <c r="E256" s="53">
        <v>0</v>
      </c>
      <c r="F256" s="53">
        <v>0</v>
      </c>
      <c r="G256" s="53">
        <v>0</v>
      </c>
    </row>
    <row r="257" spans="2:7" ht="14.45" customHeight="1">
      <c r="B257" s="13"/>
      <c r="C257" s="3" t="s">
        <v>13</v>
      </c>
      <c r="D257" s="53">
        <v>0</v>
      </c>
      <c r="E257" s="53">
        <v>0</v>
      </c>
      <c r="F257" s="53">
        <v>0</v>
      </c>
      <c r="G257" s="53">
        <v>0</v>
      </c>
    </row>
    <row r="258" spans="2:7" ht="14.45" customHeight="1">
      <c r="B258" s="14" t="s">
        <v>17</v>
      </c>
      <c r="C258" s="3" t="s">
        <v>18</v>
      </c>
      <c r="D258" s="53">
        <f>'Input data'!D8/SUM('Input capacity'!D23:D107)</f>
        <v>0</v>
      </c>
      <c r="E258" s="53">
        <f>'Input data'!E8/SUM('Input capacity'!E23:E107)</f>
        <v>0</v>
      </c>
      <c r="F258" s="53">
        <f>'Input data'!F8/SUM('Input capacity'!F23:F107)</f>
        <v>0</v>
      </c>
      <c r="G258" s="53">
        <f>'Input data'!G8/SUM('Input capacity'!G23:G107)</f>
        <v>0</v>
      </c>
    </row>
    <row r="259" spans="2:7" ht="14.45" customHeight="1">
      <c r="B259" s="9" t="s">
        <v>19</v>
      </c>
      <c r="C259" s="3" t="s">
        <v>20</v>
      </c>
      <c r="D259" s="53">
        <f>D258</f>
        <v>0</v>
      </c>
      <c r="E259" s="53">
        <f t="shared" ref="E259:G259" si="7">E258</f>
        <v>0</v>
      </c>
      <c r="F259" s="53">
        <f t="shared" si="7"/>
        <v>0</v>
      </c>
      <c r="G259" s="53">
        <f t="shared" si="7"/>
        <v>0</v>
      </c>
    </row>
    <row r="260" spans="2:7" ht="14.45" customHeight="1">
      <c r="B260" s="12"/>
      <c r="C260" s="3" t="s">
        <v>21</v>
      </c>
      <c r="D260" s="53">
        <f>D$258*'Input data'!D145</f>
        <v>0</v>
      </c>
      <c r="E260" s="53">
        <f>E$258*'Input data'!E145</f>
        <v>0</v>
      </c>
      <c r="F260" s="53">
        <f>F$258*'Input data'!F145</f>
        <v>0</v>
      </c>
      <c r="G260" s="53">
        <f>G$258*'Input data'!G145</f>
        <v>0</v>
      </c>
    </row>
    <row r="261" spans="2:7" ht="14.45" customHeight="1">
      <c r="B261" s="12"/>
      <c r="C261" s="3" t="s">
        <v>22</v>
      </c>
      <c r="D261" s="53">
        <f>D$258*'Input data'!D146</f>
        <v>0</v>
      </c>
      <c r="E261" s="53">
        <f>E$258*'Input data'!E146</f>
        <v>0</v>
      </c>
      <c r="F261" s="53">
        <f>F$258*'Input data'!F146</f>
        <v>0</v>
      </c>
      <c r="G261" s="53">
        <f>G$258*'Input data'!G146</f>
        <v>0</v>
      </c>
    </row>
    <row r="262" spans="2:7" ht="14.45" customHeight="1">
      <c r="B262" s="12"/>
      <c r="C262" s="3" t="s">
        <v>23</v>
      </c>
      <c r="D262" s="53">
        <f>D$258*'Input data'!D147</f>
        <v>0</v>
      </c>
      <c r="E262" s="53">
        <f>E$258*'Input data'!E147</f>
        <v>0</v>
      </c>
      <c r="F262" s="53">
        <f>F$258*'Input data'!F147</f>
        <v>0</v>
      </c>
      <c r="G262" s="53">
        <f>G$258*'Input data'!G147</f>
        <v>0</v>
      </c>
    </row>
    <row r="263" spans="2:7" ht="14.45" customHeight="1">
      <c r="B263" s="12"/>
      <c r="C263" s="3" t="s">
        <v>24</v>
      </c>
      <c r="D263" s="53">
        <f>D$258*'Input data'!D148</f>
        <v>0</v>
      </c>
      <c r="E263" s="53">
        <f>E$258*'Input data'!E148</f>
        <v>0</v>
      </c>
      <c r="F263" s="53">
        <f>F$258*'Input data'!F148</f>
        <v>0</v>
      </c>
      <c r="G263" s="53">
        <f>G$258*'Input data'!G148</f>
        <v>0</v>
      </c>
    </row>
    <row r="264" spans="2:7" ht="14.45" customHeight="1">
      <c r="B264" s="13"/>
      <c r="C264" s="3" t="s">
        <v>25</v>
      </c>
      <c r="D264" s="53">
        <f>D$258*'Input data'!D149</f>
        <v>0</v>
      </c>
      <c r="E264" s="53">
        <f>E$258*'Input data'!E149</f>
        <v>0</v>
      </c>
      <c r="F264" s="53">
        <f>F$258*'Input data'!F149</f>
        <v>0</v>
      </c>
      <c r="G264" s="53">
        <f>G$258*'Input data'!G149</f>
        <v>0</v>
      </c>
    </row>
    <row r="265" spans="2:7" ht="14.45" customHeight="1">
      <c r="B265" s="8" t="s">
        <v>1</v>
      </c>
      <c r="C265" s="8" t="s">
        <v>230</v>
      </c>
      <c r="D265" s="5"/>
      <c r="E265" s="5"/>
      <c r="F265" s="5"/>
      <c r="G265" s="5"/>
    </row>
    <row r="266" spans="2:7" ht="14.45" customHeight="1">
      <c r="B266" s="24"/>
      <c r="C266" s="24"/>
      <c r="D266" s="22" t="str">
        <f>'Input data'!D$5</f>
        <v>2023-24</v>
      </c>
      <c r="E266" s="22" t="str">
        <f>'Input data'!E$5</f>
        <v>2024-25</v>
      </c>
      <c r="F266" s="22" t="str">
        <f>'Input data'!F$5</f>
        <v>2025-26</v>
      </c>
      <c r="G266" s="22" t="str">
        <f>'Input data'!G$5</f>
        <v>2026-27</v>
      </c>
    </row>
    <row r="267" spans="2:7" ht="14.45" customHeight="1">
      <c r="B267" s="23"/>
      <c r="C267" s="23"/>
      <c r="D267" s="7"/>
      <c r="E267" s="7"/>
      <c r="F267" s="7"/>
      <c r="G267" s="7"/>
    </row>
    <row r="268" spans="2:7" ht="14.45" customHeight="1">
      <c r="B268" s="9" t="s">
        <v>8</v>
      </c>
      <c r="C268" s="3" t="s">
        <v>12</v>
      </c>
      <c r="D268" s="53">
        <v>0</v>
      </c>
      <c r="E268" s="53">
        <v>0</v>
      </c>
      <c r="F268" s="53">
        <v>0</v>
      </c>
      <c r="G268" s="53">
        <v>0</v>
      </c>
    </row>
    <row r="269" spans="2:7" ht="14.45" customHeight="1">
      <c r="B269" s="11"/>
      <c r="C269" s="3" t="s">
        <v>13</v>
      </c>
      <c r="D269" s="53">
        <v>0</v>
      </c>
      <c r="E269" s="53">
        <v>0</v>
      </c>
      <c r="F269" s="53">
        <v>0</v>
      </c>
      <c r="G269" s="53">
        <v>0</v>
      </c>
    </row>
    <row r="270" spans="2:7" ht="14.45" customHeight="1">
      <c r="B270" s="9" t="s">
        <v>14</v>
      </c>
      <c r="C270" s="3" t="s">
        <v>12</v>
      </c>
      <c r="D270" s="53">
        <v>0</v>
      </c>
      <c r="E270" s="53">
        <v>0</v>
      </c>
      <c r="F270" s="53">
        <v>0</v>
      </c>
      <c r="G270" s="53">
        <v>0</v>
      </c>
    </row>
    <row r="271" spans="2:7" ht="14.45" customHeight="1">
      <c r="B271" s="11"/>
      <c r="C271" s="3" t="s">
        <v>13</v>
      </c>
      <c r="D271" s="53">
        <v>0</v>
      </c>
      <c r="E271" s="53">
        <v>0</v>
      </c>
      <c r="F271" s="53">
        <v>0</v>
      </c>
      <c r="G271" s="53">
        <v>0</v>
      </c>
    </row>
    <row r="272" spans="2:7" ht="14.45" customHeight="1">
      <c r="B272" s="14" t="s">
        <v>15</v>
      </c>
      <c r="C272" s="3" t="s">
        <v>13</v>
      </c>
      <c r="D272" s="53">
        <v>0</v>
      </c>
      <c r="E272" s="53">
        <v>0</v>
      </c>
      <c r="F272" s="53">
        <v>0</v>
      </c>
      <c r="G272" s="53">
        <v>0</v>
      </c>
    </row>
    <row r="275" spans="2:7" ht="28.9" customHeight="1">
      <c r="B275" s="31" t="s">
        <v>619</v>
      </c>
      <c r="C275" s="4"/>
      <c r="D275" s="4"/>
      <c r="E275" s="4"/>
      <c r="F275" s="4"/>
      <c r="G275" s="4"/>
    </row>
    <row r="276" spans="2:7" ht="14.45" customHeight="1">
      <c r="B276" s="35"/>
    </row>
    <row r="277" spans="2:7" ht="14.45" customHeight="1">
      <c r="B277" s="8" t="s">
        <v>1</v>
      </c>
      <c r="C277" s="8" t="s">
        <v>229</v>
      </c>
      <c r="D277" s="5"/>
      <c r="E277" s="5"/>
      <c r="F277" s="5"/>
      <c r="G277" s="5"/>
    </row>
    <row r="278" spans="2:7" ht="14.45" customHeight="1">
      <c r="B278" s="24"/>
      <c r="C278" s="24"/>
      <c r="D278" s="22" t="str">
        <f>'Input data'!D$5</f>
        <v>2023-24</v>
      </c>
      <c r="E278" s="22" t="str">
        <f>'Input data'!E$5</f>
        <v>2024-25</v>
      </c>
      <c r="F278" s="22" t="str">
        <f>'Input data'!F$5</f>
        <v>2025-26</v>
      </c>
      <c r="G278" s="22" t="str">
        <f>'Input data'!G$5</f>
        <v>2026-27</v>
      </c>
    </row>
    <row r="279" spans="2:7" ht="14.45" customHeight="1">
      <c r="B279" s="23"/>
      <c r="C279" s="23"/>
      <c r="D279" s="7"/>
      <c r="E279" s="7"/>
      <c r="F279" s="7"/>
      <c r="G279" s="7"/>
    </row>
    <row r="280" spans="2:7" ht="14.45" customHeight="1">
      <c r="B280" s="9" t="s">
        <v>8</v>
      </c>
      <c r="C280" s="3" t="s">
        <v>9</v>
      </c>
      <c r="D280" s="36">
        <f>D143*(D212+D246)</f>
        <v>65737.260237752154</v>
      </c>
      <c r="E280" s="36">
        <f t="shared" ref="E280:G280" si="8">E143*(E212+E246)</f>
        <v>0</v>
      </c>
      <c r="F280" s="36">
        <f t="shared" si="8"/>
        <v>0</v>
      </c>
      <c r="G280" s="36">
        <f t="shared" si="8"/>
        <v>0</v>
      </c>
    </row>
    <row r="281" spans="2:7" ht="14.45" customHeight="1">
      <c r="B281" s="12"/>
      <c r="C281" s="3" t="s">
        <v>10</v>
      </c>
      <c r="D281" s="36">
        <f t="shared" ref="D281:G281" si="9">D144*(D213+D247)</f>
        <v>0</v>
      </c>
      <c r="E281" s="36">
        <f t="shared" si="9"/>
        <v>0</v>
      </c>
      <c r="F281" s="36">
        <f t="shared" si="9"/>
        <v>0</v>
      </c>
      <c r="G281" s="36">
        <f t="shared" si="9"/>
        <v>0</v>
      </c>
    </row>
    <row r="282" spans="2:7" ht="14.45" customHeight="1">
      <c r="B282" s="12"/>
      <c r="C282" s="3" t="s">
        <v>11</v>
      </c>
      <c r="D282" s="36">
        <f t="shared" ref="D282:G282" si="10">D145*(D214+D248)</f>
        <v>190033.19573182409</v>
      </c>
      <c r="E282" s="36">
        <f t="shared" si="10"/>
        <v>119145.01663096577</v>
      </c>
      <c r="F282" s="36">
        <f t="shared" si="10"/>
        <v>647189.89717812999</v>
      </c>
      <c r="G282" s="36">
        <f t="shared" si="10"/>
        <v>538372.55936244188</v>
      </c>
    </row>
    <row r="283" spans="2:7" ht="14.45" customHeight="1">
      <c r="B283" s="12"/>
      <c r="C283" s="3" t="s">
        <v>12</v>
      </c>
      <c r="D283" s="36">
        <f t="shared" ref="D283:G283" si="11">D146*(D215+D249)</f>
        <v>472210.97760230716</v>
      </c>
      <c r="E283" s="36">
        <f t="shared" si="11"/>
        <v>1684280.4790185937</v>
      </c>
      <c r="F283" s="36">
        <f t="shared" si="11"/>
        <v>2222860.1953165699</v>
      </c>
      <c r="G283" s="36">
        <f t="shared" si="11"/>
        <v>522714.79856877489</v>
      </c>
    </row>
    <row r="284" spans="2:7" ht="14.45" customHeight="1">
      <c r="B284" s="13"/>
      <c r="C284" s="3" t="s">
        <v>13</v>
      </c>
      <c r="D284" s="36">
        <f t="shared" ref="D284:G284" si="12">D147*(D216+D250)</f>
        <v>54205.577215243728</v>
      </c>
      <c r="E284" s="36">
        <f t="shared" si="12"/>
        <v>29007.927070277736</v>
      </c>
      <c r="F284" s="36">
        <f t="shared" si="12"/>
        <v>8736.7575379285117</v>
      </c>
      <c r="G284" s="36">
        <f t="shared" si="12"/>
        <v>1724.7688565942835</v>
      </c>
    </row>
    <row r="285" spans="2:7" ht="14.45" customHeight="1">
      <c r="B285" s="9" t="s">
        <v>14</v>
      </c>
      <c r="C285" s="3" t="s">
        <v>9</v>
      </c>
      <c r="D285" s="36">
        <f t="shared" ref="D285:G285" si="13">D148*(D217+D251)</f>
        <v>0</v>
      </c>
      <c r="E285" s="36">
        <f t="shared" si="13"/>
        <v>0</v>
      </c>
      <c r="F285" s="36">
        <f t="shared" si="13"/>
        <v>0</v>
      </c>
      <c r="G285" s="36">
        <f t="shared" si="13"/>
        <v>0</v>
      </c>
    </row>
    <row r="286" spans="2:7" ht="14.45" customHeight="1">
      <c r="B286" s="12"/>
      <c r="C286" s="3" t="s">
        <v>10</v>
      </c>
      <c r="D286" s="36">
        <f t="shared" ref="D286:G286" si="14">D149*(D218+D252)</f>
        <v>0</v>
      </c>
      <c r="E286" s="36">
        <f t="shared" si="14"/>
        <v>0</v>
      </c>
      <c r="F286" s="36">
        <f t="shared" si="14"/>
        <v>0</v>
      </c>
      <c r="G286" s="36">
        <f t="shared" si="14"/>
        <v>0</v>
      </c>
    </row>
    <row r="287" spans="2:7" ht="14.45" customHeight="1">
      <c r="B287" s="12"/>
      <c r="C287" s="3" t="s">
        <v>11</v>
      </c>
      <c r="D287" s="36">
        <f t="shared" ref="D287:G287" si="15">D150*(D219+D253)</f>
        <v>0</v>
      </c>
      <c r="E287" s="36">
        <f t="shared" si="15"/>
        <v>0</v>
      </c>
      <c r="F287" s="36">
        <f t="shared" si="15"/>
        <v>0</v>
      </c>
      <c r="G287" s="36">
        <f t="shared" si="15"/>
        <v>0</v>
      </c>
    </row>
    <row r="288" spans="2:7" ht="14.45" customHeight="1">
      <c r="B288" s="12"/>
      <c r="C288" s="3" t="s">
        <v>12</v>
      </c>
      <c r="D288" s="36">
        <f t="shared" ref="D288:G288" si="16">D151*(D220+D254)</f>
        <v>0</v>
      </c>
      <c r="E288" s="36">
        <f t="shared" si="16"/>
        <v>0</v>
      </c>
      <c r="F288" s="36">
        <f t="shared" si="16"/>
        <v>0</v>
      </c>
      <c r="G288" s="36">
        <f t="shared" si="16"/>
        <v>0</v>
      </c>
    </row>
    <row r="289" spans="2:7" ht="14.45" customHeight="1">
      <c r="B289" s="13"/>
      <c r="C289" s="3" t="s">
        <v>13</v>
      </c>
      <c r="D289" s="36">
        <f t="shared" ref="D289:G289" si="17">D152*(D221+D255)</f>
        <v>0</v>
      </c>
      <c r="E289" s="36">
        <f t="shared" si="17"/>
        <v>0</v>
      </c>
      <c r="F289" s="36">
        <f t="shared" si="17"/>
        <v>0</v>
      </c>
      <c r="G289" s="36">
        <f t="shared" si="17"/>
        <v>0</v>
      </c>
    </row>
    <row r="290" spans="2:7" ht="14.45" customHeight="1">
      <c r="B290" s="9" t="s">
        <v>15</v>
      </c>
      <c r="C290" s="3" t="s">
        <v>12</v>
      </c>
      <c r="D290" s="36">
        <f t="shared" ref="D290:G290" si="18">D153*(D222+D256)</f>
        <v>0</v>
      </c>
      <c r="E290" s="36">
        <f t="shared" si="18"/>
        <v>0</v>
      </c>
      <c r="F290" s="36">
        <f t="shared" si="18"/>
        <v>0</v>
      </c>
      <c r="G290" s="36">
        <f t="shared" si="18"/>
        <v>0</v>
      </c>
    </row>
    <row r="291" spans="2:7" ht="14.45" customHeight="1">
      <c r="B291" s="13"/>
      <c r="C291" s="3" t="s">
        <v>13</v>
      </c>
      <c r="D291" s="36">
        <f t="shared" ref="D291:G291" si="19">D154*(D223+D257)</f>
        <v>0</v>
      </c>
      <c r="E291" s="36">
        <f t="shared" si="19"/>
        <v>0</v>
      </c>
      <c r="F291" s="36">
        <f t="shared" si="19"/>
        <v>0</v>
      </c>
      <c r="G291" s="36">
        <f t="shared" si="19"/>
        <v>0</v>
      </c>
    </row>
    <row r="292" spans="2:7" ht="14.45" customHeight="1">
      <c r="B292" s="14" t="s">
        <v>17</v>
      </c>
      <c r="C292" s="3" t="s">
        <v>18</v>
      </c>
      <c r="D292" s="36">
        <f t="shared" ref="D292:G292" si="20">D155*(D224+D258)</f>
        <v>27869199.882689651</v>
      </c>
      <c r="E292" s="36">
        <f t="shared" si="20"/>
        <v>27550584.903933171</v>
      </c>
      <c r="F292" s="36">
        <f t="shared" si="20"/>
        <v>27911018.776054665</v>
      </c>
      <c r="G292" s="36">
        <f t="shared" si="20"/>
        <v>27595721.555523168</v>
      </c>
    </row>
    <row r="293" spans="2:7" ht="14.45" customHeight="1">
      <c r="B293" s="9" t="s">
        <v>19</v>
      </c>
      <c r="C293" s="3" t="s">
        <v>20</v>
      </c>
      <c r="D293" s="36">
        <f t="shared" ref="D293:G293" si="21">D156*(D225+D259)</f>
        <v>21111239.365127135</v>
      </c>
      <c r="E293" s="36">
        <f t="shared" si="21"/>
        <v>24340748.387316089</v>
      </c>
      <c r="F293" s="36">
        <f t="shared" si="21"/>
        <v>19499667.81539239</v>
      </c>
      <c r="G293" s="36">
        <f t="shared" si="21"/>
        <v>11861586.647647198</v>
      </c>
    </row>
    <row r="294" spans="2:7" ht="14.45" customHeight="1">
      <c r="B294" s="12"/>
      <c r="C294" s="3" t="s">
        <v>21</v>
      </c>
      <c r="D294" s="36">
        <f t="shared" ref="D294:G294" si="22">D157*(D226+D260)</f>
        <v>670132.35597039375</v>
      </c>
      <c r="E294" s="36">
        <f t="shared" si="22"/>
        <v>0</v>
      </c>
      <c r="F294" s="36">
        <f t="shared" si="22"/>
        <v>0</v>
      </c>
      <c r="G294" s="36">
        <f t="shared" si="22"/>
        <v>0</v>
      </c>
    </row>
    <row r="295" spans="2:7" ht="14.45" customHeight="1">
      <c r="B295" s="12"/>
      <c r="C295" s="3" t="s">
        <v>22</v>
      </c>
      <c r="D295" s="36">
        <f t="shared" ref="D295:G295" si="23">D158*(D227+D261)</f>
        <v>553521.21473017125</v>
      </c>
      <c r="E295" s="36">
        <f t="shared" si="23"/>
        <v>170445.7927721614</v>
      </c>
      <c r="F295" s="36">
        <f t="shared" si="23"/>
        <v>389273.76999329141</v>
      </c>
      <c r="G295" s="36">
        <f t="shared" si="23"/>
        <v>13250959.353737876</v>
      </c>
    </row>
    <row r="296" spans="2:7" ht="14.45" customHeight="1">
      <c r="B296" s="12"/>
      <c r="C296" s="3" t="s">
        <v>23</v>
      </c>
      <c r="D296" s="36">
        <f t="shared" ref="D296:G296" si="24">D159*(D228+D262)</f>
        <v>43262.47813292811</v>
      </c>
      <c r="E296" s="36">
        <f t="shared" si="24"/>
        <v>85222.896386080698</v>
      </c>
      <c r="F296" s="36">
        <f t="shared" si="24"/>
        <v>194636.88499664571</v>
      </c>
      <c r="G296" s="36">
        <f t="shared" si="24"/>
        <v>6625479.6768689379</v>
      </c>
    </row>
    <row r="297" spans="2:7" ht="14.45" customHeight="1">
      <c r="B297" s="12"/>
      <c r="C297" s="3" t="s">
        <v>24</v>
      </c>
      <c r="D297" s="36">
        <f t="shared" ref="D297:G297" si="25">D160*(D229+D263)</f>
        <v>0</v>
      </c>
      <c r="E297" s="36">
        <f t="shared" si="25"/>
        <v>0</v>
      </c>
      <c r="F297" s="36">
        <f t="shared" si="25"/>
        <v>0</v>
      </c>
      <c r="G297" s="36">
        <f t="shared" si="25"/>
        <v>0</v>
      </c>
    </row>
    <row r="298" spans="2:7" ht="14.45" customHeight="1">
      <c r="B298" s="13"/>
      <c r="C298" s="3" t="s">
        <v>25</v>
      </c>
      <c r="D298" s="36">
        <f t="shared" ref="D298:G298" si="26">D161*(D230+D264)</f>
        <v>0</v>
      </c>
      <c r="E298" s="36">
        <f t="shared" si="26"/>
        <v>0</v>
      </c>
      <c r="F298" s="36">
        <f t="shared" si="26"/>
        <v>0</v>
      </c>
      <c r="G298" s="36">
        <f t="shared" si="26"/>
        <v>0</v>
      </c>
    </row>
    <row r="299" spans="2:7" ht="14.45" customHeight="1">
      <c r="B299" s="8" t="s">
        <v>1</v>
      </c>
      <c r="C299" s="8" t="s">
        <v>230</v>
      </c>
      <c r="D299" s="5"/>
      <c r="E299" s="5"/>
      <c r="F299" s="5"/>
      <c r="G299" s="5"/>
    </row>
    <row r="300" spans="2:7" ht="14.45" customHeight="1">
      <c r="B300" s="24"/>
      <c r="C300" s="24"/>
      <c r="D300" s="22" t="str">
        <f>'Input data'!D$5</f>
        <v>2023-24</v>
      </c>
      <c r="E300" s="22" t="str">
        <f>'Input data'!E$5</f>
        <v>2024-25</v>
      </c>
      <c r="F300" s="22" t="str">
        <f>'Input data'!F$5</f>
        <v>2025-26</v>
      </c>
      <c r="G300" s="22" t="str">
        <f>'Input data'!G$5</f>
        <v>2026-27</v>
      </c>
    </row>
    <row r="301" spans="2:7" ht="14.45" customHeight="1">
      <c r="B301" s="23"/>
      <c r="C301" s="23"/>
      <c r="D301" s="7"/>
      <c r="E301" s="7"/>
      <c r="F301" s="7"/>
      <c r="G301" s="7"/>
    </row>
    <row r="302" spans="2:7" ht="14.45" customHeight="1">
      <c r="B302" s="9" t="s">
        <v>8</v>
      </c>
      <c r="C302" s="3" t="s">
        <v>12</v>
      </c>
      <c r="D302" s="36">
        <f t="shared" ref="D302:G302" si="27">D165*(D234+D268)</f>
        <v>0</v>
      </c>
      <c r="E302" s="36">
        <f t="shared" si="27"/>
        <v>0</v>
      </c>
      <c r="F302" s="36">
        <f t="shared" si="27"/>
        <v>0</v>
      </c>
      <c r="G302" s="36">
        <f t="shared" si="27"/>
        <v>0</v>
      </c>
    </row>
    <row r="303" spans="2:7" ht="14.45" customHeight="1">
      <c r="B303" s="11"/>
      <c r="C303" s="3" t="s">
        <v>13</v>
      </c>
      <c r="D303" s="36">
        <f t="shared" ref="D303:G303" si="28">D166*(D235+D269)</f>
        <v>0</v>
      </c>
      <c r="E303" s="36">
        <f t="shared" si="28"/>
        <v>0</v>
      </c>
      <c r="F303" s="36">
        <f t="shared" si="28"/>
        <v>0</v>
      </c>
      <c r="G303" s="36">
        <f t="shared" si="28"/>
        <v>0</v>
      </c>
    </row>
    <row r="304" spans="2:7" ht="14.45" customHeight="1">
      <c r="B304" s="9" t="s">
        <v>14</v>
      </c>
      <c r="C304" s="3" t="s">
        <v>12</v>
      </c>
      <c r="D304" s="36">
        <f t="shared" ref="D304:G304" si="29">D167*(D236+D270)</f>
        <v>0</v>
      </c>
      <c r="E304" s="36">
        <f t="shared" si="29"/>
        <v>0</v>
      </c>
      <c r="F304" s="36">
        <f t="shared" si="29"/>
        <v>0</v>
      </c>
      <c r="G304" s="36">
        <f t="shared" si="29"/>
        <v>0</v>
      </c>
    </row>
    <row r="305" spans="2:7" ht="14.45" customHeight="1">
      <c r="B305" s="11"/>
      <c r="C305" s="3" t="s">
        <v>13</v>
      </c>
      <c r="D305" s="36">
        <f t="shared" ref="D305:G305" si="30">D168*(D237+D271)</f>
        <v>0</v>
      </c>
      <c r="E305" s="36">
        <f t="shared" si="30"/>
        <v>0</v>
      </c>
      <c r="F305" s="36">
        <f t="shared" si="30"/>
        <v>0</v>
      </c>
      <c r="G305" s="36">
        <f t="shared" si="30"/>
        <v>0</v>
      </c>
    </row>
    <row r="306" spans="2:7" ht="14.45" customHeight="1">
      <c r="B306" s="14" t="s">
        <v>15</v>
      </c>
      <c r="C306" s="3" t="s">
        <v>13</v>
      </c>
      <c r="D306" s="36">
        <f t="shared" ref="D306:G306" si="31">D169*(D238+D272)</f>
        <v>0</v>
      </c>
      <c r="E306" s="36">
        <f t="shared" si="31"/>
        <v>0</v>
      </c>
      <c r="F306" s="36">
        <f t="shared" si="31"/>
        <v>0</v>
      </c>
      <c r="G306" s="36">
        <f t="shared" si="31"/>
        <v>0</v>
      </c>
    </row>
    <row r="307" spans="2:7" ht="14.45" customHeight="1">
      <c r="B307" s="20" t="s">
        <v>32</v>
      </c>
      <c r="C307" s="21"/>
      <c r="D307" s="19">
        <f t="shared" ref="D307:G307" si="32">SUM(D280:D298,D302:D306)</f>
        <v>51029542.307437405</v>
      </c>
      <c r="E307" s="19">
        <f t="shared" si="32"/>
        <v>53979435.403127335</v>
      </c>
      <c r="F307" s="19">
        <f t="shared" si="32"/>
        <v>50873384.096469618</v>
      </c>
      <c r="G307" s="19">
        <f t="shared" si="32"/>
        <v>60396559.360564992</v>
      </c>
    </row>
    <row r="308" spans="2:7" ht="14.45" customHeight="1">
      <c r="D308" s="58">
        <f>'Input data'!D191*'Input data'!D7+'Input data'!D8-D307</f>
        <v>0</v>
      </c>
      <c r="E308" s="58">
        <f>'Input data'!E191*'Input data'!E7+'Input data'!E8-E307</f>
        <v>0</v>
      </c>
      <c r="F308" s="58">
        <f>'Input data'!F191*'Input data'!F7+'Input data'!F8-F307</f>
        <v>0</v>
      </c>
      <c r="G308" s="58">
        <f>'Input data'!G191*'Input data'!G7+'Input data'!G8-G307</f>
        <v>0</v>
      </c>
    </row>
  </sheetData>
  <conditionalFormatting sqref="D308:G308">
    <cfRule type="cellIs" dxfId="37" priority="1" operator="equal">
      <formula>0</formula>
    </cfRule>
    <cfRule type="cellIs" dxfId="36" priority="2" operator="lessThan">
      <formula>0</formula>
    </cfRule>
    <cfRule type="cellIs" dxfId="35" priority="3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39997558519241921"/>
  </sheetPr>
  <dimension ref="B1:G13"/>
  <sheetViews>
    <sheetView showGridLines="0" zoomScale="120" zoomScaleNormal="120" workbookViewId="0">
      <selection activeCell="F8" sqref="F8"/>
    </sheetView>
  </sheetViews>
  <sheetFormatPr defaultRowHeight="15"/>
  <cols>
    <col min="2" max="2" width="10.28515625" customWidth="1"/>
    <col min="3" max="3" width="35.42578125" bestFit="1" customWidth="1"/>
    <col min="4" max="7" width="11.7109375" customWidth="1"/>
  </cols>
  <sheetData>
    <row r="1" spans="2:7" s="1" customFormat="1"/>
    <row r="2" spans="2:7" ht="28.9" customHeight="1">
      <c r="B2" s="31" t="s">
        <v>593</v>
      </c>
      <c r="C2" s="4"/>
      <c r="D2" s="4"/>
      <c r="E2" s="4"/>
      <c r="F2" s="4"/>
      <c r="G2" s="4"/>
    </row>
    <row r="3" spans="2:7">
      <c r="B3" s="35" t="s">
        <v>295</v>
      </c>
    </row>
    <row r="4" spans="2:7">
      <c r="B4" s="8" t="s">
        <v>293</v>
      </c>
      <c r="C4" s="8" t="s">
        <v>294</v>
      </c>
      <c r="D4" s="5"/>
      <c r="E4" s="5"/>
      <c r="F4" s="5"/>
      <c r="G4" s="5"/>
    </row>
    <row r="5" spans="2:7">
      <c r="B5" s="24"/>
      <c r="C5" s="24"/>
      <c r="D5" s="22" t="str">
        <f>'Input data'!D5</f>
        <v>2023-24</v>
      </c>
      <c r="E5" s="22" t="str">
        <f>'Input data'!E5</f>
        <v>2024-25</v>
      </c>
      <c r="F5" s="22" t="str">
        <f>'Input data'!F5</f>
        <v>2025-26</v>
      </c>
      <c r="G5" s="22" t="str">
        <f>'Input data'!G5</f>
        <v>2026-27</v>
      </c>
    </row>
    <row r="6" spans="2:7">
      <c r="B6" s="9" t="s">
        <v>7</v>
      </c>
      <c r="C6" s="3" t="str">
        <f>'Input data'!B20</f>
        <v>VIP</v>
      </c>
      <c r="D6" s="84">
        <f>'Entry Tariff_2'!D170</f>
        <v>3.3169012300779871E-2</v>
      </c>
      <c r="E6" s="84">
        <f>'Entry Tariff_2'!E170</f>
        <v>3.52285835577116E-2</v>
      </c>
      <c r="F6" s="84">
        <f>'Entry Tariff_2'!F170</f>
        <v>3.7366318116816469E-2</v>
      </c>
      <c r="G6" s="84">
        <f>'Entry Tariff_2'!G170</f>
        <v>4.3924653615128845E-2</v>
      </c>
    </row>
    <row r="7" spans="2:7">
      <c r="B7" s="10"/>
      <c r="C7" s="3" t="str">
        <f>'Input data'!B25</f>
        <v>LNG terminal</v>
      </c>
      <c r="D7" s="84">
        <f>'Entry Tariff_2'!D175</f>
        <v>9.3711496166219294E-2</v>
      </c>
      <c r="E7" s="84">
        <f>'Entry Tariff_2'!E175</f>
        <v>9.8902373332040633E-2</v>
      </c>
      <c r="F7" s="84">
        <f>'Entry Tariff_2'!F175</f>
        <v>0.10440725521264488</v>
      </c>
      <c r="G7" s="84">
        <f>'Entry Tariff_2'!G175</f>
        <v>0.12374153940209431</v>
      </c>
    </row>
    <row r="8" spans="2:7">
      <c r="B8" s="10"/>
      <c r="C8" s="3" t="str">
        <f>'Input data'!B30</f>
        <v>Underground storage</v>
      </c>
      <c r="D8" s="84">
        <f>'Entry Tariff_2'!D180</f>
        <v>0</v>
      </c>
      <c r="E8" s="84">
        <f>'Entry Tariff_2'!E180</f>
        <v>0</v>
      </c>
      <c r="F8" s="84">
        <f>'Entry Tariff_2'!F180</f>
        <v>0</v>
      </c>
      <c r="G8" s="84">
        <f>'Entry Tariff_2'!G180</f>
        <v>0</v>
      </c>
    </row>
    <row r="9" spans="2:7">
      <c r="B9" s="11"/>
      <c r="C9" s="3" t="str">
        <f>'Input data'!B32</f>
        <v>Gas producers</v>
      </c>
      <c r="D9" s="84">
        <f>'Entry Tariff_2'!D182</f>
        <v>6.5485106194649373E-3</v>
      </c>
      <c r="E9" s="84">
        <f>'Entry Tariff_2'!E182</f>
        <v>6.9516376656535359E-3</v>
      </c>
      <c r="F9" s="84">
        <f>'Entry Tariff_2'!F182</f>
        <v>7.3225838532495419E-3</v>
      </c>
      <c r="G9" s="84">
        <f>'Entry Tariff_2'!G182</f>
        <v>8.7193329422280367E-3</v>
      </c>
    </row>
    <row r="10" spans="2:7">
      <c r="B10" s="9" t="s">
        <v>16</v>
      </c>
      <c r="C10" s="3" t="str">
        <f>'Input data'!B65</f>
        <v>VIP</v>
      </c>
      <c r="D10" s="84">
        <f>'Exit Tariff_2'!D212</f>
        <v>3.2954080048441685E-2</v>
      </c>
      <c r="E10" s="84">
        <f>'Exit Tariff_2'!E212</f>
        <v>3.4453513089865266E-2</v>
      </c>
      <c r="F10" s="84">
        <f>'Exit Tariff_2'!F212</f>
        <v>3.6839986548534723E-2</v>
      </c>
      <c r="G10" s="84">
        <f>'Exit Tariff_2'!G212</f>
        <v>3.7654063561903033E-2</v>
      </c>
    </row>
    <row r="11" spans="2:7">
      <c r="B11" s="12"/>
      <c r="C11" s="3" t="str">
        <f>'Input data'!B70</f>
        <v>LNG terminal</v>
      </c>
      <c r="D11" s="84">
        <f>'Exit Tariff_2'!D217</f>
        <v>0</v>
      </c>
      <c r="E11" s="84">
        <f>'Exit Tariff_2'!E217</f>
        <v>0</v>
      </c>
      <c r="F11" s="84">
        <f>'Exit Tariff_2'!F217</f>
        <v>0</v>
      </c>
      <c r="G11" s="84">
        <f>'Exit Tariff_2'!G217</f>
        <v>0</v>
      </c>
    </row>
    <row r="12" spans="2:7">
      <c r="B12" s="12"/>
      <c r="C12" s="3" t="str">
        <f>'Input data'!B75</f>
        <v>Underground storage</v>
      </c>
      <c r="D12" s="84">
        <f>'Exit Tariff_2'!D222</f>
        <v>0</v>
      </c>
      <c r="E12" s="84">
        <f>'Exit Tariff_2'!E222</f>
        <v>0</v>
      </c>
      <c r="F12" s="84">
        <f>'Exit Tariff_2'!F222</f>
        <v>0</v>
      </c>
      <c r="G12" s="84">
        <f>'Exit Tariff_2'!G222</f>
        <v>0</v>
      </c>
    </row>
    <row r="13" spans="2:7">
      <c r="B13" s="13"/>
      <c r="C13" s="3" t="str">
        <f>'Input data'!B77</f>
        <v>Distribution networks and HP customers</v>
      </c>
      <c r="D13" s="84">
        <f>'Exit Tariff_2'!D224</f>
        <v>0.1588443246190156</v>
      </c>
      <c r="E13" s="84">
        <f>'Exit Tariff_2'!E224</f>
        <v>0.16611533217762292</v>
      </c>
      <c r="F13" s="84">
        <f>'Exit Tariff_2'!F224</f>
        <v>0.17704832862406322</v>
      </c>
      <c r="G13" s="84">
        <f>'Exit Tariff_2'!G224</f>
        <v>0.18096584987033748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 tint="0.499984740745262"/>
  </sheetPr>
  <dimension ref="A1:C15"/>
  <sheetViews>
    <sheetView showGridLines="0" workbookViewId="0">
      <selection activeCell="F8" sqref="F8"/>
    </sheetView>
  </sheetViews>
  <sheetFormatPr defaultColWidth="0" defaultRowHeight="15" zeroHeight="1"/>
  <cols>
    <col min="1" max="1" width="8.85546875" customWidth="1"/>
    <col min="2" max="2" width="18.85546875" customWidth="1"/>
    <col min="3" max="3" width="8.85546875" customWidth="1"/>
    <col min="4" max="16384" width="8.85546875" hidden="1"/>
  </cols>
  <sheetData>
    <row r="1" spans="2:2"/>
    <row r="2" spans="2:2">
      <c r="B2" s="76" t="s">
        <v>280</v>
      </c>
    </row>
    <row r="3" spans="2:2">
      <c r="B3" s="77" t="s">
        <v>279</v>
      </c>
    </row>
    <row r="4" spans="2:2" s="1" customFormat="1">
      <c r="B4" s="78" t="s">
        <v>554</v>
      </c>
    </row>
    <row r="5" spans="2:2" s="1" customFormat="1">
      <c r="B5" s="78" t="s">
        <v>569</v>
      </c>
    </row>
    <row r="6" spans="2:2">
      <c r="B6" s="78" t="s">
        <v>296</v>
      </c>
    </row>
    <row r="7" spans="2:2">
      <c r="B7" s="78" t="s">
        <v>568</v>
      </c>
    </row>
    <row r="8" spans="2:2" s="1" customFormat="1">
      <c r="B8" s="79" t="s">
        <v>555</v>
      </c>
    </row>
    <row r="9" spans="2:2"/>
    <row r="10" spans="2:2"/>
    <row r="11" spans="2:2">
      <c r="B11" s="76" t="s">
        <v>281</v>
      </c>
    </row>
    <row r="12" spans="2:2">
      <c r="B12" s="77" t="s">
        <v>282</v>
      </c>
    </row>
    <row r="13" spans="2:2">
      <c r="B13" s="79" t="s">
        <v>283</v>
      </c>
    </row>
    <row r="14" spans="2:2"/>
    <row r="15" spans="2: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CD74C-59BF-47FA-B0F9-563EB38FCD1B}">
  <sheetPr>
    <tabColor theme="5"/>
  </sheetPr>
  <dimension ref="A1:Y43"/>
  <sheetViews>
    <sheetView showGridLines="0" zoomScale="90" zoomScaleNormal="90" workbookViewId="0">
      <selection activeCell="P4" sqref="P4"/>
    </sheetView>
  </sheetViews>
  <sheetFormatPr defaultColWidth="0" defaultRowHeight="0" customHeight="1" zeroHeight="1"/>
  <cols>
    <col min="1" max="1" width="3.7109375" style="1" customWidth="1"/>
    <col min="2" max="2" width="2.85546875" style="1" customWidth="1"/>
    <col min="3" max="3" width="11" style="1" customWidth="1"/>
    <col min="4" max="4" width="39.85546875" style="1" customWidth="1"/>
    <col min="5" max="5" width="66" style="1" customWidth="1"/>
    <col min="6" max="6" width="3.7109375" style="1" customWidth="1"/>
    <col min="7" max="9" width="13.85546875" style="1" customWidth="1"/>
    <col min="10" max="10" width="3.7109375" style="1" customWidth="1"/>
    <col min="11" max="11" width="10.42578125" style="1" customWidth="1"/>
    <col min="12" max="13" width="3.7109375" style="1" customWidth="1"/>
    <col min="14" max="14" width="1.7109375" style="190" customWidth="1"/>
    <col min="15" max="15" width="5.7109375" style="190" customWidth="1"/>
    <col min="16" max="16" width="49.7109375" style="190" customWidth="1"/>
    <col min="17" max="17" width="1.7109375" style="190" customWidth="1"/>
    <col min="18" max="18" width="3.7109375" style="190" customWidth="1"/>
    <col min="19" max="20" width="9.140625" style="1" hidden="1" customWidth="1"/>
    <col min="21" max="21" width="3.7109375" style="1" hidden="1" customWidth="1"/>
    <col min="22" max="22" width="9.140625" style="1" hidden="1" customWidth="1"/>
    <col min="23" max="25" width="3.7109375" style="1" hidden="1" customWidth="1"/>
    <col min="26" max="16384" width="9.140625" style="1" hidden="1"/>
  </cols>
  <sheetData>
    <row r="1" spans="1:17" ht="15" customHeight="1" thickBo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spans="1:17" ht="19.5" thickBot="1">
      <c r="A2" s="190"/>
      <c r="B2" s="191" t="str">
        <f>+Labels!B20</f>
        <v>Allowed revenues</v>
      </c>
      <c r="C2" s="192"/>
      <c r="D2" s="192"/>
      <c r="E2" s="192"/>
      <c r="F2" s="192"/>
      <c r="G2" s="192"/>
      <c r="H2" s="192"/>
      <c r="I2" s="192"/>
      <c r="J2" s="192"/>
      <c r="K2" s="192"/>
      <c r="L2" s="193"/>
      <c r="M2" s="190"/>
    </row>
    <row r="3" spans="1:17" ht="16.5" thickBot="1">
      <c r="A3" s="190"/>
      <c r="B3" s="194"/>
      <c r="C3" s="195"/>
      <c r="D3" s="195"/>
      <c r="E3" s="195"/>
      <c r="F3" s="195"/>
      <c r="G3" s="196" t="s">
        <v>802</v>
      </c>
      <c r="H3" s="196" t="s">
        <v>652</v>
      </c>
      <c r="I3" s="196" t="s">
        <v>653</v>
      </c>
      <c r="J3" s="197"/>
      <c r="K3" s="197"/>
      <c r="L3" s="198"/>
      <c r="M3" s="190"/>
      <c r="N3" s="199"/>
      <c r="O3" s="200"/>
      <c r="P3" s="201"/>
      <c r="Q3" s="202"/>
    </row>
    <row r="4" spans="1:17" ht="15.75" thickBot="1">
      <c r="A4" s="190"/>
      <c r="B4" s="194"/>
      <c r="C4" s="195"/>
      <c r="D4" s="203" t="str">
        <f>+Labels!B21</f>
        <v>Allowed revenues of the transmission system operator</v>
      </c>
      <c r="E4" s="204"/>
      <c r="F4" s="205"/>
      <c r="G4" s="206">
        <f>+'Input data'!E7</f>
        <v>74971438.059899092</v>
      </c>
      <c r="H4" s="206">
        <f>+'Input data'!F7</f>
        <v>70657477.91176337</v>
      </c>
      <c r="I4" s="207">
        <f>+'Input data'!G7</f>
        <v>83884110.223006934</v>
      </c>
      <c r="J4" s="208"/>
      <c r="K4" s="208"/>
      <c r="L4" s="198"/>
      <c r="M4" s="190"/>
      <c r="N4" s="209"/>
      <c r="O4" s="210"/>
      <c r="P4" s="211" t="str">
        <f>+Labels!B49</f>
        <v>Yellow cells can be changed by the user</v>
      </c>
      <c r="Q4" s="212"/>
    </row>
    <row r="5" spans="1:17" ht="15.75" thickBot="1">
      <c r="A5" s="190"/>
      <c r="B5" s="213"/>
      <c r="C5" s="214"/>
      <c r="D5" s="214"/>
      <c r="E5" s="214"/>
      <c r="F5" s="214"/>
      <c r="G5" s="215"/>
      <c r="H5" s="215"/>
      <c r="I5" s="214"/>
      <c r="J5" s="214"/>
      <c r="K5" s="214"/>
      <c r="L5" s="216"/>
      <c r="M5" s="190"/>
      <c r="N5" s="217"/>
      <c r="O5" s="218"/>
      <c r="P5" s="218"/>
      <c r="Q5" s="219"/>
    </row>
    <row r="6" spans="1:17" ht="15" customHeight="1" thickBot="1">
      <c r="A6" s="190"/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</row>
    <row r="7" spans="1:17" ht="18.75">
      <c r="A7" s="190"/>
      <c r="B7" s="191" t="str">
        <f>+Labels!B22</f>
        <v>Forecasted capacity demand</v>
      </c>
      <c r="C7" s="192"/>
      <c r="D7" s="192"/>
      <c r="E7" s="192"/>
      <c r="F7" s="192"/>
      <c r="G7" s="192"/>
      <c r="H7" s="192"/>
      <c r="I7" s="192"/>
      <c r="J7" s="192"/>
      <c r="K7" s="192"/>
      <c r="L7" s="193"/>
      <c r="M7" s="190"/>
    </row>
    <row r="8" spans="1:17" ht="15.75" thickBot="1">
      <c r="A8" s="190"/>
      <c r="B8" s="194"/>
      <c r="C8" s="195"/>
      <c r="D8" s="195"/>
      <c r="E8" s="195"/>
      <c r="F8" s="195"/>
      <c r="G8" s="195"/>
      <c r="H8" s="195"/>
      <c r="I8" s="195"/>
      <c r="J8" s="195"/>
      <c r="K8" s="195"/>
      <c r="L8" s="198"/>
      <c r="M8" s="190"/>
    </row>
    <row r="9" spans="1:17" ht="15.75" thickBot="1">
      <c r="A9" s="190"/>
      <c r="B9" s="194"/>
      <c r="C9" s="195"/>
      <c r="D9" s="220" t="str">
        <f>+Labels!B23</f>
        <v>Point</v>
      </c>
      <c r="E9" s="221" t="str">
        <f>+Labels!B24</f>
        <v>Product</v>
      </c>
      <c r="F9" s="195"/>
      <c r="G9" s="196" t="str">
        <f t="shared" ref="G9:I9" si="0">+G3</f>
        <v>2024-2025</v>
      </c>
      <c r="H9" s="196" t="str">
        <f>+H3</f>
        <v>2025-2026</v>
      </c>
      <c r="I9" s="196" t="str">
        <f t="shared" si="0"/>
        <v>2026-2027</v>
      </c>
      <c r="J9" s="195"/>
      <c r="K9" s="222" t="str">
        <f>+Labels!B46</f>
        <v>Unit</v>
      </c>
      <c r="L9" s="198"/>
      <c r="M9" s="190"/>
    </row>
    <row r="10" spans="1:17" ht="15">
      <c r="A10" s="190"/>
      <c r="B10" s="194"/>
      <c r="C10" s="223" t="str">
        <f>+Labels!B25</f>
        <v>Entry</v>
      </c>
      <c r="D10" s="224" t="str">
        <f>+Labels!B27</f>
        <v>VIP Iberico</v>
      </c>
      <c r="E10" s="225" t="str">
        <f>+Labels!B33</f>
        <v>Yearly</v>
      </c>
      <c r="F10" s="205"/>
      <c r="G10" s="226">
        <f>'Input data'!E20</f>
        <v>4884702</v>
      </c>
      <c r="H10" s="226">
        <f>'Input data'!F20</f>
        <v>8676558</v>
      </c>
      <c r="I10" s="227">
        <f>'Input data'!G20</f>
        <v>7666326.0000000009</v>
      </c>
      <c r="J10" s="228"/>
      <c r="K10" s="229" t="str">
        <f>+Labels!B47</f>
        <v>kWh/day</v>
      </c>
      <c r="L10" s="198"/>
      <c r="M10" s="190"/>
    </row>
    <row r="11" spans="1:17" ht="15">
      <c r="A11" s="190"/>
      <c r="B11" s="194"/>
      <c r="C11" s="230"/>
      <c r="D11" s="231"/>
      <c r="E11" s="232" t="str">
        <f>+Labels!B34</f>
        <v>Quarterly</v>
      </c>
      <c r="F11" s="195"/>
      <c r="G11" s="233">
        <f>'Input data'!E21</f>
        <v>3513912</v>
      </c>
      <c r="H11" s="233">
        <f>'Input data'!F21</f>
        <v>1596384</v>
      </c>
      <c r="I11" s="234">
        <f>'Input data'!G21</f>
        <v>207846</v>
      </c>
      <c r="J11" s="195"/>
      <c r="K11" s="235" t="str">
        <f>+$K$10</f>
        <v>kWh/day</v>
      </c>
      <c r="L11" s="198"/>
      <c r="M11" s="190"/>
    </row>
    <row r="12" spans="1:17" ht="15">
      <c r="A12" s="190"/>
      <c r="B12" s="194"/>
      <c r="C12" s="230"/>
      <c r="D12" s="231"/>
      <c r="E12" s="232" t="str">
        <f>+Labels!B35</f>
        <v>Monthly</v>
      </c>
      <c r="F12" s="236"/>
      <c r="G12" s="233">
        <f>'Input data'!E22</f>
        <v>9185306</v>
      </c>
      <c r="H12" s="233">
        <f>'Input data'!F22</f>
        <v>2512022</v>
      </c>
      <c r="I12" s="234">
        <f>'Input data'!G22</f>
        <v>1265424</v>
      </c>
      <c r="J12" s="237"/>
      <c r="K12" s="235" t="str">
        <f t="shared" ref="K12:K41" si="1">+$K$10</f>
        <v>kWh/day</v>
      </c>
      <c r="L12" s="198"/>
      <c r="M12" s="190"/>
    </row>
    <row r="13" spans="1:17" ht="15">
      <c r="A13" s="190"/>
      <c r="B13" s="194"/>
      <c r="C13" s="230"/>
      <c r="D13" s="231"/>
      <c r="E13" s="232" t="str">
        <f>+Labels!B36</f>
        <v>Daily</v>
      </c>
      <c r="F13" s="236"/>
      <c r="G13" s="233">
        <f>'Input data'!E23</f>
        <v>5947824.7013698621</v>
      </c>
      <c r="H13" s="233">
        <f>'Input data'!F23</f>
        <v>2568168.3524590163</v>
      </c>
      <c r="I13" s="234">
        <f>'Input data'!G23</f>
        <v>4962488.1095890403</v>
      </c>
      <c r="J13" s="236"/>
      <c r="K13" s="235" t="str">
        <f t="shared" si="1"/>
        <v>kWh/day</v>
      </c>
      <c r="L13" s="198"/>
      <c r="M13" s="190"/>
    </row>
    <row r="14" spans="1:17" ht="15.75" thickBot="1">
      <c r="A14" s="190"/>
      <c r="B14" s="194"/>
      <c r="C14" s="230"/>
      <c r="D14" s="238"/>
      <c r="E14" s="239" t="str">
        <f>+Labels!B37</f>
        <v>Intraday</v>
      </c>
      <c r="F14" s="205"/>
      <c r="G14" s="240">
        <f>'Input data'!E24</f>
        <v>666864.43013698631</v>
      </c>
      <c r="H14" s="240">
        <f>'Input data'!F24</f>
        <v>390410.33879781421</v>
      </c>
      <c r="I14" s="241">
        <f>'Input data'!G24</f>
        <v>285396.11506849312</v>
      </c>
      <c r="J14" s="228"/>
      <c r="K14" s="242" t="str">
        <f t="shared" si="1"/>
        <v>kWh/day</v>
      </c>
      <c r="L14" s="198"/>
      <c r="M14" s="190"/>
    </row>
    <row r="15" spans="1:17" ht="15">
      <c r="A15" s="190"/>
      <c r="B15" s="194"/>
      <c r="C15" s="230"/>
      <c r="D15" s="224" t="str">
        <f>+Labels!B28</f>
        <v>LNG terminal</v>
      </c>
      <c r="E15" s="225" t="str">
        <f>+E10</f>
        <v>Yearly</v>
      </c>
      <c r="F15" s="195"/>
      <c r="G15" s="226">
        <f>'Input data'!E25</f>
        <v>200000000</v>
      </c>
      <c r="H15" s="226">
        <f>'Input data'!F25</f>
        <v>182000000</v>
      </c>
      <c r="I15" s="227">
        <f>'Input data'!G25</f>
        <v>180500000</v>
      </c>
      <c r="J15" s="195"/>
      <c r="K15" s="243" t="str">
        <f t="shared" si="1"/>
        <v>kWh/day</v>
      </c>
      <c r="L15" s="198"/>
      <c r="M15" s="190"/>
    </row>
    <row r="16" spans="1:17" ht="15">
      <c r="A16" s="190"/>
      <c r="B16" s="194"/>
      <c r="C16" s="230"/>
      <c r="D16" s="231"/>
      <c r="E16" s="232" t="str">
        <f t="shared" ref="E16:E19" si="2">+E11</f>
        <v>Quarterly</v>
      </c>
      <c r="F16" s="236"/>
      <c r="G16" s="233">
        <f>'Input data'!E26</f>
        <v>0</v>
      </c>
      <c r="H16" s="233">
        <f>'Input data'!F26</f>
        <v>0</v>
      </c>
      <c r="I16" s="234">
        <f>'Input data'!G26</f>
        <v>1250000</v>
      </c>
      <c r="J16" s="237"/>
      <c r="K16" s="235" t="str">
        <f t="shared" si="1"/>
        <v>kWh/day</v>
      </c>
      <c r="L16" s="198"/>
      <c r="M16" s="190"/>
    </row>
    <row r="17" spans="1:13" ht="15">
      <c r="A17" s="190"/>
      <c r="B17" s="194"/>
      <c r="C17" s="230"/>
      <c r="D17" s="231"/>
      <c r="E17" s="232" t="str">
        <f t="shared" si="2"/>
        <v>Monthly</v>
      </c>
      <c r="F17" s="236"/>
      <c r="G17" s="233">
        <f>'Input data'!E27</f>
        <v>0</v>
      </c>
      <c r="H17" s="233">
        <f>'Input data'!F27</f>
        <v>0</v>
      </c>
      <c r="I17" s="234">
        <f>'Input data'!G27</f>
        <v>0</v>
      </c>
      <c r="J17" s="236"/>
      <c r="K17" s="235" t="str">
        <f t="shared" si="1"/>
        <v>kWh/day</v>
      </c>
      <c r="L17" s="198"/>
      <c r="M17" s="190"/>
    </row>
    <row r="18" spans="1:13" ht="15">
      <c r="A18" s="190"/>
      <c r="B18" s="194"/>
      <c r="C18" s="230"/>
      <c r="D18" s="231"/>
      <c r="E18" s="232" t="str">
        <f t="shared" si="2"/>
        <v>Daily</v>
      </c>
      <c r="F18" s="205"/>
      <c r="G18" s="233">
        <f>'Input data'!E28</f>
        <v>0</v>
      </c>
      <c r="H18" s="233">
        <f>'Input data'!F28</f>
        <v>16422.295081967215</v>
      </c>
      <c r="I18" s="234">
        <f>'Input data'!G28</f>
        <v>40397.589041095889</v>
      </c>
      <c r="J18" s="228"/>
      <c r="K18" s="235" t="str">
        <f t="shared" si="1"/>
        <v>kWh/day</v>
      </c>
      <c r="L18" s="198"/>
      <c r="M18" s="190"/>
    </row>
    <row r="19" spans="1:13" ht="15.75" thickBot="1">
      <c r="A19" s="190"/>
      <c r="B19" s="194"/>
      <c r="C19" s="230"/>
      <c r="D19" s="238"/>
      <c r="E19" s="239" t="str">
        <f t="shared" si="2"/>
        <v>Intraday</v>
      </c>
      <c r="F19" s="195"/>
      <c r="G19" s="240">
        <f>'Input data'!E29</f>
        <v>0</v>
      </c>
      <c r="H19" s="240">
        <f>'Input data'!F29</f>
        <v>180266.40163934426</v>
      </c>
      <c r="I19" s="241">
        <f>'Input data'!G29</f>
        <v>333351.3232876712</v>
      </c>
      <c r="J19" s="195"/>
      <c r="K19" s="242" t="str">
        <f t="shared" si="1"/>
        <v>kWh/day</v>
      </c>
      <c r="L19" s="198"/>
      <c r="M19" s="190"/>
    </row>
    <row r="20" spans="1:13" ht="15">
      <c r="A20" s="190"/>
      <c r="B20" s="194"/>
      <c r="C20" s="230"/>
      <c r="D20" s="224" t="str">
        <f>+Labels!B29</f>
        <v>Underground Storage</v>
      </c>
      <c r="E20" s="225" t="str">
        <f>+E13</f>
        <v>Daily</v>
      </c>
      <c r="F20" s="236"/>
      <c r="G20" s="226">
        <f>'Input data'!E30</f>
        <v>4369884.2958904114</v>
      </c>
      <c r="H20" s="226">
        <f>'Input data'!F30</f>
        <v>4951057.1361363269</v>
      </c>
      <c r="I20" s="227">
        <f>'Input data'!G30</f>
        <v>5171351.98630137</v>
      </c>
      <c r="J20" s="237"/>
      <c r="K20" s="243" t="str">
        <f t="shared" si="1"/>
        <v>kWh/day</v>
      </c>
      <c r="L20" s="198"/>
      <c r="M20" s="190"/>
    </row>
    <row r="21" spans="1:13" ht="15.75" thickBot="1">
      <c r="A21" s="190"/>
      <c r="B21" s="194"/>
      <c r="C21" s="244"/>
      <c r="D21" s="238"/>
      <c r="E21" s="239" t="str">
        <f>+E14</f>
        <v>Intraday</v>
      </c>
      <c r="F21" s="236"/>
      <c r="G21" s="240">
        <f>'Input data'!E31</f>
        <v>2787181.2931506848</v>
      </c>
      <c r="H21" s="240">
        <f>'Input data'!F31</f>
        <v>1918358.1253384296</v>
      </c>
      <c r="I21" s="241">
        <f>'Input data'!G31</f>
        <v>2527776.5780821918</v>
      </c>
      <c r="J21" s="236"/>
      <c r="K21" s="242" t="str">
        <f t="shared" si="1"/>
        <v>kWh/day</v>
      </c>
      <c r="L21" s="198"/>
      <c r="M21" s="190"/>
    </row>
    <row r="22" spans="1:13" ht="15.75" thickBot="1">
      <c r="A22" s="190"/>
      <c r="B22" s="194"/>
      <c r="C22" s="245"/>
      <c r="D22" s="231" t="str">
        <f>+Labels!B30</f>
        <v>Gas producers</v>
      </c>
      <c r="E22" s="246" t="str">
        <f>+Labels!B38</f>
        <v>Used capacity at injection</v>
      </c>
      <c r="F22" s="236"/>
      <c r="G22" s="247">
        <f>'Input data'!E32</f>
        <v>1</v>
      </c>
      <c r="H22" s="247">
        <f>'Input data'!F32</f>
        <v>1</v>
      </c>
      <c r="I22" s="248">
        <f>'Input data'!G32</f>
        <v>1</v>
      </c>
      <c r="J22" s="236"/>
      <c r="K22" s="249" t="str">
        <f t="shared" si="1"/>
        <v>kWh/day</v>
      </c>
      <c r="L22" s="198"/>
      <c r="M22" s="190"/>
    </row>
    <row r="23" spans="1:13" ht="15">
      <c r="A23" s="190"/>
      <c r="B23" s="194"/>
      <c r="C23" s="223" t="str">
        <f>+Labels!B26</f>
        <v>Exit</v>
      </c>
      <c r="D23" s="224" t="str">
        <f>+D10</f>
        <v>VIP Iberico</v>
      </c>
      <c r="E23" s="225" t="str">
        <f>+E10</f>
        <v>Yearly</v>
      </c>
      <c r="F23" s="205"/>
      <c r="G23" s="226">
        <f>'Input data'!E65</f>
        <v>0</v>
      </c>
      <c r="H23" s="226">
        <f>'Input data'!F65</f>
        <v>0</v>
      </c>
      <c r="I23" s="227">
        <f>'Input data'!G65</f>
        <v>0</v>
      </c>
      <c r="J23" s="228"/>
      <c r="K23" s="243" t="str">
        <f t="shared" si="1"/>
        <v>kWh/day</v>
      </c>
      <c r="L23" s="198"/>
      <c r="M23" s="190"/>
    </row>
    <row r="24" spans="1:13" ht="15">
      <c r="A24" s="190"/>
      <c r="B24" s="194"/>
      <c r="C24" s="244"/>
      <c r="D24" s="231"/>
      <c r="E24" s="232" t="str">
        <f t="shared" ref="E24:E34" si="3">+E11</f>
        <v>Quarterly</v>
      </c>
      <c r="F24" s="195"/>
      <c r="G24" s="233">
        <f>'Input data'!E66</f>
        <v>0</v>
      </c>
      <c r="H24" s="233">
        <f>'Input data'!F66</f>
        <v>0</v>
      </c>
      <c r="I24" s="234">
        <f>'Input data'!G66</f>
        <v>0</v>
      </c>
      <c r="J24" s="195"/>
      <c r="K24" s="235" t="str">
        <f t="shared" si="1"/>
        <v>kWh/day</v>
      </c>
      <c r="L24" s="198"/>
      <c r="M24" s="190"/>
    </row>
    <row r="25" spans="1:13" ht="15">
      <c r="A25" s="190"/>
      <c r="B25" s="194"/>
      <c r="C25" s="244"/>
      <c r="D25" s="231"/>
      <c r="E25" s="232" t="str">
        <f t="shared" si="3"/>
        <v>Monthly</v>
      </c>
      <c r="F25" s="236"/>
      <c r="G25" s="233">
        <f>'Input data'!E67</f>
        <v>2561584.0000000005</v>
      </c>
      <c r="H25" s="233">
        <f>'Input data'!F67</f>
        <v>13013032</v>
      </c>
      <c r="I25" s="234">
        <f>'Input data'!G67</f>
        <v>10591008</v>
      </c>
      <c r="J25" s="237"/>
      <c r="K25" s="235" t="str">
        <f t="shared" si="1"/>
        <v>kWh/day</v>
      </c>
      <c r="L25" s="198"/>
      <c r="M25" s="190"/>
    </row>
    <row r="26" spans="1:13" ht="15">
      <c r="A26" s="190"/>
      <c r="B26" s="194"/>
      <c r="C26" s="244"/>
      <c r="D26" s="231"/>
      <c r="E26" s="232" t="str">
        <f t="shared" si="3"/>
        <v>Daily</v>
      </c>
      <c r="F26" s="236"/>
      <c r="G26" s="233">
        <f>'Input data'!E68</f>
        <v>25198760.186301369</v>
      </c>
      <c r="H26" s="233">
        <f>'Input data'!F68</f>
        <v>31102189</v>
      </c>
      <c r="I26" s="234">
        <f>'Input data'!G68</f>
        <v>7155685</v>
      </c>
      <c r="J26" s="236"/>
      <c r="K26" s="235" t="str">
        <f t="shared" si="1"/>
        <v>kWh/day</v>
      </c>
      <c r="L26" s="198"/>
      <c r="M26" s="190"/>
    </row>
    <row r="27" spans="1:13" ht="15.75" thickBot="1">
      <c r="A27" s="190"/>
      <c r="B27" s="194"/>
      <c r="C27" s="244"/>
      <c r="D27" s="238"/>
      <c r="E27" s="239" t="str">
        <f t="shared" si="3"/>
        <v>Intraday</v>
      </c>
      <c r="F27" s="205"/>
      <c r="G27" s="240">
        <f>'Input data'!E69</f>
        <v>395278.85205479449</v>
      </c>
      <c r="H27" s="240">
        <f>'Input data'!F69</f>
        <v>111340</v>
      </c>
      <c r="I27" s="241">
        <f>'Input data'!G69</f>
        <v>21505</v>
      </c>
      <c r="J27" s="228"/>
      <c r="K27" s="242" t="str">
        <f t="shared" si="1"/>
        <v>kWh/day</v>
      </c>
      <c r="L27" s="198"/>
      <c r="M27" s="190"/>
    </row>
    <row r="28" spans="1:13" ht="15">
      <c r="A28" s="190"/>
      <c r="B28" s="194"/>
      <c r="C28" s="244"/>
      <c r="D28" s="224" t="str">
        <f>+D15</f>
        <v>LNG terminal</v>
      </c>
      <c r="E28" s="225" t="str">
        <f t="shared" si="3"/>
        <v>Yearly</v>
      </c>
      <c r="F28" s="195"/>
      <c r="G28" s="226">
        <f>'Input data'!E70</f>
        <v>0</v>
      </c>
      <c r="H28" s="226">
        <f>'Input data'!F70</f>
        <v>0</v>
      </c>
      <c r="I28" s="227">
        <f>'Input data'!G70</f>
        <v>0</v>
      </c>
      <c r="J28" s="195"/>
      <c r="K28" s="243" t="str">
        <f t="shared" si="1"/>
        <v>kWh/day</v>
      </c>
      <c r="L28" s="198"/>
      <c r="M28" s="190"/>
    </row>
    <row r="29" spans="1:13" ht="15">
      <c r="A29" s="190"/>
      <c r="B29" s="194"/>
      <c r="C29" s="244"/>
      <c r="D29" s="231"/>
      <c r="E29" s="232" t="str">
        <f t="shared" si="3"/>
        <v>Quarterly</v>
      </c>
      <c r="F29" s="236"/>
      <c r="G29" s="233">
        <f>'Input data'!E71</f>
        <v>0</v>
      </c>
      <c r="H29" s="233">
        <f>'Input data'!F71</f>
        <v>0</v>
      </c>
      <c r="I29" s="234">
        <f>'Input data'!G71</f>
        <v>0</v>
      </c>
      <c r="J29" s="237"/>
      <c r="K29" s="235" t="str">
        <f t="shared" si="1"/>
        <v>kWh/day</v>
      </c>
      <c r="L29" s="198"/>
      <c r="M29" s="190"/>
    </row>
    <row r="30" spans="1:13" ht="15">
      <c r="A30" s="190"/>
      <c r="B30" s="194"/>
      <c r="C30" s="244"/>
      <c r="D30" s="231"/>
      <c r="E30" s="232" t="str">
        <f t="shared" si="3"/>
        <v>Monthly</v>
      </c>
      <c r="F30" s="236"/>
      <c r="G30" s="233">
        <f>'Input data'!E72</f>
        <v>0</v>
      </c>
      <c r="H30" s="233">
        <f>'Input data'!F72</f>
        <v>0</v>
      </c>
      <c r="I30" s="234">
        <f>'Input data'!G72</f>
        <v>0</v>
      </c>
      <c r="J30" s="236"/>
      <c r="K30" s="235" t="str">
        <f t="shared" si="1"/>
        <v>kWh/day</v>
      </c>
      <c r="L30" s="198"/>
      <c r="M30" s="190"/>
    </row>
    <row r="31" spans="1:13" ht="15">
      <c r="A31" s="190"/>
      <c r="B31" s="194"/>
      <c r="C31" s="244"/>
      <c r="D31" s="231"/>
      <c r="E31" s="232" t="str">
        <f t="shared" si="3"/>
        <v>Daily</v>
      </c>
      <c r="F31" s="205"/>
      <c r="G31" s="233">
        <f>'Input data'!E73</f>
        <v>0</v>
      </c>
      <c r="H31" s="233">
        <f>'Input data'!F73</f>
        <v>0</v>
      </c>
      <c r="I31" s="234">
        <f>'Input data'!G73</f>
        <v>0</v>
      </c>
      <c r="J31" s="228"/>
      <c r="K31" s="235" t="str">
        <f t="shared" si="1"/>
        <v>kWh/day</v>
      </c>
      <c r="L31" s="198"/>
      <c r="M31" s="190"/>
    </row>
    <row r="32" spans="1:13" ht="15.75" thickBot="1">
      <c r="A32" s="190"/>
      <c r="B32" s="194"/>
      <c r="C32" s="244"/>
      <c r="D32" s="238"/>
      <c r="E32" s="239" t="str">
        <f t="shared" si="3"/>
        <v>Intraday</v>
      </c>
      <c r="F32" s="195"/>
      <c r="G32" s="240">
        <f>'Input data'!E74</f>
        <v>0</v>
      </c>
      <c r="H32" s="240">
        <f>'Input data'!F74</f>
        <v>0</v>
      </c>
      <c r="I32" s="241">
        <f>'Input data'!G74</f>
        <v>0</v>
      </c>
      <c r="J32" s="195"/>
      <c r="K32" s="242" t="str">
        <f t="shared" si="1"/>
        <v>kWh/day</v>
      </c>
      <c r="L32" s="198"/>
      <c r="M32" s="190"/>
    </row>
    <row r="33" spans="1:13" ht="15">
      <c r="A33" s="190"/>
      <c r="B33" s="194"/>
      <c r="C33" s="244"/>
      <c r="D33" s="224" t="str">
        <f>+D20</f>
        <v>Underground Storage</v>
      </c>
      <c r="E33" s="225" t="str">
        <f t="shared" si="3"/>
        <v>Daily</v>
      </c>
      <c r="F33" s="236"/>
      <c r="G33" s="226">
        <f>'Input data'!E75</f>
        <v>6555128.6712328773</v>
      </c>
      <c r="H33" s="226">
        <f>'Input data'!F75</f>
        <v>6593617.2301879274</v>
      </c>
      <c r="I33" s="227">
        <f>'Input data'!G75</f>
        <v>4476108.8335881513</v>
      </c>
      <c r="J33" s="237"/>
      <c r="K33" s="243" t="str">
        <f t="shared" si="1"/>
        <v>kWh/day</v>
      </c>
      <c r="L33" s="198"/>
      <c r="M33" s="190"/>
    </row>
    <row r="34" spans="1:13" ht="15.75" thickBot="1">
      <c r="A34" s="190"/>
      <c r="B34" s="194"/>
      <c r="C34" s="244"/>
      <c r="D34" s="238"/>
      <c r="E34" s="239" t="str">
        <f t="shared" si="3"/>
        <v>Intraday</v>
      </c>
      <c r="F34" s="236"/>
      <c r="G34" s="240">
        <f>'Input data'!E76</f>
        <v>515312</v>
      </c>
      <c r="H34" s="240">
        <f>'Input data'!F76</f>
        <v>683624.83242554544</v>
      </c>
      <c r="I34" s="241">
        <f>'Input data'!G76</f>
        <v>1118291.5145007165</v>
      </c>
      <c r="J34" s="236"/>
      <c r="K34" s="242" t="str">
        <f t="shared" si="1"/>
        <v>kWh/day</v>
      </c>
      <c r="L34" s="198"/>
      <c r="M34" s="190"/>
    </row>
    <row r="35" spans="1:13" ht="15.75" thickBot="1">
      <c r="A35" s="190"/>
      <c r="B35" s="194"/>
      <c r="C35" s="244"/>
      <c r="D35" s="250" t="str">
        <f>+Labels!B31</f>
        <v>Distribution networks and HP Customers</v>
      </c>
      <c r="E35" s="251" t="str">
        <f>+Labels!B39</f>
        <v>Long Uses</v>
      </c>
      <c r="F35" s="205"/>
      <c r="G35" s="252">
        <f>'Input data'!E77</f>
        <v>165852149.48415494</v>
      </c>
      <c r="H35" s="252">
        <f>'Input data'!F77</f>
        <v>157646327.37832683</v>
      </c>
      <c r="I35" s="253">
        <f>'Input data'!G77</f>
        <v>152491321.29236305</v>
      </c>
      <c r="J35" s="228"/>
      <c r="K35" s="254" t="str">
        <f t="shared" si="1"/>
        <v>kWh/day</v>
      </c>
      <c r="L35" s="198"/>
      <c r="M35" s="190"/>
    </row>
    <row r="36" spans="1:13" ht="15">
      <c r="A36" s="190"/>
      <c r="B36" s="194"/>
      <c r="C36" s="244"/>
      <c r="D36" s="224" t="str">
        <f>+Labels!B32</f>
        <v>HP Customers</v>
      </c>
      <c r="E36" s="225" t="str">
        <f>+Labels!B40</f>
        <v>Annual Flexible Rate - Annual Base Capacity</v>
      </c>
      <c r="F36" s="195"/>
      <c r="G36" s="226">
        <f>'Input data'!E78</f>
        <v>146529209.96653783</v>
      </c>
      <c r="H36" s="226">
        <f>'Input data'!F78</f>
        <v>110137542.48308744</v>
      </c>
      <c r="I36" s="227">
        <f>'Input data'!G78</f>
        <v>65545994.761697069</v>
      </c>
      <c r="J36" s="195"/>
      <c r="K36" s="255" t="str">
        <f t="shared" si="1"/>
        <v>kWh/day</v>
      </c>
      <c r="L36" s="198"/>
      <c r="M36" s="190"/>
    </row>
    <row r="37" spans="1:13" ht="15">
      <c r="A37" s="190"/>
      <c r="B37" s="194"/>
      <c r="C37" s="244"/>
      <c r="D37" s="231"/>
      <c r="E37" s="232" t="str">
        <f>+Labels!B41</f>
        <v>Annual Flexible Rate - Additional Monthly Capacity (April to September)</v>
      </c>
      <c r="F37" s="236"/>
      <c r="G37" s="233">
        <f>'Input data'!E79</f>
        <v>0</v>
      </c>
      <c r="H37" s="233">
        <f>'Input data'!F79</f>
        <v>0</v>
      </c>
      <c r="I37" s="234">
        <f>'Input data'!G79</f>
        <v>0</v>
      </c>
      <c r="J37" s="237"/>
      <c r="K37" s="235" t="str">
        <f t="shared" si="1"/>
        <v>kWh/day</v>
      </c>
      <c r="L37" s="198"/>
      <c r="M37" s="190"/>
    </row>
    <row r="38" spans="1:13" ht="15">
      <c r="A38" s="190"/>
      <c r="B38" s="194"/>
      <c r="C38" s="244"/>
      <c r="D38" s="231"/>
      <c r="E38" s="232" t="str">
        <f>+Labels!B42</f>
        <v>Flexible Monthly Rate - Monthly Capacity (October to March)</v>
      </c>
      <c r="F38" s="236"/>
      <c r="G38" s="233">
        <f>'Input data'!E80</f>
        <v>342023</v>
      </c>
      <c r="H38" s="233">
        <f>'Input data'!F80</f>
        <v>732895.5</v>
      </c>
      <c r="I38" s="234">
        <f>'Input data'!G80</f>
        <v>24407845.206212893</v>
      </c>
      <c r="J38" s="236"/>
      <c r="K38" s="235" t="str">
        <f t="shared" si="1"/>
        <v>kWh/day</v>
      </c>
      <c r="L38" s="198"/>
      <c r="M38" s="190"/>
    </row>
    <row r="39" spans="1:13" ht="15">
      <c r="A39" s="190"/>
      <c r="B39" s="194"/>
      <c r="C39" s="244"/>
      <c r="D39" s="231"/>
      <c r="E39" s="232" t="str">
        <f>+Labels!B43</f>
        <v>Flexible Monthly Rate - Monthly Capacity (April to September)</v>
      </c>
      <c r="F39" s="205"/>
      <c r="G39" s="233">
        <f>'Input data'!E81</f>
        <v>342023</v>
      </c>
      <c r="H39" s="233">
        <f>'Input data'!F81</f>
        <v>732895.5</v>
      </c>
      <c r="I39" s="234">
        <f>'Input data'!G81</f>
        <v>24407845.206212893</v>
      </c>
      <c r="J39" s="228"/>
      <c r="K39" s="235" t="str">
        <f t="shared" si="1"/>
        <v>kWh/day</v>
      </c>
      <c r="L39" s="198"/>
      <c r="M39" s="190"/>
    </row>
    <row r="40" spans="1:13" ht="15">
      <c r="A40" s="190"/>
      <c r="B40" s="194"/>
      <c r="C40" s="244"/>
      <c r="D40" s="231"/>
      <c r="E40" s="232" t="str">
        <f>+Labels!B44</f>
        <v>Daily Flexible Rate - Daily Capacity (October to March)</v>
      </c>
      <c r="F40" s="195"/>
      <c r="G40" s="233">
        <f>'Input data'!E82</f>
        <v>0</v>
      </c>
      <c r="H40" s="233">
        <f>'Input data'!F82</f>
        <v>0</v>
      </c>
      <c r="I40" s="234">
        <f>'Input data'!G82</f>
        <v>0</v>
      </c>
      <c r="J40" s="195"/>
      <c r="K40" s="235" t="str">
        <f t="shared" si="1"/>
        <v>kWh/day</v>
      </c>
      <c r="L40" s="198"/>
      <c r="M40" s="190"/>
    </row>
    <row r="41" spans="1:13" ht="15.75" thickBot="1">
      <c r="A41" s="190"/>
      <c r="B41" s="194"/>
      <c r="C41" s="245"/>
      <c r="D41" s="238"/>
      <c r="E41" s="239" t="str">
        <f>+Labels!B45</f>
        <v>Daily Flexible Rate - Daily Capacity (April to September)</v>
      </c>
      <c r="F41" s="236"/>
      <c r="G41" s="240">
        <f>'Input data'!E83</f>
        <v>0</v>
      </c>
      <c r="H41" s="240">
        <f>'Input data'!F83</f>
        <v>0</v>
      </c>
      <c r="I41" s="241">
        <f>'Input data'!G83</f>
        <v>0</v>
      </c>
      <c r="J41" s="237"/>
      <c r="K41" s="242" t="str">
        <f t="shared" si="1"/>
        <v>kWh/day</v>
      </c>
      <c r="L41" s="198"/>
      <c r="M41" s="190"/>
    </row>
    <row r="42" spans="1:13" ht="15.75" thickBot="1">
      <c r="A42" s="190"/>
      <c r="B42" s="213"/>
      <c r="C42" s="214"/>
      <c r="D42" s="214"/>
      <c r="E42" s="214"/>
      <c r="F42" s="214"/>
      <c r="G42" s="214"/>
      <c r="H42" s="214"/>
      <c r="I42" s="214"/>
      <c r="J42" s="214"/>
      <c r="K42" s="214"/>
      <c r="L42" s="216"/>
      <c r="M42" s="190"/>
    </row>
    <row r="43" spans="1:13" ht="15">
      <c r="A43" s="190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</row>
  </sheetData>
  <sheetProtection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 tint="0.499984740745262"/>
  </sheetPr>
  <dimension ref="A1:E155"/>
  <sheetViews>
    <sheetView showGridLines="0" topLeftCell="A145" workbookViewId="0">
      <selection activeCell="F8" sqref="F8"/>
    </sheetView>
  </sheetViews>
  <sheetFormatPr defaultRowHeight="15"/>
  <cols>
    <col min="1" max="1" width="20" bestFit="1" customWidth="1"/>
    <col min="2" max="2" width="36.28515625" bestFit="1" customWidth="1"/>
    <col min="3" max="3" width="50.5703125" bestFit="1" customWidth="1"/>
    <col min="4" max="4" width="14.140625" bestFit="1" customWidth="1"/>
    <col min="5" max="5" width="12.7109375" bestFit="1" customWidth="1"/>
  </cols>
  <sheetData>
    <row r="1" spans="1:5">
      <c r="A1" s="119" t="s">
        <v>301</v>
      </c>
      <c r="B1" s="119" t="s">
        <v>302</v>
      </c>
      <c r="C1" s="119" t="s">
        <v>303</v>
      </c>
      <c r="D1" s="119" t="s">
        <v>304</v>
      </c>
      <c r="E1" s="119" t="s">
        <v>305</v>
      </c>
    </row>
    <row r="2" spans="1:5">
      <c r="A2" s="104" t="s">
        <v>306</v>
      </c>
      <c r="B2" s="104" t="s">
        <v>306</v>
      </c>
      <c r="C2" s="104" t="s">
        <v>0</v>
      </c>
      <c r="D2" s="104" t="s">
        <v>286</v>
      </c>
      <c r="E2" s="104" t="s">
        <v>286</v>
      </c>
    </row>
    <row r="3" spans="1:5">
      <c r="A3" s="105" t="s">
        <v>307</v>
      </c>
      <c r="B3" s="105" t="s">
        <v>307</v>
      </c>
      <c r="C3" s="105" t="s">
        <v>308</v>
      </c>
      <c r="D3" s="105" t="s">
        <v>286</v>
      </c>
      <c r="E3" s="105" t="s">
        <v>286</v>
      </c>
    </row>
    <row r="4" spans="1:5">
      <c r="A4" s="104" t="s">
        <v>257</v>
      </c>
      <c r="B4" s="104" t="s">
        <v>218</v>
      </c>
      <c r="C4" s="104" t="s">
        <v>309</v>
      </c>
      <c r="D4" s="104" t="s">
        <v>286</v>
      </c>
      <c r="E4" s="104" t="s">
        <v>286</v>
      </c>
    </row>
    <row r="5" spans="1:5">
      <c r="A5" s="105" t="s">
        <v>15</v>
      </c>
      <c r="B5" s="105" t="s">
        <v>219</v>
      </c>
      <c r="C5" s="105" t="s">
        <v>310</v>
      </c>
      <c r="D5" s="105" t="s">
        <v>286</v>
      </c>
      <c r="E5" s="105" t="s">
        <v>286</v>
      </c>
    </row>
    <row r="6" spans="1:5">
      <c r="A6" s="104" t="s">
        <v>311</v>
      </c>
      <c r="B6" s="104" t="s">
        <v>26</v>
      </c>
      <c r="C6" s="104" t="s">
        <v>26</v>
      </c>
      <c r="D6" s="104" t="s">
        <v>286</v>
      </c>
      <c r="E6" s="104" t="s">
        <v>287</v>
      </c>
    </row>
    <row r="7" spans="1:5">
      <c r="A7" s="105" t="s">
        <v>55</v>
      </c>
      <c r="B7" s="105" t="s">
        <v>56</v>
      </c>
      <c r="C7" s="105" t="s">
        <v>312</v>
      </c>
      <c r="D7" s="105" t="s">
        <v>287</v>
      </c>
      <c r="E7" s="105" t="s">
        <v>286</v>
      </c>
    </row>
    <row r="8" spans="1:5">
      <c r="A8" s="104" t="s">
        <v>57</v>
      </c>
      <c r="B8" s="104" t="s">
        <v>623</v>
      </c>
      <c r="C8" s="104" t="s">
        <v>313</v>
      </c>
      <c r="D8" s="104" t="s">
        <v>287</v>
      </c>
      <c r="E8" s="104" t="s">
        <v>286</v>
      </c>
    </row>
    <row r="9" spans="1:5">
      <c r="A9" s="105" t="s">
        <v>59</v>
      </c>
      <c r="B9" s="105" t="s">
        <v>60</v>
      </c>
      <c r="C9" s="105" t="s">
        <v>314</v>
      </c>
      <c r="D9" s="105" t="s">
        <v>287</v>
      </c>
      <c r="E9" s="105" t="s">
        <v>286</v>
      </c>
    </row>
    <row r="10" spans="1:5">
      <c r="A10" s="104" t="s">
        <v>61</v>
      </c>
      <c r="B10" s="104" t="s">
        <v>624</v>
      </c>
      <c r="C10" s="104" t="s">
        <v>315</v>
      </c>
      <c r="D10" s="104" t="s">
        <v>287</v>
      </c>
      <c r="E10" s="104" t="s">
        <v>286</v>
      </c>
    </row>
    <row r="11" spans="1:5">
      <c r="A11" s="105" t="s">
        <v>62</v>
      </c>
      <c r="B11" s="105" t="s">
        <v>63</v>
      </c>
      <c r="C11" s="105" t="s">
        <v>316</v>
      </c>
      <c r="D11" s="105" t="s">
        <v>287</v>
      </c>
      <c r="E11" s="105" t="s">
        <v>286</v>
      </c>
    </row>
    <row r="12" spans="1:5">
      <c r="A12" s="104" t="s">
        <v>64</v>
      </c>
      <c r="B12" s="104" t="s">
        <v>65</v>
      </c>
      <c r="C12" s="104" t="s">
        <v>317</v>
      </c>
      <c r="D12" s="104" t="s">
        <v>287</v>
      </c>
      <c r="E12" s="104" t="s">
        <v>286</v>
      </c>
    </row>
    <row r="13" spans="1:5">
      <c r="A13" s="105" t="s">
        <v>66</v>
      </c>
      <c r="B13" s="105" t="s">
        <v>67</v>
      </c>
      <c r="C13" s="105" t="s">
        <v>318</v>
      </c>
      <c r="D13" s="105" t="s">
        <v>287</v>
      </c>
      <c r="E13" s="105" t="s">
        <v>286</v>
      </c>
    </row>
    <row r="14" spans="1:5">
      <c r="A14" s="104" t="s">
        <v>68</v>
      </c>
      <c r="B14" s="104" t="s">
        <v>69</v>
      </c>
      <c r="C14" s="104" t="s">
        <v>319</v>
      </c>
      <c r="D14" s="104" t="s">
        <v>287</v>
      </c>
      <c r="E14" s="104" t="s">
        <v>286</v>
      </c>
    </row>
    <row r="15" spans="1:5">
      <c r="A15" s="105" t="s">
        <v>70</v>
      </c>
      <c r="B15" s="105" t="s">
        <v>71</v>
      </c>
      <c r="C15" s="105" t="s">
        <v>320</v>
      </c>
      <c r="D15" s="105" t="s">
        <v>287</v>
      </c>
      <c r="E15" s="105" t="s">
        <v>286</v>
      </c>
    </row>
    <row r="16" spans="1:5">
      <c r="A16" s="104" t="s">
        <v>72</v>
      </c>
      <c r="B16" s="104" t="s">
        <v>73</v>
      </c>
      <c r="C16" s="104" t="s">
        <v>321</v>
      </c>
      <c r="D16" s="104" t="s">
        <v>287</v>
      </c>
      <c r="E16" s="104" t="s">
        <v>286</v>
      </c>
    </row>
    <row r="17" spans="1:5">
      <c r="A17" s="105" t="s">
        <v>74</v>
      </c>
      <c r="B17" s="105" t="s">
        <v>625</v>
      </c>
      <c r="C17" s="105" t="s">
        <v>322</v>
      </c>
      <c r="D17" s="105" t="s">
        <v>287</v>
      </c>
      <c r="E17" s="105" t="s">
        <v>286</v>
      </c>
    </row>
    <row r="18" spans="1:5">
      <c r="A18" s="104" t="s">
        <v>76</v>
      </c>
      <c r="B18" s="104" t="s">
        <v>626</v>
      </c>
      <c r="C18" s="104" t="s">
        <v>323</v>
      </c>
      <c r="D18" s="104" t="s">
        <v>287</v>
      </c>
      <c r="E18" s="104" t="s">
        <v>286</v>
      </c>
    </row>
    <row r="19" spans="1:5">
      <c r="A19" s="105" t="s">
        <v>78</v>
      </c>
      <c r="B19" s="105" t="s">
        <v>627</v>
      </c>
      <c r="C19" s="105" t="s">
        <v>324</v>
      </c>
      <c r="D19" s="105" t="s">
        <v>287</v>
      </c>
      <c r="E19" s="105" t="s">
        <v>286</v>
      </c>
    </row>
    <row r="20" spans="1:5">
      <c r="A20" s="104" t="s">
        <v>80</v>
      </c>
      <c r="B20" s="104" t="s">
        <v>81</v>
      </c>
      <c r="C20" s="104" t="s">
        <v>325</v>
      </c>
      <c r="D20" s="104" t="s">
        <v>287</v>
      </c>
      <c r="E20" s="104" t="s">
        <v>286</v>
      </c>
    </row>
    <row r="21" spans="1:5">
      <c r="A21" s="105" t="s">
        <v>82</v>
      </c>
      <c r="B21" s="105" t="s">
        <v>628</v>
      </c>
      <c r="C21" s="105" t="s">
        <v>326</v>
      </c>
      <c r="D21" s="105" t="s">
        <v>287</v>
      </c>
      <c r="E21" s="105" t="s">
        <v>286</v>
      </c>
    </row>
    <row r="22" spans="1:5">
      <c r="A22" s="104" t="s">
        <v>83</v>
      </c>
      <c r="B22" s="104" t="s">
        <v>629</v>
      </c>
      <c r="C22" s="104" t="s">
        <v>327</v>
      </c>
      <c r="D22" s="104" t="s">
        <v>287</v>
      </c>
      <c r="E22" s="104" t="s">
        <v>286</v>
      </c>
    </row>
    <row r="23" spans="1:5">
      <c r="A23" s="105" t="s">
        <v>84</v>
      </c>
      <c r="B23" s="105" t="s">
        <v>85</v>
      </c>
      <c r="C23" s="105" t="s">
        <v>328</v>
      </c>
      <c r="D23" s="105" t="s">
        <v>287</v>
      </c>
      <c r="E23" s="105" t="s">
        <v>286</v>
      </c>
    </row>
    <row r="24" spans="1:5">
      <c r="A24" s="104" t="s">
        <v>86</v>
      </c>
      <c r="B24" s="104" t="s">
        <v>87</v>
      </c>
      <c r="C24" s="104" t="s">
        <v>329</v>
      </c>
      <c r="D24" s="104" t="s">
        <v>287</v>
      </c>
      <c r="E24" s="104" t="s">
        <v>286</v>
      </c>
    </row>
    <row r="25" spans="1:5">
      <c r="A25" s="105" t="s">
        <v>88</v>
      </c>
      <c r="B25" s="105" t="s">
        <v>630</v>
      </c>
      <c r="C25" s="105" t="s">
        <v>330</v>
      </c>
      <c r="D25" s="105" t="s">
        <v>287</v>
      </c>
      <c r="E25" s="105" t="s">
        <v>286</v>
      </c>
    </row>
    <row r="26" spans="1:5">
      <c r="A26" s="104" t="s">
        <v>90</v>
      </c>
      <c r="B26" s="104" t="s">
        <v>631</v>
      </c>
      <c r="C26" s="104" t="s">
        <v>331</v>
      </c>
      <c r="D26" s="104" t="s">
        <v>287</v>
      </c>
      <c r="E26" s="104" t="s">
        <v>286</v>
      </c>
    </row>
    <row r="27" spans="1:5">
      <c r="A27" s="105" t="s">
        <v>91</v>
      </c>
      <c r="B27" s="105" t="s">
        <v>92</v>
      </c>
      <c r="C27" s="105" t="s">
        <v>332</v>
      </c>
      <c r="D27" s="105" t="s">
        <v>287</v>
      </c>
      <c r="E27" s="105" t="s">
        <v>286</v>
      </c>
    </row>
    <row r="28" spans="1:5">
      <c r="A28" s="104" t="s">
        <v>93</v>
      </c>
      <c r="B28" s="104" t="s">
        <v>94</v>
      </c>
      <c r="C28" s="104" t="s">
        <v>333</v>
      </c>
      <c r="D28" s="104" t="s">
        <v>287</v>
      </c>
      <c r="E28" s="104" t="s">
        <v>286</v>
      </c>
    </row>
    <row r="29" spans="1:5">
      <c r="A29" s="105" t="s">
        <v>95</v>
      </c>
      <c r="B29" s="105" t="s">
        <v>96</v>
      </c>
      <c r="C29" s="105" t="s">
        <v>334</v>
      </c>
      <c r="D29" s="105" t="s">
        <v>287</v>
      </c>
      <c r="E29" s="105" t="s">
        <v>286</v>
      </c>
    </row>
    <row r="30" spans="1:5">
      <c r="A30" s="104" t="s">
        <v>97</v>
      </c>
      <c r="B30" s="104" t="s">
        <v>98</v>
      </c>
      <c r="C30" s="104" t="s">
        <v>335</v>
      </c>
      <c r="D30" s="104" t="s">
        <v>287</v>
      </c>
      <c r="E30" s="104" t="s">
        <v>286</v>
      </c>
    </row>
    <row r="31" spans="1:5">
      <c r="A31" s="105" t="s">
        <v>99</v>
      </c>
      <c r="B31" s="105" t="s">
        <v>100</v>
      </c>
      <c r="C31" s="105" t="s">
        <v>336</v>
      </c>
      <c r="D31" s="105" t="s">
        <v>287</v>
      </c>
      <c r="E31" s="105" t="s">
        <v>286</v>
      </c>
    </row>
    <row r="32" spans="1:5">
      <c r="A32" s="104" t="s">
        <v>101</v>
      </c>
      <c r="B32" s="104" t="s">
        <v>632</v>
      </c>
      <c r="C32" s="104" t="s">
        <v>337</v>
      </c>
      <c r="D32" s="104" t="s">
        <v>287</v>
      </c>
      <c r="E32" s="104" t="s">
        <v>286</v>
      </c>
    </row>
    <row r="33" spans="1:5">
      <c r="A33" s="105" t="s">
        <v>103</v>
      </c>
      <c r="B33" s="105" t="s">
        <v>633</v>
      </c>
      <c r="C33" s="105" t="s">
        <v>338</v>
      </c>
      <c r="D33" s="105" t="s">
        <v>287</v>
      </c>
      <c r="E33" s="105" t="s">
        <v>286</v>
      </c>
    </row>
    <row r="34" spans="1:5">
      <c r="A34" s="104" t="s">
        <v>104</v>
      </c>
      <c r="B34" s="104" t="s">
        <v>634</v>
      </c>
      <c r="C34" s="104" t="s">
        <v>339</v>
      </c>
      <c r="D34" s="104" t="s">
        <v>287</v>
      </c>
      <c r="E34" s="104" t="s">
        <v>286</v>
      </c>
    </row>
    <row r="35" spans="1:5">
      <c r="A35" s="105" t="s">
        <v>106</v>
      </c>
      <c r="B35" s="105" t="s">
        <v>107</v>
      </c>
      <c r="C35" s="105" t="s">
        <v>340</v>
      </c>
      <c r="D35" s="105" t="s">
        <v>287</v>
      </c>
      <c r="E35" s="105" t="s">
        <v>286</v>
      </c>
    </row>
    <row r="36" spans="1:5">
      <c r="A36" s="104" t="s">
        <v>108</v>
      </c>
      <c r="B36" s="104" t="s">
        <v>635</v>
      </c>
      <c r="C36" s="104" t="s">
        <v>341</v>
      </c>
      <c r="D36" s="104" t="s">
        <v>287</v>
      </c>
      <c r="E36" s="104" t="s">
        <v>286</v>
      </c>
    </row>
    <row r="37" spans="1:5">
      <c r="A37" s="105" t="s">
        <v>109</v>
      </c>
      <c r="B37" s="105" t="s">
        <v>110</v>
      </c>
      <c r="C37" s="105" t="s">
        <v>342</v>
      </c>
      <c r="D37" s="105" t="s">
        <v>287</v>
      </c>
      <c r="E37" s="105" t="s">
        <v>286</v>
      </c>
    </row>
    <row r="38" spans="1:5">
      <c r="A38" s="104" t="s">
        <v>111</v>
      </c>
      <c r="B38" s="104" t="s">
        <v>112</v>
      </c>
      <c r="C38" s="104" t="s">
        <v>343</v>
      </c>
      <c r="D38" s="104" t="s">
        <v>287</v>
      </c>
      <c r="E38" s="104" t="s">
        <v>286</v>
      </c>
    </row>
    <row r="39" spans="1:5">
      <c r="A39" s="105" t="s">
        <v>113</v>
      </c>
      <c r="B39" s="105" t="s">
        <v>114</v>
      </c>
      <c r="C39" s="105" t="s">
        <v>344</v>
      </c>
      <c r="D39" s="105" t="s">
        <v>287</v>
      </c>
      <c r="E39" s="105" t="s">
        <v>286</v>
      </c>
    </row>
    <row r="40" spans="1:5">
      <c r="A40" s="104" t="s">
        <v>115</v>
      </c>
      <c r="B40" s="104" t="s">
        <v>116</v>
      </c>
      <c r="C40" s="104" t="s">
        <v>345</v>
      </c>
      <c r="D40" s="104" t="s">
        <v>287</v>
      </c>
      <c r="E40" s="104" t="s">
        <v>286</v>
      </c>
    </row>
    <row r="41" spans="1:5">
      <c r="A41" s="105" t="s">
        <v>117</v>
      </c>
      <c r="B41" s="105" t="s">
        <v>118</v>
      </c>
      <c r="C41" s="105" t="s">
        <v>346</v>
      </c>
      <c r="D41" s="105" t="s">
        <v>287</v>
      </c>
      <c r="E41" s="105" t="s">
        <v>286</v>
      </c>
    </row>
    <row r="42" spans="1:5">
      <c r="A42" s="104" t="s">
        <v>119</v>
      </c>
      <c r="B42" s="104" t="s">
        <v>120</v>
      </c>
      <c r="C42" s="104" t="s">
        <v>347</v>
      </c>
      <c r="D42" s="104" t="s">
        <v>287</v>
      </c>
      <c r="E42" s="104" t="s">
        <v>286</v>
      </c>
    </row>
    <row r="43" spans="1:5">
      <c r="A43" s="105" t="s">
        <v>121</v>
      </c>
      <c r="B43" s="105" t="s">
        <v>122</v>
      </c>
      <c r="C43" s="105" t="s">
        <v>348</v>
      </c>
      <c r="D43" s="105" t="s">
        <v>287</v>
      </c>
      <c r="E43" s="105" t="s">
        <v>286</v>
      </c>
    </row>
    <row r="44" spans="1:5">
      <c r="A44" s="104" t="s">
        <v>123</v>
      </c>
      <c r="B44" s="104" t="s">
        <v>124</v>
      </c>
      <c r="C44" s="104" t="s">
        <v>349</v>
      </c>
      <c r="D44" s="104" t="s">
        <v>287</v>
      </c>
      <c r="E44" s="104" t="s">
        <v>286</v>
      </c>
    </row>
    <row r="45" spans="1:5">
      <c r="A45" s="105" t="s">
        <v>125</v>
      </c>
      <c r="B45" s="105" t="s">
        <v>126</v>
      </c>
      <c r="C45" s="105" t="s">
        <v>350</v>
      </c>
      <c r="D45" s="105" t="s">
        <v>287</v>
      </c>
      <c r="E45" s="105" t="s">
        <v>286</v>
      </c>
    </row>
    <row r="46" spans="1:5">
      <c r="A46" s="104" t="s">
        <v>127</v>
      </c>
      <c r="B46" s="104" t="s">
        <v>128</v>
      </c>
      <c r="C46" s="104" t="s">
        <v>351</v>
      </c>
      <c r="D46" s="104" t="s">
        <v>287</v>
      </c>
      <c r="E46" s="104" t="s">
        <v>286</v>
      </c>
    </row>
    <row r="47" spans="1:5">
      <c r="A47" s="105" t="s">
        <v>129</v>
      </c>
      <c r="B47" s="105" t="s">
        <v>636</v>
      </c>
      <c r="C47" s="105" t="s">
        <v>352</v>
      </c>
      <c r="D47" s="105" t="s">
        <v>287</v>
      </c>
      <c r="E47" s="105" t="s">
        <v>286</v>
      </c>
    </row>
    <row r="48" spans="1:5">
      <c r="A48" s="104" t="s">
        <v>131</v>
      </c>
      <c r="B48" s="104" t="s">
        <v>637</v>
      </c>
      <c r="C48" s="104" t="s">
        <v>353</v>
      </c>
      <c r="D48" s="104" t="s">
        <v>287</v>
      </c>
      <c r="E48" s="104" t="s">
        <v>286</v>
      </c>
    </row>
    <row r="49" spans="1:5">
      <c r="A49" s="105" t="s">
        <v>132</v>
      </c>
      <c r="B49" s="105" t="s">
        <v>133</v>
      </c>
      <c r="C49" s="105" t="s">
        <v>354</v>
      </c>
      <c r="D49" s="105" t="s">
        <v>287</v>
      </c>
      <c r="E49" s="105" t="s">
        <v>286</v>
      </c>
    </row>
    <row r="50" spans="1:5">
      <c r="A50" s="104" t="s">
        <v>134</v>
      </c>
      <c r="B50" s="104" t="s">
        <v>638</v>
      </c>
      <c r="C50" s="104" t="s">
        <v>355</v>
      </c>
      <c r="D50" s="104" t="s">
        <v>287</v>
      </c>
      <c r="E50" s="104" t="s">
        <v>286</v>
      </c>
    </row>
    <row r="51" spans="1:5">
      <c r="A51" s="105" t="s">
        <v>136</v>
      </c>
      <c r="B51" s="105" t="s">
        <v>639</v>
      </c>
      <c r="C51" s="105" t="s">
        <v>356</v>
      </c>
      <c r="D51" s="105" t="s">
        <v>287</v>
      </c>
      <c r="E51" s="105" t="s">
        <v>286</v>
      </c>
    </row>
    <row r="52" spans="1:5">
      <c r="A52" s="104" t="s">
        <v>137</v>
      </c>
      <c r="B52" s="104" t="s">
        <v>138</v>
      </c>
      <c r="C52" s="104" t="s">
        <v>357</v>
      </c>
      <c r="D52" s="104" t="s">
        <v>287</v>
      </c>
      <c r="E52" s="104" t="s">
        <v>286</v>
      </c>
    </row>
    <row r="53" spans="1:5">
      <c r="A53" s="105" t="s">
        <v>139</v>
      </c>
      <c r="B53" s="105" t="s">
        <v>140</v>
      </c>
      <c r="C53" s="105" t="s">
        <v>358</v>
      </c>
      <c r="D53" s="105" t="s">
        <v>287</v>
      </c>
      <c r="E53" s="105" t="s">
        <v>286</v>
      </c>
    </row>
    <row r="54" spans="1:5">
      <c r="A54" s="104" t="s">
        <v>141</v>
      </c>
      <c r="B54" s="104" t="s">
        <v>142</v>
      </c>
      <c r="C54" s="104" t="s">
        <v>359</v>
      </c>
      <c r="D54" s="104" t="s">
        <v>287</v>
      </c>
      <c r="E54" s="104" t="s">
        <v>286</v>
      </c>
    </row>
    <row r="55" spans="1:5">
      <c r="A55" s="105" t="s">
        <v>143</v>
      </c>
      <c r="B55" s="105" t="s">
        <v>144</v>
      </c>
      <c r="C55" s="105" t="s">
        <v>360</v>
      </c>
      <c r="D55" s="105" t="s">
        <v>287</v>
      </c>
      <c r="E55" s="105" t="s">
        <v>286</v>
      </c>
    </row>
    <row r="56" spans="1:5">
      <c r="A56" s="104" t="s">
        <v>145</v>
      </c>
      <c r="B56" s="104" t="s">
        <v>146</v>
      </c>
      <c r="C56" s="104" t="s">
        <v>361</v>
      </c>
      <c r="D56" s="104" t="s">
        <v>287</v>
      </c>
      <c r="E56" s="104" t="s">
        <v>286</v>
      </c>
    </row>
    <row r="57" spans="1:5">
      <c r="A57" s="105" t="s">
        <v>147</v>
      </c>
      <c r="B57" s="105" t="s">
        <v>148</v>
      </c>
      <c r="C57" s="105" t="s">
        <v>362</v>
      </c>
      <c r="D57" s="105" t="s">
        <v>287</v>
      </c>
      <c r="E57" s="105" t="s">
        <v>286</v>
      </c>
    </row>
    <row r="58" spans="1:5">
      <c r="A58" s="104" t="s">
        <v>149</v>
      </c>
      <c r="B58" s="104" t="s">
        <v>150</v>
      </c>
      <c r="C58" s="104" t="s">
        <v>363</v>
      </c>
      <c r="D58" s="104" t="s">
        <v>287</v>
      </c>
      <c r="E58" s="104" t="s">
        <v>286</v>
      </c>
    </row>
    <row r="59" spans="1:5">
      <c r="A59" s="105" t="s">
        <v>151</v>
      </c>
      <c r="B59" s="105" t="s">
        <v>152</v>
      </c>
      <c r="C59" s="105" t="s">
        <v>364</v>
      </c>
      <c r="D59" s="105" t="s">
        <v>287</v>
      </c>
      <c r="E59" s="105" t="s">
        <v>286</v>
      </c>
    </row>
    <row r="60" spans="1:5">
      <c r="A60" s="104" t="s">
        <v>153</v>
      </c>
      <c r="B60" s="104" t="s">
        <v>154</v>
      </c>
      <c r="C60" s="104" t="s">
        <v>365</v>
      </c>
      <c r="D60" s="104" t="s">
        <v>287</v>
      </c>
      <c r="E60" s="104" t="s">
        <v>286</v>
      </c>
    </row>
    <row r="61" spans="1:5">
      <c r="A61" s="105" t="s">
        <v>155</v>
      </c>
      <c r="B61" s="105" t="s">
        <v>156</v>
      </c>
      <c r="C61" s="105" t="s">
        <v>366</v>
      </c>
      <c r="D61" s="105" t="s">
        <v>287</v>
      </c>
      <c r="E61" s="105" t="s">
        <v>286</v>
      </c>
    </row>
    <row r="62" spans="1:5">
      <c r="A62" s="104" t="s">
        <v>157</v>
      </c>
      <c r="B62" s="104" t="s">
        <v>158</v>
      </c>
      <c r="C62" s="104" t="s">
        <v>367</v>
      </c>
      <c r="D62" s="104" t="s">
        <v>287</v>
      </c>
      <c r="E62" s="104" t="s">
        <v>286</v>
      </c>
    </row>
    <row r="63" spans="1:5">
      <c r="A63" s="105" t="s">
        <v>159</v>
      </c>
      <c r="B63" s="105" t="s">
        <v>160</v>
      </c>
      <c r="C63" s="105" t="s">
        <v>368</v>
      </c>
      <c r="D63" s="105" t="s">
        <v>287</v>
      </c>
      <c r="E63" s="105" t="s">
        <v>286</v>
      </c>
    </row>
    <row r="64" spans="1:5">
      <c r="A64" s="104" t="s">
        <v>161</v>
      </c>
      <c r="B64" s="104" t="s">
        <v>162</v>
      </c>
      <c r="C64" s="104" t="s">
        <v>369</v>
      </c>
      <c r="D64" s="104" t="s">
        <v>287</v>
      </c>
      <c r="E64" s="104" t="s">
        <v>286</v>
      </c>
    </row>
    <row r="65" spans="1:5">
      <c r="A65" s="105" t="s">
        <v>163</v>
      </c>
      <c r="B65" s="105" t="s">
        <v>164</v>
      </c>
      <c r="C65" s="105" t="s">
        <v>370</v>
      </c>
      <c r="D65" s="105" t="s">
        <v>287</v>
      </c>
      <c r="E65" s="105" t="s">
        <v>286</v>
      </c>
    </row>
    <row r="66" spans="1:5">
      <c r="A66" s="104" t="s">
        <v>165</v>
      </c>
      <c r="B66" s="104" t="s">
        <v>166</v>
      </c>
      <c r="C66" s="104" t="s">
        <v>371</v>
      </c>
      <c r="D66" s="104" t="s">
        <v>287</v>
      </c>
      <c r="E66" s="104" t="s">
        <v>286</v>
      </c>
    </row>
    <row r="67" spans="1:5">
      <c r="A67" s="105" t="s">
        <v>167</v>
      </c>
      <c r="B67" s="105" t="s">
        <v>168</v>
      </c>
      <c r="C67" s="105" t="s">
        <v>372</v>
      </c>
      <c r="D67" s="105" t="s">
        <v>287</v>
      </c>
      <c r="E67" s="105" t="s">
        <v>286</v>
      </c>
    </row>
    <row r="68" spans="1:5">
      <c r="A68" s="104" t="s">
        <v>169</v>
      </c>
      <c r="B68" s="104" t="s">
        <v>170</v>
      </c>
      <c r="C68" s="104" t="s">
        <v>373</v>
      </c>
      <c r="D68" s="104" t="s">
        <v>287</v>
      </c>
      <c r="E68" s="104" t="s">
        <v>286</v>
      </c>
    </row>
    <row r="69" spans="1:5">
      <c r="A69" s="105" t="s">
        <v>171</v>
      </c>
      <c r="B69" s="105" t="s">
        <v>172</v>
      </c>
      <c r="C69" s="105" t="s">
        <v>374</v>
      </c>
      <c r="D69" s="105" t="s">
        <v>287</v>
      </c>
      <c r="E69" s="105" t="s">
        <v>286</v>
      </c>
    </row>
    <row r="70" spans="1:5">
      <c r="A70" s="104" t="s">
        <v>173</v>
      </c>
      <c r="B70" s="104" t="s">
        <v>174</v>
      </c>
      <c r="C70" s="104" t="s">
        <v>375</v>
      </c>
      <c r="D70" s="104" t="s">
        <v>287</v>
      </c>
      <c r="E70" s="104" t="s">
        <v>286</v>
      </c>
    </row>
    <row r="71" spans="1:5">
      <c r="A71" s="105" t="s">
        <v>175</v>
      </c>
      <c r="B71" s="105" t="s">
        <v>176</v>
      </c>
      <c r="C71" s="105" t="s">
        <v>376</v>
      </c>
      <c r="D71" s="105" t="s">
        <v>287</v>
      </c>
      <c r="E71" s="105" t="s">
        <v>286</v>
      </c>
    </row>
    <row r="72" spans="1:5">
      <c r="A72" s="104" t="s">
        <v>177</v>
      </c>
      <c r="B72" s="104" t="s">
        <v>178</v>
      </c>
      <c r="C72" s="104" t="s">
        <v>377</v>
      </c>
      <c r="D72" s="104" t="s">
        <v>287</v>
      </c>
      <c r="E72" s="104" t="s">
        <v>286</v>
      </c>
    </row>
    <row r="73" spans="1:5">
      <c r="A73" s="105" t="s">
        <v>179</v>
      </c>
      <c r="B73" s="105" t="s">
        <v>180</v>
      </c>
      <c r="C73" s="105" t="s">
        <v>378</v>
      </c>
      <c r="D73" s="105" t="s">
        <v>287</v>
      </c>
      <c r="E73" s="105" t="s">
        <v>286</v>
      </c>
    </row>
    <row r="74" spans="1:5">
      <c r="A74" s="104" t="s">
        <v>181</v>
      </c>
      <c r="B74" s="104" t="s">
        <v>182</v>
      </c>
      <c r="C74" s="104" t="s">
        <v>379</v>
      </c>
      <c r="D74" s="104" t="s">
        <v>287</v>
      </c>
      <c r="E74" s="104" t="s">
        <v>286</v>
      </c>
    </row>
    <row r="75" spans="1:5">
      <c r="A75" s="105" t="s">
        <v>183</v>
      </c>
      <c r="B75" s="105" t="s">
        <v>184</v>
      </c>
      <c r="C75" s="105" t="s">
        <v>380</v>
      </c>
      <c r="D75" s="105" t="s">
        <v>287</v>
      </c>
      <c r="E75" s="105" t="s">
        <v>286</v>
      </c>
    </row>
    <row r="76" spans="1:5">
      <c r="A76" s="104" t="s">
        <v>185</v>
      </c>
      <c r="B76" s="104" t="s">
        <v>186</v>
      </c>
      <c r="C76" s="104" t="s">
        <v>381</v>
      </c>
      <c r="D76" s="104" t="s">
        <v>287</v>
      </c>
      <c r="E76" s="104" t="s">
        <v>286</v>
      </c>
    </row>
    <row r="77" spans="1:5">
      <c r="A77" s="105" t="s">
        <v>187</v>
      </c>
      <c r="B77" s="105" t="s">
        <v>188</v>
      </c>
      <c r="C77" s="105" t="s">
        <v>382</v>
      </c>
      <c r="D77" s="105" t="s">
        <v>287</v>
      </c>
      <c r="E77" s="105" t="s">
        <v>286</v>
      </c>
    </row>
    <row r="78" spans="1:5">
      <c r="A78" s="104" t="s">
        <v>189</v>
      </c>
      <c r="B78" s="104" t="s">
        <v>190</v>
      </c>
      <c r="C78" s="104" t="s">
        <v>383</v>
      </c>
      <c r="D78" s="104" t="s">
        <v>287</v>
      </c>
      <c r="E78" s="104" t="s">
        <v>286</v>
      </c>
    </row>
    <row r="79" spans="1:5">
      <c r="A79" s="105" t="s">
        <v>191</v>
      </c>
      <c r="B79" s="105" t="s">
        <v>192</v>
      </c>
      <c r="C79" s="105" t="s">
        <v>384</v>
      </c>
      <c r="D79" s="105" t="s">
        <v>287</v>
      </c>
      <c r="E79" s="105" t="s">
        <v>286</v>
      </c>
    </row>
    <row r="80" spans="1:5">
      <c r="A80" s="104" t="s">
        <v>193</v>
      </c>
      <c r="B80" s="104" t="s">
        <v>194</v>
      </c>
      <c r="C80" s="104" t="s">
        <v>385</v>
      </c>
      <c r="D80" s="104" t="s">
        <v>287</v>
      </c>
      <c r="E80" s="104" t="s">
        <v>286</v>
      </c>
    </row>
    <row r="81" spans="1:5">
      <c r="A81" s="105" t="s">
        <v>195</v>
      </c>
      <c r="B81" s="105" t="s">
        <v>196</v>
      </c>
      <c r="C81" s="105" t="s">
        <v>386</v>
      </c>
      <c r="D81" s="105" t="s">
        <v>287</v>
      </c>
      <c r="E81" s="105" t="s">
        <v>286</v>
      </c>
    </row>
    <row r="82" spans="1:5">
      <c r="A82" s="104" t="s">
        <v>197</v>
      </c>
      <c r="B82" s="104" t="s">
        <v>198</v>
      </c>
      <c r="C82" s="104" t="s">
        <v>387</v>
      </c>
      <c r="D82" s="104" t="s">
        <v>287</v>
      </c>
      <c r="E82" s="104" t="s">
        <v>286</v>
      </c>
    </row>
    <row r="83" spans="1:5">
      <c r="A83" s="105" t="s">
        <v>199</v>
      </c>
      <c r="B83" s="105" t="s">
        <v>200</v>
      </c>
      <c r="C83" s="105" t="s">
        <v>388</v>
      </c>
      <c r="D83" s="105" t="s">
        <v>287</v>
      </c>
      <c r="E83" s="105" t="s">
        <v>286</v>
      </c>
    </row>
    <row r="84" spans="1:5">
      <c r="A84" s="104" t="s">
        <v>201</v>
      </c>
      <c r="B84" s="104" t="s">
        <v>202</v>
      </c>
      <c r="C84" s="104" t="s">
        <v>389</v>
      </c>
      <c r="D84" s="104" t="s">
        <v>287</v>
      </c>
      <c r="E84" s="104" t="s">
        <v>286</v>
      </c>
    </row>
    <row r="85" spans="1:5">
      <c r="A85" s="105" t="s">
        <v>203</v>
      </c>
      <c r="B85" s="105" t="s">
        <v>204</v>
      </c>
      <c r="C85" s="105" t="s">
        <v>390</v>
      </c>
      <c r="D85" s="105" t="s">
        <v>287</v>
      </c>
      <c r="E85" s="105" t="s">
        <v>286</v>
      </c>
    </row>
    <row r="86" spans="1:5">
      <c r="A86" s="104" t="s">
        <v>205</v>
      </c>
      <c r="B86" s="104" t="s">
        <v>206</v>
      </c>
      <c r="C86" s="104" t="s">
        <v>391</v>
      </c>
      <c r="D86" s="104" t="s">
        <v>287</v>
      </c>
      <c r="E86" s="104" t="s">
        <v>286</v>
      </c>
    </row>
    <row r="87" spans="1:5">
      <c r="A87" s="105" t="s">
        <v>207</v>
      </c>
      <c r="B87" s="105" t="s">
        <v>640</v>
      </c>
      <c r="C87" s="105" t="s">
        <v>392</v>
      </c>
      <c r="D87" s="105" t="s">
        <v>287</v>
      </c>
      <c r="E87" s="105" t="s">
        <v>286</v>
      </c>
    </row>
    <row r="88" spans="1:5">
      <c r="A88" s="104" t="s">
        <v>209</v>
      </c>
      <c r="B88" s="104" t="s">
        <v>641</v>
      </c>
      <c r="C88" s="104" t="s">
        <v>393</v>
      </c>
      <c r="D88" s="104" t="s">
        <v>287</v>
      </c>
      <c r="E88" s="104" t="s">
        <v>286</v>
      </c>
    </row>
    <row r="89" spans="1:5">
      <c r="A89" s="105" t="s">
        <v>210</v>
      </c>
      <c r="B89" s="105" t="s">
        <v>211</v>
      </c>
      <c r="C89" s="105" t="s">
        <v>394</v>
      </c>
      <c r="D89" s="105" t="s">
        <v>287</v>
      </c>
      <c r="E89" s="105" t="s">
        <v>286</v>
      </c>
    </row>
    <row r="90" spans="1:5">
      <c r="A90" s="104" t="s">
        <v>212</v>
      </c>
      <c r="B90" s="104" t="s">
        <v>642</v>
      </c>
      <c r="C90" s="104" t="s">
        <v>395</v>
      </c>
      <c r="D90" s="104" t="s">
        <v>287</v>
      </c>
      <c r="E90" s="104" t="s">
        <v>286</v>
      </c>
    </row>
    <row r="91" spans="1:5">
      <c r="A91" s="105" t="s">
        <v>213</v>
      </c>
      <c r="B91" s="105" t="s">
        <v>214</v>
      </c>
      <c r="C91" s="105" t="s">
        <v>396</v>
      </c>
      <c r="D91" s="105" t="s">
        <v>287</v>
      </c>
      <c r="E91" s="105" t="s">
        <v>286</v>
      </c>
    </row>
    <row r="92" spans="1:5">
      <c r="A92" s="104" t="s">
        <v>397</v>
      </c>
      <c r="B92" s="104" t="s">
        <v>398</v>
      </c>
      <c r="C92" s="104" t="s">
        <v>398</v>
      </c>
      <c r="D92" s="104" t="s">
        <v>287</v>
      </c>
      <c r="E92" s="104" t="s">
        <v>287</v>
      </c>
    </row>
    <row r="93" spans="1:5">
      <c r="A93" s="105" t="s">
        <v>399</v>
      </c>
      <c r="B93" s="105" t="s">
        <v>400</v>
      </c>
      <c r="C93" s="105" t="s">
        <v>400</v>
      </c>
      <c r="D93" s="105" t="s">
        <v>287</v>
      </c>
      <c r="E93" s="105" t="s">
        <v>287</v>
      </c>
    </row>
    <row r="94" spans="1:5">
      <c r="A94" s="104" t="s">
        <v>401</v>
      </c>
      <c r="B94" s="104" t="s">
        <v>402</v>
      </c>
      <c r="C94" s="104" t="s">
        <v>402</v>
      </c>
      <c r="D94" s="104" t="s">
        <v>287</v>
      </c>
      <c r="E94" s="104" t="s">
        <v>287</v>
      </c>
    </row>
    <row r="95" spans="1:5">
      <c r="A95" s="105" t="s">
        <v>403</v>
      </c>
      <c r="B95" s="105" t="s">
        <v>404</v>
      </c>
      <c r="C95" s="105" t="s">
        <v>404</v>
      </c>
      <c r="D95" s="105" t="s">
        <v>287</v>
      </c>
      <c r="E95" s="105" t="s">
        <v>287</v>
      </c>
    </row>
    <row r="96" spans="1:5">
      <c r="A96" s="104" t="s">
        <v>405</v>
      </c>
      <c r="B96" s="104" t="s">
        <v>406</v>
      </c>
      <c r="C96" s="104" t="s">
        <v>406</v>
      </c>
      <c r="D96" s="104" t="s">
        <v>287</v>
      </c>
      <c r="E96" s="104" t="s">
        <v>287</v>
      </c>
    </row>
    <row r="97" spans="1:5">
      <c r="A97" s="105" t="s">
        <v>407</v>
      </c>
      <c r="B97" s="105" t="s">
        <v>408</v>
      </c>
      <c r="C97" s="105" t="s">
        <v>408</v>
      </c>
      <c r="D97" s="105" t="s">
        <v>287</v>
      </c>
      <c r="E97" s="105" t="s">
        <v>287</v>
      </c>
    </row>
    <row r="98" spans="1:5">
      <c r="A98" s="104" t="s">
        <v>409</v>
      </c>
      <c r="B98" s="104" t="s">
        <v>410</v>
      </c>
      <c r="C98" s="104" t="s">
        <v>410</v>
      </c>
      <c r="D98" s="104" t="s">
        <v>287</v>
      </c>
      <c r="E98" s="104" t="s">
        <v>287</v>
      </c>
    </row>
    <row r="99" spans="1:5">
      <c r="A99" s="105" t="s">
        <v>411</v>
      </c>
      <c r="B99" s="105" t="s">
        <v>412</v>
      </c>
      <c r="C99" s="105" t="s">
        <v>412</v>
      </c>
      <c r="D99" s="105" t="s">
        <v>287</v>
      </c>
      <c r="E99" s="105" t="s">
        <v>287</v>
      </c>
    </row>
    <row r="100" spans="1:5">
      <c r="A100" s="104" t="s">
        <v>413</v>
      </c>
      <c r="B100" s="104" t="s">
        <v>414</v>
      </c>
      <c r="C100" s="104" t="s">
        <v>414</v>
      </c>
      <c r="D100" s="104" t="s">
        <v>287</v>
      </c>
      <c r="E100" s="104" t="s">
        <v>287</v>
      </c>
    </row>
    <row r="101" spans="1:5">
      <c r="A101" s="105" t="s">
        <v>415</v>
      </c>
      <c r="B101" s="105" t="s">
        <v>416</v>
      </c>
      <c r="C101" s="105" t="s">
        <v>416</v>
      </c>
      <c r="D101" s="105" t="s">
        <v>287</v>
      </c>
      <c r="E101" s="105" t="s">
        <v>287</v>
      </c>
    </row>
    <row r="102" spans="1:5">
      <c r="A102" s="104" t="s">
        <v>417</v>
      </c>
      <c r="B102" s="104" t="s">
        <v>418</v>
      </c>
      <c r="C102" s="104" t="s">
        <v>418</v>
      </c>
      <c r="D102" s="104" t="s">
        <v>287</v>
      </c>
      <c r="E102" s="104" t="s">
        <v>287</v>
      </c>
    </row>
    <row r="103" spans="1:5">
      <c r="A103" s="105" t="s">
        <v>419</v>
      </c>
      <c r="B103" s="105" t="s">
        <v>420</v>
      </c>
      <c r="C103" s="105" t="s">
        <v>420</v>
      </c>
      <c r="D103" s="105" t="s">
        <v>287</v>
      </c>
      <c r="E103" s="105" t="s">
        <v>287</v>
      </c>
    </row>
    <row r="104" spans="1:5">
      <c r="A104" s="104" t="s">
        <v>421</v>
      </c>
      <c r="B104" s="104" t="s">
        <v>422</v>
      </c>
      <c r="C104" s="104" t="s">
        <v>422</v>
      </c>
      <c r="D104" s="104" t="s">
        <v>287</v>
      </c>
      <c r="E104" s="104" t="s">
        <v>287</v>
      </c>
    </row>
    <row r="105" spans="1:5">
      <c r="A105" s="105" t="s">
        <v>423</v>
      </c>
      <c r="B105" s="105" t="s">
        <v>424</v>
      </c>
      <c r="C105" s="105" t="s">
        <v>424</v>
      </c>
      <c r="D105" s="105" t="s">
        <v>287</v>
      </c>
      <c r="E105" s="105" t="s">
        <v>287</v>
      </c>
    </row>
    <row r="106" spans="1:5">
      <c r="A106" s="104" t="s">
        <v>425</v>
      </c>
      <c r="B106" s="104" t="s">
        <v>426</v>
      </c>
      <c r="C106" s="104" t="s">
        <v>426</v>
      </c>
      <c r="D106" s="104" t="s">
        <v>287</v>
      </c>
      <c r="E106" s="104" t="s">
        <v>287</v>
      </c>
    </row>
    <row r="107" spans="1:5">
      <c r="A107" s="105" t="s">
        <v>427</v>
      </c>
      <c r="B107" s="105" t="s">
        <v>428</v>
      </c>
      <c r="C107" s="105" t="s">
        <v>428</v>
      </c>
      <c r="D107" s="105" t="s">
        <v>287</v>
      </c>
      <c r="E107" s="105" t="s">
        <v>287</v>
      </c>
    </row>
    <row r="108" spans="1:5">
      <c r="A108" s="104" t="s">
        <v>429</v>
      </c>
      <c r="B108" s="104" t="s">
        <v>430</v>
      </c>
      <c r="C108" s="104" t="s">
        <v>430</v>
      </c>
      <c r="D108" s="104" t="s">
        <v>287</v>
      </c>
      <c r="E108" s="104" t="s">
        <v>287</v>
      </c>
    </row>
    <row r="109" spans="1:5">
      <c r="A109" s="105" t="s">
        <v>431</v>
      </c>
      <c r="B109" s="105" t="s">
        <v>432</v>
      </c>
      <c r="C109" s="105" t="s">
        <v>432</v>
      </c>
      <c r="D109" s="105" t="s">
        <v>287</v>
      </c>
      <c r="E109" s="105" t="s">
        <v>287</v>
      </c>
    </row>
    <row r="110" spans="1:5">
      <c r="A110" s="104" t="s">
        <v>433</v>
      </c>
      <c r="B110" s="104" t="s">
        <v>434</v>
      </c>
      <c r="C110" s="104" t="s">
        <v>434</v>
      </c>
      <c r="D110" s="104" t="s">
        <v>287</v>
      </c>
      <c r="E110" s="104" t="s">
        <v>287</v>
      </c>
    </row>
    <row r="111" spans="1:5">
      <c r="A111" s="105" t="s">
        <v>435</v>
      </c>
      <c r="B111" s="105" t="s">
        <v>436</v>
      </c>
      <c r="C111" s="105" t="s">
        <v>436</v>
      </c>
      <c r="D111" s="105" t="s">
        <v>287</v>
      </c>
      <c r="E111" s="105" t="s">
        <v>287</v>
      </c>
    </row>
    <row r="112" spans="1:5">
      <c r="A112" s="104" t="s">
        <v>437</v>
      </c>
      <c r="B112" s="104" t="s">
        <v>438</v>
      </c>
      <c r="C112" s="104" t="s">
        <v>438</v>
      </c>
      <c r="D112" s="104" t="s">
        <v>287</v>
      </c>
      <c r="E112" s="104" t="s">
        <v>287</v>
      </c>
    </row>
    <row r="113" spans="1:5">
      <c r="A113" s="105" t="s">
        <v>439</v>
      </c>
      <c r="B113" s="105" t="s">
        <v>440</v>
      </c>
      <c r="C113" s="105" t="s">
        <v>440</v>
      </c>
      <c r="D113" s="105" t="s">
        <v>287</v>
      </c>
      <c r="E113" s="105" t="s">
        <v>287</v>
      </c>
    </row>
    <row r="114" spans="1:5">
      <c r="A114" s="104" t="s">
        <v>441</v>
      </c>
      <c r="B114" s="104" t="s">
        <v>442</v>
      </c>
      <c r="C114" s="104" t="s">
        <v>442</v>
      </c>
      <c r="D114" s="104" t="s">
        <v>287</v>
      </c>
      <c r="E114" s="104" t="s">
        <v>287</v>
      </c>
    </row>
    <row r="115" spans="1:5">
      <c r="A115" s="105" t="s">
        <v>443</v>
      </c>
      <c r="B115" s="105" t="s">
        <v>444</v>
      </c>
      <c r="C115" s="105" t="s">
        <v>444</v>
      </c>
      <c r="D115" s="105" t="s">
        <v>287</v>
      </c>
      <c r="E115" s="105" t="s">
        <v>287</v>
      </c>
    </row>
    <row r="116" spans="1:5">
      <c r="A116" s="104" t="s">
        <v>445</v>
      </c>
      <c r="B116" s="104" t="s">
        <v>446</v>
      </c>
      <c r="C116" s="104" t="s">
        <v>446</v>
      </c>
      <c r="D116" s="104" t="s">
        <v>287</v>
      </c>
      <c r="E116" s="104" t="s">
        <v>287</v>
      </c>
    </row>
    <row r="117" spans="1:5">
      <c r="A117" s="105" t="s">
        <v>447</v>
      </c>
      <c r="B117" s="105" t="s">
        <v>448</v>
      </c>
      <c r="C117" s="105" t="s">
        <v>448</v>
      </c>
      <c r="D117" s="105" t="s">
        <v>287</v>
      </c>
      <c r="E117" s="105" t="s">
        <v>287</v>
      </c>
    </row>
    <row r="118" spans="1:5">
      <c r="A118" s="104" t="s">
        <v>449</v>
      </c>
      <c r="B118" s="104" t="s">
        <v>450</v>
      </c>
      <c r="C118" s="104" t="s">
        <v>450</v>
      </c>
      <c r="D118" s="104" t="s">
        <v>287</v>
      </c>
      <c r="E118" s="104" t="s">
        <v>287</v>
      </c>
    </row>
    <row r="119" spans="1:5">
      <c r="A119" s="105" t="s">
        <v>451</v>
      </c>
      <c r="B119" s="105" t="s">
        <v>452</v>
      </c>
      <c r="C119" s="105" t="s">
        <v>452</v>
      </c>
      <c r="D119" s="105" t="s">
        <v>287</v>
      </c>
      <c r="E119" s="105" t="s">
        <v>287</v>
      </c>
    </row>
    <row r="120" spans="1:5">
      <c r="A120" s="104" t="s">
        <v>453</v>
      </c>
      <c r="B120" s="104" t="s">
        <v>454</v>
      </c>
      <c r="C120" s="104" t="s">
        <v>454</v>
      </c>
      <c r="D120" s="104" t="s">
        <v>287</v>
      </c>
      <c r="E120" s="104" t="s">
        <v>287</v>
      </c>
    </row>
    <row r="121" spans="1:5">
      <c r="A121" s="105" t="s">
        <v>455</v>
      </c>
      <c r="B121" s="105" t="s">
        <v>456</v>
      </c>
      <c r="C121" s="105" t="s">
        <v>456</v>
      </c>
      <c r="D121" s="105" t="s">
        <v>287</v>
      </c>
      <c r="E121" s="105" t="s">
        <v>287</v>
      </c>
    </row>
    <row r="122" spans="1:5">
      <c r="A122" s="104" t="s">
        <v>457</v>
      </c>
      <c r="B122" s="104" t="s">
        <v>458</v>
      </c>
      <c r="C122" s="104" t="s">
        <v>458</v>
      </c>
      <c r="D122" s="104" t="s">
        <v>287</v>
      </c>
      <c r="E122" s="104" t="s">
        <v>287</v>
      </c>
    </row>
    <row r="123" spans="1:5">
      <c r="A123" s="105" t="s">
        <v>459</v>
      </c>
      <c r="B123" s="105" t="s">
        <v>460</v>
      </c>
      <c r="C123" s="105" t="s">
        <v>460</v>
      </c>
      <c r="D123" s="105" t="s">
        <v>287</v>
      </c>
      <c r="E123" s="105" t="s">
        <v>287</v>
      </c>
    </row>
    <row r="124" spans="1:5">
      <c r="A124" s="104" t="s">
        <v>461</v>
      </c>
      <c r="B124" s="104" t="s">
        <v>462</v>
      </c>
      <c r="C124" s="104" t="s">
        <v>462</v>
      </c>
      <c r="D124" s="104" t="s">
        <v>287</v>
      </c>
      <c r="E124" s="104" t="s">
        <v>287</v>
      </c>
    </row>
    <row r="125" spans="1:5">
      <c r="A125" s="105" t="s">
        <v>463</v>
      </c>
      <c r="B125" s="105" t="s">
        <v>464</v>
      </c>
      <c r="C125" s="105" t="s">
        <v>464</v>
      </c>
      <c r="D125" s="105" t="s">
        <v>287</v>
      </c>
      <c r="E125" s="105" t="s">
        <v>287</v>
      </c>
    </row>
    <row r="126" spans="1:5">
      <c r="A126" s="104" t="s">
        <v>465</v>
      </c>
      <c r="B126" s="104" t="s">
        <v>466</v>
      </c>
      <c r="C126" s="104" t="s">
        <v>466</v>
      </c>
      <c r="D126" s="104" t="s">
        <v>287</v>
      </c>
      <c r="E126" s="104" t="s">
        <v>287</v>
      </c>
    </row>
    <row r="127" spans="1:5">
      <c r="A127" s="105" t="s">
        <v>467</v>
      </c>
      <c r="B127" s="105" t="s">
        <v>468</v>
      </c>
      <c r="C127" s="105" t="s">
        <v>468</v>
      </c>
      <c r="D127" s="105" t="s">
        <v>287</v>
      </c>
      <c r="E127" s="105" t="s">
        <v>287</v>
      </c>
    </row>
    <row r="128" spans="1:5">
      <c r="A128" s="104" t="s">
        <v>469</v>
      </c>
      <c r="B128" s="104" t="s">
        <v>470</v>
      </c>
      <c r="C128" s="104" t="s">
        <v>470</v>
      </c>
      <c r="D128" s="104" t="s">
        <v>287</v>
      </c>
      <c r="E128" s="104" t="s">
        <v>287</v>
      </c>
    </row>
    <row r="129" spans="1:5">
      <c r="A129" s="105" t="s">
        <v>471</v>
      </c>
      <c r="B129" s="105" t="s">
        <v>472</v>
      </c>
      <c r="C129" s="105" t="s">
        <v>472</v>
      </c>
      <c r="D129" s="105" t="s">
        <v>287</v>
      </c>
      <c r="E129" s="105" t="s">
        <v>287</v>
      </c>
    </row>
    <row r="130" spans="1:5">
      <c r="A130" s="104" t="s">
        <v>473</v>
      </c>
      <c r="B130" s="104" t="s">
        <v>474</v>
      </c>
      <c r="C130" s="104" t="s">
        <v>474</v>
      </c>
      <c r="D130" s="104" t="s">
        <v>287</v>
      </c>
      <c r="E130" s="104" t="s">
        <v>287</v>
      </c>
    </row>
    <row r="131" spans="1:5">
      <c r="A131" s="105" t="s">
        <v>475</v>
      </c>
      <c r="B131" s="105" t="s">
        <v>476</v>
      </c>
      <c r="C131" s="105" t="s">
        <v>476</v>
      </c>
      <c r="D131" s="105" t="s">
        <v>287</v>
      </c>
      <c r="E131" s="105" t="s">
        <v>287</v>
      </c>
    </row>
    <row r="132" spans="1:5">
      <c r="A132" s="104" t="s">
        <v>477</v>
      </c>
      <c r="B132" s="104" t="s">
        <v>478</v>
      </c>
      <c r="C132" s="104" t="s">
        <v>478</v>
      </c>
      <c r="D132" s="104" t="s">
        <v>287</v>
      </c>
      <c r="E132" s="104" t="s">
        <v>287</v>
      </c>
    </row>
    <row r="133" spans="1:5">
      <c r="A133" s="105" t="s">
        <v>479</v>
      </c>
      <c r="B133" s="105" t="s">
        <v>480</v>
      </c>
      <c r="C133" s="105" t="s">
        <v>480</v>
      </c>
      <c r="D133" s="105" t="s">
        <v>287</v>
      </c>
      <c r="E133" s="105" t="s">
        <v>287</v>
      </c>
    </row>
    <row r="134" spans="1:5">
      <c r="A134" s="104" t="s">
        <v>481</v>
      </c>
      <c r="B134" s="104" t="s">
        <v>482</v>
      </c>
      <c r="C134" s="104" t="s">
        <v>482</v>
      </c>
      <c r="D134" s="104" t="s">
        <v>287</v>
      </c>
      <c r="E134" s="104" t="s">
        <v>287</v>
      </c>
    </row>
    <row r="135" spans="1:5">
      <c r="A135" s="105" t="s">
        <v>483</v>
      </c>
      <c r="B135" s="105" t="s">
        <v>484</v>
      </c>
      <c r="C135" s="105" t="s">
        <v>484</v>
      </c>
      <c r="D135" s="105" t="s">
        <v>287</v>
      </c>
      <c r="E135" s="105" t="s">
        <v>287</v>
      </c>
    </row>
    <row r="136" spans="1:5">
      <c r="A136" s="104" t="s">
        <v>485</v>
      </c>
      <c r="B136" s="104" t="s">
        <v>486</v>
      </c>
      <c r="C136" s="104" t="s">
        <v>486</v>
      </c>
      <c r="D136" s="104" t="s">
        <v>287</v>
      </c>
      <c r="E136" s="104" t="s">
        <v>287</v>
      </c>
    </row>
    <row r="137" spans="1:5">
      <c r="A137" s="105" t="s">
        <v>487</v>
      </c>
      <c r="B137" s="105" t="s">
        <v>488</v>
      </c>
      <c r="C137" s="105" t="s">
        <v>488</v>
      </c>
      <c r="D137" s="105" t="s">
        <v>287</v>
      </c>
      <c r="E137" s="105" t="s">
        <v>287</v>
      </c>
    </row>
    <row r="138" spans="1:5">
      <c r="A138" s="104" t="s">
        <v>489</v>
      </c>
      <c r="B138" s="104" t="s">
        <v>490</v>
      </c>
      <c r="C138" s="104" t="s">
        <v>490</v>
      </c>
      <c r="D138" s="104" t="s">
        <v>287</v>
      </c>
      <c r="E138" s="104" t="s">
        <v>287</v>
      </c>
    </row>
    <row r="139" spans="1:5">
      <c r="A139" s="105" t="s">
        <v>491</v>
      </c>
      <c r="B139" s="105" t="s">
        <v>492</v>
      </c>
      <c r="C139" s="105" t="s">
        <v>492</v>
      </c>
      <c r="D139" s="105" t="s">
        <v>287</v>
      </c>
      <c r="E139" s="105" t="s">
        <v>287</v>
      </c>
    </row>
    <row r="140" spans="1:5">
      <c r="A140" s="104" t="s">
        <v>493</v>
      </c>
      <c r="B140" s="104" t="s">
        <v>494</v>
      </c>
      <c r="C140" s="104" t="s">
        <v>494</v>
      </c>
      <c r="D140" s="104" t="s">
        <v>287</v>
      </c>
      <c r="E140" s="104" t="s">
        <v>287</v>
      </c>
    </row>
    <row r="141" spans="1:5">
      <c r="A141" s="105" t="s">
        <v>495</v>
      </c>
      <c r="B141" s="105" t="s">
        <v>496</v>
      </c>
      <c r="C141" s="105" t="s">
        <v>496</v>
      </c>
      <c r="D141" s="105" t="s">
        <v>287</v>
      </c>
      <c r="E141" s="105" t="s">
        <v>287</v>
      </c>
    </row>
    <row r="142" spans="1:5">
      <c r="A142" s="104" t="s">
        <v>497</v>
      </c>
      <c r="B142" s="104" t="s">
        <v>498</v>
      </c>
      <c r="C142" s="104" t="s">
        <v>498</v>
      </c>
      <c r="D142" s="104" t="s">
        <v>287</v>
      </c>
      <c r="E142" s="104" t="s">
        <v>287</v>
      </c>
    </row>
    <row r="143" spans="1:5">
      <c r="A143" s="105" t="s">
        <v>499</v>
      </c>
      <c r="B143" s="105" t="s">
        <v>500</v>
      </c>
      <c r="C143" s="105" t="s">
        <v>500</v>
      </c>
      <c r="D143" s="105" t="s">
        <v>287</v>
      </c>
      <c r="E143" s="105" t="s">
        <v>287</v>
      </c>
    </row>
    <row r="144" spans="1:5">
      <c r="A144" s="104" t="s">
        <v>501</v>
      </c>
      <c r="B144" s="104" t="s">
        <v>502</v>
      </c>
      <c r="C144" s="104" t="s">
        <v>502</v>
      </c>
      <c r="D144" s="104" t="s">
        <v>287</v>
      </c>
      <c r="E144" s="104" t="s">
        <v>287</v>
      </c>
    </row>
    <row r="145" spans="1:5">
      <c r="A145" s="105" t="s">
        <v>503</v>
      </c>
      <c r="B145" s="105" t="s">
        <v>504</v>
      </c>
      <c r="C145" s="105" t="s">
        <v>504</v>
      </c>
      <c r="D145" s="105" t="s">
        <v>287</v>
      </c>
      <c r="E145" s="105" t="s">
        <v>287</v>
      </c>
    </row>
    <row r="146" spans="1:5">
      <c r="A146" s="104" t="s">
        <v>505</v>
      </c>
      <c r="B146" s="104" t="s">
        <v>75</v>
      </c>
      <c r="C146" s="104" t="s">
        <v>75</v>
      </c>
      <c r="D146" s="104" t="s">
        <v>287</v>
      </c>
      <c r="E146" s="104" t="s">
        <v>287</v>
      </c>
    </row>
    <row r="147" spans="1:5">
      <c r="A147" s="105" t="s">
        <v>506</v>
      </c>
      <c r="B147" s="105" t="s">
        <v>507</v>
      </c>
      <c r="C147" s="105" t="s">
        <v>507</v>
      </c>
      <c r="D147" s="105" t="s">
        <v>287</v>
      </c>
      <c r="E147" s="105" t="s">
        <v>287</v>
      </c>
    </row>
    <row r="148" spans="1:5">
      <c r="A148" s="104" t="s">
        <v>508</v>
      </c>
      <c r="B148" s="104" t="s">
        <v>509</v>
      </c>
      <c r="C148" s="104" t="s">
        <v>510</v>
      </c>
      <c r="D148" s="104" t="s">
        <v>287</v>
      </c>
      <c r="E148" s="104" t="s">
        <v>287</v>
      </c>
    </row>
    <row r="149" spans="1:5">
      <c r="A149" s="105" t="s">
        <v>511</v>
      </c>
      <c r="B149" s="105" t="s">
        <v>512</v>
      </c>
      <c r="C149" s="105" t="s">
        <v>512</v>
      </c>
      <c r="D149" s="105" t="s">
        <v>287</v>
      </c>
      <c r="E149" s="105" t="s">
        <v>287</v>
      </c>
    </row>
    <row r="150" spans="1:5">
      <c r="A150" s="104" t="s">
        <v>513</v>
      </c>
      <c r="B150" s="104" t="s">
        <v>514</v>
      </c>
      <c r="C150" s="104" t="s">
        <v>514</v>
      </c>
      <c r="D150" s="104" t="s">
        <v>287</v>
      </c>
      <c r="E150" s="104" t="s">
        <v>287</v>
      </c>
    </row>
    <row r="151" spans="1:5">
      <c r="A151" s="105" t="s">
        <v>515</v>
      </c>
      <c r="B151" s="105" t="s">
        <v>516</v>
      </c>
      <c r="C151" s="105" t="s">
        <v>517</v>
      </c>
      <c r="D151" s="105" t="s">
        <v>287</v>
      </c>
      <c r="E151" s="105" t="s">
        <v>287</v>
      </c>
    </row>
    <row r="152" spans="1:5">
      <c r="A152" s="104" t="s">
        <v>518</v>
      </c>
      <c r="B152" s="104" t="s">
        <v>519</v>
      </c>
      <c r="C152" s="104" t="s">
        <v>519</v>
      </c>
      <c r="D152" s="104" t="s">
        <v>287</v>
      </c>
      <c r="E152" s="104" t="s">
        <v>287</v>
      </c>
    </row>
    <row r="153" spans="1:5">
      <c r="A153" s="105" t="s">
        <v>520</v>
      </c>
      <c r="B153" s="105" t="s">
        <v>521</v>
      </c>
      <c r="C153" s="105" t="s">
        <v>521</v>
      </c>
      <c r="D153" s="105" t="s">
        <v>287</v>
      </c>
      <c r="E153" s="105" t="s">
        <v>287</v>
      </c>
    </row>
    <row r="154" spans="1:5">
      <c r="A154" s="104" t="s">
        <v>522</v>
      </c>
      <c r="B154" s="104" t="s">
        <v>523</v>
      </c>
      <c r="C154" s="104" t="s">
        <v>523</v>
      </c>
      <c r="D154" s="104" t="s">
        <v>287</v>
      </c>
      <c r="E154" s="104" t="s">
        <v>287</v>
      </c>
    </row>
    <row r="155" spans="1:5">
      <c r="A155" s="106" t="s">
        <v>524</v>
      </c>
      <c r="B155" s="106" t="s">
        <v>524</v>
      </c>
      <c r="C155" s="106" t="s">
        <v>525</v>
      </c>
      <c r="D155" s="106" t="s">
        <v>287</v>
      </c>
      <c r="E155" s="106" t="s">
        <v>287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 tint="0.499984740745262"/>
  </sheetPr>
  <dimension ref="A1:I155"/>
  <sheetViews>
    <sheetView showGridLines="0" topLeftCell="B1" zoomScale="70" zoomScaleNormal="70" workbookViewId="0">
      <selection activeCell="F8" sqref="F8"/>
    </sheetView>
  </sheetViews>
  <sheetFormatPr defaultRowHeight="15"/>
  <cols>
    <col min="1" max="1" width="19.42578125" bestFit="1" customWidth="1"/>
    <col min="2" max="2" width="20" bestFit="1" customWidth="1"/>
    <col min="3" max="3" width="15.28515625" bestFit="1" customWidth="1"/>
    <col min="4" max="4" width="13" bestFit="1" customWidth="1"/>
    <col min="5" max="5" width="9.42578125" bestFit="1" customWidth="1"/>
    <col min="6" max="6" width="16" bestFit="1" customWidth="1"/>
    <col min="7" max="7" width="15.28515625" bestFit="1" customWidth="1"/>
    <col min="8" max="8" width="7.140625" bestFit="1" customWidth="1"/>
    <col min="9" max="9" width="80.7109375" bestFit="1" customWidth="1"/>
  </cols>
  <sheetData>
    <row r="1" spans="1:9">
      <c r="A1" s="119" t="s">
        <v>526</v>
      </c>
      <c r="B1" s="119" t="s">
        <v>527</v>
      </c>
      <c r="C1" s="119" t="s">
        <v>528</v>
      </c>
      <c r="D1" s="119" t="s">
        <v>529</v>
      </c>
      <c r="E1" s="119" t="s">
        <v>530</v>
      </c>
      <c r="F1" s="119" t="s">
        <v>531</v>
      </c>
      <c r="G1" s="119" t="s">
        <v>532</v>
      </c>
      <c r="H1" s="119" t="s">
        <v>533</v>
      </c>
      <c r="I1" s="119" t="s">
        <v>534</v>
      </c>
    </row>
    <row r="2" spans="1:9">
      <c r="A2" s="104" t="s">
        <v>493</v>
      </c>
      <c r="B2" s="104" t="s">
        <v>307</v>
      </c>
      <c r="C2" s="104">
        <v>0.14000000000000001</v>
      </c>
      <c r="D2" s="104" t="s">
        <v>286</v>
      </c>
      <c r="E2" s="104" t="s">
        <v>286</v>
      </c>
      <c r="F2" s="104" t="s">
        <v>286</v>
      </c>
      <c r="G2" s="104" t="s">
        <v>287</v>
      </c>
      <c r="H2" s="104">
        <v>4</v>
      </c>
      <c r="I2" s="104"/>
    </row>
    <row r="3" spans="1:9">
      <c r="A3" s="105" t="s">
        <v>307</v>
      </c>
      <c r="B3" s="105" t="s">
        <v>165</v>
      </c>
      <c r="C3" s="105">
        <v>4.6400000000000006</v>
      </c>
      <c r="D3" s="105" t="s">
        <v>286</v>
      </c>
      <c r="E3" s="105" t="s">
        <v>286</v>
      </c>
      <c r="F3" s="105" t="s">
        <v>286</v>
      </c>
      <c r="G3" s="105" t="s">
        <v>287</v>
      </c>
      <c r="H3" s="105">
        <v>4</v>
      </c>
      <c r="I3" s="105"/>
    </row>
    <row r="4" spans="1:9">
      <c r="A4" s="104" t="s">
        <v>165</v>
      </c>
      <c r="B4" s="104" t="s">
        <v>469</v>
      </c>
      <c r="C4" s="104">
        <v>7.0499999999999972</v>
      </c>
      <c r="D4" s="104" t="s">
        <v>286</v>
      </c>
      <c r="E4" s="104" t="s">
        <v>286</v>
      </c>
      <c r="F4" s="104" t="s">
        <v>286</v>
      </c>
      <c r="G4" s="104" t="s">
        <v>287</v>
      </c>
      <c r="H4" s="104">
        <v>4</v>
      </c>
      <c r="I4" s="104"/>
    </row>
    <row r="5" spans="1:9">
      <c r="A5" s="105" t="s">
        <v>469</v>
      </c>
      <c r="B5" s="105" t="s">
        <v>449</v>
      </c>
      <c r="C5" s="105">
        <v>10.32</v>
      </c>
      <c r="D5" s="105" t="s">
        <v>286</v>
      </c>
      <c r="E5" s="105" t="s">
        <v>286</v>
      </c>
      <c r="F5" s="105" t="s">
        <v>286</v>
      </c>
      <c r="G5" s="105" t="s">
        <v>287</v>
      </c>
      <c r="H5" s="105">
        <v>4</v>
      </c>
      <c r="I5" s="105"/>
    </row>
    <row r="6" spans="1:9">
      <c r="A6" s="104" t="s">
        <v>449</v>
      </c>
      <c r="B6" s="104" t="s">
        <v>163</v>
      </c>
      <c r="C6" s="104">
        <v>12.469999999999999</v>
      </c>
      <c r="D6" s="104" t="s">
        <v>286</v>
      </c>
      <c r="E6" s="104" t="s">
        <v>286</v>
      </c>
      <c r="F6" s="104" t="s">
        <v>286</v>
      </c>
      <c r="G6" s="104" t="s">
        <v>287</v>
      </c>
      <c r="H6" s="104">
        <v>4</v>
      </c>
      <c r="I6" s="104"/>
    </row>
    <row r="7" spans="1:9">
      <c r="A7" s="105" t="s">
        <v>163</v>
      </c>
      <c r="B7" s="105" t="s">
        <v>483</v>
      </c>
      <c r="C7" s="105">
        <v>12.310000000000002</v>
      </c>
      <c r="D7" s="105" t="s">
        <v>286</v>
      </c>
      <c r="E7" s="105" t="s">
        <v>286</v>
      </c>
      <c r="F7" s="105" t="s">
        <v>286</v>
      </c>
      <c r="G7" s="105" t="s">
        <v>287</v>
      </c>
      <c r="H7" s="105">
        <v>4</v>
      </c>
      <c r="I7" s="105"/>
    </row>
    <row r="8" spans="1:9">
      <c r="A8" s="104" t="s">
        <v>483</v>
      </c>
      <c r="B8" s="104" t="s">
        <v>431</v>
      </c>
      <c r="C8" s="104">
        <v>5.1699999999999982</v>
      </c>
      <c r="D8" s="104" t="s">
        <v>286</v>
      </c>
      <c r="E8" s="104" t="s">
        <v>286</v>
      </c>
      <c r="F8" s="104" t="s">
        <v>286</v>
      </c>
      <c r="G8" s="104" t="s">
        <v>287</v>
      </c>
      <c r="H8" s="104">
        <v>4</v>
      </c>
      <c r="I8" s="104"/>
    </row>
    <row r="9" spans="1:9">
      <c r="A9" s="105" t="s">
        <v>431</v>
      </c>
      <c r="B9" s="105" t="s">
        <v>473</v>
      </c>
      <c r="C9" s="105">
        <v>12.44</v>
      </c>
      <c r="D9" s="105" t="s">
        <v>286</v>
      </c>
      <c r="E9" s="105" t="s">
        <v>287</v>
      </c>
      <c r="F9" s="105" t="s">
        <v>287</v>
      </c>
      <c r="G9" s="105" t="s">
        <v>287</v>
      </c>
      <c r="H9" s="105">
        <v>4</v>
      </c>
      <c r="I9" s="105" t="s">
        <v>535</v>
      </c>
    </row>
    <row r="10" spans="1:9">
      <c r="A10" s="104" t="s">
        <v>473</v>
      </c>
      <c r="B10" s="104" t="s">
        <v>161</v>
      </c>
      <c r="C10" s="104">
        <v>7.1399999999999988</v>
      </c>
      <c r="D10" s="104" t="s">
        <v>286</v>
      </c>
      <c r="E10" s="104" t="s">
        <v>287</v>
      </c>
      <c r="F10" s="104" t="s">
        <v>287</v>
      </c>
      <c r="G10" s="104" t="s">
        <v>287</v>
      </c>
      <c r="H10" s="104">
        <v>4</v>
      </c>
      <c r="I10" s="104" t="s">
        <v>535</v>
      </c>
    </row>
    <row r="11" spans="1:9">
      <c r="A11" s="105" t="s">
        <v>161</v>
      </c>
      <c r="B11" s="105" t="s">
        <v>515</v>
      </c>
      <c r="C11" s="105">
        <v>0.66</v>
      </c>
      <c r="D11" s="105" t="s">
        <v>287</v>
      </c>
      <c r="E11" s="105" t="s">
        <v>287</v>
      </c>
      <c r="F11" s="105" t="s">
        <v>287</v>
      </c>
      <c r="G11" s="105" t="s">
        <v>287</v>
      </c>
      <c r="H11" s="105">
        <v>4</v>
      </c>
      <c r="I11" s="105" t="s">
        <v>535</v>
      </c>
    </row>
    <row r="12" spans="1:9">
      <c r="A12" s="104" t="s">
        <v>431</v>
      </c>
      <c r="B12" s="104" t="s">
        <v>159</v>
      </c>
      <c r="C12" s="104">
        <v>7.99</v>
      </c>
      <c r="D12" s="104" t="s">
        <v>286</v>
      </c>
      <c r="E12" s="104" t="s">
        <v>286</v>
      </c>
      <c r="F12" s="104" t="s">
        <v>286</v>
      </c>
      <c r="G12" s="104" t="s">
        <v>287</v>
      </c>
      <c r="H12" s="104">
        <v>4</v>
      </c>
      <c r="I12" s="104"/>
    </row>
    <row r="13" spans="1:9">
      <c r="A13" s="105" t="s">
        <v>159</v>
      </c>
      <c r="B13" s="105" t="s">
        <v>413</v>
      </c>
      <c r="C13" s="105">
        <v>1.3000000000000007</v>
      </c>
      <c r="D13" s="105" t="s">
        <v>286</v>
      </c>
      <c r="E13" s="105" t="s">
        <v>286</v>
      </c>
      <c r="F13" s="105" t="s">
        <v>286</v>
      </c>
      <c r="G13" s="105" t="s">
        <v>287</v>
      </c>
      <c r="H13" s="105">
        <v>4</v>
      </c>
      <c r="I13" s="105"/>
    </row>
    <row r="14" spans="1:9">
      <c r="A14" s="104" t="s">
        <v>413</v>
      </c>
      <c r="B14" s="104" t="s">
        <v>481</v>
      </c>
      <c r="C14" s="104">
        <v>13.08</v>
      </c>
      <c r="D14" s="104" t="s">
        <v>286</v>
      </c>
      <c r="E14" s="104" t="s">
        <v>286</v>
      </c>
      <c r="F14" s="104" t="s">
        <v>286</v>
      </c>
      <c r="G14" s="104" t="s">
        <v>287</v>
      </c>
      <c r="H14" s="104">
        <v>4</v>
      </c>
      <c r="I14" s="104"/>
    </row>
    <row r="15" spans="1:9">
      <c r="A15" s="105" t="s">
        <v>481</v>
      </c>
      <c r="B15" s="105" t="s">
        <v>157</v>
      </c>
      <c r="C15" s="105">
        <v>6.5</v>
      </c>
      <c r="D15" s="105" t="s">
        <v>286</v>
      </c>
      <c r="E15" s="105" t="s">
        <v>287</v>
      </c>
      <c r="F15" s="105" t="s">
        <v>287</v>
      </c>
      <c r="G15" s="105" t="s">
        <v>287</v>
      </c>
      <c r="H15" s="105">
        <v>2</v>
      </c>
      <c r="I15" s="105" t="s">
        <v>535</v>
      </c>
    </row>
    <row r="16" spans="1:9">
      <c r="A16" s="104" t="s">
        <v>481</v>
      </c>
      <c r="B16" s="104" t="s">
        <v>155</v>
      </c>
      <c r="C16" s="104">
        <v>7.63</v>
      </c>
      <c r="D16" s="104" t="s">
        <v>286</v>
      </c>
      <c r="E16" s="104" t="s">
        <v>286</v>
      </c>
      <c r="F16" s="104" t="s">
        <v>286</v>
      </c>
      <c r="G16" s="104" t="s">
        <v>287</v>
      </c>
      <c r="H16" s="104">
        <v>2</v>
      </c>
      <c r="I16" s="104"/>
    </row>
    <row r="17" spans="1:9">
      <c r="A17" s="105" t="s">
        <v>155</v>
      </c>
      <c r="B17" s="105" t="s">
        <v>153</v>
      </c>
      <c r="C17" s="105">
        <v>9.0900000000000034</v>
      </c>
      <c r="D17" s="105" t="s">
        <v>286</v>
      </c>
      <c r="E17" s="105" t="s">
        <v>286</v>
      </c>
      <c r="F17" s="105" t="s">
        <v>286</v>
      </c>
      <c r="G17" s="105" t="s">
        <v>287</v>
      </c>
      <c r="H17" s="105">
        <v>2</v>
      </c>
      <c r="I17" s="105"/>
    </row>
    <row r="18" spans="1:9">
      <c r="A18" s="104" t="s">
        <v>153</v>
      </c>
      <c r="B18" s="104" t="s">
        <v>477</v>
      </c>
      <c r="C18" s="104">
        <v>2.7299999999999969</v>
      </c>
      <c r="D18" s="104" t="s">
        <v>286</v>
      </c>
      <c r="E18" s="104" t="s">
        <v>286</v>
      </c>
      <c r="F18" s="104" t="s">
        <v>286</v>
      </c>
      <c r="G18" s="104" t="s">
        <v>287</v>
      </c>
      <c r="H18" s="104">
        <v>2</v>
      </c>
      <c r="I18" s="104"/>
    </row>
    <row r="19" spans="1:9">
      <c r="A19" s="105" t="s">
        <v>477</v>
      </c>
      <c r="B19" s="105" t="s">
        <v>457</v>
      </c>
      <c r="C19" s="105">
        <v>14.2</v>
      </c>
      <c r="D19" s="105" t="s">
        <v>286</v>
      </c>
      <c r="E19" s="105" t="s">
        <v>287</v>
      </c>
      <c r="F19" s="105" t="s">
        <v>287</v>
      </c>
      <c r="G19" s="105" t="s">
        <v>287</v>
      </c>
      <c r="H19" s="105">
        <v>2</v>
      </c>
      <c r="I19" s="105" t="s">
        <v>535</v>
      </c>
    </row>
    <row r="20" spans="1:9">
      <c r="A20" s="104" t="s">
        <v>457</v>
      </c>
      <c r="B20" s="104" t="s">
        <v>151</v>
      </c>
      <c r="C20" s="104">
        <v>9.5399999999999991</v>
      </c>
      <c r="D20" s="104" t="s">
        <v>286</v>
      </c>
      <c r="E20" s="104" t="s">
        <v>287</v>
      </c>
      <c r="F20" s="104" t="s">
        <v>287</v>
      </c>
      <c r="G20" s="104" t="s">
        <v>287</v>
      </c>
      <c r="H20" s="104">
        <v>2</v>
      </c>
      <c r="I20" s="104" t="s">
        <v>535</v>
      </c>
    </row>
    <row r="21" spans="1:9">
      <c r="A21" s="105" t="s">
        <v>477</v>
      </c>
      <c r="B21" s="105" t="s">
        <v>149</v>
      </c>
      <c r="C21" s="105">
        <v>7.57</v>
      </c>
      <c r="D21" s="105" t="s">
        <v>286</v>
      </c>
      <c r="E21" s="105" t="s">
        <v>286</v>
      </c>
      <c r="F21" s="105" t="s">
        <v>286</v>
      </c>
      <c r="G21" s="105" t="s">
        <v>287</v>
      </c>
      <c r="H21" s="105">
        <v>2</v>
      </c>
      <c r="I21" s="105"/>
    </row>
    <row r="22" spans="1:9">
      <c r="A22" s="104" t="s">
        <v>149</v>
      </c>
      <c r="B22" s="104" t="s">
        <v>147</v>
      </c>
      <c r="C22" s="104">
        <v>9.49</v>
      </c>
      <c r="D22" s="104" t="s">
        <v>286</v>
      </c>
      <c r="E22" s="104" t="s">
        <v>286</v>
      </c>
      <c r="F22" s="104" t="s">
        <v>286</v>
      </c>
      <c r="G22" s="104" t="s">
        <v>287</v>
      </c>
      <c r="H22" s="104">
        <v>2</v>
      </c>
      <c r="I22" s="104"/>
    </row>
    <row r="23" spans="1:9">
      <c r="A23" s="105" t="s">
        <v>147</v>
      </c>
      <c r="B23" s="105" t="s">
        <v>445</v>
      </c>
      <c r="C23" s="105">
        <v>13.37</v>
      </c>
      <c r="D23" s="105" t="s">
        <v>286</v>
      </c>
      <c r="E23" s="105" t="s">
        <v>286</v>
      </c>
      <c r="F23" s="105" t="s">
        <v>286</v>
      </c>
      <c r="G23" s="105" t="s">
        <v>287</v>
      </c>
      <c r="H23" s="105">
        <v>2</v>
      </c>
      <c r="I23" s="105"/>
    </row>
    <row r="24" spans="1:9">
      <c r="A24" s="104" t="s">
        <v>445</v>
      </c>
      <c r="B24" s="104" t="s">
        <v>145</v>
      </c>
      <c r="C24" s="104">
        <v>7.01</v>
      </c>
      <c r="D24" s="104" t="s">
        <v>286</v>
      </c>
      <c r="E24" s="104" t="s">
        <v>287</v>
      </c>
      <c r="F24" s="104" t="s">
        <v>287</v>
      </c>
      <c r="G24" s="104" t="s">
        <v>287</v>
      </c>
      <c r="H24" s="104">
        <v>2</v>
      </c>
      <c r="I24" s="104" t="s">
        <v>535</v>
      </c>
    </row>
    <row r="25" spans="1:9">
      <c r="A25" s="105" t="s">
        <v>145</v>
      </c>
      <c r="B25" s="105" t="s">
        <v>506</v>
      </c>
      <c r="C25" s="105">
        <v>0.17</v>
      </c>
      <c r="D25" s="105" t="s">
        <v>287</v>
      </c>
      <c r="E25" s="105" t="s">
        <v>287</v>
      </c>
      <c r="F25" s="105" t="s">
        <v>287</v>
      </c>
      <c r="G25" s="105" t="s">
        <v>287</v>
      </c>
      <c r="H25" s="105">
        <v>2</v>
      </c>
      <c r="I25" s="105" t="s">
        <v>536</v>
      </c>
    </row>
    <row r="26" spans="1:9">
      <c r="A26" s="104" t="s">
        <v>445</v>
      </c>
      <c r="B26" s="104" t="s">
        <v>443</v>
      </c>
      <c r="C26" s="104">
        <v>3.3800000000000097</v>
      </c>
      <c r="D26" s="104" t="s">
        <v>286</v>
      </c>
      <c r="E26" s="104" t="s">
        <v>286</v>
      </c>
      <c r="F26" s="104" t="s">
        <v>286</v>
      </c>
      <c r="G26" s="104" t="s">
        <v>287</v>
      </c>
      <c r="H26" s="104">
        <v>2</v>
      </c>
      <c r="I26" s="104"/>
    </row>
    <row r="27" spans="1:9">
      <c r="A27" s="105" t="s">
        <v>443</v>
      </c>
      <c r="B27" s="105" t="s">
        <v>143</v>
      </c>
      <c r="C27" s="105">
        <v>5.7</v>
      </c>
      <c r="D27" s="105" t="s">
        <v>286</v>
      </c>
      <c r="E27" s="105" t="s">
        <v>287</v>
      </c>
      <c r="F27" s="105" t="s">
        <v>287</v>
      </c>
      <c r="G27" s="105" t="s">
        <v>287</v>
      </c>
      <c r="H27" s="105">
        <v>2</v>
      </c>
      <c r="I27" s="105" t="s">
        <v>535</v>
      </c>
    </row>
    <row r="28" spans="1:9">
      <c r="A28" s="104" t="s">
        <v>143</v>
      </c>
      <c r="B28" s="104" t="s">
        <v>141</v>
      </c>
      <c r="C28" s="104">
        <v>2.7399999999999993</v>
      </c>
      <c r="D28" s="104" t="s">
        <v>286</v>
      </c>
      <c r="E28" s="104" t="s">
        <v>287</v>
      </c>
      <c r="F28" s="104" t="s">
        <v>287</v>
      </c>
      <c r="G28" s="104" t="s">
        <v>287</v>
      </c>
      <c r="H28" s="104">
        <v>2</v>
      </c>
      <c r="I28" s="104" t="s">
        <v>535</v>
      </c>
    </row>
    <row r="29" spans="1:9">
      <c r="A29" s="105" t="s">
        <v>443</v>
      </c>
      <c r="B29" s="105" t="s">
        <v>139</v>
      </c>
      <c r="C29" s="105">
        <v>5.9500000000000028</v>
      </c>
      <c r="D29" s="105" t="s">
        <v>286</v>
      </c>
      <c r="E29" s="105" t="s">
        <v>286</v>
      </c>
      <c r="F29" s="105" t="s">
        <v>286</v>
      </c>
      <c r="G29" s="105" t="s">
        <v>287</v>
      </c>
      <c r="H29" s="105">
        <v>2</v>
      </c>
      <c r="I29" s="105"/>
    </row>
    <row r="30" spans="1:9">
      <c r="A30" s="104" t="s">
        <v>139</v>
      </c>
      <c r="B30" s="104" t="s">
        <v>441</v>
      </c>
      <c r="C30" s="104">
        <v>9.1799999999999926</v>
      </c>
      <c r="D30" s="104" t="s">
        <v>286</v>
      </c>
      <c r="E30" s="104" t="s">
        <v>286</v>
      </c>
      <c r="F30" s="104" t="s">
        <v>286</v>
      </c>
      <c r="G30" s="104" t="s">
        <v>287</v>
      </c>
      <c r="H30" s="104">
        <v>2</v>
      </c>
      <c r="I30" s="104"/>
    </row>
    <row r="31" spans="1:9">
      <c r="A31" s="105" t="s">
        <v>441</v>
      </c>
      <c r="B31" s="105" t="s">
        <v>137</v>
      </c>
      <c r="C31" s="105">
        <v>8.3799999999999955</v>
      </c>
      <c r="D31" s="105" t="s">
        <v>286</v>
      </c>
      <c r="E31" s="105" t="s">
        <v>286</v>
      </c>
      <c r="F31" s="105" t="s">
        <v>286</v>
      </c>
      <c r="G31" s="105" t="s">
        <v>287</v>
      </c>
      <c r="H31" s="105">
        <v>2</v>
      </c>
      <c r="I31" s="105"/>
    </row>
    <row r="32" spans="1:9">
      <c r="A32" s="104" t="s">
        <v>137</v>
      </c>
      <c r="B32" s="104" t="s">
        <v>463</v>
      </c>
      <c r="C32" s="104">
        <v>7.480000000000004</v>
      </c>
      <c r="D32" s="104" t="s">
        <v>286</v>
      </c>
      <c r="E32" s="104" t="s">
        <v>286</v>
      </c>
      <c r="F32" s="104" t="s">
        <v>286</v>
      </c>
      <c r="G32" s="104" t="s">
        <v>287</v>
      </c>
      <c r="H32" s="104">
        <v>2</v>
      </c>
      <c r="I32" s="104"/>
    </row>
    <row r="33" spans="1:9">
      <c r="A33" s="105" t="s">
        <v>463</v>
      </c>
      <c r="B33" s="105" t="s">
        <v>136</v>
      </c>
      <c r="C33" s="105">
        <v>5.6800000000000068</v>
      </c>
      <c r="D33" s="105" t="s">
        <v>286</v>
      </c>
      <c r="E33" s="105" t="s">
        <v>286</v>
      </c>
      <c r="F33" s="105" t="s">
        <v>286</v>
      </c>
      <c r="G33" s="105" t="s">
        <v>287</v>
      </c>
      <c r="H33" s="105">
        <v>2</v>
      </c>
      <c r="I33" s="105"/>
    </row>
    <row r="34" spans="1:9">
      <c r="A34" s="104" t="s">
        <v>136</v>
      </c>
      <c r="B34" s="104" t="s">
        <v>134</v>
      </c>
      <c r="C34" s="104">
        <v>1E-3</v>
      </c>
      <c r="D34" s="104" t="s">
        <v>286</v>
      </c>
      <c r="E34" s="104" t="s">
        <v>287</v>
      </c>
      <c r="F34" s="104" t="s">
        <v>287</v>
      </c>
      <c r="G34" s="104" t="s">
        <v>286</v>
      </c>
      <c r="H34" s="104">
        <v>2</v>
      </c>
      <c r="I34" s="104" t="s">
        <v>537</v>
      </c>
    </row>
    <row r="35" spans="1:9">
      <c r="A35" s="105" t="s">
        <v>136</v>
      </c>
      <c r="B35" s="105" t="s">
        <v>501</v>
      </c>
      <c r="C35" s="105">
        <v>4.83</v>
      </c>
      <c r="D35" s="105" t="s">
        <v>287</v>
      </c>
      <c r="E35" s="105" t="s">
        <v>287</v>
      </c>
      <c r="F35" s="105" t="s">
        <v>287</v>
      </c>
      <c r="G35" s="105" t="s">
        <v>287</v>
      </c>
      <c r="H35" s="105">
        <v>2</v>
      </c>
      <c r="I35" s="105" t="s">
        <v>643</v>
      </c>
    </row>
    <row r="36" spans="1:9">
      <c r="A36" s="104" t="s">
        <v>136</v>
      </c>
      <c r="B36" s="104" t="s">
        <v>399</v>
      </c>
      <c r="C36" s="104">
        <v>3.5300000000000011</v>
      </c>
      <c r="D36" s="104" t="s">
        <v>286</v>
      </c>
      <c r="E36" s="104" t="s">
        <v>286</v>
      </c>
      <c r="F36" s="104" t="s">
        <v>286</v>
      </c>
      <c r="G36" s="104" t="s">
        <v>287</v>
      </c>
      <c r="H36" s="104">
        <v>2</v>
      </c>
      <c r="I36" s="104"/>
    </row>
    <row r="37" spans="1:9">
      <c r="A37" s="105" t="s">
        <v>399</v>
      </c>
      <c r="B37" s="105" t="s">
        <v>132</v>
      </c>
      <c r="C37" s="105">
        <v>5.2299999999999898</v>
      </c>
      <c r="D37" s="105" t="s">
        <v>286</v>
      </c>
      <c r="E37" s="105" t="s">
        <v>286</v>
      </c>
      <c r="F37" s="105" t="s">
        <v>286</v>
      </c>
      <c r="G37" s="105" t="s">
        <v>287</v>
      </c>
      <c r="H37" s="105">
        <v>2</v>
      </c>
      <c r="I37" s="105"/>
    </row>
    <row r="38" spans="1:9">
      <c r="A38" s="104" t="s">
        <v>132</v>
      </c>
      <c r="B38" s="104" t="s">
        <v>419</v>
      </c>
      <c r="C38" s="104">
        <v>11.660000000000004</v>
      </c>
      <c r="D38" s="104" t="s">
        <v>286</v>
      </c>
      <c r="E38" s="104" t="s">
        <v>286</v>
      </c>
      <c r="F38" s="104" t="s">
        <v>286</v>
      </c>
      <c r="G38" s="104" t="s">
        <v>287</v>
      </c>
      <c r="H38" s="104">
        <v>2</v>
      </c>
      <c r="I38" s="104"/>
    </row>
    <row r="39" spans="1:9">
      <c r="A39" s="105" t="s">
        <v>419</v>
      </c>
      <c r="B39" s="105" t="s">
        <v>131</v>
      </c>
      <c r="C39" s="105">
        <v>7.14</v>
      </c>
      <c r="D39" s="105" t="s">
        <v>286</v>
      </c>
      <c r="E39" s="105" t="s">
        <v>287</v>
      </c>
      <c r="F39" s="105" t="s">
        <v>287</v>
      </c>
      <c r="G39" s="105" t="s">
        <v>287</v>
      </c>
      <c r="H39" s="105">
        <v>2</v>
      </c>
      <c r="I39" s="105" t="s">
        <v>535</v>
      </c>
    </row>
    <row r="40" spans="1:9">
      <c r="A40" s="104" t="s">
        <v>131</v>
      </c>
      <c r="B40" s="104" t="s">
        <v>129</v>
      </c>
      <c r="C40" s="104">
        <v>1E-3</v>
      </c>
      <c r="D40" s="104" t="s">
        <v>286</v>
      </c>
      <c r="E40" s="104" t="s">
        <v>287</v>
      </c>
      <c r="F40" s="104" t="s">
        <v>287</v>
      </c>
      <c r="G40" s="104" t="s">
        <v>286</v>
      </c>
      <c r="H40" s="104">
        <v>2</v>
      </c>
      <c r="I40" s="104" t="s">
        <v>537</v>
      </c>
    </row>
    <row r="41" spans="1:9">
      <c r="A41" s="105" t="s">
        <v>419</v>
      </c>
      <c r="B41" s="105" t="s">
        <v>127</v>
      </c>
      <c r="C41" s="105">
        <v>5.68</v>
      </c>
      <c r="D41" s="105" t="s">
        <v>286</v>
      </c>
      <c r="E41" s="105" t="s">
        <v>286</v>
      </c>
      <c r="F41" s="105" t="s">
        <v>286</v>
      </c>
      <c r="G41" s="105" t="s">
        <v>287</v>
      </c>
      <c r="H41" s="105">
        <v>2</v>
      </c>
      <c r="I41" s="105"/>
    </row>
    <row r="42" spans="1:9">
      <c r="A42" s="104" t="s">
        <v>127</v>
      </c>
      <c r="B42" s="104" t="s">
        <v>125</v>
      </c>
      <c r="C42" s="104">
        <v>7.0799999999999983</v>
      </c>
      <c r="D42" s="104" t="s">
        <v>286</v>
      </c>
      <c r="E42" s="104" t="s">
        <v>286</v>
      </c>
      <c r="F42" s="104" t="s">
        <v>286</v>
      </c>
      <c r="G42" s="104" t="s">
        <v>287</v>
      </c>
      <c r="H42" s="104">
        <v>2</v>
      </c>
      <c r="I42" s="104"/>
    </row>
    <row r="43" spans="1:9">
      <c r="A43" s="105" t="s">
        <v>125</v>
      </c>
      <c r="B43" s="105" t="s">
        <v>123</v>
      </c>
      <c r="C43" s="105">
        <v>16.330000000000002</v>
      </c>
      <c r="D43" s="105" t="s">
        <v>286</v>
      </c>
      <c r="E43" s="105" t="s">
        <v>286</v>
      </c>
      <c r="F43" s="105" t="s">
        <v>286</v>
      </c>
      <c r="G43" s="105" t="s">
        <v>287</v>
      </c>
      <c r="H43" s="105">
        <v>2</v>
      </c>
      <c r="I43" s="105"/>
    </row>
    <row r="44" spans="1:9">
      <c r="A44" s="104" t="s">
        <v>123</v>
      </c>
      <c r="B44" s="104" t="s">
        <v>121</v>
      </c>
      <c r="C44" s="104">
        <v>4.9899999999999984</v>
      </c>
      <c r="D44" s="104" t="s">
        <v>286</v>
      </c>
      <c r="E44" s="104" t="s">
        <v>286</v>
      </c>
      <c r="F44" s="104" t="s">
        <v>286</v>
      </c>
      <c r="G44" s="104" t="s">
        <v>287</v>
      </c>
      <c r="H44" s="104">
        <v>2</v>
      </c>
      <c r="I44" s="104"/>
    </row>
    <row r="45" spans="1:9">
      <c r="A45" s="105" t="s">
        <v>121</v>
      </c>
      <c r="B45" s="105" t="s">
        <v>119</v>
      </c>
      <c r="C45" s="105">
        <v>4.84</v>
      </c>
      <c r="D45" s="105" t="s">
        <v>286</v>
      </c>
      <c r="E45" s="105" t="s">
        <v>286</v>
      </c>
      <c r="F45" s="105" t="s">
        <v>286</v>
      </c>
      <c r="G45" s="105" t="s">
        <v>287</v>
      </c>
      <c r="H45" s="105">
        <v>2</v>
      </c>
      <c r="I45" s="105"/>
    </row>
    <row r="46" spans="1:9">
      <c r="A46" s="104" t="s">
        <v>119</v>
      </c>
      <c r="B46" s="104" t="s">
        <v>117</v>
      </c>
      <c r="C46" s="104">
        <v>7.1000000000000014</v>
      </c>
      <c r="D46" s="104" t="s">
        <v>286</v>
      </c>
      <c r="E46" s="104" t="s">
        <v>286</v>
      </c>
      <c r="F46" s="104" t="s">
        <v>286</v>
      </c>
      <c r="G46" s="104" t="s">
        <v>287</v>
      </c>
      <c r="H46" s="104">
        <v>2</v>
      </c>
      <c r="I46" s="104"/>
    </row>
    <row r="47" spans="1:9">
      <c r="A47" s="105" t="s">
        <v>117</v>
      </c>
      <c r="B47" s="105" t="s">
        <v>115</v>
      </c>
      <c r="C47" s="105">
        <v>13.66</v>
      </c>
      <c r="D47" s="105" t="s">
        <v>286</v>
      </c>
      <c r="E47" s="105" t="s">
        <v>286</v>
      </c>
      <c r="F47" s="105" t="s">
        <v>286</v>
      </c>
      <c r="G47" s="105" t="s">
        <v>287</v>
      </c>
      <c r="H47" s="105">
        <v>2</v>
      </c>
      <c r="I47" s="105"/>
    </row>
    <row r="48" spans="1:9">
      <c r="A48" s="104" t="s">
        <v>115</v>
      </c>
      <c r="B48" s="104" t="s">
        <v>113</v>
      </c>
      <c r="C48" s="104">
        <v>5.6499999999999986</v>
      </c>
      <c r="D48" s="104" t="s">
        <v>286</v>
      </c>
      <c r="E48" s="104" t="s">
        <v>286</v>
      </c>
      <c r="F48" s="104" t="s">
        <v>286</v>
      </c>
      <c r="G48" s="104" t="s">
        <v>287</v>
      </c>
      <c r="H48" s="104">
        <v>2</v>
      </c>
      <c r="I48" s="104"/>
    </row>
    <row r="49" spans="1:9">
      <c r="A49" s="105" t="s">
        <v>113</v>
      </c>
      <c r="B49" s="105" t="s">
        <v>475</v>
      </c>
      <c r="C49" s="105">
        <v>10.400000000000002</v>
      </c>
      <c r="D49" s="105" t="s">
        <v>286</v>
      </c>
      <c r="E49" s="105" t="s">
        <v>286</v>
      </c>
      <c r="F49" s="105" t="s">
        <v>286</v>
      </c>
      <c r="G49" s="105" t="s">
        <v>287</v>
      </c>
      <c r="H49" s="105">
        <v>2</v>
      </c>
      <c r="I49" s="105"/>
    </row>
    <row r="50" spans="1:9">
      <c r="A50" s="104" t="s">
        <v>475</v>
      </c>
      <c r="B50" s="104" t="s">
        <v>109</v>
      </c>
      <c r="C50" s="104">
        <v>4.57</v>
      </c>
      <c r="D50" s="104" t="s">
        <v>286</v>
      </c>
      <c r="E50" s="104" t="s">
        <v>287</v>
      </c>
      <c r="F50" s="104" t="s">
        <v>287</v>
      </c>
      <c r="G50" s="104" t="s">
        <v>287</v>
      </c>
      <c r="H50" s="104">
        <v>2</v>
      </c>
      <c r="I50" s="104" t="s">
        <v>535</v>
      </c>
    </row>
    <row r="51" spans="1:9">
      <c r="A51" s="105" t="s">
        <v>109</v>
      </c>
      <c r="B51" s="105" t="s">
        <v>111</v>
      </c>
      <c r="C51" s="105">
        <v>9.92</v>
      </c>
      <c r="D51" s="105" t="s">
        <v>286</v>
      </c>
      <c r="E51" s="105" t="s">
        <v>287</v>
      </c>
      <c r="F51" s="105" t="s">
        <v>287</v>
      </c>
      <c r="G51" s="105" t="s">
        <v>287</v>
      </c>
      <c r="H51" s="105">
        <v>2</v>
      </c>
      <c r="I51" s="105" t="s">
        <v>535</v>
      </c>
    </row>
    <row r="52" spans="1:9">
      <c r="A52" s="104" t="s">
        <v>475</v>
      </c>
      <c r="B52" s="104" t="s">
        <v>471</v>
      </c>
      <c r="C52" s="104">
        <v>9.34</v>
      </c>
      <c r="D52" s="104" t="s">
        <v>286</v>
      </c>
      <c r="E52" s="104" t="s">
        <v>286</v>
      </c>
      <c r="F52" s="104" t="s">
        <v>286</v>
      </c>
      <c r="G52" s="104" t="s">
        <v>287</v>
      </c>
      <c r="H52" s="104">
        <v>2</v>
      </c>
      <c r="I52" s="104"/>
    </row>
    <row r="53" spans="1:9">
      <c r="A53" s="105" t="s">
        <v>471</v>
      </c>
      <c r="B53" s="105" t="s">
        <v>106</v>
      </c>
      <c r="C53" s="105">
        <v>9.3600000000000012</v>
      </c>
      <c r="D53" s="105" t="s">
        <v>286</v>
      </c>
      <c r="E53" s="105" t="s">
        <v>286</v>
      </c>
      <c r="F53" s="105" t="s">
        <v>286</v>
      </c>
      <c r="G53" s="105" t="s">
        <v>287</v>
      </c>
      <c r="H53" s="105">
        <v>2</v>
      </c>
      <c r="I53" s="105"/>
    </row>
    <row r="54" spans="1:9">
      <c r="A54" s="104" t="s">
        <v>106</v>
      </c>
      <c r="B54" s="104" t="s">
        <v>429</v>
      </c>
      <c r="C54" s="104">
        <v>9.24</v>
      </c>
      <c r="D54" s="104" t="s">
        <v>286</v>
      </c>
      <c r="E54" s="104" t="s">
        <v>286</v>
      </c>
      <c r="F54" s="104" t="s">
        <v>286</v>
      </c>
      <c r="G54" s="104" t="s">
        <v>287</v>
      </c>
      <c r="H54" s="104">
        <v>2</v>
      </c>
      <c r="I54" s="104"/>
    </row>
    <row r="55" spans="1:9">
      <c r="A55" s="105" t="s">
        <v>429</v>
      </c>
      <c r="B55" s="105" t="s">
        <v>99</v>
      </c>
      <c r="C55" s="105">
        <v>19.059999999999999</v>
      </c>
      <c r="D55" s="105" t="s">
        <v>286</v>
      </c>
      <c r="E55" s="105" t="s">
        <v>286</v>
      </c>
      <c r="F55" s="105" t="s">
        <v>286</v>
      </c>
      <c r="G55" s="105" t="s">
        <v>287</v>
      </c>
      <c r="H55" s="105">
        <v>2</v>
      </c>
      <c r="I55" s="105"/>
    </row>
    <row r="56" spans="1:9">
      <c r="A56" s="104" t="s">
        <v>99</v>
      </c>
      <c r="B56" s="104" t="s">
        <v>15</v>
      </c>
      <c r="C56" s="104">
        <v>1E-3</v>
      </c>
      <c r="D56" s="104" t="s">
        <v>286</v>
      </c>
      <c r="E56" s="104" t="s">
        <v>286</v>
      </c>
      <c r="F56" s="104" t="s">
        <v>286</v>
      </c>
      <c r="G56" s="104" t="s">
        <v>286</v>
      </c>
      <c r="H56" s="104">
        <v>2</v>
      </c>
      <c r="I56" s="104" t="s">
        <v>538</v>
      </c>
    </row>
    <row r="57" spans="1:9">
      <c r="A57" s="105" t="s">
        <v>311</v>
      </c>
      <c r="B57" s="105" t="s">
        <v>15</v>
      </c>
      <c r="C57" s="105">
        <v>1E-3</v>
      </c>
      <c r="D57" s="105" t="s">
        <v>286</v>
      </c>
      <c r="E57" s="105" t="s">
        <v>286</v>
      </c>
      <c r="F57" s="105" t="s">
        <v>287</v>
      </c>
      <c r="G57" s="105" t="s">
        <v>286</v>
      </c>
      <c r="H57" s="105">
        <v>2</v>
      </c>
      <c r="I57" s="105" t="s">
        <v>539</v>
      </c>
    </row>
    <row r="58" spans="1:9">
      <c r="A58" s="104" t="s">
        <v>99</v>
      </c>
      <c r="B58" s="104" t="s">
        <v>101</v>
      </c>
      <c r="C58" s="104">
        <v>9.91</v>
      </c>
      <c r="D58" s="104" t="s">
        <v>286</v>
      </c>
      <c r="E58" s="104" t="s">
        <v>287</v>
      </c>
      <c r="F58" s="104" t="s">
        <v>287</v>
      </c>
      <c r="G58" s="104" t="s">
        <v>287</v>
      </c>
      <c r="H58" s="104">
        <v>2</v>
      </c>
      <c r="I58" s="104" t="s">
        <v>535</v>
      </c>
    </row>
    <row r="59" spans="1:9">
      <c r="A59" s="105" t="s">
        <v>101</v>
      </c>
      <c r="B59" s="105" t="s">
        <v>524</v>
      </c>
      <c r="C59" s="105">
        <v>2.77</v>
      </c>
      <c r="D59" s="105" t="s">
        <v>287</v>
      </c>
      <c r="E59" s="105" t="s">
        <v>287</v>
      </c>
      <c r="F59" s="105" t="s">
        <v>287</v>
      </c>
      <c r="G59" s="105" t="s">
        <v>287</v>
      </c>
      <c r="H59" s="105">
        <v>2</v>
      </c>
      <c r="I59" s="105" t="s">
        <v>535</v>
      </c>
    </row>
    <row r="60" spans="1:9">
      <c r="A60" s="104" t="s">
        <v>99</v>
      </c>
      <c r="B60" s="104" t="s">
        <v>103</v>
      </c>
      <c r="C60" s="104">
        <v>10.02</v>
      </c>
      <c r="D60" s="104" t="s">
        <v>286</v>
      </c>
      <c r="E60" s="104" t="s">
        <v>287</v>
      </c>
      <c r="F60" s="104" t="s">
        <v>287</v>
      </c>
      <c r="G60" s="104" t="s">
        <v>287</v>
      </c>
      <c r="H60" s="104">
        <v>2</v>
      </c>
      <c r="I60" s="104" t="s">
        <v>535</v>
      </c>
    </row>
    <row r="61" spans="1:9">
      <c r="A61" s="105" t="s">
        <v>103</v>
      </c>
      <c r="B61" s="105" t="s">
        <v>104</v>
      </c>
      <c r="C61" s="105">
        <v>13.07</v>
      </c>
      <c r="D61" s="105" t="s">
        <v>286</v>
      </c>
      <c r="E61" s="105" t="s">
        <v>287</v>
      </c>
      <c r="F61" s="105" t="s">
        <v>287</v>
      </c>
      <c r="G61" s="105" t="s">
        <v>287</v>
      </c>
      <c r="H61" s="105">
        <v>2</v>
      </c>
      <c r="I61" s="105" t="s">
        <v>535</v>
      </c>
    </row>
    <row r="62" spans="1:9">
      <c r="A62" s="104" t="s">
        <v>104</v>
      </c>
      <c r="B62" s="104" t="s">
        <v>108</v>
      </c>
      <c r="C62" s="104">
        <v>1E-3</v>
      </c>
      <c r="D62" s="104" t="s">
        <v>286</v>
      </c>
      <c r="E62" s="104" t="s">
        <v>287</v>
      </c>
      <c r="F62" s="104" t="s">
        <v>287</v>
      </c>
      <c r="G62" s="104" t="s">
        <v>286</v>
      </c>
      <c r="H62" s="104">
        <v>2</v>
      </c>
      <c r="I62" s="104" t="s">
        <v>537</v>
      </c>
    </row>
    <row r="63" spans="1:9">
      <c r="A63" s="105" t="s">
        <v>104</v>
      </c>
      <c r="B63" s="105" t="s">
        <v>508</v>
      </c>
      <c r="C63" s="105">
        <v>0.2</v>
      </c>
      <c r="D63" s="105" t="s">
        <v>287</v>
      </c>
      <c r="E63" s="105" t="s">
        <v>287</v>
      </c>
      <c r="F63" s="105" t="s">
        <v>287</v>
      </c>
      <c r="G63" s="105" t="s">
        <v>287</v>
      </c>
      <c r="H63" s="105">
        <v>2</v>
      </c>
      <c r="I63" s="105" t="s">
        <v>535</v>
      </c>
    </row>
    <row r="64" spans="1:9">
      <c r="A64" s="104" t="s">
        <v>429</v>
      </c>
      <c r="B64" s="104" t="s">
        <v>459</v>
      </c>
      <c r="C64" s="104">
        <v>10.850000000000009</v>
      </c>
      <c r="D64" s="104" t="s">
        <v>286</v>
      </c>
      <c r="E64" s="104" t="s">
        <v>286</v>
      </c>
      <c r="F64" s="104" t="s">
        <v>286</v>
      </c>
      <c r="G64" s="104" t="s">
        <v>287</v>
      </c>
      <c r="H64" s="104">
        <v>1</v>
      </c>
      <c r="I64" s="104"/>
    </row>
    <row r="65" spans="1:9">
      <c r="A65" s="105" t="s">
        <v>459</v>
      </c>
      <c r="B65" s="105" t="s">
        <v>97</v>
      </c>
      <c r="C65" s="105">
        <v>7.8599999999999994</v>
      </c>
      <c r="D65" s="105" t="s">
        <v>286</v>
      </c>
      <c r="E65" s="105" t="s">
        <v>286</v>
      </c>
      <c r="F65" s="105" t="s">
        <v>286</v>
      </c>
      <c r="G65" s="105" t="s">
        <v>287</v>
      </c>
      <c r="H65" s="105">
        <v>1</v>
      </c>
      <c r="I65" s="105"/>
    </row>
    <row r="66" spans="1:9">
      <c r="A66" s="104" t="s">
        <v>97</v>
      </c>
      <c r="B66" s="104" t="s">
        <v>95</v>
      </c>
      <c r="C66" s="104">
        <v>6.57</v>
      </c>
      <c r="D66" s="104" t="s">
        <v>286</v>
      </c>
      <c r="E66" s="104" t="s">
        <v>286</v>
      </c>
      <c r="F66" s="104" t="s">
        <v>286</v>
      </c>
      <c r="G66" s="104" t="s">
        <v>287</v>
      </c>
      <c r="H66" s="104">
        <v>1</v>
      </c>
      <c r="I66" s="104"/>
    </row>
    <row r="67" spans="1:9">
      <c r="A67" s="105" t="s">
        <v>95</v>
      </c>
      <c r="B67" s="105" t="s">
        <v>453</v>
      </c>
      <c r="C67" s="105">
        <v>8.3399999999999963</v>
      </c>
      <c r="D67" s="105" t="s">
        <v>286</v>
      </c>
      <c r="E67" s="105" t="s">
        <v>286</v>
      </c>
      <c r="F67" s="105" t="s">
        <v>286</v>
      </c>
      <c r="G67" s="105" t="s">
        <v>287</v>
      </c>
      <c r="H67" s="105">
        <v>1</v>
      </c>
      <c r="I67" s="105"/>
    </row>
    <row r="68" spans="1:9">
      <c r="A68" s="104" t="s">
        <v>453</v>
      </c>
      <c r="B68" s="104" t="s">
        <v>93</v>
      </c>
      <c r="C68" s="104">
        <v>4.34</v>
      </c>
      <c r="D68" s="104" t="s">
        <v>286</v>
      </c>
      <c r="E68" s="104" t="s">
        <v>286</v>
      </c>
      <c r="F68" s="104" t="s">
        <v>286</v>
      </c>
      <c r="G68" s="104" t="s">
        <v>287</v>
      </c>
      <c r="H68" s="104">
        <v>1</v>
      </c>
      <c r="I68" s="104"/>
    </row>
    <row r="69" spans="1:9">
      <c r="A69" s="105" t="s">
        <v>93</v>
      </c>
      <c r="B69" s="105" t="s">
        <v>401</v>
      </c>
      <c r="C69" s="105">
        <v>11.610000000000003</v>
      </c>
      <c r="D69" s="105" t="s">
        <v>286</v>
      </c>
      <c r="E69" s="105" t="s">
        <v>286</v>
      </c>
      <c r="F69" s="105" t="s">
        <v>286</v>
      </c>
      <c r="G69" s="105" t="s">
        <v>287</v>
      </c>
      <c r="H69" s="105">
        <v>1</v>
      </c>
      <c r="I69" s="105"/>
    </row>
    <row r="70" spans="1:9">
      <c r="A70" s="104" t="s">
        <v>401</v>
      </c>
      <c r="B70" s="104" t="s">
        <v>409</v>
      </c>
      <c r="C70" s="104">
        <v>18.329999999999998</v>
      </c>
      <c r="D70" s="104" t="s">
        <v>286</v>
      </c>
      <c r="E70" s="104" t="s">
        <v>286</v>
      </c>
      <c r="F70" s="104" t="s">
        <v>286</v>
      </c>
      <c r="G70" s="104" t="s">
        <v>287</v>
      </c>
      <c r="H70" s="104">
        <v>1</v>
      </c>
      <c r="I70" s="104"/>
    </row>
    <row r="71" spans="1:9">
      <c r="A71" s="105" t="s">
        <v>409</v>
      </c>
      <c r="B71" s="105" t="s">
        <v>91</v>
      </c>
      <c r="C71" s="105">
        <v>4</v>
      </c>
      <c r="D71" s="105" t="s">
        <v>286</v>
      </c>
      <c r="E71" s="105" t="s">
        <v>286</v>
      </c>
      <c r="F71" s="105" t="s">
        <v>286</v>
      </c>
      <c r="G71" s="105" t="s">
        <v>287</v>
      </c>
      <c r="H71" s="105">
        <v>1</v>
      </c>
      <c r="I71" s="105"/>
    </row>
    <row r="72" spans="1:9">
      <c r="A72" s="104" t="s">
        <v>91</v>
      </c>
      <c r="B72" s="104" t="s">
        <v>423</v>
      </c>
      <c r="C72" s="104">
        <v>10.629999999999995</v>
      </c>
      <c r="D72" s="104" t="s">
        <v>286</v>
      </c>
      <c r="E72" s="104" t="s">
        <v>286</v>
      </c>
      <c r="F72" s="104" t="s">
        <v>286</v>
      </c>
      <c r="G72" s="104" t="s">
        <v>287</v>
      </c>
      <c r="H72" s="104">
        <v>1</v>
      </c>
      <c r="I72" s="104"/>
    </row>
    <row r="73" spans="1:9">
      <c r="A73" s="105" t="s">
        <v>423</v>
      </c>
      <c r="B73" s="105" t="s">
        <v>86</v>
      </c>
      <c r="C73" s="105">
        <v>13.970000000000013</v>
      </c>
      <c r="D73" s="105" t="s">
        <v>286</v>
      </c>
      <c r="E73" s="105" t="s">
        <v>286</v>
      </c>
      <c r="F73" s="105" t="s">
        <v>286</v>
      </c>
      <c r="G73" s="105" t="s">
        <v>287</v>
      </c>
      <c r="H73" s="105">
        <v>1</v>
      </c>
      <c r="I73" s="105"/>
    </row>
    <row r="74" spans="1:9">
      <c r="A74" s="104" t="s">
        <v>86</v>
      </c>
      <c r="B74" s="104" t="s">
        <v>403</v>
      </c>
      <c r="C74" s="104">
        <v>15.11</v>
      </c>
      <c r="D74" s="104" t="s">
        <v>286</v>
      </c>
      <c r="E74" s="104" t="s">
        <v>287</v>
      </c>
      <c r="F74" s="104" t="s">
        <v>287</v>
      </c>
      <c r="G74" s="104" t="s">
        <v>287</v>
      </c>
      <c r="H74" s="104">
        <v>1</v>
      </c>
      <c r="I74" s="104" t="s">
        <v>535</v>
      </c>
    </row>
    <row r="75" spans="1:9">
      <c r="A75" s="105" t="s">
        <v>403</v>
      </c>
      <c r="B75" s="105" t="s">
        <v>90</v>
      </c>
      <c r="C75" s="105">
        <v>8.620000000000001</v>
      </c>
      <c r="D75" s="105" t="s">
        <v>286</v>
      </c>
      <c r="E75" s="105" t="s">
        <v>287</v>
      </c>
      <c r="F75" s="105" t="s">
        <v>287</v>
      </c>
      <c r="G75" s="105" t="s">
        <v>287</v>
      </c>
      <c r="H75" s="105">
        <v>1</v>
      </c>
      <c r="I75" s="105" t="s">
        <v>535</v>
      </c>
    </row>
    <row r="76" spans="1:9">
      <c r="A76" s="104" t="s">
        <v>90</v>
      </c>
      <c r="B76" s="104" t="s">
        <v>88</v>
      </c>
      <c r="C76" s="104">
        <v>1E-3</v>
      </c>
      <c r="D76" s="104" t="s">
        <v>286</v>
      </c>
      <c r="E76" s="104" t="s">
        <v>287</v>
      </c>
      <c r="F76" s="104" t="s">
        <v>287</v>
      </c>
      <c r="G76" s="104" t="s">
        <v>286</v>
      </c>
      <c r="H76" s="104">
        <v>1</v>
      </c>
      <c r="I76" s="104" t="s">
        <v>537</v>
      </c>
    </row>
    <row r="77" spans="1:9">
      <c r="A77" s="105" t="s">
        <v>86</v>
      </c>
      <c r="B77" s="105" t="s">
        <v>84</v>
      </c>
      <c r="C77" s="105">
        <v>11.43</v>
      </c>
      <c r="D77" s="105" t="s">
        <v>286</v>
      </c>
      <c r="E77" s="105" t="s">
        <v>287</v>
      </c>
      <c r="F77" s="105" t="s">
        <v>287</v>
      </c>
      <c r="G77" s="105" t="s">
        <v>287</v>
      </c>
      <c r="H77" s="105">
        <v>1</v>
      </c>
      <c r="I77" s="105" t="s">
        <v>535</v>
      </c>
    </row>
    <row r="78" spans="1:9">
      <c r="A78" s="104" t="s">
        <v>86</v>
      </c>
      <c r="B78" s="104" t="s">
        <v>80</v>
      </c>
      <c r="C78" s="104">
        <v>13.639999999999993</v>
      </c>
      <c r="D78" s="104" t="s">
        <v>286</v>
      </c>
      <c r="E78" s="104" t="s">
        <v>286</v>
      </c>
      <c r="F78" s="104" t="s">
        <v>286</v>
      </c>
      <c r="G78" s="104" t="s">
        <v>287</v>
      </c>
      <c r="H78" s="104">
        <v>1</v>
      </c>
      <c r="I78" s="104"/>
    </row>
    <row r="79" spans="1:9">
      <c r="A79" s="105" t="s">
        <v>80</v>
      </c>
      <c r="B79" s="105" t="s">
        <v>433</v>
      </c>
      <c r="C79" s="105">
        <v>2.4299999999999997</v>
      </c>
      <c r="D79" s="105" t="s">
        <v>286</v>
      </c>
      <c r="E79" s="105" t="s">
        <v>286</v>
      </c>
      <c r="F79" s="105" t="s">
        <v>286</v>
      </c>
      <c r="G79" s="105" t="s">
        <v>287</v>
      </c>
      <c r="H79" s="105">
        <v>1</v>
      </c>
      <c r="I79" s="105"/>
    </row>
    <row r="80" spans="1:9">
      <c r="A80" s="104" t="s">
        <v>433</v>
      </c>
      <c r="B80" s="104" t="s">
        <v>74</v>
      </c>
      <c r="C80" s="104">
        <v>0.14000000000000001</v>
      </c>
      <c r="D80" s="104" t="s">
        <v>286</v>
      </c>
      <c r="E80" s="104" t="s">
        <v>287</v>
      </c>
      <c r="F80" s="104" t="s">
        <v>287</v>
      </c>
      <c r="G80" s="104" t="s">
        <v>287</v>
      </c>
      <c r="H80" s="104">
        <v>1</v>
      </c>
      <c r="I80" s="104" t="s">
        <v>535</v>
      </c>
    </row>
    <row r="81" spans="1:9">
      <c r="A81" s="105" t="s">
        <v>74</v>
      </c>
      <c r="B81" s="105" t="s">
        <v>505</v>
      </c>
      <c r="C81" s="105">
        <v>1.24</v>
      </c>
      <c r="D81" s="105" t="s">
        <v>287</v>
      </c>
      <c r="E81" s="105" t="s">
        <v>287</v>
      </c>
      <c r="F81" s="105" t="s">
        <v>287</v>
      </c>
      <c r="G81" s="105" t="s">
        <v>287</v>
      </c>
      <c r="H81" s="105">
        <v>1</v>
      </c>
      <c r="I81" s="105" t="s">
        <v>540</v>
      </c>
    </row>
    <row r="82" spans="1:9">
      <c r="A82" s="104" t="s">
        <v>74</v>
      </c>
      <c r="B82" s="104" t="s">
        <v>82</v>
      </c>
      <c r="C82" s="104">
        <v>1E-3</v>
      </c>
      <c r="D82" s="104" t="s">
        <v>286</v>
      </c>
      <c r="E82" s="104" t="s">
        <v>287</v>
      </c>
      <c r="F82" s="104" t="s">
        <v>287</v>
      </c>
      <c r="G82" s="104" t="s">
        <v>286</v>
      </c>
      <c r="H82" s="104">
        <v>1</v>
      </c>
      <c r="I82" s="104" t="s">
        <v>537</v>
      </c>
    </row>
    <row r="83" spans="1:9">
      <c r="A83" s="105" t="s">
        <v>82</v>
      </c>
      <c r="B83" s="105" t="s">
        <v>503</v>
      </c>
      <c r="C83" s="105">
        <v>1.24</v>
      </c>
      <c r="D83" s="105" t="s">
        <v>287</v>
      </c>
      <c r="E83" s="105" t="s">
        <v>287</v>
      </c>
      <c r="F83" s="105" t="s">
        <v>287</v>
      </c>
      <c r="G83" s="105" t="s">
        <v>287</v>
      </c>
      <c r="H83" s="105">
        <v>1</v>
      </c>
      <c r="I83" s="105" t="s">
        <v>541</v>
      </c>
    </row>
    <row r="84" spans="1:9">
      <c r="A84" s="104" t="s">
        <v>82</v>
      </c>
      <c r="B84" s="104" t="s">
        <v>415</v>
      </c>
      <c r="C84" s="104">
        <v>11.65</v>
      </c>
      <c r="D84" s="104" t="s">
        <v>286</v>
      </c>
      <c r="E84" s="104" t="s">
        <v>287</v>
      </c>
      <c r="F84" s="104" t="s">
        <v>287</v>
      </c>
      <c r="G84" s="104" t="s">
        <v>287</v>
      </c>
      <c r="H84" s="104">
        <v>1</v>
      </c>
      <c r="I84" s="104" t="s">
        <v>535</v>
      </c>
    </row>
    <row r="85" spans="1:9">
      <c r="A85" s="105" t="s">
        <v>415</v>
      </c>
      <c r="B85" s="105" t="s">
        <v>76</v>
      </c>
      <c r="C85" s="105">
        <v>9.1300000000000008</v>
      </c>
      <c r="D85" s="105" t="s">
        <v>286</v>
      </c>
      <c r="E85" s="105" t="s">
        <v>287</v>
      </c>
      <c r="F85" s="105" t="s">
        <v>287</v>
      </c>
      <c r="G85" s="105" t="s">
        <v>287</v>
      </c>
      <c r="H85" s="105">
        <v>1</v>
      </c>
      <c r="I85" s="105" t="s">
        <v>535</v>
      </c>
    </row>
    <row r="86" spans="1:9">
      <c r="A86" s="104" t="s">
        <v>76</v>
      </c>
      <c r="B86" s="104" t="s">
        <v>83</v>
      </c>
      <c r="C86" s="104">
        <v>6.77</v>
      </c>
      <c r="D86" s="104" t="s">
        <v>286</v>
      </c>
      <c r="E86" s="104" t="s">
        <v>287</v>
      </c>
      <c r="F86" s="104" t="s">
        <v>287</v>
      </c>
      <c r="G86" s="104" t="s">
        <v>287</v>
      </c>
      <c r="H86" s="104">
        <v>1</v>
      </c>
      <c r="I86" s="104" t="s">
        <v>535</v>
      </c>
    </row>
    <row r="87" spans="1:9">
      <c r="A87" s="105" t="s">
        <v>83</v>
      </c>
      <c r="B87" s="105" t="s">
        <v>78</v>
      </c>
      <c r="C87" s="105">
        <v>1E-3</v>
      </c>
      <c r="D87" s="105" t="s">
        <v>286</v>
      </c>
      <c r="E87" s="105" t="s">
        <v>287</v>
      </c>
      <c r="F87" s="105" t="s">
        <v>287</v>
      </c>
      <c r="G87" s="105" t="s">
        <v>286</v>
      </c>
      <c r="H87" s="105">
        <v>1</v>
      </c>
      <c r="I87" s="105" t="s">
        <v>537</v>
      </c>
    </row>
    <row r="88" spans="1:9">
      <c r="A88" s="104" t="s">
        <v>83</v>
      </c>
      <c r="B88" s="104" t="s">
        <v>72</v>
      </c>
      <c r="C88" s="104">
        <v>5.34</v>
      </c>
      <c r="D88" s="104" t="s">
        <v>286</v>
      </c>
      <c r="E88" s="104" t="s">
        <v>287</v>
      </c>
      <c r="F88" s="104" t="s">
        <v>287</v>
      </c>
      <c r="G88" s="104" t="s">
        <v>287</v>
      </c>
      <c r="H88" s="104">
        <v>1</v>
      </c>
      <c r="I88" s="104" t="s">
        <v>535</v>
      </c>
    </row>
    <row r="89" spans="1:9">
      <c r="A89" s="105" t="s">
        <v>433</v>
      </c>
      <c r="B89" s="105" t="s">
        <v>70</v>
      </c>
      <c r="C89" s="105">
        <v>3.7700000000000031</v>
      </c>
      <c r="D89" s="105" t="s">
        <v>286</v>
      </c>
      <c r="E89" s="105" t="s">
        <v>286</v>
      </c>
      <c r="F89" s="105" t="s">
        <v>286</v>
      </c>
      <c r="G89" s="105" t="s">
        <v>287</v>
      </c>
      <c r="H89" s="105">
        <v>1</v>
      </c>
      <c r="I89" s="105"/>
    </row>
    <row r="90" spans="1:9">
      <c r="A90" s="104" t="s">
        <v>70</v>
      </c>
      <c r="B90" s="104" t="s">
        <v>68</v>
      </c>
      <c r="C90" s="104">
        <v>12.459999999999994</v>
      </c>
      <c r="D90" s="104" t="s">
        <v>286</v>
      </c>
      <c r="E90" s="104" t="s">
        <v>286</v>
      </c>
      <c r="F90" s="104" t="s">
        <v>286</v>
      </c>
      <c r="G90" s="104" t="s">
        <v>287</v>
      </c>
      <c r="H90" s="104">
        <v>1</v>
      </c>
      <c r="I90" s="104"/>
    </row>
    <row r="91" spans="1:9">
      <c r="A91" s="105" t="s">
        <v>68</v>
      </c>
      <c r="B91" s="105" t="s">
        <v>427</v>
      </c>
      <c r="C91" s="105">
        <v>11.010000000000005</v>
      </c>
      <c r="D91" s="105" t="s">
        <v>286</v>
      </c>
      <c r="E91" s="105" t="s">
        <v>286</v>
      </c>
      <c r="F91" s="105" t="s">
        <v>286</v>
      </c>
      <c r="G91" s="105" t="s">
        <v>287</v>
      </c>
      <c r="H91" s="105">
        <v>1</v>
      </c>
      <c r="I91" s="105"/>
    </row>
    <row r="92" spans="1:9">
      <c r="A92" s="104" t="s">
        <v>427</v>
      </c>
      <c r="B92" s="104" t="s">
        <v>64</v>
      </c>
      <c r="C92" s="104">
        <v>5.6899999999999977</v>
      </c>
      <c r="D92" s="104" t="s">
        <v>286</v>
      </c>
      <c r="E92" s="104" t="s">
        <v>286</v>
      </c>
      <c r="F92" s="104" t="s">
        <v>286</v>
      </c>
      <c r="G92" s="104" t="s">
        <v>287</v>
      </c>
      <c r="H92" s="104">
        <v>1</v>
      </c>
      <c r="I92" s="104"/>
    </row>
    <row r="93" spans="1:9">
      <c r="A93" s="105" t="s">
        <v>64</v>
      </c>
      <c r="B93" s="105" t="s">
        <v>62</v>
      </c>
      <c r="C93" s="105">
        <v>12.39</v>
      </c>
      <c r="D93" s="105" t="s">
        <v>286</v>
      </c>
      <c r="E93" s="105" t="s">
        <v>286</v>
      </c>
      <c r="F93" s="105" t="s">
        <v>286</v>
      </c>
      <c r="G93" s="105" t="s">
        <v>287</v>
      </c>
      <c r="H93" s="105">
        <v>1</v>
      </c>
      <c r="I93" s="105"/>
    </row>
    <row r="94" spans="1:9">
      <c r="A94" s="104" t="s">
        <v>62</v>
      </c>
      <c r="B94" s="104" t="s">
        <v>465</v>
      </c>
      <c r="C94" s="104">
        <v>9.34</v>
      </c>
      <c r="D94" s="104" t="s">
        <v>286</v>
      </c>
      <c r="E94" s="104" t="s">
        <v>286</v>
      </c>
      <c r="F94" s="104" t="s">
        <v>286</v>
      </c>
      <c r="G94" s="104" t="s">
        <v>287</v>
      </c>
      <c r="H94" s="104">
        <v>1</v>
      </c>
      <c r="I94" s="104"/>
    </row>
    <row r="95" spans="1:9">
      <c r="A95" s="105" t="s">
        <v>465</v>
      </c>
      <c r="B95" s="105" t="s">
        <v>467</v>
      </c>
      <c r="C95" s="105">
        <v>10.199999999999999</v>
      </c>
      <c r="D95" s="105" t="s">
        <v>286</v>
      </c>
      <c r="E95" s="105" t="s">
        <v>287</v>
      </c>
      <c r="F95" s="105" t="s">
        <v>287</v>
      </c>
      <c r="G95" s="105" t="s">
        <v>287</v>
      </c>
      <c r="H95" s="105">
        <v>1</v>
      </c>
      <c r="I95" s="105" t="s">
        <v>535</v>
      </c>
    </row>
    <row r="96" spans="1:9">
      <c r="A96" s="104" t="s">
        <v>467</v>
      </c>
      <c r="B96" s="104" t="s">
        <v>59</v>
      </c>
      <c r="C96" s="104">
        <v>1.08</v>
      </c>
      <c r="D96" s="104" t="s">
        <v>286</v>
      </c>
      <c r="E96" s="104" t="s">
        <v>287</v>
      </c>
      <c r="F96" s="104" t="s">
        <v>287</v>
      </c>
      <c r="G96" s="104" t="s">
        <v>287</v>
      </c>
      <c r="H96" s="104">
        <v>1</v>
      </c>
      <c r="I96" s="104" t="s">
        <v>535</v>
      </c>
    </row>
    <row r="97" spans="1:9">
      <c r="A97" s="105" t="s">
        <v>59</v>
      </c>
      <c r="B97" s="105" t="s">
        <v>61</v>
      </c>
      <c r="C97" s="105">
        <v>8.31</v>
      </c>
      <c r="D97" s="105" t="s">
        <v>286</v>
      </c>
      <c r="E97" s="105" t="s">
        <v>287</v>
      </c>
      <c r="F97" s="105" t="s">
        <v>287</v>
      </c>
      <c r="G97" s="105" t="s">
        <v>287</v>
      </c>
      <c r="H97" s="105">
        <v>1</v>
      </c>
      <c r="I97" s="105" t="s">
        <v>535</v>
      </c>
    </row>
    <row r="98" spans="1:9">
      <c r="A98" s="104" t="s">
        <v>61</v>
      </c>
      <c r="B98" s="104" t="s">
        <v>57</v>
      </c>
      <c r="C98" s="104">
        <v>1E-3</v>
      </c>
      <c r="D98" s="104" t="s">
        <v>286</v>
      </c>
      <c r="E98" s="104" t="s">
        <v>287</v>
      </c>
      <c r="F98" s="104" t="s">
        <v>287</v>
      </c>
      <c r="G98" s="104" t="s">
        <v>286</v>
      </c>
      <c r="H98" s="104">
        <v>1</v>
      </c>
      <c r="I98" s="104" t="s">
        <v>537</v>
      </c>
    </row>
    <row r="99" spans="1:9">
      <c r="A99" s="105" t="s">
        <v>467</v>
      </c>
      <c r="B99" s="105" t="s">
        <v>479</v>
      </c>
      <c r="C99" s="105">
        <v>7.77</v>
      </c>
      <c r="D99" s="105" t="s">
        <v>286</v>
      </c>
      <c r="E99" s="105" t="s">
        <v>287</v>
      </c>
      <c r="F99" s="105" t="s">
        <v>287</v>
      </c>
      <c r="G99" s="105" t="s">
        <v>287</v>
      </c>
      <c r="H99" s="105">
        <v>1</v>
      </c>
      <c r="I99" s="105" t="s">
        <v>535</v>
      </c>
    </row>
    <row r="100" spans="1:9">
      <c r="A100" s="104" t="s">
        <v>479</v>
      </c>
      <c r="B100" s="104" t="s">
        <v>66</v>
      </c>
      <c r="C100" s="104">
        <v>7.8800000000000008</v>
      </c>
      <c r="D100" s="104" t="s">
        <v>286</v>
      </c>
      <c r="E100" s="104" t="s">
        <v>287</v>
      </c>
      <c r="F100" s="104" t="s">
        <v>287</v>
      </c>
      <c r="G100" s="104" t="s">
        <v>287</v>
      </c>
      <c r="H100" s="104">
        <v>1</v>
      </c>
      <c r="I100" s="104" t="s">
        <v>535</v>
      </c>
    </row>
    <row r="101" spans="1:9">
      <c r="A101" s="105" t="s">
        <v>465</v>
      </c>
      <c r="B101" s="105" t="s">
        <v>55</v>
      </c>
      <c r="C101" s="105">
        <v>6.59</v>
      </c>
      <c r="D101" s="105" t="s">
        <v>286</v>
      </c>
      <c r="E101" s="105" t="s">
        <v>286</v>
      </c>
      <c r="F101" s="105" t="s">
        <v>286</v>
      </c>
      <c r="G101" s="105" t="s">
        <v>287</v>
      </c>
      <c r="H101" s="105">
        <v>1</v>
      </c>
      <c r="I101" s="105"/>
    </row>
    <row r="102" spans="1:9">
      <c r="A102" s="104" t="s">
        <v>55</v>
      </c>
      <c r="B102" s="104" t="s">
        <v>205</v>
      </c>
      <c r="C102" s="104">
        <v>5.3400000000000034</v>
      </c>
      <c r="D102" s="104" t="s">
        <v>286</v>
      </c>
      <c r="E102" s="104" t="s">
        <v>286</v>
      </c>
      <c r="F102" s="104" t="s">
        <v>286</v>
      </c>
      <c r="G102" s="104" t="s">
        <v>287</v>
      </c>
      <c r="H102" s="104">
        <v>7</v>
      </c>
      <c r="I102" s="104"/>
    </row>
    <row r="103" spans="1:9">
      <c r="A103" s="105" t="s">
        <v>205</v>
      </c>
      <c r="B103" s="105" t="s">
        <v>513</v>
      </c>
      <c r="C103" s="105">
        <v>1.73</v>
      </c>
      <c r="D103" s="105" t="s">
        <v>287</v>
      </c>
      <c r="E103" s="105" t="s">
        <v>287</v>
      </c>
      <c r="F103" s="105" t="s">
        <v>287</v>
      </c>
      <c r="G103" s="105" t="s">
        <v>287</v>
      </c>
      <c r="H103" s="105">
        <v>7</v>
      </c>
      <c r="I103" s="105" t="s">
        <v>535</v>
      </c>
    </row>
    <row r="104" spans="1:9">
      <c r="A104" s="104" t="s">
        <v>205</v>
      </c>
      <c r="B104" s="104" t="s">
        <v>397</v>
      </c>
      <c r="C104" s="104">
        <v>20.22</v>
      </c>
      <c r="D104" s="104" t="s">
        <v>286</v>
      </c>
      <c r="E104" s="104" t="s">
        <v>286</v>
      </c>
      <c r="F104" s="104" t="s">
        <v>286</v>
      </c>
      <c r="G104" s="104" t="s">
        <v>287</v>
      </c>
      <c r="H104" s="104">
        <v>7</v>
      </c>
      <c r="I104" s="104"/>
    </row>
    <row r="105" spans="1:9">
      <c r="A105" s="105" t="s">
        <v>397</v>
      </c>
      <c r="B105" s="105" t="s">
        <v>447</v>
      </c>
      <c r="C105" s="105">
        <v>17.049999999999997</v>
      </c>
      <c r="D105" s="105" t="s">
        <v>286</v>
      </c>
      <c r="E105" s="105" t="s">
        <v>286</v>
      </c>
      <c r="F105" s="105" t="s">
        <v>286</v>
      </c>
      <c r="G105" s="105" t="s">
        <v>287</v>
      </c>
      <c r="H105" s="105">
        <v>7</v>
      </c>
      <c r="I105" s="105"/>
    </row>
    <row r="106" spans="1:9">
      <c r="A106" s="104" t="s">
        <v>447</v>
      </c>
      <c r="B106" s="104" t="s">
        <v>487</v>
      </c>
      <c r="C106" s="104">
        <v>28.490000000000002</v>
      </c>
      <c r="D106" s="104" t="s">
        <v>286</v>
      </c>
      <c r="E106" s="104" t="s">
        <v>286</v>
      </c>
      <c r="F106" s="104" t="s">
        <v>286</v>
      </c>
      <c r="G106" s="104" t="s">
        <v>287</v>
      </c>
      <c r="H106" s="104">
        <v>7</v>
      </c>
      <c r="I106" s="104"/>
    </row>
    <row r="107" spans="1:9">
      <c r="A107" s="105" t="s">
        <v>487</v>
      </c>
      <c r="B107" s="105" t="s">
        <v>207</v>
      </c>
      <c r="C107" s="105">
        <v>9.120000000000001</v>
      </c>
      <c r="D107" s="105" t="s">
        <v>286</v>
      </c>
      <c r="E107" s="105" t="s">
        <v>286</v>
      </c>
      <c r="F107" s="105" t="s">
        <v>286</v>
      </c>
      <c r="G107" s="105" t="s">
        <v>287</v>
      </c>
      <c r="H107" s="105">
        <v>7</v>
      </c>
      <c r="I107" s="105"/>
    </row>
    <row r="108" spans="1:9">
      <c r="A108" s="104" t="s">
        <v>207</v>
      </c>
      <c r="B108" s="104" t="s">
        <v>518</v>
      </c>
      <c r="C108" s="104">
        <v>0.94</v>
      </c>
      <c r="D108" s="104" t="s">
        <v>287</v>
      </c>
      <c r="E108" s="104" t="s">
        <v>287</v>
      </c>
      <c r="F108" s="104" t="s">
        <v>287</v>
      </c>
      <c r="G108" s="104" t="s">
        <v>287</v>
      </c>
      <c r="H108" s="104">
        <v>7</v>
      </c>
      <c r="I108" s="104" t="s">
        <v>644</v>
      </c>
    </row>
    <row r="109" spans="1:9">
      <c r="A109" s="105" t="s">
        <v>207</v>
      </c>
      <c r="B109" s="105" t="s">
        <v>212</v>
      </c>
      <c r="C109" s="105">
        <v>1E-3</v>
      </c>
      <c r="D109" s="105" t="s">
        <v>286</v>
      </c>
      <c r="E109" s="105" t="s">
        <v>286</v>
      </c>
      <c r="F109" s="105" t="s">
        <v>286</v>
      </c>
      <c r="G109" s="105" t="s">
        <v>286</v>
      </c>
      <c r="H109" s="105">
        <v>7</v>
      </c>
      <c r="I109" s="105" t="s">
        <v>537</v>
      </c>
    </row>
    <row r="110" spans="1:9">
      <c r="A110" s="104" t="s">
        <v>212</v>
      </c>
      <c r="B110" s="104" t="s">
        <v>520</v>
      </c>
      <c r="C110" s="104">
        <v>0.94</v>
      </c>
      <c r="D110" s="104" t="s">
        <v>287</v>
      </c>
      <c r="E110" s="104" t="s">
        <v>287</v>
      </c>
      <c r="F110" s="104" t="s">
        <v>287</v>
      </c>
      <c r="G110" s="104" t="s">
        <v>287</v>
      </c>
      <c r="H110" s="104">
        <v>7</v>
      </c>
      <c r="I110" s="104" t="s">
        <v>645</v>
      </c>
    </row>
    <row r="111" spans="1:9">
      <c r="A111" s="105" t="s">
        <v>207</v>
      </c>
      <c r="B111" s="105" t="s">
        <v>209</v>
      </c>
      <c r="C111" s="105">
        <v>1E-3</v>
      </c>
      <c r="D111" s="105" t="s">
        <v>286</v>
      </c>
      <c r="E111" s="105" t="s">
        <v>286</v>
      </c>
      <c r="F111" s="105" t="s">
        <v>286</v>
      </c>
      <c r="G111" s="105" t="s">
        <v>286</v>
      </c>
      <c r="H111" s="105">
        <v>7</v>
      </c>
      <c r="I111" s="105" t="s">
        <v>537</v>
      </c>
    </row>
    <row r="112" spans="1:9">
      <c r="A112" s="104" t="s">
        <v>209</v>
      </c>
      <c r="B112" s="104" t="s">
        <v>497</v>
      </c>
      <c r="C112" s="104">
        <v>1.31</v>
      </c>
      <c r="D112" s="104" t="s">
        <v>286</v>
      </c>
      <c r="E112" s="104" t="s">
        <v>287</v>
      </c>
      <c r="F112" s="104" t="s">
        <v>287</v>
      </c>
      <c r="G112" s="104" t="s">
        <v>287</v>
      </c>
      <c r="H112" s="104">
        <v>7</v>
      </c>
      <c r="I112" s="104" t="s">
        <v>535</v>
      </c>
    </row>
    <row r="113" spans="1:9">
      <c r="A113" s="105" t="s">
        <v>497</v>
      </c>
      <c r="B113" s="105" t="s">
        <v>499</v>
      </c>
      <c r="C113" s="105">
        <v>0.87999999999999989</v>
      </c>
      <c r="D113" s="105" t="s">
        <v>287</v>
      </c>
      <c r="E113" s="105" t="s">
        <v>287</v>
      </c>
      <c r="F113" s="105" t="s">
        <v>287</v>
      </c>
      <c r="G113" s="105" t="s">
        <v>287</v>
      </c>
      <c r="H113" s="105">
        <v>7</v>
      </c>
      <c r="I113" s="105" t="s">
        <v>542</v>
      </c>
    </row>
    <row r="114" spans="1:9">
      <c r="A114" s="104" t="s">
        <v>499</v>
      </c>
      <c r="B114" s="104" t="s">
        <v>522</v>
      </c>
      <c r="C114" s="104">
        <v>0.20999999999999996</v>
      </c>
      <c r="D114" s="104" t="s">
        <v>287</v>
      </c>
      <c r="E114" s="104" t="s">
        <v>287</v>
      </c>
      <c r="F114" s="104" t="s">
        <v>287</v>
      </c>
      <c r="G114" s="104" t="s">
        <v>287</v>
      </c>
      <c r="H114" s="104">
        <v>7</v>
      </c>
      <c r="I114" s="104" t="s">
        <v>542</v>
      </c>
    </row>
    <row r="115" spans="1:9">
      <c r="A115" s="105" t="s">
        <v>497</v>
      </c>
      <c r="B115" s="105" t="s">
        <v>210</v>
      </c>
      <c r="C115" s="105">
        <v>0.01</v>
      </c>
      <c r="D115" s="105" t="s">
        <v>286</v>
      </c>
      <c r="E115" s="105" t="s">
        <v>287</v>
      </c>
      <c r="F115" s="105" t="s">
        <v>287</v>
      </c>
      <c r="G115" s="105" t="s">
        <v>287</v>
      </c>
      <c r="H115" s="105">
        <v>7</v>
      </c>
      <c r="I115" s="105" t="s">
        <v>535</v>
      </c>
    </row>
    <row r="116" spans="1:9">
      <c r="A116" s="104" t="s">
        <v>499</v>
      </c>
      <c r="B116" s="104" t="s">
        <v>511</v>
      </c>
      <c r="C116" s="104">
        <v>0.04</v>
      </c>
      <c r="D116" s="104" t="s">
        <v>287</v>
      </c>
      <c r="E116" s="104" t="s">
        <v>287</v>
      </c>
      <c r="F116" s="104" t="s">
        <v>287</v>
      </c>
      <c r="G116" s="104" t="s">
        <v>287</v>
      </c>
      <c r="H116" s="104">
        <v>7</v>
      </c>
      <c r="I116" s="104" t="s">
        <v>542</v>
      </c>
    </row>
    <row r="117" spans="1:9">
      <c r="A117" s="105" t="s">
        <v>207</v>
      </c>
      <c r="B117" s="105" t="s">
        <v>491</v>
      </c>
      <c r="C117" s="105">
        <v>5.7299999999999995</v>
      </c>
      <c r="D117" s="105" t="s">
        <v>286</v>
      </c>
      <c r="E117" s="105" t="s">
        <v>286</v>
      </c>
      <c r="F117" s="105" t="s">
        <v>286</v>
      </c>
      <c r="G117" s="105" t="s">
        <v>287</v>
      </c>
      <c r="H117" s="105">
        <v>7</v>
      </c>
      <c r="I117" s="105"/>
    </row>
    <row r="118" spans="1:9">
      <c r="A118" s="104" t="s">
        <v>491</v>
      </c>
      <c r="B118" s="104" t="s">
        <v>213</v>
      </c>
      <c r="C118" s="104">
        <v>1.36</v>
      </c>
      <c r="D118" s="104" t="s">
        <v>286</v>
      </c>
      <c r="E118" s="104" t="s">
        <v>286</v>
      </c>
      <c r="F118" s="104" t="s">
        <v>286</v>
      </c>
      <c r="G118" s="104" t="s">
        <v>287</v>
      </c>
      <c r="H118" s="104">
        <v>7</v>
      </c>
      <c r="I118" s="104" t="s">
        <v>543</v>
      </c>
    </row>
    <row r="119" spans="1:9">
      <c r="A119" s="105" t="s">
        <v>257</v>
      </c>
      <c r="B119" s="105" t="s">
        <v>213</v>
      </c>
      <c r="C119" s="105">
        <v>1E-3</v>
      </c>
      <c r="D119" s="105" t="s">
        <v>286</v>
      </c>
      <c r="E119" s="105" t="s">
        <v>286</v>
      </c>
      <c r="F119" s="105" t="s">
        <v>286</v>
      </c>
      <c r="G119" s="105" t="s">
        <v>286</v>
      </c>
      <c r="H119" s="105">
        <v>7</v>
      </c>
      <c r="I119" s="105" t="s">
        <v>544</v>
      </c>
    </row>
    <row r="120" spans="1:9">
      <c r="A120" s="104" t="s">
        <v>495</v>
      </c>
      <c r="B120" s="104" t="s">
        <v>306</v>
      </c>
      <c r="C120" s="104">
        <v>0.24</v>
      </c>
      <c r="D120" s="104" t="s">
        <v>286</v>
      </c>
      <c r="E120" s="104" t="s">
        <v>286</v>
      </c>
      <c r="F120" s="104" t="s">
        <v>286</v>
      </c>
      <c r="G120" s="104" t="s">
        <v>287</v>
      </c>
      <c r="H120" s="104">
        <v>3</v>
      </c>
      <c r="I120" s="104"/>
    </row>
    <row r="121" spans="1:9">
      <c r="A121" s="105" t="s">
        <v>306</v>
      </c>
      <c r="B121" s="105" t="s">
        <v>167</v>
      </c>
      <c r="C121" s="105">
        <v>1E-3</v>
      </c>
      <c r="D121" s="105" t="s">
        <v>286</v>
      </c>
      <c r="E121" s="105" t="s">
        <v>286</v>
      </c>
      <c r="F121" s="105" t="s">
        <v>286</v>
      </c>
      <c r="G121" s="105" t="s">
        <v>286</v>
      </c>
      <c r="H121" s="105">
        <v>3</v>
      </c>
      <c r="I121" s="105" t="s">
        <v>544</v>
      </c>
    </row>
    <row r="122" spans="1:9">
      <c r="A122" s="104" t="s">
        <v>167</v>
      </c>
      <c r="B122" s="104" t="s">
        <v>439</v>
      </c>
      <c r="C122" s="104">
        <v>23.7</v>
      </c>
      <c r="D122" s="104" t="s">
        <v>286</v>
      </c>
      <c r="E122" s="104" t="s">
        <v>286</v>
      </c>
      <c r="F122" s="104" t="s">
        <v>286</v>
      </c>
      <c r="G122" s="104" t="s">
        <v>287</v>
      </c>
      <c r="H122" s="104">
        <v>3</v>
      </c>
      <c r="I122" s="104"/>
    </row>
    <row r="123" spans="1:9">
      <c r="A123" s="105" t="s">
        <v>439</v>
      </c>
      <c r="B123" s="105" t="s">
        <v>455</v>
      </c>
      <c r="C123" s="105">
        <v>25.66</v>
      </c>
      <c r="D123" s="105" t="s">
        <v>286</v>
      </c>
      <c r="E123" s="105" t="s">
        <v>286</v>
      </c>
      <c r="F123" s="105" t="s">
        <v>286</v>
      </c>
      <c r="G123" s="105" t="s">
        <v>287</v>
      </c>
      <c r="H123" s="105">
        <v>3</v>
      </c>
      <c r="I123" s="105"/>
    </row>
    <row r="124" spans="1:9">
      <c r="A124" s="104" t="s">
        <v>455</v>
      </c>
      <c r="B124" s="104" t="s">
        <v>407</v>
      </c>
      <c r="C124" s="104">
        <v>27.790000000000006</v>
      </c>
      <c r="D124" s="104" t="s">
        <v>286</v>
      </c>
      <c r="E124" s="104" t="s">
        <v>286</v>
      </c>
      <c r="F124" s="104" t="s">
        <v>286</v>
      </c>
      <c r="G124" s="104" t="s">
        <v>287</v>
      </c>
      <c r="H124" s="104">
        <v>3</v>
      </c>
      <c r="I124" s="104"/>
    </row>
    <row r="125" spans="1:9">
      <c r="A125" s="105" t="s">
        <v>407</v>
      </c>
      <c r="B125" s="105" t="s">
        <v>169</v>
      </c>
      <c r="C125" s="105">
        <v>26.22999999999999</v>
      </c>
      <c r="D125" s="105" t="s">
        <v>286</v>
      </c>
      <c r="E125" s="105" t="s">
        <v>286</v>
      </c>
      <c r="F125" s="105" t="s">
        <v>286</v>
      </c>
      <c r="G125" s="105" t="s">
        <v>287</v>
      </c>
      <c r="H125" s="105">
        <v>3</v>
      </c>
      <c r="I125" s="105"/>
    </row>
    <row r="126" spans="1:9">
      <c r="A126" s="104" t="s">
        <v>169</v>
      </c>
      <c r="B126" s="104" t="s">
        <v>171</v>
      </c>
      <c r="C126" s="104">
        <v>22.59</v>
      </c>
      <c r="D126" s="104" t="s">
        <v>286</v>
      </c>
      <c r="E126" s="104" t="s">
        <v>286</v>
      </c>
      <c r="F126" s="104" t="s">
        <v>286</v>
      </c>
      <c r="G126" s="104" t="s">
        <v>287</v>
      </c>
      <c r="H126" s="104">
        <v>3</v>
      </c>
      <c r="I126" s="104"/>
    </row>
    <row r="127" spans="1:9">
      <c r="A127" s="105" t="s">
        <v>171</v>
      </c>
      <c r="B127" s="105" t="s">
        <v>173</v>
      </c>
      <c r="C127" s="105">
        <v>5.0599999999999996</v>
      </c>
      <c r="D127" s="105" t="s">
        <v>286</v>
      </c>
      <c r="E127" s="105" t="s">
        <v>287</v>
      </c>
      <c r="F127" s="105" t="s">
        <v>287</v>
      </c>
      <c r="G127" s="105" t="s">
        <v>287</v>
      </c>
      <c r="H127" s="105">
        <v>3</v>
      </c>
      <c r="I127" s="105" t="s">
        <v>535</v>
      </c>
    </row>
    <row r="128" spans="1:9">
      <c r="A128" s="104" t="s">
        <v>171</v>
      </c>
      <c r="B128" s="104" t="s">
        <v>175</v>
      </c>
      <c r="C128" s="104">
        <v>19.889999999999997</v>
      </c>
      <c r="D128" s="104" t="s">
        <v>286</v>
      </c>
      <c r="E128" s="104" t="s">
        <v>286</v>
      </c>
      <c r="F128" s="104" t="s">
        <v>286</v>
      </c>
      <c r="G128" s="104" t="s">
        <v>287</v>
      </c>
      <c r="H128" s="104">
        <v>3</v>
      </c>
      <c r="I128" s="104"/>
    </row>
    <row r="129" spans="1:9">
      <c r="A129" s="105" t="s">
        <v>175</v>
      </c>
      <c r="B129" s="105" t="s">
        <v>177</v>
      </c>
      <c r="C129" s="105">
        <v>18.18</v>
      </c>
      <c r="D129" s="105" t="s">
        <v>286</v>
      </c>
      <c r="E129" s="105" t="s">
        <v>286</v>
      </c>
      <c r="F129" s="105" t="s">
        <v>286</v>
      </c>
      <c r="G129" s="105" t="s">
        <v>287</v>
      </c>
      <c r="H129" s="105">
        <v>3</v>
      </c>
      <c r="I129" s="105"/>
    </row>
    <row r="130" spans="1:9">
      <c r="A130" s="104" t="s">
        <v>177</v>
      </c>
      <c r="B130" s="104" t="s">
        <v>179</v>
      </c>
      <c r="C130" s="104">
        <v>19.040000000000006</v>
      </c>
      <c r="D130" s="104" t="s">
        <v>286</v>
      </c>
      <c r="E130" s="104" t="s">
        <v>286</v>
      </c>
      <c r="F130" s="104" t="s">
        <v>286</v>
      </c>
      <c r="G130" s="104" t="s">
        <v>287</v>
      </c>
      <c r="H130" s="104">
        <v>3</v>
      </c>
      <c r="I130" s="104"/>
    </row>
    <row r="131" spans="1:9">
      <c r="A131" s="105" t="s">
        <v>179</v>
      </c>
      <c r="B131" s="105" t="s">
        <v>461</v>
      </c>
      <c r="C131" s="105">
        <v>19.47</v>
      </c>
      <c r="D131" s="105" t="s">
        <v>286</v>
      </c>
      <c r="E131" s="105" t="s">
        <v>286</v>
      </c>
      <c r="F131" s="105" t="s">
        <v>286</v>
      </c>
      <c r="G131" s="105" t="s">
        <v>287</v>
      </c>
      <c r="H131" s="105">
        <v>3</v>
      </c>
      <c r="I131" s="105"/>
    </row>
    <row r="132" spans="1:9">
      <c r="A132" s="104" t="s">
        <v>461</v>
      </c>
      <c r="B132" s="104" t="s">
        <v>181</v>
      </c>
      <c r="C132" s="104">
        <v>13.760000000000005</v>
      </c>
      <c r="D132" s="104" t="s">
        <v>286</v>
      </c>
      <c r="E132" s="104" t="s">
        <v>286</v>
      </c>
      <c r="F132" s="104" t="s">
        <v>286</v>
      </c>
      <c r="G132" s="104" t="s">
        <v>287</v>
      </c>
      <c r="H132" s="104">
        <v>3</v>
      </c>
      <c r="I132" s="104"/>
    </row>
    <row r="133" spans="1:9">
      <c r="A133" s="105" t="s">
        <v>181</v>
      </c>
      <c r="B133" s="105" t="s">
        <v>429</v>
      </c>
      <c r="C133" s="105">
        <v>3.9099999999999966</v>
      </c>
      <c r="D133" s="105" t="s">
        <v>286</v>
      </c>
      <c r="E133" s="105" t="s">
        <v>286</v>
      </c>
      <c r="F133" s="105" t="s">
        <v>286</v>
      </c>
      <c r="G133" s="105" t="s">
        <v>287</v>
      </c>
      <c r="H133" s="105">
        <v>3</v>
      </c>
      <c r="I133" s="105"/>
    </row>
    <row r="134" spans="1:9">
      <c r="A134" s="104" t="s">
        <v>455</v>
      </c>
      <c r="B134" s="104" t="s">
        <v>405</v>
      </c>
      <c r="C134" s="104">
        <v>17.690000000000001</v>
      </c>
      <c r="D134" s="104" t="s">
        <v>286</v>
      </c>
      <c r="E134" s="104" t="s">
        <v>286</v>
      </c>
      <c r="F134" s="104" t="s">
        <v>286</v>
      </c>
      <c r="G134" s="104" t="s">
        <v>287</v>
      </c>
      <c r="H134" s="104">
        <v>5</v>
      </c>
      <c r="I134" s="104"/>
    </row>
    <row r="135" spans="1:9">
      <c r="A135" s="105" t="s">
        <v>405</v>
      </c>
      <c r="B135" s="105" t="s">
        <v>183</v>
      </c>
      <c r="C135" s="105">
        <v>4.25</v>
      </c>
      <c r="D135" s="105" t="s">
        <v>286</v>
      </c>
      <c r="E135" s="105" t="s">
        <v>287</v>
      </c>
      <c r="F135" s="105" t="s">
        <v>287</v>
      </c>
      <c r="G135" s="105" t="s">
        <v>287</v>
      </c>
      <c r="H135" s="105">
        <v>5</v>
      </c>
      <c r="I135" s="105" t="s">
        <v>535</v>
      </c>
    </row>
    <row r="136" spans="1:9">
      <c r="A136" s="104" t="s">
        <v>405</v>
      </c>
      <c r="B136" s="104" t="s">
        <v>435</v>
      </c>
      <c r="C136" s="104">
        <v>18.249999999999996</v>
      </c>
      <c r="D136" s="104" t="s">
        <v>286</v>
      </c>
      <c r="E136" s="104" t="s">
        <v>286</v>
      </c>
      <c r="F136" s="104" t="s">
        <v>286</v>
      </c>
      <c r="G136" s="104" t="s">
        <v>287</v>
      </c>
      <c r="H136" s="104">
        <v>5</v>
      </c>
      <c r="I136" s="104"/>
    </row>
    <row r="137" spans="1:9">
      <c r="A137" s="105" t="s">
        <v>435</v>
      </c>
      <c r="B137" s="105" t="s">
        <v>185</v>
      </c>
      <c r="C137" s="105">
        <v>25.86</v>
      </c>
      <c r="D137" s="105" t="s">
        <v>286</v>
      </c>
      <c r="E137" s="105" t="s">
        <v>286</v>
      </c>
      <c r="F137" s="105" t="s">
        <v>286</v>
      </c>
      <c r="G137" s="105" t="s">
        <v>287</v>
      </c>
      <c r="H137" s="105">
        <v>5</v>
      </c>
      <c r="I137" s="105"/>
    </row>
    <row r="138" spans="1:9">
      <c r="A138" s="104" t="s">
        <v>185</v>
      </c>
      <c r="B138" s="104" t="s">
        <v>187</v>
      </c>
      <c r="C138" s="104">
        <v>24.870000000000005</v>
      </c>
      <c r="D138" s="104" t="s">
        <v>286</v>
      </c>
      <c r="E138" s="104" t="s">
        <v>286</v>
      </c>
      <c r="F138" s="104" t="s">
        <v>286</v>
      </c>
      <c r="G138" s="104" t="s">
        <v>287</v>
      </c>
      <c r="H138" s="104">
        <v>5</v>
      </c>
      <c r="I138" s="104"/>
    </row>
    <row r="139" spans="1:9">
      <c r="A139" s="105" t="s">
        <v>187</v>
      </c>
      <c r="B139" s="105" t="s">
        <v>417</v>
      </c>
      <c r="C139" s="105">
        <v>26.78</v>
      </c>
      <c r="D139" s="105" t="s">
        <v>286</v>
      </c>
      <c r="E139" s="105" t="s">
        <v>286</v>
      </c>
      <c r="F139" s="105" t="s">
        <v>286</v>
      </c>
      <c r="G139" s="105" t="s">
        <v>287</v>
      </c>
      <c r="H139" s="105">
        <v>5</v>
      </c>
      <c r="I139" s="105"/>
    </row>
    <row r="140" spans="1:9">
      <c r="A140" s="104" t="s">
        <v>417</v>
      </c>
      <c r="B140" s="104" t="s">
        <v>189</v>
      </c>
      <c r="C140" s="104">
        <v>20.320000000000007</v>
      </c>
      <c r="D140" s="104" t="s">
        <v>286</v>
      </c>
      <c r="E140" s="104" t="s">
        <v>286</v>
      </c>
      <c r="F140" s="104" t="s">
        <v>286</v>
      </c>
      <c r="G140" s="104" t="s">
        <v>287</v>
      </c>
      <c r="H140" s="104">
        <v>5</v>
      </c>
      <c r="I140" s="104"/>
    </row>
    <row r="141" spans="1:9">
      <c r="A141" s="105" t="s">
        <v>189</v>
      </c>
      <c r="B141" s="105" t="s">
        <v>191</v>
      </c>
      <c r="C141" s="105">
        <v>10.780000000000001</v>
      </c>
      <c r="D141" s="105" t="s">
        <v>286</v>
      </c>
      <c r="E141" s="105" t="s">
        <v>286</v>
      </c>
      <c r="F141" s="105" t="s">
        <v>286</v>
      </c>
      <c r="G141" s="105" t="s">
        <v>287</v>
      </c>
      <c r="H141" s="105">
        <v>5</v>
      </c>
      <c r="I141" s="105"/>
    </row>
    <row r="142" spans="1:9">
      <c r="A142" s="104" t="s">
        <v>191</v>
      </c>
      <c r="B142" s="104" t="s">
        <v>425</v>
      </c>
      <c r="C142" s="104">
        <v>19.139999999999986</v>
      </c>
      <c r="D142" s="104" t="s">
        <v>286</v>
      </c>
      <c r="E142" s="104" t="s">
        <v>286</v>
      </c>
      <c r="F142" s="104" t="s">
        <v>286</v>
      </c>
      <c r="G142" s="104" t="s">
        <v>287</v>
      </c>
      <c r="H142" s="104">
        <v>5</v>
      </c>
      <c r="I142" s="104"/>
    </row>
    <row r="143" spans="1:9">
      <c r="A143" s="105" t="s">
        <v>425</v>
      </c>
      <c r="B143" s="105" t="s">
        <v>193</v>
      </c>
      <c r="C143" s="105">
        <v>20.390000000000015</v>
      </c>
      <c r="D143" s="105" t="s">
        <v>286</v>
      </c>
      <c r="E143" s="105" t="s">
        <v>286</v>
      </c>
      <c r="F143" s="105" t="s">
        <v>286</v>
      </c>
      <c r="G143" s="105" t="s">
        <v>287</v>
      </c>
      <c r="H143" s="105">
        <v>5</v>
      </c>
      <c r="I143" s="105"/>
    </row>
    <row r="144" spans="1:9">
      <c r="A144" s="104" t="s">
        <v>193</v>
      </c>
      <c r="B144" s="104" t="s">
        <v>421</v>
      </c>
      <c r="C144" s="104">
        <v>14.26</v>
      </c>
      <c r="D144" s="104" t="s">
        <v>286</v>
      </c>
      <c r="E144" s="104" t="s">
        <v>286</v>
      </c>
      <c r="F144" s="104" t="s">
        <v>286</v>
      </c>
      <c r="G144" s="104" t="s">
        <v>287</v>
      </c>
      <c r="H144" s="104">
        <v>8</v>
      </c>
      <c r="I144" s="104"/>
    </row>
    <row r="145" spans="1:9">
      <c r="A145" s="105" t="s">
        <v>421</v>
      </c>
      <c r="B145" s="105" t="s">
        <v>437</v>
      </c>
      <c r="C145" s="105">
        <v>14.53</v>
      </c>
      <c r="D145" s="105" t="s">
        <v>286</v>
      </c>
      <c r="E145" s="105" t="s">
        <v>286</v>
      </c>
      <c r="F145" s="105" t="s">
        <v>286</v>
      </c>
      <c r="G145" s="105" t="s">
        <v>287</v>
      </c>
      <c r="H145" s="105">
        <v>8</v>
      </c>
      <c r="I145" s="105"/>
    </row>
    <row r="146" spans="1:9">
      <c r="A146" s="104" t="s">
        <v>437</v>
      </c>
      <c r="B146" s="104" t="s">
        <v>489</v>
      </c>
      <c r="C146" s="104">
        <v>12.530000000000001</v>
      </c>
      <c r="D146" s="104" t="s">
        <v>286</v>
      </c>
      <c r="E146" s="104" t="s">
        <v>286</v>
      </c>
      <c r="F146" s="104" t="s">
        <v>286</v>
      </c>
      <c r="G146" s="104" t="s">
        <v>287</v>
      </c>
      <c r="H146" s="104">
        <v>8</v>
      </c>
      <c r="I146" s="104"/>
    </row>
    <row r="147" spans="1:9">
      <c r="A147" s="105" t="s">
        <v>489</v>
      </c>
      <c r="B147" s="105" t="s">
        <v>411</v>
      </c>
      <c r="C147" s="105">
        <v>13.36</v>
      </c>
      <c r="D147" s="105" t="s">
        <v>286</v>
      </c>
      <c r="E147" s="105" t="s">
        <v>286</v>
      </c>
      <c r="F147" s="105" t="s">
        <v>286</v>
      </c>
      <c r="G147" s="105" t="s">
        <v>287</v>
      </c>
      <c r="H147" s="105">
        <v>8</v>
      </c>
      <c r="I147" s="105"/>
    </row>
    <row r="148" spans="1:9">
      <c r="A148" s="104" t="s">
        <v>411</v>
      </c>
      <c r="B148" s="104" t="s">
        <v>203</v>
      </c>
      <c r="C148" s="104">
        <v>21.65</v>
      </c>
      <c r="D148" s="104" t="s">
        <v>286</v>
      </c>
      <c r="E148" s="104" t="s">
        <v>286</v>
      </c>
      <c r="F148" s="104" t="s">
        <v>286</v>
      </c>
      <c r="G148" s="104" t="s">
        <v>287</v>
      </c>
      <c r="H148" s="104">
        <v>8</v>
      </c>
      <c r="I148" s="104"/>
    </row>
    <row r="149" spans="1:9">
      <c r="A149" s="105" t="s">
        <v>203</v>
      </c>
      <c r="B149" s="105" t="s">
        <v>485</v>
      </c>
      <c r="C149" s="105">
        <v>10.310000000000002</v>
      </c>
      <c r="D149" s="105" t="s">
        <v>286</v>
      </c>
      <c r="E149" s="105" t="s">
        <v>286</v>
      </c>
      <c r="F149" s="105" t="s">
        <v>286</v>
      </c>
      <c r="G149" s="105" t="s">
        <v>287</v>
      </c>
      <c r="H149" s="105">
        <v>6</v>
      </c>
      <c r="I149" s="105"/>
    </row>
    <row r="150" spans="1:9">
      <c r="A150" s="104" t="s">
        <v>485</v>
      </c>
      <c r="B150" s="104" t="s">
        <v>201</v>
      </c>
      <c r="C150" s="104">
        <v>8.17</v>
      </c>
      <c r="D150" s="104" t="s">
        <v>286</v>
      </c>
      <c r="E150" s="104" t="s">
        <v>287</v>
      </c>
      <c r="F150" s="104" t="s">
        <v>287</v>
      </c>
      <c r="G150" s="104" t="s">
        <v>287</v>
      </c>
      <c r="H150" s="104">
        <v>6</v>
      </c>
      <c r="I150" s="104" t="s">
        <v>535</v>
      </c>
    </row>
    <row r="151" spans="1:9">
      <c r="A151" s="105" t="s">
        <v>485</v>
      </c>
      <c r="B151" s="105" t="s">
        <v>199</v>
      </c>
      <c r="C151" s="105">
        <v>14.049999999999997</v>
      </c>
      <c r="D151" s="105" t="s">
        <v>286</v>
      </c>
      <c r="E151" s="105" t="s">
        <v>286</v>
      </c>
      <c r="F151" s="105" t="s">
        <v>286</v>
      </c>
      <c r="G151" s="105" t="s">
        <v>287</v>
      </c>
      <c r="H151" s="105">
        <v>6</v>
      </c>
      <c r="I151" s="105"/>
    </row>
    <row r="152" spans="1:9">
      <c r="A152" s="104" t="s">
        <v>199</v>
      </c>
      <c r="B152" s="104" t="s">
        <v>197</v>
      </c>
      <c r="C152" s="104">
        <v>11.300000000000004</v>
      </c>
      <c r="D152" s="104" t="s">
        <v>286</v>
      </c>
      <c r="E152" s="104" t="s">
        <v>286</v>
      </c>
      <c r="F152" s="104" t="s">
        <v>286</v>
      </c>
      <c r="G152" s="104" t="s">
        <v>287</v>
      </c>
      <c r="H152" s="104">
        <v>6</v>
      </c>
      <c r="I152" s="104"/>
    </row>
    <row r="153" spans="1:9">
      <c r="A153" s="106" t="s">
        <v>197</v>
      </c>
      <c r="B153" s="106" t="s">
        <v>195</v>
      </c>
      <c r="C153" s="106">
        <v>9.5399999999999991</v>
      </c>
      <c r="D153" s="106" t="s">
        <v>286</v>
      </c>
      <c r="E153" s="106" t="s">
        <v>286</v>
      </c>
      <c r="F153" s="106" t="s">
        <v>286</v>
      </c>
      <c r="G153" s="106" t="s">
        <v>287</v>
      </c>
      <c r="H153" s="106">
        <v>6</v>
      </c>
      <c r="I153" s="106"/>
    </row>
    <row r="154" spans="1:9">
      <c r="A154" s="105" t="s">
        <v>195</v>
      </c>
      <c r="B154" s="105" t="s">
        <v>451</v>
      </c>
      <c r="C154" s="105">
        <v>14.65</v>
      </c>
      <c r="D154" s="105" t="s">
        <v>286</v>
      </c>
      <c r="E154" s="105" t="s">
        <v>286</v>
      </c>
      <c r="F154" s="105" t="s">
        <v>286</v>
      </c>
      <c r="G154" s="105" t="s">
        <v>287</v>
      </c>
      <c r="H154" s="105">
        <v>6</v>
      </c>
      <c r="I154" s="105"/>
    </row>
    <row r="155" spans="1:9">
      <c r="A155" s="105" t="s">
        <v>451</v>
      </c>
      <c r="B155" s="105" t="s">
        <v>123</v>
      </c>
      <c r="C155" s="105">
        <v>8.1</v>
      </c>
      <c r="D155" s="105" t="s">
        <v>286</v>
      </c>
      <c r="E155" s="105" t="s">
        <v>286</v>
      </c>
      <c r="F155" s="105" t="s">
        <v>286</v>
      </c>
      <c r="G155" s="105" t="s">
        <v>287</v>
      </c>
      <c r="H155" s="105">
        <v>6</v>
      </c>
      <c r="I155" s="10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 tint="0.499984740745262"/>
  </sheetPr>
  <dimension ref="A1:CO21"/>
  <sheetViews>
    <sheetView showGridLines="0" zoomScale="70" zoomScaleNormal="70" workbookViewId="0">
      <selection activeCell="F8" sqref="F8"/>
    </sheetView>
  </sheetViews>
  <sheetFormatPr defaultColWidth="0" defaultRowHeight="15" zeroHeight="1"/>
  <cols>
    <col min="1" max="1" width="23.140625" style="1" customWidth="1"/>
    <col min="2" max="2" width="4.7109375" customWidth="1"/>
    <col min="3" max="3" width="24.85546875" bestFit="1" customWidth="1"/>
    <col min="4" max="4" width="16.7109375" bestFit="1" customWidth="1"/>
    <col min="5" max="5" width="20.7109375" bestFit="1" customWidth="1"/>
    <col min="6" max="6" width="17.85546875" bestFit="1" customWidth="1"/>
    <col min="7" max="7" width="26.85546875" bestFit="1" customWidth="1"/>
    <col min="8" max="89" width="12.28515625" bestFit="1" customWidth="1"/>
    <col min="90" max="90" width="13.28515625" bestFit="1" customWidth="1"/>
    <col min="91" max="92" width="12.28515625" bestFit="1" customWidth="1"/>
    <col min="93" max="93" width="8.85546875" customWidth="1"/>
    <col min="94" max="16384" width="8.85546875" hidden="1"/>
  </cols>
  <sheetData>
    <row r="1" spans="1:92"/>
    <row r="2" spans="1:92"/>
    <row r="3" spans="1:92">
      <c r="A3" s="108" t="s">
        <v>572</v>
      </c>
      <c r="C3" s="2" t="s">
        <v>4</v>
      </c>
      <c r="D3" s="37" t="s">
        <v>1</v>
      </c>
      <c r="E3" s="38"/>
      <c r="F3" s="38"/>
      <c r="G3" s="38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40"/>
    </row>
    <row r="4" spans="1:92">
      <c r="A4" s="108" t="s">
        <v>573</v>
      </c>
      <c r="C4" s="42" t="s">
        <v>2</v>
      </c>
      <c r="D4" s="44" t="s">
        <v>0</v>
      </c>
      <c r="E4" s="44" t="s">
        <v>216</v>
      </c>
      <c r="F4" s="44" t="s">
        <v>218</v>
      </c>
      <c r="G4" s="44" t="s">
        <v>219</v>
      </c>
      <c r="H4" s="44" t="s">
        <v>55</v>
      </c>
      <c r="I4" s="44" t="s">
        <v>57</v>
      </c>
      <c r="J4" s="44" t="s">
        <v>59</v>
      </c>
      <c r="K4" s="44" t="s">
        <v>61</v>
      </c>
      <c r="L4" s="44" t="s">
        <v>62</v>
      </c>
      <c r="M4" s="44" t="s">
        <v>64</v>
      </c>
      <c r="N4" s="44" t="s">
        <v>66</v>
      </c>
      <c r="O4" s="44" t="s">
        <v>68</v>
      </c>
      <c r="P4" s="44" t="s">
        <v>70</v>
      </c>
      <c r="Q4" s="44" t="s">
        <v>72</v>
      </c>
      <c r="R4" s="44" t="s">
        <v>74</v>
      </c>
      <c r="S4" s="44" t="s">
        <v>76</v>
      </c>
      <c r="T4" s="44" t="s">
        <v>78</v>
      </c>
      <c r="U4" s="44" t="s">
        <v>80</v>
      </c>
      <c r="V4" s="44" t="s">
        <v>82</v>
      </c>
      <c r="W4" s="44" t="s">
        <v>83</v>
      </c>
      <c r="X4" s="44" t="s">
        <v>84</v>
      </c>
      <c r="Y4" s="44" t="s">
        <v>86</v>
      </c>
      <c r="Z4" s="44" t="s">
        <v>88</v>
      </c>
      <c r="AA4" s="44" t="s">
        <v>90</v>
      </c>
      <c r="AB4" s="44" t="s">
        <v>91</v>
      </c>
      <c r="AC4" s="44" t="s">
        <v>93</v>
      </c>
      <c r="AD4" s="44" t="s">
        <v>95</v>
      </c>
      <c r="AE4" s="44" t="s">
        <v>97</v>
      </c>
      <c r="AF4" s="44" t="s">
        <v>99</v>
      </c>
      <c r="AG4" s="44" t="s">
        <v>101</v>
      </c>
      <c r="AH4" s="44" t="s">
        <v>103</v>
      </c>
      <c r="AI4" s="44" t="s">
        <v>104</v>
      </c>
      <c r="AJ4" s="44" t="s">
        <v>106</v>
      </c>
      <c r="AK4" s="44" t="s">
        <v>108</v>
      </c>
      <c r="AL4" s="44" t="s">
        <v>109</v>
      </c>
      <c r="AM4" s="44" t="s">
        <v>111</v>
      </c>
      <c r="AN4" s="44" t="s">
        <v>113</v>
      </c>
      <c r="AO4" s="44" t="s">
        <v>115</v>
      </c>
      <c r="AP4" s="44" t="s">
        <v>117</v>
      </c>
      <c r="AQ4" s="44" t="s">
        <v>119</v>
      </c>
      <c r="AR4" s="44" t="s">
        <v>121</v>
      </c>
      <c r="AS4" s="44" t="s">
        <v>123</v>
      </c>
      <c r="AT4" s="44" t="s">
        <v>125</v>
      </c>
      <c r="AU4" s="44" t="s">
        <v>127</v>
      </c>
      <c r="AV4" s="44" t="s">
        <v>129</v>
      </c>
      <c r="AW4" s="44" t="s">
        <v>131</v>
      </c>
      <c r="AX4" s="44" t="s">
        <v>132</v>
      </c>
      <c r="AY4" s="44" t="s">
        <v>134</v>
      </c>
      <c r="AZ4" s="44" t="s">
        <v>136</v>
      </c>
      <c r="BA4" s="44" t="s">
        <v>137</v>
      </c>
      <c r="BB4" s="44" t="s">
        <v>139</v>
      </c>
      <c r="BC4" s="44" t="s">
        <v>141</v>
      </c>
      <c r="BD4" s="44" t="s">
        <v>143</v>
      </c>
      <c r="BE4" s="44" t="s">
        <v>145</v>
      </c>
      <c r="BF4" s="44" t="s">
        <v>147</v>
      </c>
      <c r="BG4" s="44" t="s">
        <v>149</v>
      </c>
      <c r="BH4" s="44" t="s">
        <v>151</v>
      </c>
      <c r="BI4" s="44" t="s">
        <v>153</v>
      </c>
      <c r="BJ4" s="44" t="s">
        <v>155</v>
      </c>
      <c r="BK4" s="44" t="s">
        <v>157</v>
      </c>
      <c r="BL4" s="44" t="s">
        <v>159</v>
      </c>
      <c r="BM4" s="44" t="s">
        <v>161</v>
      </c>
      <c r="BN4" s="44" t="s">
        <v>163</v>
      </c>
      <c r="BO4" s="44" t="s">
        <v>165</v>
      </c>
      <c r="BP4" s="44" t="s">
        <v>167</v>
      </c>
      <c r="BQ4" s="44" t="s">
        <v>169</v>
      </c>
      <c r="BR4" s="44" t="s">
        <v>171</v>
      </c>
      <c r="BS4" s="44" t="s">
        <v>173</v>
      </c>
      <c r="BT4" s="44" t="s">
        <v>175</v>
      </c>
      <c r="BU4" s="44" t="s">
        <v>177</v>
      </c>
      <c r="BV4" s="44" t="s">
        <v>179</v>
      </c>
      <c r="BW4" s="44" t="s">
        <v>181</v>
      </c>
      <c r="BX4" s="44" t="s">
        <v>183</v>
      </c>
      <c r="BY4" s="44" t="s">
        <v>185</v>
      </c>
      <c r="BZ4" s="44" t="s">
        <v>187</v>
      </c>
      <c r="CA4" s="44" t="s">
        <v>189</v>
      </c>
      <c r="CB4" s="44" t="s">
        <v>191</v>
      </c>
      <c r="CC4" s="44" t="s">
        <v>193</v>
      </c>
      <c r="CD4" s="44" t="s">
        <v>195</v>
      </c>
      <c r="CE4" s="44" t="s">
        <v>197</v>
      </c>
      <c r="CF4" s="44" t="s">
        <v>199</v>
      </c>
      <c r="CG4" s="44" t="s">
        <v>201</v>
      </c>
      <c r="CH4" s="44" t="s">
        <v>203</v>
      </c>
      <c r="CI4" s="44" t="s">
        <v>205</v>
      </c>
      <c r="CJ4" s="44" t="s">
        <v>207</v>
      </c>
      <c r="CK4" s="44" t="s">
        <v>209</v>
      </c>
      <c r="CL4" s="44" t="s">
        <v>210</v>
      </c>
      <c r="CM4" s="44" t="s">
        <v>212</v>
      </c>
      <c r="CN4" s="44" t="s">
        <v>213</v>
      </c>
    </row>
    <row r="5" spans="1:92">
      <c r="A5" s="108" t="s">
        <v>574</v>
      </c>
      <c r="C5" s="43" t="s">
        <v>0</v>
      </c>
      <c r="D5" s="45">
        <v>0</v>
      </c>
      <c r="E5" s="45">
        <v>508.95100000000002</v>
      </c>
      <c r="F5" s="45">
        <v>481.59199999999998</v>
      </c>
      <c r="G5" s="45">
        <v>239.52199999999999</v>
      </c>
      <c r="H5" s="45">
        <v>394.28100000000001</v>
      </c>
      <c r="I5" s="45">
        <v>407.28199999999998</v>
      </c>
      <c r="J5" s="45">
        <v>398.971</v>
      </c>
      <c r="K5" s="45">
        <v>407.28100000000001</v>
      </c>
      <c r="L5" s="45">
        <v>378.351</v>
      </c>
      <c r="M5" s="45">
        <v>365.96100000000001</v>
      </c>
      <c r="N5" s="45">
        <v>413.541</v>
      </c>
      <c r="O5" s="45">
        <v>349.26100000000002</v>
      </c>
      <c r="P5" s="45">
        <v>336.80099999999999</v>
      </c>
      <c r="Q5" s="45">
        <v>366.06200000000001</v>
      </c>
      <c r="R5" s="45">
        <v>333.17099999999999</v>
      </c>
      <c r="S5" s="45">
        <v>353.952</v>
      </c>
      <c r="T5" s="45">
        <v>360.72300000000001</v>
      </c>
      <c r="U5" s="45">
        <v>330.601</v>
      </c>
      <c r="V5" s="45">
        <v>333.17200000000003</v>
      </c>
      <c r="W5" s="45">
        <v>360.72199999999998</v>
      </c>
      <c r="X5" s="45">
        <v>328.39100000000002</v>
      </c>
      <c r="Y5" s="45">
        <v>316.96100000000001</v>
      </c>
      <c r="Z5" s="45">
        <v>340.69200000000001</v>
      </c>
      <c r="AA5" s="45">
        <v>340.69099999999997</v>
      </c>
      <c r="AB5" s="45">
        <v>292.36099999999999</v>
      </c>
      <c r="AC5" s="45">
        <v>258.42099999999999</v>
      </c>
      <c r="AD5" s="45">
        <v>245.74100000000001</v>
      </c>
      <c r="AE5" s="45">
        <v>239.17099999999999</v>
      </c>
      <c r="AF5" s="45">
        <v>239.52099999999999</v>
      </c>
      <c r="AG5" s="45">
        <v>249.43100000000001</v>
      </c>
      <c r="AH5" s="45">
        <v>249.541</v>
      </c>
      <c r="AI5" s="45">
        <v>262.61099999999999</v>
      </c>
      <c r="AJ5" s="45">
        <v>229.70099999999999</v>
      </c>
      <c r="AK5" s="45">
        <v>262.61200000000002</v>
      </c>
      <c r="AL5" s="45">
        <v>252.971</v>
      </c>
      <c r="AM5" s="45">
        <v>262.89100000000002</v>
      </c>
      <c r="AN5" s="45">
        <v>258.80099999999999</v>
      </c>
      <c r="AO5" s="45">
        <v>264.45100000000002</v>
      </c>
      <c r="AP5" s="45">
        <v>278.11099999999999</v>
      </c>
      <c r="AQ5" s="45">
        <v>285.21100000000001</v>
      </c>
      <c r="AR5" s="45">
        <v>290.05099999999999</v>
      </c>
      <c r="AS5" s="45">
        <v>295.041</v>
      </c>
      <c r="AT5" s="45">
        <v>311.37099999999998</v>
      </c>
      <c r="AU5" s="45">
        <v>318.45100000000002</v>
      </c>
      <c r="AV5" s="45">
        <v>331.27199999999999</v>
      </c>
      <c r="AW5" s="45">
        <v>331.27100000000002</v>
      </c>
      <c r="AX5" s="45">
        <v>335.791</v>
      </c>
      <c r="AY5" s="45">
        <v>344.55200000000002</v>
      </c>
      <c r="AZ5" s="45">
        <v>344.55099999999999</v>
      </c>
      <c r="BA5" s="45">
        <v>357.71100000000001</v>
      </c>
      <c r="BB5" s="45">
        <v>375.27100000000002</v>
      </c>
      <c r="BC5" s="45">
        <v>389.661</v>
      </c>
      <c r="BD5" s="45">
        <v>386.92099999999999</v>
      </c>
      <c r="BE5" s="45">
        <v>391.61099999999999</v>
      </c>
      <c r="BF5" s="45">
        <v>397.971</v>
      </c>
      <c r="BG5" s="45">
        <v>407.46100000000001</v>
      </c>
      <c r="BH5" s="45">
        <v>438.77100000000002</v>
      </c>
      <c r="BI5" s="45">
        <v>417.76100000000002</v>
      </c>
      <c r="BJ5" s="45">
        <v>426.851</v>
      </c>
      <c r="BK5" s="45">
        <v>440.98099999999999</v>
      </c>
      <c r="BL5" s="45">
        <v>448.86099999999999</v>
      </c>
      <c r="BM5" s="45">
        <v>476.43099999999998</v>
      </c>
      <c r="BN5" s="45">
        <v>474.33100000000002</v>
      </c>
      <c r="BO5" s="45">
        <v>504.17099999999999</v>
      </c>
      <c r="BP5" s="45">
        <v>0.24099999999999999</v>
      </c>
      <c r="BQ5" s="45">
        <v>103.621</v>
      </c>
      <c r="BR5" s="45">
        <v>126.211</v>
      </c>
      <c r="BS5" s="45">
        <v>131.27099999999999</v>
      </c>
      <c r="BT5" s="45">
        <v>146.101</v>
      </c>
      <c r="BU5" s="45">
        <v>164.28100000000001</v>
      </c>
      <c r="BV5" s="45">
        <v>183.321</v>
      </c>
      <c r="BW5" s="45">
        <v>216.55099999999999</v>
      </c>
      <c r="BX5" s="45">
        <v>71.540999999999997</v>
      </c>
      <c r="BY5" s="45">
        <v>111.401</v>
      </c>
      <c r="BZ5" s="45">
        <v>136.27099999999999</v>
      </c>
      <c r="CA5" s="45">
        <v>183.37100000000001</v>
      </c>
      <c r="CB5" s="45">
        <v>194.15100000000001</v>
      </c>
      <c r="CC5" s="45">
        <v>233.68100000000001</v>
      </c>
      <c r="CD5" s="45">
        <v>317.791</v>
      </c>
      <c r="CE5" s="45">
        <v>327.33100000000002</v>
      </c>
      <c r="CF5" s="45">
        <v>334.37099999999998</v>
      </c>
      <c r="CG5" s="45">
        <v>328.49099999999999</v>
      </c>
      <c r="CH5" s="45">
        <v>310.01100000000002</v>
      </c>
      <c r="CI5" s="45">
        <v>399.62099999999998</v>
      </c>
      <c r="CJ5" s="45">
        <v>474.50099999999998</v>
      </c>
      <c r="CK5" s="45">
        <v>474.50200000000001</v>
      </c>
      <c r="CL5" s="45">
        <v>475.822</v>
      </c>
      <c r="CM5" s="45">
        <v>474.50200000000001</v>
      </c>
      <c r="CN5" s="45">
        <v>481.59100000000001</v>
      </c>
    </row>
    <row r="6" spans="1:92">
      <c r="A6" s="107"/>
      <c r="C6" s="43" t="s">
        <v>216</v>
      </c>
      <c r="D6" s="45">
        <v>508.95100000000002</v>
      </c>
      <c r="E6" s="45">
        <v>0</v>
      </c>
      <c r="F6" s="45">
        <v>549.62099999999998</v>
      </c>
      <c r="G6" s="45">
        <v>307.55099999999999</v>
      </c>
      <c r="H6" s="45">
        <v>462.31</v>
      </c>
      <c r="I6" s="45">
        <v>475.31099999999998</v>
      </c>
      <c r="J6" s="45">
        <v>467</v>
      </c>
      <c r="K6" s="45">
        <v>475.31</v>
      </c>
      <c r="L6" s="45">
        <v>446.38</v>
      </c>
      <c r="M6" s="45">
        <v>433.99</v>
      </c>
      <c r="N6" s="45">
        <v>481.57</v>
      </c>
      <c r="O6" s="45">
        <v>417.29</v>
      </c>
      <c r="P6" s="45">
        <v>404.83</v>
      </c>
      <c r="Q6" s="45">
        <v>434.09100000000001</v>
      </c>
      <c r="R6" s="45">
        <v>401.2</v>
      </c>
      <c r="S6" s="45">
        <v>421.98099999999999</v>
      </c>
      <c r="T6" s="45">
        <v>428.75200000000001</v>
      </c>
      <c r="U6" s="45">
        <v>398.63</v>
      </c>
      <c r="V6" s="45">
        <v>401.20100000000002</v>
      </c>
      <c r="W6" s="45">
        <v>428.75099999999998</v>
      </c>
      <c r="X6" s="45">
        <v>396.42</v>
      </c>
      <c r="Y6" s="45">
        <v>384.99</v>
      </c>
      <c r="Z6" s="45">
        <v>408.721</v>
      </c>
      <c r="AA6" s="45">
        <v>408.72</v>
      </c>
      <c r="AB6" s="45">
        <v>360.39</v>
      </c>
      <c r="AC6" s="45">
        <v>326.45</v>
      </c>
      <c r="AD6" s="45">
        <v>313.77</v>
      </c>
      <c r="AE6" s="45">
        <v>307.2</v>
      </c>
      <c r="AF6" s="45">
        <v>307.55</v>
      </c>
      <c r="AG6" s="45">
        <v>317.45999999999998</v>
      </c>
      <c r="AH6" s="45">
        <v>317.57</v>
      </c>
      <c r="AI6" s="45">
        <v>330.64</v>
      </c>
      <c r="AJ6" s="45">
        <v>279.25</v>
      </c>
      <c r="AK6" s="45">
        <v>330.64100000000002</v>
      </c>
      <c r="AL6" s="45">
        <v>265.12</v>
      </c>
      <c r="AM6" s="45">
        <v>275.04000000000002</v>
      </c>
      <c r="AN6" s="45">
        <v>250.15</v>
      </c>
      <c r="AO6" s="45">
        <v>244.5</v>
      </c>
      <c r="AP6" s="45">
        <v>230.84</v>
      </c>
      <c r="AQ6" s="45">
        <v>223.74</v>
      </c>
      <c r="AR6" s="45">
        <v>218.9</v>
      </c>
      <c r="AS6" s="45">
        <v>213.91</v>
      </c>
      <c r="AT6" s="45">
        <v>197.58</v>
      </c>
      <c r="AU6" s="45">
        <v>190.5</v>
      </c>
      <c r="AV6" s="45">
        <v>191.96100000000001</v>
      </c>
      <c r="AW6" s="45">
        <v>191.96</v>
      </c>
      <c r="AX6" s="45">
        <v>173.16</v>
      </c>
      <c r="AY6" s="45">
        <v>164.40100000000001</v>
      </c>
      <c r="AZ6" s="45">
        <v>164.4</v>
      </c>
      <c r="BA6" s="45">
        <v>151.24</v>
      </c>
      <c r="BB6" s="45">
        <v>133.68</v>
      </c>
      <c r="BC6" s="45">
        <v>136.16999999999999</v>
      </c>
      <c r="BD6" s="45">
        <v>133.43</v>
      </c>
      <c r="BE6" s="45">
        <v>131.36000000000001</v>
      </c>
      <c r="BF6" s="45">
        <v>110.98</v>
      </c>
      <c r="BG6" s="45">
        <v>101.49</v>
      </c>
      <c r="BH6" s="45">
        <v>117.66</v>
      </c>
      <c r="BI6" s="45">
        <v>91.19</v>
      </c>
      <c r="BJ6" s="45">
        <v>82.1</v>
      </c>
      <c r="BK6" s="45">
        <v>80.97</v>
      </c>
      <c r="BL6" s="45">
        <v>60.09</v>
      </c>
      <c r="BM6" s="45">
        <v>71.680000000000007</v>
      </c>
      <c r="BN6" s="45">
        <v>34.619999999999997</v>
      </c>
      <c r="BO6" s="45">
        <v>4.78</v>
      </c>
      <c r="BP6" s="45">
        <v>508.71</v>
      </c>
      <c r="BQ6" s="45">
        <v>405.33</v>
      </c>
      <c r="BR6" s="45">
        <v>382.74</v>
      </c>
      <c r="BS6" s="45">
        <v>387.8</v>
      </c>
      <c r="BT6" s="45">
        <v>362.85</v>
      </c>
      <c r="BU6" s="45">
        <v>344.67</v>
      </c>
      <c r="BV6" s="45">
        <v>325.63</v>
      </c>
      <c r="BW6" s="45">
        <v>292.39999999999998</v>
      </c>
      <c r="BX6" s="45">
        <v>481.29</v>
      </c>
      <c r="BY6" s="45">
        <v>480.47</v>
      </c>
      <c r="BZ6" s="45">
        <v>455.6</v>
      </c>
      <c r="CA6" s="45">
        <v>408.5</v>
      </c>
      <c r="CB6" s="45">
        <v>397.72</v>
      </c>
      <c r="CC6" s="45">
        <v>358.19</v>
      </c>
      <c r="CD6" s="45">
        <v>236.66</v>
      </c>
      <c r="CE6" s="45">
        <v>246.2</v>
      </c>
      <c r="CF6" s="45">
        <v>257.5</v>
      </c>
      <c r="CG6" s="45">
        <v>279.72000000000003</v>
      </c>
      <c r="CH6" s="45">
        <v>281.86</v>
      </c>
      <c r="CI6" s="45">
        <v>467.65</v>
      </c>
      <c r="CJ6" s="45">
        <v>542.53</v>
      </c>
      <c r="CK6" s="45">
        <v>542.53099999999995</v>
      </c>
      <c r="CL6" s="45">
        <v>543.851</v>
      </c>
      <c r="CM6" s="45">
        <v>542.53099999999995</v>
      </c>
      <c r="CN6" s="45">
        <v>549.62</v>
      </c>
    </row>
    <row r="7" spans="1:92">
      <c r="A7" s="107"/>
      <c r="C7" s="43" t="s">
        <v>218</v>
      </c>
      <c r="D7" s="45">
        <v>481.59199999999998</v>
      </c>
      <c r="E7" s="45">
        <v>549.62099999999998</v>
      </c>
      <c r="F7" s="45">
        <v>0</v>
      </c>
      <c r="G7" s="45">
        <v>280.19200000000001</v>
      </c>
      <c r="H7" s="45">
        <v>87.311000000000007</v>
      </c>
      <c r="I7" s="45">
        <v>113.492</v>
      </c>
      <c r="J7" s="45">
        <v>105.181</v>
      </c>
      <c r="K7" s="45">
        <v>113.491</v>
      </c>
      <c r="L7" s="45">
        <v>103.241</v>
      </c>
      <c r="M7" s="45">
        <v>115.631</v>
      </c>
      <c r="N7" s="45">
        <v>119.751</v>
      </c>
      <c r="O7" s="45">
        <v>132.33099999999999</v>
      </c>
      <c r="P7" s="45">
        <v>144.791</v>
      </c>
      <c r="Q7" s="45">
        <v>181.59200000000001</v>
      </c>
      <c r="R7" s="45">
        <v>148.70099999999999</v>
      </c>
      <c r="S7" s="45">
        <v>169.482</v>
      </c>
      <c r="T7" s="45">
        <v>176.25299999999999</v>
      </c>
      <c r="U7" s="45">
        <v>150.99100000000001</v>
      </c>
      <c r="V7" s="45">
        <v>148.702</v>
      </c>
      <c r="W7" s="45">
        <v>176.25200000000001</v>
      </c>
      <c r="X7" s="45">
        <v>176.06100000000001</v>
      </c>
      <c r="Y7" s="45">
        <v>164.631</v>
      </c>
      <c r="Z7" s="45">
        <v>188.36199999999999</v>
      </c>
      <c r="AA7" s="45">
        <v>188.36099999999999</v>
      </c>
      <c r="AB7" s="45">
        <v>189.23099999999999</v>
      </c>
      <c r="AC7" s="45">
        <v>223.17099999999999</v>
      </c>
      <c r="AD7" s="45">
        <v>235.851</v>
      </c>
      <c r="AE7" s="45">
        <v>242.42099999999999</v>
      </c>
      <c r="AF7" s="45">
        <v>280.19099999999997</v>
      </c>
      <c r="AG7" s="45">
        <v>290.101</v>
      </c>
      <c r="AH7" s="45">
        <v>290.21100000000001</v>
      </c>
      <c r="AI7" s="45">
        <v>303.28100000000001</v>
      </c>
      <c r="AJ7" s="45">
        <v>270.37099999999998</v>
      </c>
      <c r="AK7" s="45">
        <v>303.28199999999998</v>
      </c>
      <c r="AL7" s="45">
        <v>293.64100000000002</v>
      </c>
      <c r="AM7" s="45">
        <v>303.56099999999998</v>
      </c>
      <c r="AN7" s="45">
        <v>299.471</v>
      </c>
      <c r="AO7" s="45">
        <v>305.12099999999998</v>
      </c>
      <c r="AP7" s="45">
        <v>318.78100000000001</v>
      </c>
      <c r="AQ7" s="45">
        <v>325.88099999999997</v>
      </c>
      <c r="AR7" s="45">
        <v>330.721</v>
      </c>
      <c r="AS7" s="45">
        <v>335.71100000000001</v>
      </c>
      <c r="AT7" s="45">
        <v>352.041</v>
      </c>
      <c r="AU7" s="45">
        <v>359.12099999999998</v>
      </c>
      <c r="AV7" s="45">
        <v>371.94200000000001</v>
      </c>
      <c r="AW7" s="45">
        <v>371.94099999999997</v>
      </c>
      <c r="AX7" s="45">
        <v>376.46100000000001</v>
      </c>
      <c r="AY7" s="45">
        <v>385.22199999999998</v>
      </c>
      <c r="AZ7" s="45">
        <v>385.221</v>
      </c>
      <c r="BA7" s="45">
        <v>398.38099999999997</v>
      </c>
      <c r="BB7" s="45">
        <v>415.94099999999997</v>
      </c>
      <c r="BC7" s="45">
        <v>430.33100000000002</v>
      </c>
      <c r="BD7" s="45">
        <v>427.59100000000001</v>
      </c>
      <c r="BE7" s="45">
        <v>432.28100000000001</v>
      </c>
      <c r="BF7" s="45">
        <v>438.64100000000002</v>
      </c>
      <c r="BG7" s="45">
        <v>448.13099999999997</v>
      </c>
      <c r="BH7" s="45">
        <v>479.44099999999997</v>
      </c>
      <c r="BI7" s="45">
        <v>458.43099999999998</v>
      </c>
      <c r="BJ7" s="45">
        <v>467.52100000000002</v>
      </c>
      <c r="BK7" s="45">
        <v>481.65100000000001</v>
      </c>
      <c r="BL7" s="45">
        <v>489.53100000000001</v>
      </c>
      <c r="BM7" s="45">
        <v>517.101</v>
      </c>
      <c r="BN7" s="45">
        <v>515.00099999999998</v>
      </c>
      <c r="BO7" s="45">
        <v>544.84100000000001</v>
      </c>
      <c r="BP7" s="45">
        <v>481.351</v>
      </c>
      <c r="BQ7" s="45">
        <v>377.971</v>
      </c>
      <c r="BR7" s="45">
        <v>355.38099999999997</v>
      </c>
      <c r="BS7" s="45">
        <v>360.44099999999997</v>
      </c>
      <c r="BT7" s="45">
        <v>335.49099999999999</v>
      </c>
      <c r="BU7" s="45">
        <v>317.31099999999998</v>
      </c>
      <c r="BV7" s="45">
        <v>298.27100000000002</v>
      </c>
      <c r="BW7" s="45">
        <v>265.041</v>
      </c>
      <c r="BX7" s="45">
        <v>453.93099999999998</v>
      </c>
      <c r="BY7" s="45">
        <v>493.791</v>
      </c>
      <c r="BZ7" s="45">
        <v>518.66099999999994</v>
      </c>
      <c r="CA7" s="45">
        <v>530.30100000000004</v>
      </c>
      <c r="CB7" s="45">
        <v>519.52099999999996</v>
      </c>
      <c r="CC7" s="45">
        <v>479.99099999999999</v>
      </c>
      <c r="CD7" s="45">
        <v>358.46100000000001</v>
      </c>
      <c r="CE7" s="45">
        <v>368.00099999999998</v>
      </c>
      <c r="CF7" s="45">
        <v>379.30099999999999</v>
      </c>
      <c r="CG7" s="45">
        <v>401.52100000000002</v>
      </c>
      <c r="CH7" s="45">
        <v>403.661</v>
      </c>
      <c r="CI7" s="45">
        <v>81.971000000000004</v>
      </c>
      <c r="CJ7" s="45">
        <v>7.0910000000000002</v>
      </c>
      <c r="CK7" s="45">
        <v>7.0919999999999996</v>
      </c>
      <c r="CL7" s="45">
        <v>8.4120000000000008</v>
      </c>
      <c r="CM7" s="45">
        <v>7.0919999999999996</v>
      </c>
      <c r="CN7" s="45">
        <v>9.9999999999989008E-4</v>
      </c>
    </row>
    <row r="8" spans="1:92">
      <c r="A8" s="107"/>
      <c r="C8" s="43" t="s">
        <v>219</v>
      </c>
      <c r="D8" s="45">
        <v>239.52199999999999</v>
      </c>
      <c r="E8" s="45">
        <v>307.55099999999999</v>
      </c>
      <c r="F8" s="45">
        <v>280.19200000000001</v>
      </c>
      <c r="G8" s="45">
        <v>0</v>
      </c>
      <c r="H8" s="45">
        <v>192.881</v>
      </c>
      <c r="I8" s="45">
        <v>205.88200000000001</v>
      </c>
      <c r="J8" s="45">
        <v>197.571</v>
      </c>
      <c r="K8" s="45">
        <v>205.881</v>
      </c>
      <c r="L8" s="45">
        <v>176.95099999999999</v>
      </c>
      <c r="M8" s="45">
        <v>164.56100000000001</v>
      </c>
      <c r="N8" s="45">
        <v>212.14099999999999</v>
      </c>
      <c r="O8" s="45">
        <v>147.86099999999999</v>
      </c>
      <c r="P8" s="45">
        <v>135.40100000000001</v>
      </c>
      <c r="Q8" s="45">
        <v>164.66200000000001</v>
      </c>
      <c r="R8" s="45">
        <v>131.77099999999999</v>
      </c>
      <c r="S8" s="45">
        <v>152.55199999999999</v>
      </c>
      <c r="T8" s="45">
        <v>159.32300000000001</v>
      </c>
      <c r="U8" s="45">
        <v>129.20099999999999</v>
      </c>
      <c r="V8" s="45">
        <v>131.77199999999999</v>
      </c>
      <c r="W8" s="45">
        <v>159.322</v>
      </c>
      <c r="X8" s="45">
        <v>126.991</v>
      </c>
      <c r="Y8" s="45">
        <v>115.56100000000001</v>
      </c>
      <c r="Z8" s="45">
        <v>139.292</v>
      </c>
      <c r="AA8" s="45">
        <v>139.291</v>
      </c>
      <c r="AB8" s="45">
        <v>90.960999999999999</v>
      </c>
      <c r="AC8" s="45">
        <v>57.021000000000001</v>
      </c>
      <c r="AD8" s="45">
        <v>44.341000000000001</v>
      </c>
      <c r="AE8" s="45">
        <v>37.771000000000001</v>
      </c>
      <c r="AF8" s="45">
        <v>9.9999999999989008E-4</v>
      </c>
      <c r="AG8" s="45">
        <v>9.9109999999999996</v>
      </c>
      <c r="AH8" s="45">
        <v>10.021000000000001</v>
      </c>
      <c r="AI8" s="45">
        <v>23.091000000000001</v>
      </c>
      <c r="AJ8" s="45">
        <v>28.300999999999998</v>
      </c>
      <c r="AK8" s="45">
        <v>23.091999999999999</v>
      </c>
      <c r="AL8" s="45">
        <v>51.570999999999998</v>
      </c>
      <c r="AM8" s="45">
        <v>61.491</v>
      </c>
      <c r="AN8" s="45">
        <v>57.401000000000003</v>
      </c>
      <c r="AO8" s="45">
        <v>63.051000000000002</v>
      </c>
      <c r="AP8" s="45">
        <v>76.710999999999999</v>
      </c>
      <c r="AQ8" s="45">
        <v>83.811000000000007</v>
      </c>
      <c r="AR8" s="45">
        <v>88.650999999999996</v>
      </c>
      <c r="AS8" s="45">
        <v>93.641000000000005</v>
      </c>
      <c r="AT8" s="45">
        <v>109.971</v>
      </c>
      <c r="AU8" s="45">
        <v>117.051</v>
      </c>
      <c r="AV8" s="45">
        <v>129.87200000000001</v>
      </c>
      <c r="AW8" s="45">
        <v>129.87100000000001</v>
      </c>
      <c r="AX8" s="45">
        <v>134.39099999999999</v>
      </c>
      <c r="AY8" s="45">
        <v>143.15199999999999</v>
      </c>
      <c r="AZ8" s="45">
        <v>143.15100000000001</v>
      </c>
      <c r="BA8" s="45">
        <v>156.31100000000001</v>
      </c>
      <c r="BB8" s="45">
        <v>173.87100000000001</v>
      </c>
      <c r="BC8" s="45">
        <v>188.261</v>
      </c>
      <c r="BD8" s="45">
        <v>185.52099999999999</v>
      </c>
      <c r="BE8" s="45">
        <v>190.21100000000001</v>
      </c>
      <c r="BF8" s="45">
        <v>196.571</v>
      </c>
      <c r="BG8" s="45">
        <v>206.06100000000001</v>
      </c>
      <c r="BH8" s="45">
        <v>237.37100000000001</v>
      </c>
      <c r="BI8" s="45">
        <v>216.36099999999999</v>
      </c>
      <c r="BJ8" s="45">
        <v>225.45099999999999</v>
      </c>
      <c r="BK8" s="45">
        <v>239.58099999999999</v>
      </c>
      <c r="BL8" s="45">
        <v>247.46100000000001</v>
      </c>
      <c r="BM8" s="45">
        <v>275.03100000000001</v>
      </c>
      <c r="BN8" s="45">
        <v>272.93099999999998</v>
      </c>
      <c r="BO8" s="45">
        <v>302.77100000000002</v>
      </c>
      <c r="BP8" s="45">
        <v>239.28100000000001</v>
      </c>
      <c r="BQ8" s="45">
        <v>135.90100000000001</v>
      </c>
      <c r="BR8" s="45">
        <v>113.31100000000001</v>
      </c>
      <c r="BS8" s="45">
        <v>118.371</v>
      </c>
      <c r="BT8" s="45">
        <v>93.421000000000006</v>
      </c>
      <c r="BU8" s="45">
        <v>75.241</v>
      </c>
      <c r="BV8" s="45">
        <v>56.201000000000001</v>
      </c>
      <c r="BW8" s="45">
        <v>22.971</v>
      </c>
      <c r="BX8" s="45">
        <v>211.86099999999999</v>
      </c>
      <c r="BY8" s="45">
        <v>251.721</v>
      </c>
      <c r="BZ8" s="45">
        <v>276.59100000000001</v>
      </c>
      <c r="CA8" s="45">
        <v>288.23099999999999</v>
      </c>
      <c r="CB8" s="45">
        <v>277.45100000000002</v>
      </c>
      <c r="CC8" s="45">
        <v>237.92099999999999</v>
      </c>
      <c r="CD8" s="45">
        <v>116.39100000000001</v>
      </c>
      <c r="CE8" s="45">
        <v>125.931</v>
      </c>
      <c r="CF8" s="45">
        <v>137.23099999999999</v>
      </c>
      <c r="CG8" s="45">
        <v>159.45099999999999</v>
      </c>
      <c r="CH8" s="45">
        <v>161.59100000000001</v>
      </c>
      <c r="CI8" s="45">
        <v>198.221</v>
      </c>
      <c r="CJ8" s="45">
        <v>273.101</v>
      </c>
      <c r="CK8" s="45">
        <v>273.10199999999998</v>
      </c>
      <c r="CL8" s="45">
        <v>274.42200000000003</v>
      </c>
      <c r="CM8" s="45">
        <v>273.10199999999998</v>
      </c>
      <c r="CN8" s="45">
        <v>280.19099999999997</v>
      </c>
    </row>
    <row r="9" spans="1:92">
      <c r="A9" s="107"/>
      <c r="C9" s="43" t="s">
        <v>26</v>
      </c>
      <c r="D9" s="45">
        <v>239.523</v>
      </c>
      <c r="E9" s="45">
        <v>307.55200000000002</v>
      </c>
      <c r="F9" s="45">
        <v>280.19299999999998</v>
      </c>
      <c r="G9" s="45">
        <v>9.9999999999989008E-4</v>
      </c>
      <c r="H9" s="45">
        <v>192.88200000000001</v>
      </c>
      <c r="I9" s="45">
        <v>205.88300000000001</v>
      </c>
      <c r="J9" s="45">
        <v>197.572</v>
      </c>
      <c r="K9" s="45">
        <v>205.88200000000001</v>
      </c>
      <c r="L9" s="45">
        <v>176.952</v>
      </c>
      <c r="M9" s="45">
        <v>164.56200000000001</v>
      </c>
      <c r="N9" s="45">
        <v>212.142</v>
      </c>
      <c r="O9" s="45">
        <v>147.86199999999999</v>
      </c>
      <c r="P9" s="45">
        <v>135.40199999999999</v>
      </c>
      <c r="Q9" s="45">
        <v>164.66300000000001</v>
      </c>
      <c r="R9" s="45">
        <v>131.77199999999999</v>
      </c>
      <c r="S9" s="45">
        <v>152.553</v>
      </c>
      <c r="T9" s="45">
        <v>159.32400000000001</v>
      </c>
      <c r="U9" s="45">
        <v>129.202</v>
      </c>
      <c r="V9" s="45">
        <v>131.773</v>
      </c>
      <c r="W9" s="45">
        <v>159.32300000000001</v>
      </c>
      <c r="X9" s="45">
        <v>126.992</v>
      </c>
      <c r="Y9" s="45">
        <v>115.562</v>
      </c>
      <c r="Z9" s="45">
        <v>139.29300000000001</v>
      </c>
      <c r="AA9" s="45">
        <v>139.292</v>
      </c>
      <c r="AB9" s="45">
        <v>90.962000000000003</v>
      </c>
      <c r="AC9" s="45">
        <v>57.021999999999998</v>
      </c>
      <c r="AD9" s="45">
        <v>44.341999999999999</v>
      </c>
      <c r="AE9" s="45">
        <v>37.771999999999998</v>
      </c>
      <c r="AF9" s="45">
        <v>1.9999999999997802E-3</v>
      </c>
      <c r="AG9" s="45">
        <v>9.9120000000000008</v>
      </c>
      <c r="AH9" s="45">
        <v>10.022</v>
      </c>
      <c r="AI9" s="45">
        <v>23.091999999999999</v>
      </c>
      <c r="AJ9" s="45">
        <v>28.302</v>
      </c>
      <c r="AK9" s="45">
        <v>23.093</v>
      </c>
      <c r="AL9" s="45">
        <v>51.572000000000003</v>
      </c>
      <c r="AM9" s="45">
        <v>61.491999999999997</v>
      </c>
      <c r="AN9" s="45">
        <v>57.402000000000001</v>
      </c>
      <c r="AO9" s="45">
        <v>63.052</v>
      </c>
      <c r="AP9" s="45">
        <v>76.712000000000003</v>
      </c>
      <c r="AQ9" s="45">
        <v>83.811999999999998</v>
      </c>
      <c r="AR9" s="45">
        <v>88.652000000000001</v>
      </c>
      <c r="AS9" s="45">
        <v>93.641999999999996</v>
      </c>
      <c r="AT9" s="45">
        <v>109.97199999999999</v>
      </c>
      <c r="AU9" s="45">
        <v>117.05200000000001</v>
      </c>
      <c r="AV9" s="45">
        <v>129.87299999999999</v>
      </c>
      <c r="AW9" s="45">
        <v>129.87200000000001</v>
      </c>
      <c r="AX9" s="45">
        <v>134.392</v>
      </c>
      <c r="AY9" s="45">
        <v>143.15299999999999</v>
      </c>
      <c r="AZ9" s="45">
        <v>143.15199999999999</v>
      </c>
      <c r="BA9" s="45">
        <v>156.31200000000001</v>
      </c>
      <c r="BB9" s="45">
        <v>173.87200000000001</v>
      </c>
      <c r="BC9" s="45">
        <v>188.262</v>
      </c>
      <c r="BD9" s="45">
        <v>185.52199999999999</v>
      </c>
      <c r="BE9" s="45">
        <v>190.21199999999999</v>
      </c>
      <c r="BF9" s="45">
        <v>196.572</v>
      </c>
      <c r="BG9" s="45">
        <v>206.06200000000001</v>
      </c>
      <c r="BH9" s="45">
        <v>237.37200000000001</v>
      </c>
      <c r="BI9" s="45">
        <v>216.36199999999999</v>
      </c>
      <c r="BJ9" s="45">
        <v>225.452</v>
      </c>
      <c r="BK9" s="45">
        <v>239.58199999999999</v>
      </c>
      <c r="BL9" s="45">
        <v>247.46199999999999</v>
      </c>
      <c r="BM9" s="45">
        <v>275.03199999999998</v>
      </c>
      <c r="BN9" s="45">
        <v>272.93200000000002</v>
      </c>
      <c r="BO9" s="45">
        <v>302.77199999999999</v>
      </c>
      <c r="BP9" s="45">
        <v>239.28200000000001</v>
      </c>
      <c r="BQ9" s="45">
        <v>135.90199999999999</v>
      </c>
      <c r="BR9" s="45">
        <v>113.312</v>
      </c>
      <c r="BS9" s="45">
        <v>118.372</v>
      </c>
      <c r="BT9" s="45">
        <v>93.421999999999997</v>
      </c>
      <c r="BU9" s="45">
        <v>75.242000000000004</v>
      </c>
      <c r="BV9" s="45">
        <v>56.201999999999998</v>
      </c>
      <c r="BW9" s="45">
        <v>22.972000000000001</v>
      </c>
      <c r="BX9" s="45">
        <v>211.86199999999999</v>
      </c>
      <c r="BY9" s="45">
        <v>251.72200000000001</v>
      </c>
      <c r="BZ9" s="45">
        <v>276.59199999999998</v>
      </c>
      <c r="CA9" s="45">
        <v>288.23200000000003</v>
      </c>
      <c r="CB9" s="45">
        <v>277.452</v>
      </c>
      <c r="CC9" s="45">
        <v>237.922</v>
      </c>
      <c r="CD9" s="45">
        <v>116.392</v>
      </c>
      <c r="CE9" s="45">
        <v>125.932</v>
      </c>
      <c r="CF9" s="45">
        <v>137.232</v>
      </c>
      <c r="CG9" s="45">
        <v>159.452</v>
      </c>
      <c r="CH9" s="45">
        <v>161.59200000000001</v>
      </c>
      <c r="CI9" s="45">
        <v>198.22200000000001</v>
      </c>
      <c r="CJ9" s="45">
        <v>273.10199999999998</v>
      </c>
      <c r="CK9" s="45">
        <v>273.10300000000001</v>
      </c>
      <c r="CL9" s="45">
        <v>274.423</v>
      </c>
      <c r="CM9" s="45">
        <v>273.10300000000001</v>
      </c>
      <c r="CN9" s="45">
        <v>280.19200000000001</v>
      </c>
    </row>
    <row r="10" spans="1:92"/>
    <row r="11" spans="1:92"/>
    <row r="12" spans="1:92">
      <c r="A12" s="108" t="s">
        <v>571</v>
      </c>
      <c r="C12" s="2" t="s">
        <v>4</v>
      </c>
      <c r="D12" s="37" t="s">
        <v>1</v>
      </c>
      <c r="E12" s="38"/>
      <c r="F12" s="38"/>
      <c r="G12" s="38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40"/>
    </row>
    <row r="13" spans="1:92">
      <c r="A13" s="108"/>
      <c r="C13" s="42" t="s">
        <v>2</v>
      </c>
      <c r="D13" s="44" t="s">
        <v>0</v>
      </c>
      <c r="E13" s="44" t="s">
        <v>216</v>
      </c>
      <c r="F13" s="44" t="s">
        <v>218</v>
      </c>
      <c r="G13" s="44" t="s">
        <v>219</v>
      </c>
      <c r="H13" s="44" t="s">
        <v>55</v>
      </c>
      <c r="I13" s="44" t="s">
        <v>57</v>
      </c>
      <c r="J13" s="44" t="s">
        <v>59</v>
      </c>
      <c r="K13" s="44" t="s">
        <v>61</v>
      </c>
      <c r="L13" s="44" t="s">
        <v>62</v>
      </c>
      <c r="M13" s="44" t="s">
        <v>64</v>
      </c>
      <c r="N13" s="44" t="s">
        <v>66</v>
      </c>
      <c r="O13" s="44" t="s">
        <v>68</v>
      </c>
      <c r="P13" s="44" t="s">
        <v>70</v>
      </c>
      <c r="Q13" s="44" t="s">
        <v>72</v>
      </c>
      <c r="R13" s="44" t="s">
        <v>74</v>
      </c>
      <c r="S13" s="44" t="s">
        <v>76</v>
      </c>
      <c r="T13" s="44" t="s">
        <v>78</v>
      </c>
      <c r="U13" s="44" t="s">
        <v>80</v>
      </c>
      <c r="V13" s="44" t="s">
        <v>82</v>
      </c>
      <c r="W13" s="44" t="s">
        <v>83</v>
      </c>
      <c r="X13" s="44" t="s">
        <v>84</v>
      </c>
      <c r="Y13" s="44" t="s">
        <v>86</v>
      </c>
      <c r="Z13" s="44" t="s">
        <v>88</v>
      </c>
      <c r="AA13" s="44" t="s">
        <v>90</v>
      </c>
      <c r="AB13" s="44" t="s">
        <v>91</v>
      </c>
      <c r="AC13" s="44" t="s">
        <v>93</v>
      </c>
      <c r="AD13" s="44" t="s">
        <v>95</v>
      </c>
      <c r="AE13" s="44" t="s">
        <v>97</v>
      </c>
      <c r="AF13" s="44" t="s">
        <v>99</v>
      </c>
      <c r="AG13" s="44" t="s">
        <v>101</v>
      </c>
      <c r="AH13" s="44" t="s">
        <v>103</v>
      </c>
      <c r="AI13" s="44" t="s">
        <v>104</v>
      </c>
      <c r="AJ13" s="44" t="s">
        <v>106</v>
      </c>
      <c r="AK13" s="44" t="s">
        <v>108</v>
      </c>
      <c r="AL13" s="44" t="s">
        <v>109</v>
      </c>
      <c r="AM13" s="44" t="s">
        <v>111</v>
      </c>
      <c r="AN13" s="44" t="s">
        <v>113</v>
      </c>
      <c r="AO13" s="44" t="s">
        <v>115</v>
      </c>
      <c r="AP13" s="44" t="s">
        <v>117</v>
      </c>
      <c r="AQ13" s="44" t="s">
        <v>119</v>
      </c>
      <c r="AR13" s="44" t="s">
        <v>121</v>
      </c>
      <c r="AS13" s="44" t="s">
        <v>123</v>
      </c>
      <c r="AT13" s="44" t="s">
        <v>125</v>
      </c>
      <c r="AU13" s="44" t="s">
        <v>127</v>
      </c>
      <c r="AV13" s="44" t="s">
        <v>129</v>
      </c>
      <c r="AW13" s="44" t="s">
        <v>131</v>
      </c>
      <c r="AX13" s="44" t="s">
        <v>132</v>
      </c>
      <c r="AY13" s="44" t="s">
        <v>134</v>
      </c>
      <c r="AZ13" s="44" t="s">
        <v>136</v>
      </c>
      <c r="BA13" s="44" t="s">
        <v>137</v>
      </c>
      <c r="BB13" s="44" t="s">
        <v>139</v>
      </c>
      <c r="BC13" s="44" t="s">
        <v>141</v>
      </c>
      <c r="BD13" s="44" t="s">
        <v>143</v>
      </c>
      <c r="BE13" s="44" t="s">
        <v>145</v>
      </c>
      <c r="BF13" s="44" t="s">
        <v>147</v>
      </c>
      <c r="BG13" s="44" t="s">
        <v>149</v>
      </c>
      <c r="BH13" s="44" t="s">
        <v>151</v>
      </c>
      <c r="BI13" s="44" t="s">
        <v>153</v>
      </c>
      <c r="BJ13" s="44" t="s">
        <v>155</v>
      </c>
      <c r="BK13" s="44" t="s">
        <v>157</v>
      </c>
      <c r="BL13" s="44" t="s">
        <v>159</v>
      </c>
      <c r="BM13" s="44" t="s">
        <v>161</v>
      </c>
      <c r="BN13" s="44" t="s">
        <v>163</v>
      </c>
      <c r="BO13" s="44" t="s">
        <v>165</v>
      </c>
      <c r="BP13" s="44" t="s">
        <v>167</v>
      </c>
      <c r="BQ13" s="44" t="s">
        <v>169</v>
      </c>
      <c r="BR13" s="44" t="s">
        <v>171</v>
      </c>
      <c r="BS13" s="44" t="s">
        <v>173</v>
      </c>
      <c r="BT13" s="44" t="s">
        <v>175</v>
      </c>
      <c r="BU13" s="44" t="s">
        <v>177</v>
      </c>
      <c r="BV13" s="44" t="s">
        <v>179</v>
      </c>
      <c r="BW13" s="44" t="s">
        <v>181</v>
      </c>
      <c r="BX13" s="44" t="s">
        <v>183</v>
      </c>
      <c r="BY13" s="44" t="s">
        <v>185</v>
      </c>
      <c r="BZ13" s="44" t="s">
        <v>187</v>
      </c>
      <c r="CA13" s="44" t="s">
        <v>189</v>
      </c>
      <c r="CB13" s="44" t="s">
        <v>191</v>
      </c>
      <c r="CC13" s="44" t="s">
        <v>193</v>
      </c>
      <c r="CD13" s="44" t="s">
        <v>195</v>
      </c>
      <c r="CE13" s="44" t="s">
        <v>197</v>
      </c>
      <c r="CF13" s="44" t="s">
        <v>199</v>
      </c>
      <c r="CG13" s="44" t="s">
        <v>201</v>
      </c>
      <c r="CH13" s="44" t="s">
        <v>203</v>
      </c>
      <c r="CI13" s="44" t="s">
        <v>205</v>
      </c>
      <c r="CJ13" s="44" t="s">
        <v>207</v>
      </c>
      <c r="CK13" s="44" t="s">
        <v>209</v>
      </c>
      <c r="CL13" s="44" t="s">
        <v>210</v>
      </c>
      <c r="CM13" s="44" t="s">
        <v>212</v>
      </c>
      <c r="CN13" s="44" t="s">
        <v>213</v>
      </c>
    </row>
    <row r="14" spans="1:92">
      <c r="A14" s="107"/>
      <c r="C14" s="43" t="s">
        <v>0</v>
      </c>
      <c r="D14" s="45">
        <v>0</v>
      </c>
      <c r="E14" s="45">
        <v>508.95100000000002</v>
      </c>
      <c r="F14" s="45">
        <v>481.59199999999998</v>
      </c>
      <c r="G14" s="45">
        <v>239.52199999999999</v>
      </c>
      <c r="H14" s="45">
        <v>394.28100000000001</v>
      </c>
      <c r="I14" s="45">
        <v>387.69499999999999</v>
      </c>
      <c r="J14" s="45">
        <v>387.69299999999998</v>
      </c>
      <c r="K14" s="45">
        <v>387.69400000000002</v>
      </c>
      <c r="L14" s="45">
        <v>378.351</v>
      </c>
      <c r="M14" s="45">
        <v>365.96100000000001</v>
      </c>
      <c r="N14" s="45">
        <v>387.69400000000002</v>
      </c>
      <c r="O14" s="45">
        <v>349.26100000000002</v>
      </c>
      <c r="P14" s="45">
        <v>336.80099999999999</v>
      </c>
      <c r="Q14" s="45">
        <v>333.03699999999998</v>
      </c>
      <c r="R14" s="45">
        <v>333.03199999999998</v>
      </c>
      <c r="S14" s="45">
        <v>333.03500000000003</v>
      </c>
      <c r="T14" s="45">
        <v>333.03699999999998</v>
      </c>
      <c r="U14" s="45">
        <v>330.601</v>
      </c>
      <c r="V14" s="45">
        <v>333.03300000000002</v>
      </c>
      <c r="W14" s="45">
        <v>333.036</v>
      </c>
      <c r="X14" s="45">
        <v>316.96199999999999</v>
      </c>
      <c r="Y14" s="45">
        <v>316.96100000000001</v>
      </c>
      <c r="Z14" s="45">
        <v>316.964</v>
      </c>
      <c r="AA14" s="45">
        <v>316.96300000000002</v>
      </c>
      <c r="AB14" s="45">
        <v>292.36099999999999</v>
      </c>
      <c r="AC14" s="45">
        <v>258.42099999999999</v>
      </c>
      <c r="AD14" s="45">
        <v>245.74100000000001</v>
      </c>
      <c r="AE14" s="45">
        <v>239.17099999999999</v>
      </c>
      <c r="AF14" s="45">
        <v>239.52099999999999</v>
      </c>
      <c r="AG14" s="45">
        <v>239.52199999999999</v>
      </c>
      <c r="AH14" s="45">
        <v>239.52199999999999</v>
      </c>
      <c r="AI14" s="45">
        <v>239.523</v>
      </c>
      <c r="AJ14" s="45">
        <v>229.70099999999999</v>
      </c>
      <c r="AK14" s="45">
        <v>239.524</v>
      </c>
      <c r="AL14" s="45">
        <v>248.40199999999999</v>
      </c>
      <c r="AM14" s="45">
        <v>248.40299999999999</v>
      </c>
      <c r="AN14" s="45">
        <v>258.80099999999999</v>
      </c>
      <c r="AO14" s="45">
        <v>264.45100000000002</v>
      </c>
      <c r="AP14" s="45">
        <v>278.11099999999999</v>
      </c>
      <c r="AQ14" s="45">
        <v>285.21100000000001</v>
      </c>
      <c r="AR14" s="45">
        <v>290.05099999999999</v>
      </c>
      <c r="AS14" s="45">
        <v>295.041</v>
      </c>
      <c r="AT14" s="45">
        <v>311.37099999999998</v>
      </c>
      <c r="AU14" s="45">
        <v>318.45100000000002</v>
      </c>
      <c r="AV14" s="45">
        <v>324.13299999999998</v>
      </c>
      <c r="AW14" s="45">
        <v>324.13200000000001</v>
      </c>
      <c r="AX14" s="45">
        <v>335.791</v>
      </c>
      <c r="AY14" s="45">
        <v>344.55200000000002</v>
      </c>
      <c r="AZ14" s="45">
        <v>344.55099999999999</v>
      </c>
      <c r="BA14" s="45">
        <v>357.71100000000001</v>
      </c>
      <c r="BB14" s="45">
        <v>375.27100000000002</v>
      </c>
      <c r="BC14" s="45">
        <v>381.22300000000001</v>
      </c>
      <c r="BD14" s="45">
        <v>381.22199999999998</v>
      </c>
      <c r="BE14" s="45">
        <v>384.60199999999998</v>
      </c>
      <c r="BF14" s="45">
        <v>397.971</v>
      </c>
      <c r="BG14" s="45">
        <v>407.46100000000001</v>
      </c>
      <c r="BH14" s="45">
        <v>415.03300000000002</v>
      </c>
      <c r="BI14" s="45">
        <v>417.76100000000002</v>
      </c>
      <c r="BJ14" s="45">
        <v>426.851</v>
      </c>
      <c r="BK14" s="45">
        <v>434.48200000000003</v>
      </c>
      <c r="BL14" s="45">
        <v>448.86099999999999</v>
      </c>
      <c r="BM14" s="45">
        <v>456.85300000000001</v>
      </c>
      <c r="BN14" s="45">
        <v>474.33100000000002</v>
      </c>
      <c r="BO14" s="45">
        <v>504.17099999999999</v>
      </c>
      <c r="BP14" s="45">
        <v>0.24099999999999999</v>
      </c>
      <c r="BQ14" s="45">
        <v>103.621</v>
      </c>
      <c r="BR14" s="45">
        <v>126.211</v>
      </c>
      <c r="BS14" s="45">
        <v>126.212</v>
      </c>
      <c r="BT14" s="45">
        <v>146.101</v>
      </c>
      <c r="BU14" s="45">
        <v>164.28100000000001</v>
      </c>
      <c r="BV14" s="45">
        <v>183.321</v>
      </c>
      <c r="BW14" s="45">
        <v>216.55099999999999</v>
      </c>
      <c r="BX14" s="45">
        <v>67.292000000000002</v>
      </c>
      <c r="BY14" s="45">
        <v>111.401</v>
      </c>
      <c r="BZ14" s="45">
        <v>136.27099999999999</v>
      </c>
      <c r="CA14" s="45">
        <v>183.37100000000001</v>
      </c>
      <c r="CB14" s="45">
        <v>194.15100000000001</v>
      </c>
      <c r="CC14" s="45">
        <v>233.68100000000001</v>
      </c>
      <c r="CD14" s="45">
        <v>317.791</v>
      </c>
      <c r="CE14" s="45">
        <v>327.33100000000002</v>
      </c>
      <c r="CF14" s="45">
        <v>334.37099999999998</v>
      </c>
      <c r="CG14" s="45">
        <v>320.322</v>
      </c>
      <c r="CH14" s="45">
        <v>310.01100000000002</v>
      </c>
      <c r="CI14" s="45">
        <v>399.62099999999998</v>
      </c>
      <c r="CJ14" s="45">
        <v>474.50099999999998</v>
      </c>
      <c r="CK14" s="45">
        <v>474.50200000000001</v>
      </c>
      <c r="CL14" s="45">
        <v>474.50400000000002</v>
      </c>
      <c r="CM14" s="45">
        <v>474.50200000000001</v>
      </c>
      <c r="CN14" s="45">
        <v>481.59100000000001</v>
      </c>
    </row>
    <row r="15" spans="1:92">
      <c r="A15" s="107"/>
      <c r="C15" s="43" t="s">
        <v>216</v>
      </c>
      <c r="D15" s="45">
        <v>508.95100000000002</v>
      </c>
      <c r="E15" s="45">
        <v>0</v>
      </c>
      <c r="F15" s="45">
        <v>549.62099999999998</v>
      </c>
      <c r="G15" s="45">
        <v>307.55099999999999</v>
      </c>
      <c r="H15" s="45">
        <v>462.31</v>
      </c>
      <c r="I15" s="45">
        <v>455.72399999999999</v>
      </c>
      <c r="J15" s="45">
        <v>455.72199999999998</v>
      </c>
      <c r="K15" s="45">
        <v>455.72300000000001</v>
      </c>
      <c r="L15" s="45">
        <v>446.38</v>
      </c>
      <c r="M15" s="45">
        <v>433.99</v>
      </c>
      <c r="N15" s="45">
        <v>455.72300000000001</v>
      </c>
      <c r="O15" s="45">
        <v>417.29</v>
      </c>
      <c r="P15" s="45">
        <v>404.83</v>
      </c>
      <c r="Q15" s="45">
        <v>401.06599999999997</v>
      </c>
      <c r="R15" s="45">
        <v>401.06099999999998</v>
      </c>
      <c r="S15" s="45">
        <v>401.06400000000002</v>
      </c>
      <c r="T15" s="45">
        <v>401.06599999999997</v>
      </c>
      <c r="U15" s="45">
        <v>398.63</v>
      </c>
      <c r="V15" s="45">
        <v>401.06200000000001</v>
      </c>
      <c r="W15" s="45">
        <v>401.065</v>
      </c>
      <c r="X15" s="45">
        <v>384.99099999999999</v>
      </c>
      <c r="Y15" s="45">
        <v>384.99</v>
      </c>
      <c r="Z15" s="45">
        <v>384.99299999999999</v>
      </c>
      <c r="AA15" s="45">
        <v>384.99200000000002</v>
      </c>
      <c r="AB15" s="45">
        <v>360.39</v>
      </c>
      <c r="AC15" s="45">
        <v>326.45</v>
      </c>
      <c r="AD15" s="45">
        <v>313.77</v>
      </c>
      <c r="AE15" s="45">
        <v>307.2</v>
      </c>
      <c r="AF15" s="45">
        <v>307.55</v>
      </c>
      <c r="AG15" s="45">
        <v>307.55099999999999</v>
      </c>
      <c r="AH15" s="45">
        <v>307.55099999999999</v>
      </c>
      <c r="AI15" s="45">
        <v>307.55200000000002</v>
      </c>
      <c r="AJ15" s="45">
        <v>279.25</v>
      </c>
      <c r="AK15" s="45">
        <v>307.553</v>
      </c>
      <c r="AL15" s="45">
        <v>260.55099999999999</v>
      </c>
      <c r="AM15" s="45">
        <v>260.55200000000002</v>
      </c>
      <c r="AN15" s="45">
        <v>250.15</v>
      </c>
      <c r="AO15" s="45">
        <v>244.5</v>
      </c>
      <c r="AP15" s="45">
        <v>230.84</v>
      </c>
      <c r="AQ15" s="45">
        <v>223.74</v>
      </c>
      <c r="AR15" s="45">
        <v>218.9</v>
      </c>
      <c r="AS15" s="45">
        <v>213.91</v>
      </c>
      <c r="AT15" s="45">
        <v>197.58</v>
      </c>
      <c r="AU15" s="45">
        <v>190.5</v>
      </c>
      <c r="AV15" s="45">
        <v>184.822</v>
      </c>
      <c r="AW15" s="45">
        <v>184.821</v>
      </c>
      <c r="AX15" s="45">
        <v>173.16</v>
      </c>
      <c r="AY15" s="45">
        <v>164.40100000000001</v>
      </c>
      <c r="AZ15" s="45">
        <v>164.4</v>
      </c>
      <c r="BA15" s="45">
        <v>151.24</v>
      </c>
      <c r="BB15" s="45">
        <v>133.68</v>
      </c>
      <c r="BC15" s="45">
        <v>127.732</v>
      </c>
      <c r="BD15" s="45">
        <v>127.73099999999999</v>
      </c>
      <c r="BE15" s="45">
        <v>124.351</v>
      </c>
      <c r="BF15" s="45">
        <v>110.98</v>
      </c>
      <c r="BG15" s="45">
        <v>101.49</v>
      </c>
      <c r="BH15" s="45">
        <v>93.921999999999997</v>
      </c>
      <c r="BI15" s="45">
        <v>91.19</v>
      </c>
      <c r="BJ15" s="45">
        <v>82.1</v>
      </c>
      <c r="BK15" s="45">
        <v>74.471000000000004</v>
      </c>
      <c r="BL15" s="45">
        <v>60.09</v>
      </c>
      <c r="BM15" s="45">
        <v>52.101999999999997</v>
      </c>
      <c r="BN15" s="45">
        <v>34.619999999999997</v>
      </c>
      <c r="BO15" s="45">
        <v>4.78</v>
      </c>
      <c r="BP15" s="45">
        <v>508.71</v>
      </c>
      <c r="BQ15" s="45">
        <v>405.33</v>
      </c>
      <c r="BR15" s="45">
        <v>382.74</v>
      </c>
      <c r="BS15" s="45">
        <v>382.74099999999999</v>
      </c>
      <c r="BT15" s="45">
        <v>362.85</v>
      </c>
      <c r="BU15" s="45">
        <v>344.67</v>
      </c>
      <c r="BV15" s="45">
        <v>325.63</v>
      </c>
      <c r="BW15" s="45">
        <v>292.39999999999998</v>
      </c>
      <c r="BX15" s="45">
        <v>477.041</v>
      </c>
      <c r="BY15" s="45">
        <v>480.47</v>
      </c>
      <c r="BZ15" s="45">
        <v>455.6</v>
      </c>
      <c r="CA15" s="45">
        <v>408.5</v>
      </c>
      <c r="CB15" s="45">
        <v>397.72</v>
      </c>
      <c r="CC15" s="45">
        <v>358.19</v>
      </c>
      <c r="CD15" s="45">
        <v>236.66</v>
      </c>
      <c r="CE15" s="45">
        <v>246.2</v>
      </c>
      <c r="CF15" s="45">
        <v>257.5</v>
      </c>
      <c r="CG15" s="45">
        <v>271.55099999999999</v>
      </c>
      <c r="CH15" s="45">
        <v>281.86</v>
      </c>
      <c r="CI15" s="45">
        <v>467.65</v>
      </c>
      <c r="CJ15" s="45">
        <v>542.53</v>
      </c>
      <c r="CK15" s="45">
        <v>542.53099999999995</v>
      </c>
      <c r="CL15" s="45">
        <v>542.53300000000002</v>
      </c>
      <c r="CM15" s="45">
        <v>542.53099999999995</v>
      </c>
      <c r="CN15" s="45">
        <v>549.62</v>
      </c>
    </row>
    <row r="16" spans="1:92">
      <c r="A16" s="107"/>
      <c r="C16" s="43" t="s">
        <v>218</v>
      </c>
      <c r="D16" s="45">
        <v>481.59199999999998</v>
      </c>
      <c r="E16" s="45">
        <v>549.62099999999998</v>
      </c>
      <c r="F16" s="45">
        <v>0</v>
      </c>
      <c r="G16" s="45">
        <v>280.19200000000001</v>
      </c>
      <c r="H16" s="45">
        <v>87.311000000000007</v>
      </c>
      <c r="I16" s="45">
        <v>93.905000000000001</v>
      </c>
      <c r="J16" s="45">
        <v>93.903000000000006</v>
      </c>
      <c r="K16" s="45">
        <v>93.903999999999996</v>
      </c>
      <c r="L16" s="45">
        <v>103.241</v>
      </c>
      <c r="M16" s="45">
        <v>115.631</v>
      </c>
      <c r="N16" s="45">
        <v>93.903999999999996</v>
      </c>
      <c r="O16" s="45">
        <v>132.33099999999999</v>
      </c>
      <c r="P16" s="45">
        <v>144.791</v>
      </c>
      <c r="Q16" s="45">
        <v>148.56700000000001</v>
      </c>
      <c r="R16" s="45">
        <v>148.56200000000001</v>
      </c>
      <c r="S16" s="45">
        <v>148.565</v>
      </c>
      <c r="T16" s="45">
        <v>148.56700000000001</v>
      </c>
      <c r="U16" s="45">
        <v>150.99100000000001</v>
      </c>
      <c r="V16" s="45">
        <v>148.56299999999999</v>
      </c>
      <c r="W16" s="45">
        <v>148.566</v>
      </c>
      <c r="X16" s="45">
        <v>164.63200000000001</v>
      </c>
      <c r="Y16" s="45">
        <v>164.631</v>
      </c>
      <c r="Z16" s="45">
        <v>164.63399999999999</v>
      </c>
      <c r="AA16" s="45">
        <v>164.63300000000001</v>
      </c>
      <c r="AB16" s="45">
        <v>189.23099999999999</v>
      </c>
      <c r="AC16" s="45">
        <v>223.17099999999999</v>
      </c>
      <c r="AD16" s="45">
        <v>235.851</v>
      </c>
      <c r="AE16" s="45">
        <v>242.42099999999999</v>
      </c>
      <c r="AF16" s="45">
        <v>280.19099999999997</v>
      </c>
      <c r="AG16" s="45">
        <v>280.19200000000001</v>
      </c>
      <c r="AH16" s="45">
        <v>280.19200000000001</v>
      </c>
      <c r="AI16" s="45">
        <v>280.19299999999998</v>
      </c>
      <c r="AJ16" s="45">
        <v>270.37099999999998</v>
      </c>
      <c r="AK16" s="45">
        <v>280.19400000000002</v>
      </c>
      <c r="AL16" s="45">
        <v>289.072</v>
      </c>
      <c r="AM16" s="45">
        <v>289.07299999999998</v>
      </c>
      <c r="AN16" s="45">
        <v>299.471</v>
      </c>
      <c r="AO16" s="45">
        <v>305.12099999999998</v>
      </c>
      <c r="AP16" s="45">
        <v>318.78100000000001</v>
      </c>
      <c r="AQ16" s="45">
        <v>325.88099999999997</v>
      </c>
      <c r="AR16" s="45">
        <v>330.721</v>
      </c>
      <c r="AS16" s="45">
        <v>335.71100000000001</v>
      </c>
      <c r="AT16" s="45">
        <v>352.041</v>
      </c>
      <c r="AU16" s="45">
        <v>359.12099999999998</v>
      </c>
      <c r="AV16" s="45">
        <v>364.803</v>
      </c>
      <c r="AW16" s="45">
        <v>364.80200000000002</v>
      </c>
      <c r="AX16" s="45">
        <v>376.46100000000001</v>
      </c>
      <c r="AY16" s="45">
        <v>385.22199999999998</v>
      </c>
      <c r="AZ16" s="45">
        <v>385.221</v>
      </c>
      <c r="BA16" s="45">
        <v>398.38099999999997</v>
      </c>
      <c r="BB16" s="45">
        <v>415.94099999999997</v>
      </c>
      <c r="BC16" s="45">
        <v>421.89299999999997</v>
      </c>
      <c r="BD16" s="45">
        <v>421.892</v>
      </c>
      <c r="BE16" s="45">
        <v>425.27199999999999</v>
      </c>
      <c r="BF16" s="45">
        <v>438.64100000000002</v>
      </c>
      <c r="BG16" s="45">
        <v>448.13099999999997</v>
      </c>
      <c r="BH16" s="45">
        <v>455.70299999999997</v>
      </c>
      <c r="BI16" s="45">
        <v>458.43099999999998</v>
      </c>
      <c r="BJ16" s="45">
        <v>467.52100000000002</v>
      </c>
      <c r="BK16" s="45">
        <v>475.15199999999999</v>
      </c>
      <c r="BL16" s="45">
        <v>489.53100000000001</v>
      </c>
      <c r="BM16" s="45">
        <v>497.52300000000002</v>
      </c>
      <c r="BN16" s="45">
        <v>515.00099999999998</v>
      </c>
      <c r="BO16" s="45">
        <v>544.84100000000001</v>
      </c>
      <c r="BP16" s="45">
        <v>481.351</v>
      </c>
      <c r="BQ16" s="45">
        <v>377.971</v>
      </c>
      <c r="BR16" s="45">
        <v>355.38099999999997</v>
      </c>
      <c r="BS16" s="45">
        <v>355.38200000000001</v>
      </c>
      <c r="BT16" s="45">
        <v>335.49099999999999</v>
      </c>
      <c r="BU16" s="45">
        <v>317.31099999999998</v>
      </c>
      <c r="BV16" s="45">
        <v>298.27100000000002</v>
      </c>
      <c r="BW16" s="45">
        <v>265.041</v>
      </c>
      <c r="BX16" s="45">
        <v>449.68200000000002</v>
      </c>
      <c r="BY16" s="45">
        <v>493.791</v>
      </c>
      <c r="BZ16" s="45">
        <v>518.66099999999994</v>
      </c>
      <c r="CA16" s="45">
        <v>530.30100000000004</v>
      </c>
      <c r="CB16" s="45">
        <v>519.52099999999996</v>
      </c>
      <c r="CC16" s="45">
        <v>479.99099999999999</v>
      </c>
      <c r="CD16" s="45">
        <v>358.46100000000001</v>
      </c>
      <c r="CE16" s="45">
        <v>368.00099999999998</v>
      </c>
      <c r="CF16" s="45">
        <v>379.30099999999999</v>
      </c>
      <c r="CG16" s="45">
        <v>393.35199999999998</v>
      </c>
      <c r="CH16" s="45">
        <v>403.661</v>
      </c>
      <c r="CI16" s="45">
        <v>81.971000000000004</v>
      </c>
      <c r="CJ16" s="45">
        <v>7.0910000000000002</v>
      </c>
      <c r="CK16" s="45">
        <v>7.0919999999999996</v>
      </c>
      <c r="CL16" s="45">
        <v>7.0940000000000003</v>
      </c>
      <c r="CM16" s="45">
        <v>7.0919999999999996</v>
      </c>
      <c r="CN16" s="45">
        <v>9.9999999999989008E-4</v>
      </c>
    </row>
    <row r="17" spans="1:92">
      <c r="A17" s="107"/>
      <c r="C17" s="43" t="s">
        <v>219</v>
      </c>
      <c r="D17" s="45">
        <v>239.52199999999999</v>
      </c>
      <c r="E17" s="45">
        <v>307.55099999999999</v>
      </c>
      <c r="F17" s="45">
        <v>280.19200000000001</v>
      </c>
      <c r="G17" s="45">
        <v>0</v>
      </c>
      <c r="H17" s="45">
        <v>192.881</v>
      </c>
      <c r="I17" s="45">
        <v>186.29499999999999</v>
      </c>
      <c r="J17" s="45">
        <v>186.29300000000001</v>
      </c>
      <c r="K17" s="45">
        <v>186.29400000000001</v>
      </c>
      <c r="L17" s="45">
        <v>176.95099999999999</v>
      </c>
      <c r="M17" s="45">
        <v>164.56100000000001</v>
      </c>
      <c r="N17" s="45">
        <v>186.29400000000001</v>
      </c>
      <c r="O17" s="45">
        <v>147.86099999999999</v>
      </c>
      <c r="P17" s="45">
        <v>135.40100000000001</v>
      </c>
      <c r="Q17" s="45">
        <v>131.637</v>
      </c>
      <c r="R17" s="45">
        <v>131.63200000000001</v>
      </c>
      <c r="S17" s="45">
        <v>131.63499999999999</v>
      </c>
      <c r="T17" s="45">
        <v>131.637</v>
      </c>
      <c r="U17" s="45">
        <v>129.20099999999999</v>
      </c>
      <c r="V17" s="45">
        <v>131.63300000000001</v>
      </c>
      <c r="W17" s="45">
        <v>131.636</v>
      </c>
      <c r="X17" s="45">
        <v>115.562</v>
      </c>
      <c r="Y17" s="45">
        <v>115.56100000000001</v>
      </c>
      <c r="Z17" s="45">
        <v>115.56399999999999</v>
      </c>
      <c r="AA17" s="45">
        <v>115.563</v>
      </c>
      <c r="AB17" s="45">
        <v>90.960999999999999</v>
      </c>
      <c r="AC17" s="45">
        <v>57.021000000000001</v>
      </c>
      <c r="AD17" s="45">
        <v>44.341000000000001</v>
      </c>
      <c r="AE17" s="45">
        <v>37.771000000000001</v>
      </c>
      <c r="AF17" s="45">
        <v>9.9999999999989008E-4</v>
      </c>
      <c r="AG17" s="45">
        <v>1.9999999999997802E-3</v>
      </c>
      <c r="AH17" s="45">
        <v>1.9999999999997802E-3</v>
      </c>
      <c r="AI17" s="45">
        <v>2.99999999999967E-3</v>
      </c>
      <c r="AJ17" s="45">
        <v>28.300999999999998</v>
      </c>
      <c r="AK17" s="45">
        <v>3.9999999999995603E-3</v>
      </c>
      <c r="AL17" s="45">
        <v>47.002000000000002</v>
      </c>
      <c r="AM17" s="45">
        <v>47.003</v>
      </c>
      <c r="AN17" s="45">
        <v>57.401000000000003</v>
      </c>
      <c r="AO17" s="45">
        <v>63.051000000000002</v>
      </c>
      <c r="AP17" s="45">
        <v>76.710999999999999</v>
      </c>
      <c r="AQ17" s="45">
        <v>83.811000000000007</v>
      </c>
      <c r="AR17" s="45">
        <v>88.650999999999996</v>
      </c>
      <c r="AS17" s="45">
        <v>93.641000000000005</v>
      </c>
      <c r="AT17" s="45">
        <v>109.971</v>
      </c>
      <c r="AU17" s="45">
        <v>117.051</v>
      </c>
      <c r="AV17" s="45">
        <v>122.733</v>
      </c>
      <c r="AW17" s="45">
        <v>122.732</v>
      </c>
      <c r="AX17" s="45">
        <v>134.39099999999999</v>
      </c>
      <c r="AY17" s="45">
        <v>143.15199999999999</v>
      </c>
      <c r="AZ17" s="45">
        <v>143.15100000000001</v>
      </c>
      <c r="BA17" s="45">
        <v>156.31100000000001</v>
      </c>
      <c r="BB17" s="45">
        <v>173.87100000000001</v>
      </c>
      <c r="BC17" s="45">
        <v>179.82300000000001</v>
      </c>
      <c r="BD17" s="45">
        <v>179.822</v>
      </c>
      <c r="BE17" s="45">
        <v>183.202</v>
      </c>
      <c r="BF17" s="45">
        <v>196.571</v>
      </c>
      <c r="BG17" s="45">
        <v>206.06100000000001</v>
      </c>
      <c r="BH17" s="45">
        <v>213.63300000000001</v>
      </c>
      <c r="BI17" s="45">
        <v>216.36099999999999</v>
      </c>
      <c r="BJ17" s="45">
        <v>225.45099999999999</v>
      </c>
      <c r="BK17" s="45">
        <v>233.08199999999999</v>
      </c>
      <c r="BL17" s="45">
        <v>247.46100000000001</v>
      </c>
      <c r="BM17" s="45">
        <v>255.453</v>
      </c>
      <c r="BN17" s="45">
        <v>272.93099999999998</v>
      </c>
      <c r="BO17" s="45">
        <v>302.77100000000002</v>
      </c>
      <c r="BP17" s="45">
        <v>239.28100000000001</v>
      </c>
      <c r="BQ17" s="45">
        <v>135.90100000000001</v>
      </c>
      <c r="BR17" s="45">
        <v>113.31100000000001</v>
      </c>
      <c r="BS17" s="45">
        <v>113.312</v>
      </c>
      <c r="BT17" s="45">
        <v>93.421000000000006</v>
      </c>
      <c r="BU17" s="45">
        <v>75.241</v>
      </c>
      <c r="BV17" s="45">
        <v>56.201000000000001</v>
      </c>
      <c r="BW17" s="45">
        <v>22.971</v>
      </c>
      <c r="BX17" s="45">
        <v>207.61199999999999</v>
      </c>
      <c r="BY17" s="45">
        <v>251.721</v>
      </c>
      <c r="BZ17" s="45">
        <v>276.59100000000001</v>
      </c>
      <c r="CA17" s="45">
        <v>288.23099999999999</v>
      </c>
      <c r="CB17" s="45">
        <v>277.45100000000002</v>
      </c>
      <c r="CC17" s="45">
        <v>237.92099999999999</v>
      </c>
      <c r="CD17" s="45">
        <v>116.39100000000001</v>
      </c>
      <c r="CE17" s="45">
        <v>125.931</v>
      </c>
      <c r="CF17" s="45">
        <v>137.23099999999999</v>
      </c>
      <c r="CG17" s="45">
        <v>151.28200000000001</v>
      </c>
      <c r="CH17" s="45">
        <v>161.59100000000001</v>
      </c>
      <c r="CI17" s="45">
        <v>198.221</v>
      </c>
      <c r="CJ17" s="45">
        <v>273.101</v>
      </c>
      <c r="CK17" s="45">
        <v>273.10199999999998</v>
      </c>
      <c r="CL17" s="45">
        <v>273.10399999999998</v>
      </c>
      <c r="CM17" s="45">
        <v>273.10199999999998</v>
      </c>
      <c r="CN17" s="45">
        <v>280.19099999999997</v>
      </c>
    </row>
    <row r="18" spans="1:92">
      <c r="A18" s="107"/>
      <c r="C18" s="43" t="s">
        <v>26</v>
      </c>
      <c r="D18" s="45">
        <v>239.523</v>
      </c>
      <c r="E18" s="45">
        <v>307.55200000000002</v>
      </c>
      <c r="F18" s="45">
        <v>280.19299999999998</v>
      </c>
      <c r="G18" s="45">
        <v>9.9999999999989008E-4</v>
      </c>
      <c r="H18" s="45">
        <v>192.88200000000001</v>
      </c>
      <c r="I18" s="45">
        <v>186.29599999999999</v>
      </c>
      <c r="J18" s="45">
        <v>186.29400000000001</v>
      </c>
      <c r="K18" s="45">
        <v>186.29499999999999</v>
      </c>
      <c r="L18" s="45">
        <v>176.952</v>
      </c>
      <c r="M18" s="45">
        <v>164.56200000000001</v>
      </c>
      <c r="N18" s="45">
        <v>186.29499999999999</v>
      </c>
      <c r="O18" s="45">
        <v>147.86199999999999</v>
      </c>
      <c r="P18" s="45">
        <v>135.40199999999999</v>
      </c>
      <c r="Q18" s="45">
        <v>131.63800000000001</v>
      </c>
      <c r="R18" s="45">
        <v>131.63300000000001</v>
      </c>
      <c r="S18" s="45">
        <v>131.636</v>
      </c>
      <c r="T18" s="45">
        <v>131.63800000000001</v>
      </c>
      <c r="U18" s="45">
        <v>129.202</v>
      </c>
      <c r="V18" s="45">
        <v>131.63399999999999</v>
      </c>
      <c r="W18" s="45">
        <v>131.637</v>
      </c>
      <c r="X18" s="45">
        <v>115.563</v>
      </c>
      <c r="Y18" s="45">
        <v>115.562</v>
      </c>
      <c r="Z18" s="45">
        <v>115.565</v>
      </c>
      <c r="AA18" s="45">
        <v>115.56399999999999</v>
      </c>
      <c r="AB18" s="45">
        <v>90.962000000000003</v>
      </c>
      <c r="AC18" s="45">
        <v>57.021999999999998</v>
      </c>
      <c r="AD18" s="45">
        <v>44.341999999999999</v>
      </c>
      <c r="AE18" s="45">
        <v>37.771999999999998</v>
      </c>
      <c r="AF18" s="45">
        <v>1.9999999999997802E-3</v>
      </c>
      <c r="AG18" s="45">
        <v>2.99999999999967E-3</v>
      </c>
      <c r="AH18" s="45">
        <v>2.99999999999967E-3</v>
      </c>
      <c r="AI18" s="45">
        <v>3.9999999999995603E-3</v>
      </c>
      <c r="AJ18" s="45">
        <v>28.302</v>
      </c>
      <c r="AK18" s="45">
        <v>4.9999999999994502E-3</v>
      </c>
      <c r="AL18" s="45">
        <v>47.003</v>
      </c>
      <c r="AM18" s="45">
        <v>47.003999999999998</v>
      </c>
      <c r="AN18" s="45">
        <v>57.402000000000001</v>
      </c>
      <c r="AO18" s="45">
        <v>63.052</v>
      </c>
      <c r="AP18" s="45">
        <v>76.712000000000003</v>
      </c>
      <c r="AQ18" s="45">
        <v>83.811999999999998</v>
      </c>
      <c r="AR18" s="45">
        <v>88.652000000000001</v>
      </c>
      <c r="AS18" s="45">
        <v>93.641999999999996</v>
      </c>
      <c r="AT18" s="45">
        <v>109.97199999999999</v>
      </c>
      <c r="AU18" s="45">
        <v>117.05200000000001</v>
      </c>
      <c r="AV18" s="45">
        <v>122.73399999999999</v>
      </c>
      <c r="AW18" s="45">
        <v>122.733</v>
      </c>
      <c r="AX18" s="45">
        <v>134.392</v>
      </c>
      <c r="AY18" s="45">
        <v>143.15299999999999</v>
      </c>
      <c r="AZ18" s="45">
        <v>143.15199999999999</v>
      </c>
      <c r="BA18" s="45">
        <v>156.31200000000001</v>
      </c>
      <c r="BB18" s="45">
        <v>173.87200000000001</v>
      </c>
      <c r="BC18" s="45">
        <v>179.82400000000001</v>
      </c>
      <c r="BD18" s="45">
        <v>179.82300000000001</v>
      </c>
      <c r="BE18" s="45">
        <v>183.203</v>
      </c>
      <c r="BF18" s="45">
        <v>196.572</v>
      </c>
      <c r="BG18" s="45">
        <v>206.06200000000001</v>
      </c>
      <c r="BH18" s="45">
        <v>213.63399999999999</v>
      </c>
      <c r="BI18" s="45">
        <v>216.36199999999999</v>
      </c>
      <c r="BJ18" s="45">
        <v>225.452</v>
      </c>
      <c r="BK18" s="45">
        <v>233.083</v>
      </c>
      <c r="BL18" s="45">
        <v>247.46199999999999</v>
      </c>
      <c r="BM18" s="45">
        <v>255.45400000000001</v>
      </c>
      <c r="BN18" s="45">
        <v>272.93200000000002</v>
      </c>
      <c r="BO18" s="45">
        <v>302.77199999999999</v>
      </c>
      <c r="BP18" s="45">
        <v>239.28200000000001</v>
      </c>
      <c r="BQ18" s="45">
        <v>135.90199999999999</v>
      </c>
      <c r="BR18" s="45">
        <v>113.312</v>
      </c>
      <c r="BS18" s="45">
        <v>113.313</v>
      </c>
      <c r="BT18" s="45">
        <v>93.421999999999997</v>
      </c>
      <c r="BU18" s="45">
        <v>75.242000000000004</v>
      </c>
      <c r="BV18" s="45">
        <v>56.201999999999998</v>
      </c>
      <c r="BW18" s="45">
        <v>22.972000000000001</v>
      </c>
      <c r="BX18" s="45">
        <v>207.613</v>
      </c>
      <c r="BY18" s="45">
        <v>251.72200000000001</v>
      </c>
      <c r="BZ18" s="45">
        <v>276.59199999999998</v>
      </c>
      <c r="CA18" s="45">
        <v>288.23200000000003</v>
      </c>
      <c r="CB18" s="45">
        <v>277.452</v>
      </c>
      <c r="CC18" s="45">
        <v>237.922</v>
      </c>
      <c r="CD18" s="45">
        <v>116.392</v>
      </c>
      <c r="CE18" s="45">
        <v>125.932</v>
      </c>
      <c r="CF18" s="45">
        <v>137.232</v>
      </c>
      <c r="CG18" s="45">
        <v>151.28299999999999</v>
      </c>
      <c r="CH18" s="45">
        <v>161.59200000000001</v>
      </c>
      <c r="CI18" s="45">
        <v>198.22200000000001</v>
      </c>
      <c r="CJ18" s="45">
        <v>273.10199999999998</v>
      </c>
      <c r="CK18" s="45">
        <v>273.10300000000001</v>
      </c>
      <c r="CL18" s="45">
        <v>273.10500000000002</v>
      </c>
      <c r="CM18" s="45">
        <v>273.10300000000001</v>
      </c>
      <c r="CN18" s="45">
        <v>280.19200000000001</v>
      </c>
    </row>
    <row r="19" spans="1:92"/>
    <row r="20" spans="1:92"/>
    <row r="21" spans="1:92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1" tint="0.499984740745262"/>
  </sheetPr>
  <dimension ref="B2:N23"/>
  <sheetViews>
    <sheetView showGridLines="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35.7109375" style="1" customWidth="1"/>
    <col min="3" max="3" width="27.5703125" style="1" customWidth="1"/>
    <col min="4" max="7" width="11.7109375" style="1" customWidth="1"/>
    <col min="8" max="8" width="8.85546875" style="1"/>
    <col min="9" max="9" width="12" style="1" bestFit="1" customWidth="1"/>
    <col min="10" max="16384" width="8.85546875" style="1"/>
  </cols>
  <sheetData>
    <row r="2" spans="2:12" ht="28.9" customHeight="1">
      <c r="B2" s="31" t="s">
        <v>222</v>
      </c>
      <c r="C2" s="4"/>
      <c r="D2" s="4"/>
      <c r="E2" s="4"/>
      <c r="F2" s="4"/>
      <c r="G2" s="4"/>
    </row>
    <row r="3" spans="2:12" ht="14.45" customHeight="1">
      <c r="B3" s="35" t="s">
        <v>234</v>
      </c>
    </row>
    <row r="4" spans="2:12" ht="14.45" customHeight="1">
      <c r="B4" s="8" t="s">
        <v>2</v>
      </c>
      <c r="C4" s="8" t="s">
        <v>215</v>
      </c>
      <c r="D4" s="5"/>
      <c r="E4" s="5"/>
      <c r="F4" s="5"/>
      <c r="G4" s="5"/>
    </row>
    <row r="5" spans="2:12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12" ht="14.45" customHeight="1">
      <c r="B6" s="23"/>
      <c r="C6" s="23"/>
      <c r="D6" s="7"/>
      <c r="E6" s="7"/>
      <c r="F6" s="7"/>
      <c r="G6" s="7"/>
    </row>
    <row r="7" spans="2:12" ht="14.45" customHeight="1">
      <c r="B7" s="34" t="s">
        <v>0</v>
      </c>
      <c r="C7" s="3" t="s">
        <v>217</v>
      </c>
      <c r="D7" s="36">
        <f>(SUMPRODUCT('Input data'!D$20:D$24,'Input data'!D115:D119)+'Input data'!D$40*'Input data'!D118+'Input data'!D$41*'Input data'!D119)*'Input data'!D258/SUM('Input data'!D258:D259)</f>
        <v>30931240.224923894</v>
      </c>
      <c r="E7" s="36">
        <f>(SUMPRODUCT('Input data'!E$20:E$24,'Input data'!E115:E119)+'Input data'!E$40*'Input data'!E118+'Input data'!E$41*'Input data'!E119)*'Input data'!E258/SUM('Input data'!E258:E259)</f>
        <v>32002254.47123478</v>
      </c>
      <c r="F7" s="36">
        <f>(SUMPRODUCT('Input data'!F$20:F$24,'Input data'!F115:F119)+'Input data'!F$40*'Input data'!F118+'Input data'!F$41*'Input data'!F119)*'Input data'!F258/SUM('Input data'!F258:F259)</f>
        <v>18392748.289478596</v>
      </c>
      <c r="G7" s="36">
        <f>(SUMPRODUCT('Input data'!G$20:G$24,'Input data'!G115:G119)+'Input data'!G$40*'Input data'!G118+'Input data'!G$41*'Input data'!G119)*'Input data'!G258/SUM('Input data'!G258:G259)</f>
        <v>18476205.994802892</v>
      </c>
      <c r="I7"/>
      <c r="J7"/>
      <c r="K7"/>
      <c r="L7"/>
    </row>
    <row r="8" spans="2:12" ht="14.45" customHeight="1">
      <c r="B8" s="34" t="s">
        <v>216</v>
      </c>
      <c r="C8" s="3" t="s">
        <v>217</v>
      </c>
      <c r="D8" s="36">
        <f>(SUMPRODUCT('Input data'!D$20:D$24,'Input data'!D115:D119)+'Input data'!D$40*'Input data'!D118+'Input data'!D$41*'Input data'!D119)*'Input data'!D259/SUM('Input data'!D258:D259)</f>
        <v>2308301.5093226787</v>
      </c>
      <c r="E8" s="36">
        <f>(SUMPRODUCT('Input data'!E$20:E$24,'Input data'!E115:E119)+'Input data'!E$40*'Input data'!E118+'Input data'!E$41*'Input data'!E119)*'Input data'!E259/SUM('Input data'!E258:E259)</f>
        <v>2388227.9456145358</v>
      </c>
      <c r="F8" s="36">
        <f>(SUMPRODUCT('Input data'!F$20:F$24,'Input data'!F115:F119)+'Input data'!F$40*'Input data'!F118+'Input data'!F$41*'Input data'!F119)*'Input data'!F259/SUM('Input data'!F258:F259)</f>
        <v>1372593.1559312386</v>
      </c>
      <c r="G8" s="36">
        <f>(SUMPRODUCT('Input data'!G$20:G$24,'Input data'!G115:G119)+'Input data'!G$40*'Input data'!G118+'Input data'!G$41*'Input data'!G119)*'Input data'!G259/SUM('Input data'!G258:G259)</f>
        <v>1378821.3428957383</v>
      </c>
    </row>
    <row r="9" spans="2:12" ht="14.45" customHeight="1">
      <c r="B9" s="34" t="s">
        <v>218</v>
      </c>
      <c r="C9" s="3" t="s">
        <v>14</v>
      </c>
      <c r="D9" s="36">
        <f>SUMPRODUCT('Input data'!D$25:D$29,'Input data'!D120:D124)+'Input data'!D$42*'Input data'!D124</f>
        <v>200000000</v>
      </c>
      <c r="E9" s="36">
        <f>SUMPRODUCT('Input data'!E$25:E$29,'Input data'!E120:E124)+'Input data'!E$42*'Input data'!E124</f>
        <v>200000000</v>
      </c>
      <c r="F9" s="36">
        <f>SUMPRODUCT('Input data'!F$25:F$29,'Input data'!F120:F124)+'Input data'!F$42*'Input data'!F124</f>
        <v>182415826.68795082</v>
      </c>
      <c r="G9" s="36">
        <f>SUMPRODUCT('Input data'!G$25:G$29,'Input data'!G120:G124)+'Input data'!G$42*'Input data'!G124</f>
        <v>182763409.64134246</v>
      </c>
    </row>
    <row r="10" spans="2:12" ht="14.45" customHeight="1">
      <c r="B10" s="34" t="s">
        <v>219</v>
      </c>
      <c r="C10" s="3" t="s">
        <v>15</v>
      </c>
      <c r="D10" s="36">
        <f>SUMPRODUCT('Input data'!D$30:D$31,'Input data'!D125:D126)+'Input data'!D$43*'Input data'!D126</f>
        <v>8990275.9128767122</v>
      </c>
      <c r="E10" s="36">
        <f>SUMPRODUCT('Input data'!E$30:E$31,'Input data'!E125:E126)+'Input data'!E$43*'Input data'!E126</f>
        <v>7435783.7183561651</v>
      </c>
      <c r="F10" s="36">
        <f>SUMPRODUCT('Input data'!F$30:F$31,'Input data'!F125:F126)+'Input data'!F$43*'Input data'!F126</f>
        <v>7061251.0740085999</v>
      </c>
      <c r="G10" s="36">
        <f>SUMPRODUCT('Input data'!G$30:G$31,'Input data'!G125:G126)+'Input data'!G$43*'Input data'!G126</f>
        <v>7951906.2221917808</v>
      </c>
      <c r="I10"/>
      <c r="J10"/>
      <c r="K10"/>
      <c r="L10"/>
    </row>
    <row r="11" spans="2:12" ht="14.45" customHeight="1">
      <c r="B11" s="34" t="s">
        <v>26</v>
      </c>
      <c r="C11" s="3" t="s">
        <v>220</v>
      </c>
      <c r="D11" s="36">
        <f>'Input data'!D32</f>
        <v>1</v>
      </c>
      <c r="E11" s="36">
        <f>'Input data'!E32</f>
        <v>1</v>
      </c>
      <c r="F11" s="36">
        <f>'Input data'!F32</f>
        <v>1</v>
      </c>
      <c r="G11" s="36">
        <f>'Input data'!G32</f>
        <v>1</v>
      </c>
      <c r="I11"/>
      <c r="J11"/>
      <c r="K11"/>
      <c r="L11"/>
    </row>
    <row r="14" spans="2:12" ht="28.9" customHeight="1">
      <c r="B14" s="31" t="s">
        <v>263</v>
      </c>
      <c r="C14" s="4"/>
      <c r="D14" s="4"/>
      <c r="E14" s="4"/>
      <c r="F14" s="4"/>
      <c r="G14" s="4"/>
    </row>
    <row r="15" spans="2:12" ht="14.45" customHeight="1">
      <c r="B15" s="35" t="s">
        <v>264</v>
      </c>
    </row>
    <row r="16" spans="2:12" ht="14.45" customHeight="1">
      <c r="B16" s="8" t="s">
        <v>2</v>
      </c>
      <c r="C16" s="8" t="s">
        <v>215</v>
      </c>
      <c r="D16" s="5"/>
      <c r="E16" s="5"/>
      <c r="F16" s="5"/>
      <c r="G16" s="5"/>
    </row>
    <row r="17" spans="2:14" ht="14.45" customHeight="1">
      <c r="B17" s="24"/>
      <c r="C17" s="24"/>
      <c r="D17" s="22" t="str">
        <f>'Input data'!D$5</f>
        <v>2023-24</v>
      </c>
      <c r="E17" s="22" t="str">
        <f>'Input data'!E$5</f>
        <v>2024-25</v>
      </c>
      <c r="F17" s="22" t="str">
        <f>'Input data'!F$5</f>
        <v>2025-26</v>
      </c>
      <c r="G17" s="22" t="str">
        <f>'Input data'!G$5</f>
        <v>2026-27</v>
      </c>
    </row>
    <row r="18" spans="2:14" ht="14.45" customHeight="1">
      <c r="B18" s="23"/>
      <c r="C18" s="23"/>
      <c r="D18" s="7"/>
      <c r="E18" s="7"/>
      <c r="F18" s="7"/>
      <c r="G18" s="7"/>
      <c r="J18"/>
      <c r="K18"/>
      <c r="L18"/>
      <c r="M18"/>
      <c r="N18"/>
    </row>
    <row r="19" spans="2:14" ht="14.45" customHeight="1">
      <c r="B19" s="34" t="s">
        <v>0</v>
      </c>
      <c r="C19" s="3" t="s">
        <v>217</v>
      </c>
      <c r="D19" s="51">
        <f>SUMPRODUCT('A4b.CWD Exit Av. Distance'!$D7:$D95,'Distance Matrix_Exit'!C$191:C$279)/SUMIFS('A4b.CWD Exit Av. Distance'!$D$7:$D$95,'Distance Matrix_Exit'!C$191:C$279,"&gt;0")</f>
        <v>336.93618268481231</v>
      </c>
      <c r="E19" s="51">
        <f>SUMPRODUCT('A4b.CWD Exit Av. Distance'!$E7:$E95,'Distance Matrix_Exit'!C$191:C$279)/SUMIFS('A4b.CWD Exit Av. Distance'!$E$7:$E$95,'Distance Matrix_Exit'!C$191:C$279,"&gt;0")</f>
        <v>343.00369207992873</v>
      </c>
      <c r="F19" s="51">
        <f>SUMPRODUCT('A4b.CWD Exit Av. Distance'!$F7:$F95,'Distance Matrix_Exit'!C$191:C$279)/SUMIFS('A4b.CWD Exit Av. Distance'!$F$7:$F$95,'Distance Matrix_Exit'!C$191:C$279,"&gt;0")</f>
        <v>348.11161043332982</v>
      </c>
      <c r="G19" s="51">
        <f>SUMPRODUCT('A4b.CWD Exit Av. Distance'!$G7:$G95,'Distance Matrix_Exit'!C$191:C$279)/SUMIFS('A4b.CWD Exit Av. Distance'!$G$7:$G$95,'Distance Matrix_Exit'!C$191:C$279,"&gt;0")</f>
        <v>339.38886701980317</v>
      </c>
      <c r="J19"/>
      <c r="K19"/>
      <c r="L19"/>
      <c r="M19"/>
      <c r="N19"/>
    </row>
    <row r="20" spans="2:14" ht="14.45" customHeight="1">
      <c r="B20" s="34" t="s">
        <v>216</v>
      </c>
      <c r="C20" s="3" t="s">
        <v>217</v>
      </c>
      <c r="D20" s="51">
        <f>SUMPRODUCT('A4b.CWD Exit Av. Distance'!$D7:$D95,'Distance Matrix_Exit'!D$191:D$279)/SUMIFS('A4b.CWD Exit Av. Distance'!$D$7:$D$95,'Distance Matrix_Exit'!D$191:D$279,"&gt;0")</f>
        <v>317.04278397350726</v>
      </c>
      <c r="E20" s="51">
        <f>SUMPRODUCT('A4b.CWD Exit Av. Distance'!$E7:$E95,'Distance Matrix_Exit'!D$191:D$279)/SUMIFS('A4b.CWD Exit Av. Distance'!$E$7:$E$95,'Distance Matrix_Exit'!D$191:D$279,"&gt;0")</f>
        <v>328.09913328640084</v>
      </c>
      <c r="F20" s="51">
        <f>SUMPRODUCT('A4b.CWD Exit Av. Distance'!$F7:$F95,'Distance Matrix_Exit'!D$191:D$279)/SUMIFS('A4b.CWD Exit Av. Distance'!$F$7:$F$95,'Distance Matrix_Exit'!D$191:D$279,"&gt;0")</f>
        <v>340.08444927963336</v>
      </c>
      <c r="G20" s="51">
        <f>SUMPRODUCT('A4b.CWD Exit Av. Distance'!$G7:$G95,'Distance Matrix_Exit'!D$191:D$279)/SUMIFS('A4b.CWD Exit Av. Distance'!$G$7:$G$95,'Distance Matrix_Exit'!D$191:D$279,"&gt;0")</f>
        <v>318.57538991530527</v>
      </c>
    </row>
    <row r="21" spans="2:14" ht="14.45" customHeight="1">
      <c r="B21" s="34" t="s">
        <v>218</v>
      </c>
      <c r="C21" s="3" t="s">
        <v>14</v>
      </c>
      <c r="D21" s="51">
        <f>SUMPRODUCT('A4b.CWD Exit Av. Distance'!$D7:$D95,'Distance Matrix_Exit'!E$191:E$279)/SUMIFS('A4b.CWD Exit Av. Distance'!$D$7:$D$95,'Distance Matrix_Exit'!E$191:E$279,"&gt;0")</f>
        <v>302.46740381130962</v>
      </c>
      <c r="E21" s="51">
        <f>SUMPRODUCT('A4b.CWD Exit Av. Distance'!$E7:$E95,'Distance Matrix_Exit'!E$191:E$279)/SUMIFS('A4b.CWD Exit Av. Distance'!$E$7:$E$95,'Distance Matrix_Exit'!E$191:E$279,"&gt;0")</f>
        <v>318.61212678739832</v>
      </c>
      <c r="F21" s="51">
        <f>SUMPRODUCT('A4b.CWD Exit Av. Distance'!$F7:$F95,'Distance Matrix_Exit'!E$191:E$279)/SUMIFS('A4b.CWD Exit Av. Distance'!$F$7:$F$95,'Distance Matrix_Exit'!E$191:E$279,"&gt;0")</f>
        <v>335.12881055246402</v>
      </c>
      <c r="G21" s="51">
        <f>SUMPRODUCT('A4b.CWD Exit Av. Distance'!$G7:$G95,'Distance Matrix_Exit'!E$191:E$279)/SUMIFS('A4b.CWD Exit Av. Distance'!$G$7:$G$95,'Distance Matrix_Exit'!E$191:E$279,"&gt;0")</f>
        <v>304.88218358604041</v>
      </c>
    </row>
    <row r="22" spans="2:14" ht="14.45" customHeight="1">
      <c r="B22" s="34" t="s">
        <v>219</v>
      </c>
      <c r="C22" s="3" t="s">
        <v>15</v>
      </c>
      <c r="D22" s="51">
        <f>SUMPRODUCT('A4b.CWD Exit Av. Distance'!$D7:$D95,'Distance Matrix_Exit'!F$191:F$279)/SUMIFS('A4b.CWD Exit Av. Distance'!$D$7:$D$95,'Distance Matrix_Exit'!F$191:F$279,"&gt;0")</f>
        <v>161.31350312647035</v>
      </c>
      <c r="E22" s="51">
        <f>SUMPRODUCT('A4b.CWD Exit Av. Distance'!$E7:$E95,'Distance Matrix_Exit'!F$191:F$279)/SUMIFS('A4b.CWD Exit Av. Distance'!$E$7:$E$95,'Distance Matrix_Exit'!F$191:F$279,"&gt;0")</f>
        <v>169.34199982130426</v>
      </c>
      <c r="F22" s="51">
        <f>SUMPRODUCT('A4b.CWD Exit Av. Distance'!$F7:$F95,'Distance Matrix_Exit'!F$191:F$279)/SUMIFS('A4b.CWD Exit Av. Distance'!$F$7:$F$95,'Distance Matrix_Exit'!F$191:F$279,"&gt;0")</f>
        <v>177.77704484562042</v>
      </c>
      <c r="G22" s="51">
        <f>SUMPRODUCT('A4b.CWD Exit Av. Distance'!$G7:$G95,'Distance Matrix_Exit'!F$191:F$279)/SUMIFS('A4b.CWD Exit Av. Distance'!$G$7:$G$95,'Distance Matrix_Exit'!F$191:F$279,"&gt;0")</f>
        <v>162.3257806721368</v>
      </c>
    </row>
    <row r="23" spans="2:14" ht="14.45" customHeight="1">
      <c r="B23" s="34" t="s">
        <v>26</v>
      </c>
      <c r="C23" s="3" t="s">
        <v>220</v>
      </c>
      <c r="D23" s="51">
        <f>SUMPRODUCT('A4b.CWD Exit Av. Distance'!$D7:$D95,'Distance Matrix_Exit'!G$191:G$279)/SUMIFS('A4b.CWD Exit Av. Distance'!$D$7:$D$95,'Distance Matrix_Exit'!G$191:G$279,"&gt;0")</f>
        <v>155.86341028378308</v>
      </c>
      <c r="E23" s="51">
        <f>SUMPRODUCT('A4b.CWD Exit Av. Distance'!$E7:$E95,'Distance Matrix_Exit'!G$191:G$279)/SUMIFS('A4b.CWD Exit Av. Distance'!$E$7:$E$95,'Distance Matrix_Exit'!G$191:G$279,"&gt;0")</f>
        <v>166.12023564453773</v>
      </c>
      <c r="F23" s="51">
        <f>SUMPRODUCT('A4b.CWD Exit Av. Distance'!$F7:$F95,'Distance Matrix_Exit'!G$191:G$279)/SUMIFS('A4b.CWD Exit Av. Distance'!$F$7:$F$95,'Distance Matrix_Exit'!G$191:G$279,"&gt;0")</f>
        <v>174.11571196000352</v>
      </c>
      <c r="G23" s="51">
        <f>SUMPRODUCT('A4b.CWD Exit Av. Distance'!$G7:$G95,'Distance Matrix_Exit'!G$191:G$279)/SUMIFS('A4b.CWD Exit Av. Distance'!$G$7:$G$95,'Distance Matrix_Exit'!G$191:G$279,"&gt;0")</f>
        <v>159.76664656726641</v>
      </c>
    </row>
  </sheetData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1" tint="0.499984740745262"/>
  </sheetPr>
  <dimension ref="A2:J191"/>
  <sheetViews>
    <sheetView showGridLines="0" workbookViewId="0">
      <selection activeCell="F8" sqref="F8"/>
    </sheetView>
  </sheetViews>
  <sheetFormatPr defaultRowHeight="14.45" customHeight="1"/>
  <cols>
    <col min="1" max="1" width="8.85546875" style="1"/>
    <col min="2" max="2" width="35.7109375" style="1" customWidth="1"/>
    <col min="3" max="3" width="27.5703125" style="1" customWidth="1"/>
    <col min="4" max="7" width="11.7109375" style="1" customWidth="1"/>
    <col min="8" max="10" width="8.85546875" style="1"/>
  </cols>
  <sheetData>
    <row r="2" spans="2:9" ht="28.9" customHeight="1">
      <c r="B2" s="31" t="s">
        <v>223</v>
      </c>
      <c r="C2" s="4"/>
      <c r="D2" s="4"/>
      <c r="E2" s="4"/>
      <c r="F2" s="4"/>
      <c r="G2" s="4"/>
    </row>
    <row r="3" spans="2:9" ht="14.45" customHeight="1">
      <c r="B3" s="35" t="s">
        <v>234</v>
      </c>
    </row>
    <row r="4" spans="2:9" ht="14.45" customHeight="1">
      <c r="B4" s="8" t="s">
        <v>1</v>
      </c>
      <c r="C4" s="8" t="s">
        <v>215</v>
      </c>
      <c r="D4" s="5"/>
      <c r="E4" s="5"/>
      <c r="F4" s="5"/>
      <c r="G4" s="5"/>
    </row>
    <row r="5" spans="2:9" ht="14.45" customHeight="1">
      <c r="B5" s="24"/>
      <c r="C5" s="24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</row>
    <row r="6" spans="2:9" ht="14.45" customHeight="1">
      <c r="B6" s="23"/>
      <c r="C6" s="23"/>
      <c r="D6" s="7"/>
      <c r="E6" s="7"/>
      <c r="F6" s="7"/>
      <c r="G6" s="7"/>
    </row>
    <row r="7" spans="2:9" ht="14.45" customHeight="1">
      <c r="B7" s="34" t="s">
        <v>0</v>
      </c>
      <c r="C7" s="3" t="s">
        <v>217</v>
      </c>
      <c r="D7" s="36">
        <f>(SUMPRODUCT('Input data'!D$65:D$69,'Input data'!D133:D137)+'Input data'!D$91*'Input data'!D136+'Input data'!D$92*'Input data'!D137)*'Input data'!D260/SUM('Input data'!D260:D261)</f>
        <v>16318269.820479449</v>
      </c>
      <c r="E7" s="36">
        <f>(SUMPRODUCT('Input data'!E$65:E$69,'Input data'!E133:E137)+'Input data'!E$91*'Input data'!E136+'Input data'!E$92*'Input data'!E137)*'Input data'!E260/SUM('Input data'!E260:E261)</f>
        <v>36565153.017457187</v>
      </c>
      <c r="F7" s="36">
        <f>(SUMPRODUCT('Input data'!F$65:F$69,'Input data'!F133:F137)+'Input data'!F$91*'Input data'!F136+'Input data'!F$92*'Input data'!F137)*'Input data'!F260/SUM('Input data'!F260:F261)</f>
        <v>53723308.416250005</v>
      </c>
      <c r="G7" s="36">
        <f>(SUMPRODUCT('Input data'!G$65:G$69,'Input data'!G133:G137)+'Input data'!G$91*'Input data'!G136+'Input data'!G$92*'Input data'!G137)*'Input data'!G260/SUM('Input data'!G260:G261)</f>
        <v>19405165.553125001</v>
      </c>
      <c r="I7"/>
    </row>
    <row r="8" spans="2:9" ht="14.45" customHeight="1">
      <c r="B8" s="34" t="s">
        <v>216</v>
      </c>
      <c r="C8" s="3" t="s">
        <v>217</v>
      </c>
      <c r="D8" s="36">
        <f>(SUMPRODUCT('Input data'!D$65:D$69,'Input data'!D133:D137)+'Input data'!D$91*'Input data'!D136+'Input data'!D$92*'Input data'!D137)*'Input data'!D261/SUM('Input data'!D260:D261)</f>
        <v>7417395.3729452044</v>
      </c>
      <c r="E8" s="36">
        <f>(SUMPRODUCT('Input data'!E$65:E$69,'Input data'!E133:E137)+'Input data'!E$91*'Input data'!E136+'Input data'!E$92*'Input data'!E137)*'Input data'!E261/SUM('Input data'!E260:E261)</f>
        <v>16620524.098844176</v>
      </c>
      <c r="F8" s="36">
        <f>(SUMPRODUCT('Input data'!F$65:F$69,'Input data'!F133:F137)+'Input data'!F$91*'Input data'!F136+'Input data'!F$92*'Input data'!F137)*'Input data'!F261/SUM('Input data'!F260:F261)</f>
        <v>24419685.643750001</v>
      </c>
      <c r="G8" s="36">
        <f>(SUMPRODUCT('Input data'!G$65:G$69,'Input data'!G133:G137)+'Input data'!G$91*'Input data'!G136+'Input data'!G$92*'Input data'!G137)*'Input data'!G261/SUM('Input data'!G260:G261)</f>
        <v>8820529.796875</v>
      </c>
      <c r="I8"/>
    </row>
    <row r="9" spans="2:9" ht="14.45" customHeight="1">
      <c r="B9" s="34" t="s">
        <v>218</v>
      </c>
      <c r="C9" s="3" t="s">
        <v>14</v>
      </c>
      <c r="D9" s="36">
        <f>SUMPRODUCT('Input data'!D$70:D$74,'Input data'!D138:D142)+'Input data'!D$93*'Input data'!D141+'Input data'!D$94*'Input data'!D142</f>
        <v>2</v>
      </c>
      <c r="E9" s="36">
        <f>SUMPRODUCT('Input data'!E$70:E$74,'Input data'!E138:E142)+'Input data'!E$93*'Input data'!E141+'Input data'!E$94*'Input data'!E142</f>
        <v>1.94</v>
      </c>
      <c r="F9" s="36">
        <f>SUMPRODUCT('Input data'!F$70:F$74,'Input data'!F138:F142)+'Input data'!F$93*'Input data'!F141+'Input data'!F$94*'Input data'!F142</f>
        <v>1.94</v>
      </c>
      <c r="G9" s="36">
        <f>SUMPRODUCT('Input data'!G$70:G$74,'Input data'!G138:G142)+'Input data'!G$93*'Input data'!G141+'Input data'!G$94*'Input data'!G142</f>
        <v>1.94</v>
      </c>
      <c r="I9"/>
    </row>
    <row r="10" spans="2:9" ht="14.45" customHeight="1">
      <c r="B10" s="34" t="s">
        <v>219</v>
      </c>
      <c r="C10" s="3" t="s">
        <v>15</v>
      </c>
      <c r="D10" s="36">
        <f>SUMPRODUCT('Input data'!D$75:D$76,'Input data'!D143:D144)+'Input data'!D$95*'Input data'!D144</f>
        <v>11893399.989315068</v>
      </c>
      <c r="E10" s="36">
        <f>SUMPRODUCT('Input data'!E$75:E$76,'Input data'!E143:E144)+'Input data'!E$95*'Input data'!E144</f>
        <v>7121971.8712328775</v>
      </c>
      <c r="F10" s="36">
        <f>SUMPRODUCT('Input data'!F$75:F$76,'Input data'!F143:F144)+'Input data'!F$95*'Input data'!F144</f>
        <v>7345604.5458560269</v>
      </c>
      <c r="G10" s="36">
        <f>SUMPRODUCT('Input data'!G$75:G$76,'Input data'!G143:G144)+'Input data'!G$95*'Input data'!G144</f>
        <v>5706229.4995389394</v>
      </c>
      <c r="I10"/>
    </row>
    <row r="11" spans="2:9" ht="14.45" customHeight="1">
      <c r="B11" s="34" t="s">
        <v>55</v>
      </c>
      <c r="C11" s="3" t="s">
        <v>221</v>
      </c>
      <c r="D11" s="36">
        <f>(SUM('Input data'!D$77:D$78)+SUMPRODUCT('Input data'!D$79:D$83,'Input data'!D$145:D$149))*'Input data'!D267</f>
        <v>778231.03827960521</v>
      </c>
      <c r="E11" s="36">
        <f>(SUM('Input data'!E$77:E$78)+SUMPRODUCT('Input data'!E$79:E$83,'Input data'!E$145:E$149))*'Input data'!E267</f>
        <v>772301.12642537442</v>
      </c>
      <c r="F11" s="36">
        <f>(SUM('Input data'!F$77:F$78)+SUMPRODUCT('Input data'!F$79:F$83,'Input data'!F$145:F$149))*'Input data'!F267</f>
        <v>666910.5112026704</v>
      </c>
      <c r="G11" s="36">
        <f>(SUM('Input data'!G$77:G$78)+SUMPRODUCT('Input data'!G$79:G$83,'Input data'!G$145:G$149))*'Input data'!G267</f>
        <v>806625.95540888084</v>
      </c>
      <c r="I11"/>
    </row>
    <row r="12" spans="2:9" ht="14.45" customHeight="1">
      <c r="B12" s="34" t="s">
        <v>57</v>
      </c>
      <c r="C12" s="3" t="s">
        <v>221</v>
      </c>
      <c r="D12" s="36">
        <f>(SUM('Input data'!D$77:D$78)+SUMPRODUCT('Input data'!D$79:D$83,'Input data'!D$145:D$149))*'Input data'!D268</f>
        <v>2721441.4963189051</v>
      </c>
      <c r="E12" s="36">
        <f>(SUM('Input data'!E$77:E$78)+SUMPRODUCT('Input data'!E$79:E$83,'Input data'!E$145:E$149))*'Input data'!E268</f>
        <v>2700704.8417833927</v>
      </c>
      <c r="F12" s="36">
        <f>(SUM('Input data'!F$77:F$78)+SUMPRODUCT('Input data'!F$79:F$83,'Input data'!F$145:F$149))*'Input data'!F268</f>
        <v>2332158.2540969248</v>
      </c>
      <c r="G12" s="36">
        <f>(SUM('Input data'!G$77:G$78)+SUMPRODUCT('Input data'!G$79:G$83,'Input data'!G$145:G$149))*'Input data'!G268</f>
        <v>2820737.3377324976</v>
      </c>
      <c r="I12"/>
    </row>
    <row r="13" spans="2:9" ht="14.45" customHeight="1">
      <c r="B13" s="34" t="s">
        <v>59</v>
      </c>
      <c r="C13" s="3" t="s">
        <v>221</v>
      </c>
      <c r="D13" s="36">
        <f>(SUM('Input data'!D$77:D$78)+SUMPRODUCT('Input data'!D$79:D$83,'Input data'!D$145:D$149))*'Input data'!D269</f>
        <v>937349.00434786058</v>
      </c>
      <c r="E13" s="36">
        <f>(SUM('Input data'!E$77:E$78)+SUMPRODUCT('Input data'!E$79:E$83,'Input data'!E$145:E$149))*'Input data'!E269</f>
        <v>930206.65625452122</v>
      </c>
      <c r="F13" s="36">
        <f>(SUM('Input data'!F$77:F$78)+SUMPRODUCT('Input data'!F$79:F$83,'Input data'!F$145:F$149))*'Input data'!F269</f>
        <v>803267.76100691583</v>
      </c>
      <c r="G13" s="36">
        <f>(SUM('Input data'!G$77:G$78)+SUMPRODUCT('Input data'!G$79:G$83,'Input data'!G$145:G$149))*'Input data'!G269</f>
        <v>971549.57717325829</v>
      </c>
      <c r="I13"/>
    </row>
    <row r="14" spans="2:9" ht="14.45" customHeight="1">
      <c r="B14" s="34" t="s">
        <v>61</v>
      </c>
      <c r="C14" s="3" t="s">
        <v>221</v>
      </c>
      <c r="D14" s="36">
        <f>(SUM('Input data'!D$77:D$78)+SUMPRODUCT('Input data'!D$79:D$83,'Input data'!D$145:D$149))*'Input data'!D270</f>
        <v>1551124.3972204293</v>
      </c>
      <c r="E14" s="36">
        <f>(SUM('Input data'!E$77:E$78)+SUMPRODUCT('Input data'!E$79:E$83,'Input data'!E$145:E$149))*'Input data'!E270</f>
        <v>1539305.245197403</v>
      </c>
      <c r="F14" s="36">
        <f>(SUM('Input data'!F$77:F$78)+SUMPRODUCT('Input data'!F$79:F$83,'Input data'!F$145:F$149))*'Input data'!F270</f>
        <v>1329246.8609014102</v>
      </c>
      <c r="G14" s="36">
        <f>(SUM('Input data'!G$77:G$78)+SUMPRODUCT('Input data'!G$79:G$83,'Input data'!G$145:G$149))*'Input data'!G270</f>
        <v>1607719.4783079652</v>
      </c>
      <c r="I14"/>
    </row>
    <row r="15" spans="2:9" ht="14.45" customHeight="1">
      <c r="B15" s="34" t="s">
        <v>62</v>
      </c>
      <c r="C15" s="3" t="s">
        <v>221</v>
      </c>
      <c r="D15" s="36">
        <f>(SUM('Input data'!D$77:D$78)+SUMPRODUCT('Input data'!D$79:D$83,'Input data'!D$145:D$149))*'Input data'!D271</f>
        <v>402361.86818631936</v>
      </c>
      <c r="E15" s="36">
        <f>(SUM('Input data'!E$77:E$78)+SUMPRODUCT('Input data'!E$79:E$83,'Input data'!E$145:E$149))*'Input data'!E271</f>
        <v>399295.97863104916</v>
      </c>
      <c r="F15" s="36">
        <f>(SUM('Input data'!F$77:F$78)+SUMPRODUCT('Input data'!F$79:F$83,'Input data'!F$145:F$149))*'Input data'!F271</f>
        <v>344806.80672130937</v>
      </c>
      <c r="G15" s="36">
        <f>(SUM('Input data'!G$77:G$78)+SUMPRODUCT('Input data'!G$79:G$83,'Input data'!G$145:G$149))*'Input data'!G271</f>
        <v>417042.6395012078</v>
      </c>
      <c r="I15"/>
    </row>
    <row r="16" spans="2:9" ht="14.45" customHeight="1">
      <c r="B16" s="34" t="s">
        <v>64</v>
      </c>
      <c r="C16" s="3" t="s">
        <v>221</v>
      </c>
      <c r="D16" s="36">
        <f>(SUM('Input data'!D$77:D$78)+SUMPRODUCT('Input data'!D$79:D$83,'Input data'!D$145:D$149))*'Input data'!D272</f>
        <v>880886.04402429983</v>
      </c>
      <c r="E16" s="36">
        <f>(SUM('Input data'!E$77:E$78)+SUMPRODUCT('Input data'!E$79:E$83,'Input data'!E$145:E$149))*'Input data'!E272</f>
        <v>874173.92854991101</v>
      </c>
      <c r="F16" s="36">
        <f>(SUM('Input data'!F$77:F$78)+SUMPRODUCT('Input data'!F$79:F$83,'Input data'!F$145:F$149))*'Input data'!F272</f>
        <v>754881.43370667647</v>
      </c>
      <c r="G16" s="36">
        <f>(SUM('Input data'!G$77:G$78)+SUMPRODUCT('Input data'!G$79:G$83,'Input data'!G$145:G$149))*'Input data'!G272</f>
        <v>913026.48174790898</v>
      </c>
      <c r="I16"/>
    </row>
    <row r="17" spans="2:9" ht="14.45" customHeight="1">
      <c r="B17" s="34" t="s">
        <v>66</v>
      </c>
      <c r="C17" s="3" t="s">
        <v>221</v>
      </c>
      <c r="D17" s="36">
        <f>(SUM('Input data'!D$77:D$78)+SUMPRODUCT('Input data'!D$79:D$83,'Input data'!D$145:D$149))*'Input data'!D273</f>
        <v>2025042.8064868895</v>
      </c>
      <c r="E17" s="36">
        <f>(SUM('Input data'!E$77:E$78)+SUMPRODUCT('Input data'!E$79:E$83,'Input data'!E$145:E$149))*'Input data'!E273</f>
        <v>2009612.5232511326</v>
      </c>
      <c r="F17" s="36">
        <f>(SUM('Input data'!F$77:F$78)+SUMPRODUCT('Input data'!F$79:F$83,'Input data'!F$145:F$149))*'Input data'!F273</f>
        <v>1735374.5441289404</v>
      </c>
      <c r="G17" s="36">
        <f>(SUM('Input data'!G$77:G$78)+SUMPRODUCT('Input data'!G$79:G$83,'Input data'!G$145:G$149))*'Input data'!G273</f>
        <v>2098929.5057382393</v>
      </c>
      <c r="I17"/>
    </row>
    <row r="18" spans="2:9" ht="14.45" customHeight="1">
      <c r="B18" s="34" t="s">
        <v>68</v>
      </c>
      <c r="C18" s="3" t="s">
        <v>221</v>
      </c>
      <c r="D18" s="36">
        <f>(SUM('Input data'!D$77:D$78)+SUMPRODUCT('Input data'!D$79:D$83,'Input data'!D$145:D$149))*'Input data'!D274</f>
        <v>2396530.6110709882</v>
      </c>
      <c r="E18" s="36">
        <f>(SUM('Input data'!E$77:E$78)+SUMPRODUCT('Input data'!E$79:E$83,'Input data'!E$145:E$149))*'Input data'!E274</f>
        <v>2378269.6903667292</v>
      </c>
      <c r="F18" s="36">
        <f>(SUM('Input data'!F$77:F$78)+SUMPRODUCT('Input data'!F$79:F$83,'Input data'!F$145:F$149))*'Input data'!F274</f>
        <v>2053723.6069065251</v>
      </c>
      <c r="G18" s="36">
        <f>(SUM('Input data'!G$77:G$78)+SUMPRODUCT('Input data'!G$79:G$83,'Input data'!G$145:G$149))*'Input data'!G274</f>
        <v>2483971.5954983965</v>
      </c>
      <c r="I18"/>
    </row>
    <row r="19" spans="2:9" ht="14.45" customHeight="1">
      <c r="B19" s="34" t="s">
        <v>70</v>
      </c>
      <c r="C19" s="3" t="s">
        <v>221</v>
      </c>
      <c r="D19" s="36">
        <f>(SUM('Input data'!D$77:D$78)+SUMPRODUCT('Input data'!D$79:D$83,'Input data'!D$145:D$149))*'Input data'!D275</f>
        <v>1709426.9524517185</v>
      </c>
      <c r="E19" s="36">
        <f>(SUM('Input data'!E$77:E$78)+SUMPRODUCT('Input data'!E$79:E$83,'Input data'!E$145:E$149))*'Input data'!E275</f>
        <v>1696401.5774015356</v>
      </c>
      <c r="F19" s="36">
        <f>(SUM('Input data'!F$77:F$78)+SUMPRODUCT('Input data'!F$79:F$83,'Input data'!F$145:F$149))*'Input data'!F275</f>
        <v>1464905.3387068885</v>
      </c>
      <c r="G19" s="36">
        <f>(SUM('Input data'!G$77:G$78)+SUMPRODUCT('Input data'!G$79:G$83,'Input data'!G$145:G$149))*'Input data'!G275</f>
        <v>1771797.9377579836</v>
      </c>
      <c r="I19"/>
    </row>
    <row r="20" spans="2:9" ht="14.45" customHeight="1">
      <c r="B20" s="34" t="s">
        <v>72</v>
      </c>
      <c r="C20" s="3" t="s">
        <v>221</v>
      </c>
      <c r="D20" s="36">
        <f>(SUM('Input data'!D$77:D$78)+SUMPRODUCT('Input data'!D$79:D$83,'Input data'!D$145:D$149))*'Input data'!D276</f>
        <v>12643653.782261247</v>
      </c>
      <c r="E20" s="36">
        <f>(SUM('Input data'!E$77:E$78)+SUMPRODUCT('Input data'!E$79:E$83,'Input data'!E$145:E$149))*'Input data'!E276</f>
        <v>12547312.530426873</v>
      </c>
      <c r="F20" s="36">
        <f>(SUM('Input data'!F$77:F$78)+SUMPRODUCT('Input data'!F$79:F$83,'Input data'!F$145:F$149))*'Input data'!F276</f>
        <v>10835067.213507725</v>
      </c>
      <c r="G20" s="36">
        <f>(SUM('Input data'!G$77:G$78)+SUMPRODUCT('Input data'!G$79:G$83,'Input data'!G$145:G$149))*'Input data'!G276</f>
        <v>13104976.299225125</v>
      </c>
      <c r="I20"/>
    </row>
    <row r="21" spans="2:9" ht="14.45" customHeight="1">
      <c r="B21" s="34" t="s">
        <v>74</v>
      </c>
      <c r="C21" s="3" t="s">
        <v>221</v>
      </c>
      <c r="D21" s="36">
        <f>(SUM('Input data'!D$77:D$78)+SUMPRODUCT('Input data'!D$79:D$83,'Input data'!D$145:D$149))*'Input data'!D277</f>
        <v>0</v>
      </c>
      <c r="E21" s="36">
        <f>(SUM('Input data'!E$77:E$78)+SUMPRODUCT('Input data'!E$79:E$83,'Input data'!E$145:E$149))*'Input data'!E277</f>
        <v>0</v>
      </c>
      <c r="F21" s="36">
        <f>(SUM('Input data'!F$77:F$78)+SUMPRODUCT('Input data'!F$79:F$83,'Input data'!F$145:F$149))*'Input data'!F277</f>
        <v>0</v>
      </c>
      <c r="G21" s="36">
        <f>(SUM('Input data'!G$77:G$78)+SUMPRODUCT('Input data'!G$79:G$83,'Input data'!G$145:G$149))*'Input data'!G277</f>
        <v>0</v>
      </c>
      <c r="I21"/>
    </row>
    <row r="22" spans="2:9" ht="14.45" customHeight="1">
      <c r="B22" s="34" t="s">
        <v>76</v>
      </c>
      <c r="C22" s="3" t="s">
        <v>221</v>
      </c>
      <c r="D22" s="36">
        <f>(SUM('Input data'!D$77:D$78)+SUMPRODUCT('Input data'!D$79:D$83,'Input data'!D$145:D$149))*'Input data'!D278</f>
        <v>672717.85446917627</v>
      </c>
      <c r="E22" s="36">
        <f>(SUM('Input data'!E$77:E$78)+SUMPRODUCT('Input data'!E$79:E$83,'Input data'!E$145:E$149))*'Input data'!E278</f>
        <v>667591.92478563637</v>
      </c>
      <c r="F22" s="36">
        <f>(SUM('Input data'!F$77:F$78)+SUMPRODUCT('Input data'!F$79:F$83,'Input data'!F$145:F$149))*'Input data'!F278</f>
        <v>576490.25308858522</v>
      </c>
      <c r="G22" s="36">
        <f>(SUM('Input data'!G$77:G$78)+SUMPRODUCT('Input data'!G$79:G$83,'Input data'!G$145:G$149))*'Input data'!G278</f>
        <v>697262.96612555999</v>
      </c>
      <c r="I22"/>
    </row>
    <row r="23" spans="2:9" ht="14.45" customHeight="1">
      <c r="B23" s="34" t="s">
        <v>78</v>
      </c>
      <c r="C23" s="3" t="s">
        <v>221</v>
      </c>
      <c r="D23" s="36">
        <f>(SUM('Input data'!D$77:D$78)+SUMPRODUCT('Input data'!D$79:D$83,'Input data'!D$145:D$149))*'Input data'!D279</f>
        <v>2756026.0053936564</v>
      </c>
      <c r="E23" s="36">
        <f>(SUM('Input data'!E$77:E$78)+SUMPRODUCT('Input data'!E$79:E$83,'Input data'!E$145:E$149))*'Input data'!E279</f>
        <v>2735025.8261717111</v>
      </c>
      <c r="F23" s="36">
        <f>(SUM('Input data'!F$77:F$78)+SUMPRODUCT('Input data'!F$79:F$83,'Input data'!F$145:F$149))*'Input data'!F279</f>
        <v>2361795.6901438399</v>
      </c>
      <c r="G23" s="36">
        <f>(SUM('Input data'!G$77:G$78)+SUMPRODUCT('Input data'!G$79:G$83,'Input data'!G$145:G$149))*'Input data'!G279</f>
        <v>2856583.7140688081</v>
      </c>
      <c r="I23"/>
    </row>
    <row r="24" spans="2:9" ht="14.45" customHeight="1">
      <c r="B24" s="34" t="s">
        <v>80</v>
      </c>
      <c r="C24" s="3" t="s">
        <v>221</v>
      </c>
      <c r="D24" s="36">
        <f>(SUM('Input data'!D$77:D$78)+SUMPRODUCT('Input data'!D$79:D$83,'Input data'!D$145:D$149))*'Input data'!D280</f>
        <v>1690923.9759036149</v>
      </c>
      <c r="E24" s="36">
        <f>(SUM('Input data'!E$77:E$78)+SUMPRODUCT('Input data'!E$79:E$83,'Input data'!E$145:E$149))*'Input data'!E280</f>
        <v>1678039.5885737543</v>
      </c>
      <c r="F24" s="36">
        <f>(SUM('Input data'!F$77:F$78)+SUMPRODUCT('Input data'!F$79:F$83,'Input data'!F$145:F$149))*'Input data'!F280</f>
        <v>1449049.0840196612</v>
      </c>
      <c r="G24" s="36">
        <f>(SUM('Input data'!G$77:G$78)+SUMPRODUCT('Input data'!G$79:G$83,'Input data'!G$145:G$149))*'Input data'!G280</f>
        <v>1752619.8525854673</v>
      </c>
      <c r="I24"/>
    </row>
    <row r="25" spans="2:9" ht="14.45" customHeight="1">
      <c r="B25" s="34" t="s">
        <v>82</v>
      </c>
      <c r="C25" s="3" t="s">
        <v>221</v>
      </c>
      <c r="D25" s="36">
        <f>(SUM('Input data'!D$77:D$78)+SUMPRODUCT('Input data'!D$79:D$83,'Input data'!D$145:D$149))*'Input data'!D281</f>
        <v>38955917.439126588</v>
      </c>
      <c r="E25" s="36">
        <f>(SUM('Input data'!E$77:E$78)+SUMPRODUCT('Input data'!E$79:E$83,'Input data'!E$145:E$149))*'Input data'!E281</f>
        <v>38659083.793008611</v>
      </c>
      <c r="F25" s="36">
        <f>(SUM('Input data'!F$77:F$78)+SUMPRODUCT('Input data'!F$79:F$83,'Input data'!F$145:F$149))*'Input data'!F281</f>
        <v>33383544.906060047</v>
      </c>
      <c r="G25" s="36">
        <f>(SUM('Input data'!G$77:G$78)+SUMPRODUCT('Input data'!G$79:G$83,'Input data'!G$145:G$149))*'Input data'!G281</f>
        <v>40377282.03777355</v>
      </c>
      <c r="I25"/>
    </row>
    <row r="26" spans="2:9" ht="14.45" customHeight="1">
      <c r="B26" s="34" t="s">
        <v>83</v>
      </c>
      <c r="C26" s="3" t="s">
        <v>221</v>
      </c>
      <c r="D26" s="36">
        <f>(SUM('Input data'!D$77:D$78)+SUMPRODUCT('Input data'!D$79:D$83,'Input data'!D$145:D$149))*'Input data'!D282</f>
        <v>659810.22708433529</v>
      </c>
      <c r="E26" s="36">
        <f>(SUM('Input data'!E$77:E$78)+SUMPRODUCT('Input data'!E$79:E$83,'Input data'!E$145:E$149))*'Input data'!E282</f>
        <v>654782.65006070549</v>
      </c>
      <c r="F26" s="36">
        <f>(SUM('Input data'!F$77:F$78)+SUMPRODUCT('Input data'!F$79:F$83,'Input data'!F$145:F$149))*'Input data'!F282</f>
        <v>565428.97185689898</v>
      </c>
      <c r="G26" s="36">
        <f>(SUM('Input data'!G$77:G$78)+SUMPRODUCT('Input data'!G$79:G$83,'Input data'!G$145:G$149))*'Input data'!G282</f>
        <v>683884.38475417753</v>
      </c>
      <c r="I26"/>
    </row>
    <row r="27" spans="2:9" ht="14.45" customHeight="1">
      <c r="B27" s="34" t="s">
        <v>84</v>
      </c>
      <c r="C27" s="3" t="s">
        <v>221</v>
      </c>
      <c r="D27" s="36">
        <f>(SUM('Input data'!D$77:D$78)+SUMPRODUCT('Input data'!D$79:D$83,'Input data'!D$145:D$149))*'Input data'!D283</f>
        <v>475141.19935757492</v>
      </c>
      <c r="E27" s="36">
        <f>(SUM('Input data'!E$77:E$78)+SUMPRODUCT('Input data'!E$79:E$83,'Input data'!E$145:E$149))*'Input data'!E283</f>
        <v>471520.75081220135</v>
      </c>
      <c r="F27" s="36">
        <f>(SUM('Input data'!F$77:F$78)+SUMPRODUCT('Input data'!F$79:F$83,'Input data'!F$145:F$149))*'Input data'!F283</f>
        <v>407175.56171688158</v>
      </c>
      <c r="G27" s="36">
        <f>(SUM('Input data'!G$77:G$78)+SUMPRODUCT('Input data'!G$79:G$83,'Input data'!G$145:G$149))*'Input data'!G283</f>
        <v>492477.43283688737</v>
      </c>
      <c r="I27"/>
    </row>
    <row r="28" spans="2:9" ht="14.45" customHeight="1">
      <c r="B28" s="34" t="s">
        <v>86</v>
      </c>
      <c r="C28" s="3" t="s">
        <v>221</v>
      </c>
      <c r="D28" s="36">
        <f>(SUM('Input data'!D$77:D$78)+SUMPRODUCT('Input data'!D$79:D$83,'Input data'!D$145:D$149))*'Input data'!D284</f>
        <v>46458.19551831967</v>
      </c>
      <c r="E28" s="36">
        <f>(SUM('Input data'!E$77:E$78)+SUMPRODUCT('Input data'!E$79:E$83,'Input data'!E$145:E$149))*'Input data'!E284</f>
        <v>46104.19652473124</v>
      </c>
      <c r="F28" s="36">
        <f>(SUM('Input data'!F$77:F$78)+SUMPRODUCT('Input data'!F$79:F$83,'Input data'!F$145:F$149))*'Input data'!F284</f>
        <v>39812.6743841645</v>
      </c>
      <c r="G28" s="36">
        <f>(SUM('Input data'!G$77:G$78)+SUMPRODUCT('Input data'!G$79:G$83,'Input data'!G$145:G$149))*'Input data'!G284</f>
        <v>48153.291893085967</v>
      </c>
      <c r="I28"/>
    </row>
    <row r="29" spans="2:9" ht="14.45" customHeight="1">
      <c r="B29" s="34" t="s">
        <v>88</v>
      </c>
      <c r="C29" s="3" t="s">
        <v>221</v>
      </c>
      <c r="D29" s="36">
        <f>(SUM('Input data'!D$77:D$78)+SUMPRODUCT('Input data'!D$79:D$83,'Input data'!D$145:D$149))*'Input data'!D285</f>
        <v>0</v>
      </c>
      <c r="E29" s="36">
        <f>(SUM('Input data'!E$77:E$78)+SUMPRODUCT('Input data'!E$79:E$83,'Input data'!E$145:E$149))*'Input data'!E285</f>
        <v>0</v>
      </c>
      <c r="F29" s="36">
        <f>(SUM('Input data'!F$77:F$78)+SUMPRODUCT('Input data'!F$79:F$83,'Input data'!F$145:F$149))*'Input data'!F285</f>
        <v>0</v>
      </c>
      <c r="G29" s="36">
        <f>(SUM('Input data'!G$77:G$78)+SUMPRODUCT('Input data'!G$79:G$83,'Input data'!G$145:G$149))*'Input data'!G285</f>
        <v>0</v>
      </c>
      <c r="I29"/>
    </row>
    <row r="30" spans="2:9" ht="14.45" customHeight="1">
      <c r="B30" s="34" t="s">
        <v>90</v>
      </c>
      <c r="C30" s="3" t="s">
        <v>221</v>
      </c>
      <c r="D30" s="36">
        <f>(SUM('Input data'!D$77:D$78)+SUMPRODUCT('Input data'!D$79:D$83,'Input data'!D$145:D$149))*'Input data'!D286</f>
        <v>1530398.6107307556</v>
      </c>
      <c r="E30" s="36">
        <f>(SUM('Input data'!E$77:E$78)+SUMPRODUCT('Input data'!E$79:E$83,'Input data'!E$145:E$149))*'Input data'!E286</f>
        <v>1518737.3836438321</v>
      </c>
      <c r="F30" s="36">
        <f>(SUM('Input data'!F$77:F$78)+SUMPRODUCT('Input data'!F$79:F$83,'Input data'!F$145:F$149))*'Input data'!F286</f>
        <v>1311485.7537455433</v>
      </c>
      <c r="G30" s="36">
        <f>(SUM('Input data'!G$77:G$78)+SUMPRODUCT('Input data'!G$79:G$83,'Input data'!G$145:G$149))*'Input data'!G286</f>
        <v>1586237.4806665054</v>
      </c>
      <c r="I30"/>
    </row>
    <row r="31" spans="2:9" ht="14.45" customHeight="1">
      <c r="B31" s="34" t="s">
        <v>91</v>
      </c>
      <c r="C31" s="3" t="s">
        <v>221</v>
      </c>
      <c r="D31" s="36">
        <f>(SUM('Input data'!D$77:D$78)+SUMPRODUCT('Input data'!D$79:D$83,'Input data'!D$145:D$149))*'Input data'!D287</f>
        <v>868322.19384832378</v>
      </c>
      <c r="E31" s="36">
        <f>(SUM('Input data'!E$77:E$78)+SUMPRODUCT('Input data'!E$79:E$83,'Input data'!E$145:E$149))*'Input data'!E287</f>
        <v>861705.8115436862</v>
      </c>
      <c r="F31" s="36">
        <f>(SUM('Input data'!F$77:F$78)+SUMPRODUCT('Input data'!F$79:F$83,'Input data'!F$145:F$149))*'Input data'!F287</f>
        <v>744114.75474967051</v>
      </c>
      <c r="G31" s="36">
        <f>(SUM('Input data'!G$77:G$78)+SUMPRODUCT('Input data'!G$79:G$83,'Input data'!G$145:G$149))*'Input data'!G287</f>
        <v>900004.22080826038</v>
      </c>
      <c r="I31"/>
    </row>
    <row r="32" spans="2:9" ht="14.45" customHeight="1">
      <c r="B32" s="34" t="s">
        <v>93</v>
      </c>
      <c r="C32" s="3" t="s">
        <v>221</v>
      </c>
      <c r="D32" s="36">
        <f>(SUM('Input data'!D$77:D$78)+SUMPRODUCT('Input data'!D$79:D$83,'Input data'!D$145:D$149))*'Input data'!D288</f>
        <v>1575749.4783324753</v>
      </c>
      <c r="E32" s="36">
        <f>(SUM('Input data'!E$77:E$78)+SUMPRODUCT('Input data'!E$79:E$83,'Input data'!E$145:E$149))*'Input data'!E288</f>
        <v>1563742.6897937937</v>
      </c>
      <c r="F32" s="36">
        <f>(SUM('Input data'!F$77:F$78)+SUMPRODUCT('Input data'!F$79:F$83,'Input data'!F$145:F$149))*'Input data'!F288</f>
        <v>1350349.4957553819</v>
      </c>
      <c r="G32" s="36">
        <f>(SUM('Input data'!G$77:G$78)+SUMPRODUCT('Input data'!G$79:G$83,'Input data'!G$145:G$149))*'Input data'!G288</f>
        <v>1633243.0421366913</v>
      </c>
      <c r="I32"/>
    </row>
    <row r="33" spans="2:9" ht="14.45" customHeight="1">
      <c r="B33" s="34" t="s">
        <v>95</v>
      </c>
      <c r="C33" s="3" t="s">
        <v>221</v>
      </c>
      <c r="D33" s="36">
        <f>(SUM('Input data'!D$77:D$78)+SUMPRODUCT('Input data'!D$79:D$83,'Input data'!D$145:D$149))*'Input data'!D289</f>
        <v>1602787.5231932716</v>
      </c>
      <c r="E33" s="36">
        <f>(SUM('Input data'!E$77:E$78)+SUMPRODUCT('Input data'!E$79:E$83,'Input data'!E$145:E$149))*'Input data'!E289</f>
        <v>1590574.7120021272</v>
      </c>
      <c r="F33" s="36">
        <f>(SUM('Input data'!F$77:F$78)+SUMPRODUCT('Input data'!F$79:F$83,'Input data'!F$145:F$149))*'Input data'!F289</f>
        <v>1373519.9367081057</v>
      </c>
      <c r="G33" s="36">
        <f>(SUM('Input data'!G$77:G$78)+SUMPRODUCT('Input data'!G$79:G$83,'Input data'!G$145:G$149))*'Input data'!G289</f>
        <v>1661267.6102860696</v>
      </c>
      <c r="I33"/>
    </row>
    <row r="34" spans="2:9" ht="14.45" customHeight="1">
      <c r="B34" s="34" t="s">
        <v>97</v>
      </c>
      <c r="C34" s="3" t="s">
        <v>221</v>
      </c>
      <c r="D34" s="36">
        <f>(SUM('Input data'!D$77:D$78)+SUMPRODUCT('Input data'!D$79:D$83,'Input data'!D$145:D$149))*'Input data'!D290</f>
        <v>4113892.1632950576</v>
      </c>
      <c r="E34" s="36">
        <f>(SUM('Input data'!E$77:E$78)+SUMPRODUCT('Input data'!E$79:E$83,'Input data'!E$145:E$149))*'Input data'!E290</f>
        <v>4082545.4080177564</v>
      </c>
      <c r="F34" s="36">
        <f>(SUM('Input data'!F$77:F$78)+SUMPRODUCT('Input data'!F$79:F$83,'Input data'!F$145:F$149))*'Input data'!F290</f>
        <v>3525428.5561790178</v>
      </c>
      <c r="G34" s="36">
        <f>(SUM('Input data'!G$77:G$78)+SUMPRODUCT('Input data'!G$79:G$83,'Input data'!G$145:G$149))*'Input data'!G290</f>
        <v>4263993.6387049481</v>
      </c>
      <c r="I34"/>
    </row>
    <row r="35" spans="2:9" ht="14.45" customHeight="1">
      <c r="B35" s="34" t="s">
        <v>99</v>
      </c>
      <c r="C35" s="3" t="s">
        <v>221</v>
      </c>
      <c r="D35" s="36">
        <f>(SUM('Input data'!D$77:D$78)+SUMPRODUCT('Input data'!D$79:D$83,'Input data'!D$145:D$149))*'Input data'!D291</f>
        <v>0</v>
      </c>
      <c r="E35" s="36">
        <f>(SUM('Input data'!E$77:E$78)+SUMPRODUCT('Input data'!E$79:E$83,'Input data'!E$145:E$149))*'Input data'!E291</f>
        <v>0</v>
      </c>
      <c r="F35" s="36">
        <f>(SUM('Input data'!F$77:F$78)+SUMPRODUCT('Input data'!F$79:F$83,'Input data'!F$145:F$149))*'Input data'!F291</f>
        <v>0</v>
      </c>
      <c r="G35" s="36">
        <f>(SUM('Input data'!G$77:G$78)+SUMPRODUCT('Input data'!G$79:G$83,'Input data'!G$145:G$149))*'Input data'!G291</f>
        <v>0</v>
      </c>
      <c r="I35"/>
    </row>
    <row r="36" spans="2:9" ht="14.45" customHeight="1">
      <c r="B36" s="34" t="s">
        <v>101</v>
      </c>
      <c r="C36" s="3" t="s">
        <v>221</v>
      </c>
      <c r="D36" s="36">
        <f>(SUM('Input data'!D$77:D$78)+SUMPRODUCT('Input data'!D$79:D$83,'Input data'!D$145:D$149))*'Input data'!D292</f>
        <v>9147753.9905232135</v>
      </c>
      <c r="E36" s="36">
        <f>(SUM('Input data'!E$77:E$78)+SUMPRODUCT('Input data'!E$79:E$83,'Input data'!E$145:E$149))*'Input data'!E292</f>
        <v>9078050.557789525</v>
      </c>
      <c r="F36" s="36">
        <f>(SUM('Input data'!F$77:F$78)+SUMPRODUCT('Input data'!F$79:F$83,'Input data'!F$145:F$149))*'Input data'!F292</f>
        <v>7839231.5264920266</v>
      </c>
      <c r="G36" s="36">
        <f>(SUM('Input data'!G$77:G$78)+SUMPRODUCT('Input data'!G$79:G$83,'Input data'!G$145:G$149))*'Input data'!G292</f>
        <v>9481523.4030798264</v>
      </c>
      <c r="I36"/>
    </row>
    <row r="37" spans="2:9" ht="14.45" customHeight="1">
      <c r="B37" s="34" t="s">
        <v>103</v>
      </c>
      <c r="C37" s="3" t="s">
        <v>221</v>
      </c>
      <c r="D37" s="36">
        <f>(SUM('Input data'!D$77:D$78)+SUMPRODUCT('Input data'!D$79:D$83,'Input data'!D$145:D$149))*'Input data'!D293</f>
        <v>0</v>
      </c>
      <c r="E37" s="36">
        <f>(SUM('Input data'!E$77:E$78)+SUMPRODUCT('Input data'!E$79:E$83,'Input data'!E$145:E$149))*'Input data'!E293</f>
        <v>0</v>
      </c>
      <c r="F37" s="36">
        <f>(SUM('Input data'!F$77:F$78)+SUMPRODUCT('Input data'!F$79:F$83,'Input data'!F$145:F$149))*'Input data'!F293</f>
        <v>0</v>
      </c>
      <c r="G37" s="36">
        <f>(SUM('Input data'!G$77:G$78)+SUMPRODUCT('Input data'!G$79:G$83,'Input data'!G$145:G$149))*'Input data'!G293</f>
        <v>0</v>
      </c>
      <c r="I37"/>
    </row>
    <row r="38" spans="2:9" ht="14.45" customHeight="1">
      <c r="B38" s="34" t="s">
        <v>104</v>
      </c>
      <c r="C38" s="3" t="s">
        <v>221</v>
      </c>
      <c r="D38" s="36">
        <f>(SUM('Input data'!D$77:D$78)+SUMPRODUCT('Input data'!D$79:D$83,'Input data'!D$145:D$149))*'Input data'!D294</f>
        <v>33600536.835732296</v>
      </c>
      <c r="E38" s="36">
        <f>(SUM('Input data'!E$77:E$78)+SUMPRODUCT('Input data'!E$79:E$83,'Input data'!E$145:E$149))*'Input data'!E294</f>
        <v>33344509.75394024</v>
      </c>
      <c r="F38" s="36">
        <f>(SUM('Input data'!F$77:F$78)+SUMPRODUCT('Input data'!F$79:F$83,'Input data'!F$145:F$149))*'Input data'!F294</f>
        <v>28794214.18007151</v>
      </c>
      <c r="G38" s="36">
        <f>(SUM('Input data'!G$77:G$78)+SUMPRODUCT('Input data'!G$79:G$83,'Input data'!G$145:G$149))*'Input data'!G294</f>
        <v>34826502.406392306</v>
      </c>
      <c r="I38"/>
    </row>
    <row r="39" spans="2:9" ht="14.45" customHeight="1">
      <c r="B39" s="34" t="s">
        <v>106</v>
      </c>
      <c r="C39" s="3" t="s">
        <v>221</v>
      </c>
      <c r="D39" s="36">
        <f>(SUM('Input data'!D$77:D$78)+SUMPRODUCT('Input data'!D$79:D$83,'Input data'!D$145:D$149))*'Input data'!D295</f>
        <v>1204905.8483095798</v>
      </c>
      <c r="E39" s="36">
        <f>(SUM('Input data'!E$77:E$78)+SUMPRODUCT('Input data'!E$79:E$83,'Input data'!E$145:E$149))*'Input data'!E295</f>
        <v>1195724.7888019583</v>
      </c>
      <c r="F39" s="36">
        <f>(SUM('Input data'!F$77:F$78)+SUMPRODUCT('Input data'!F$79:F$83,'Input data'!F$145:F$149))*'Input data'!F295</f>
        <v>1032552.4628568233</v>
      </c>
      <c r="G39" s="36">
        <f>(SUM('Input data'!G$77:G$78)+SUMPRODUCT('Input data'!G$79:G$83,'Input data'!G$145:G$149))*'Input data'!G295</f>
        <v>1248868.6306048778</v>
      </c>
      <c r="I39"/>
    </row>
    <row r="40" spans="2:9" ht="14.45" customHeight="1">
      <c r="B40" s="34" t="s">
        <v>108</v>
      </c>
      <c r="C40" s="3" t="s">
        <v>221</v>
      </c>
      <c r="D40" s="36">
        <f>(SUM('Input data'!D$77:D$78)+SUMPRODUCT('Input data'!D$79:D$83,'Input data'!D$145:D$149))*'Input data'!D296</f>
        <v>0</v>
      </c>
      <c r="E40" s="36">
        <f>(SUM('Input data'!E$77:E$78)+SUMPRODUCT('Input data'!E$79:E$83,'Input data'!E$145:E$149))*'Input data'!E296</f>
        <v>0</v>
      </c>
      <c r="F40" s="36">
        <f>(SUM('Input data'!F$77:F$78)+SUMPRODUCT('Input data'!F$79:F$83,'Input data'!F$145:F$149))*'Input data'!F296</f>
        <v>0</v>
      </c>
      <c r="G40" s="36">
        <f>(SUM('Input data'!G$77:G$78)+SUMPRODUCT('Input data'!G$79:G$83,'Input data'!G$145:G$149))*'Input data'!G296</f>
        <v>0</v>
      </c>
      <c r="I40"/>
    </row>
    <row r="41" spans="2:9" ht="14.45" customHeight="1">
      <c r="B41" s="34" t="s">
        <v>109</v>
      </c>
      <c r="C41" s="3" t="s">
        <v>221</v>
      </c>
      <c r="D41" s="36">
        <f>(SUM('Input data'!D$77:D$78)+SUMPRODUCT('Input data'!D$79:D$83,'Input data'!D$145:D$149))*'Input data'!D297</f>
        <v>44555.352789175216</v>
      </c>
      <c r="E41" s="36">
        <f>(SUM('Input data'!E$77:E$78)+SUMPRODUCT('Input data'!E$79:E$83,'Input data'!E$145:E$149))*'Input data'!E297</f>
        <v>44215.852946997191</v>
      </c>
      <c r="F41" s="36">
        <f>(SUM('Input data'!F$77:F$78)+SUMPRODUCT('Input data'!F$79:F$83,'Input data'!F$145:F$149))*'Input data'!F297</f>
        <v>38182.020047841215</v>
      </c>
      <c r="G41" s="36">
        <f>(SUM('Input data'!G$77:G$78)+SUMPRODUCT('Input data'!G$79:G$83,'Input data'!G$145:G$149))*'Input data'!G297</f>
        <v>46181.021116297023</v>
      </c>
      <c r="I41"/>
    </row>
    <row r="42" spans="2:9" ht="14.45" customHeight="1">
      <c r="B42" s="34" t="s">
        <v>111</v>
      </c>
      <c r="C42" s="3" t="s">
        <v>221</v>
      </c>
      <c r="D42" s="36">
        <f>(SUM('Input data'!D$77:D$78)+SUMPRODUCT('Input data'!D$79:D$83,'Input data'!D$145:D$149))*'Input data'!D298</f>
        <v>1572261.1507719336</v>
      </c>
      <c r="E42" s="36">
        <f>(SUM('Input data'!E$77:E$78)+SUMPRODUCT('Input data'!E$79:E$83,'Input data'!E$145:E$149))*'Input data'!E298</f>
        <v>1560280.9423539811</v>
      </c>
      <c r="F42" s="36">
        <f>(SUM('Input data'!F$77:F$78)+SUMPRODUCT('Input data'!F$79:F$83,'Input data'!F$145:F$149))*'Input data'!F298</f>
        <v>1347360.1491446556</v>
      </c>
      <c r="G42" s="36">
        <f>(SUM('Input data'!G$77:G$78)+SUMPRODUCT('Input data'!G$79:G$83,'Input data'!G$145:G$149))*'Input data'!G298</f>
        <v>1629627.4377558623</v>
      </c>
      <c r="I42"/>
    </row>
    <row r="43" spans="2:9" ht="14.45" customHeight="1">
      <c r="B43" s="34" t="s">
        <v>113</v>
      </c>
      <c r="C43" s="3" t="s">
        <v>221</v>
      </c>
      <c r="D43" s="36">
        <f>(SUM('Input data'!D$77:D$78)+SUMPRODUCT('Input data'!D$79:D$83,'Input data'!D$145:D$149))*'Input data'!D299</f>
        <v>448079.01833600411</v>
      </c>
      <c r="E43" s="36">
        <f>(SUM('Input data'!E$77:E$78)+SUMPRODUCT('Input data'!E$79:E$83,'Input data'!E$145:E$149))*'Input data'!E299</f>
        <v>444664.77635416714</v>
      </c>
      <c r="F43" s="36">
        <f>(SUM('Input data'!F$77:F$78)+SUMPRODUCT('Input data'!F$79:F$83,'Input data'!F$145:F$149))*'Input data'!F299</f>
        <v>383984.4371129942</v>
      </c>
      <c r="G43" s="36">
        <f>(SUM('Input data'!G$77:G$78)+SUMPRODUCT('Input data'!G$79:G$83,'Input data'!G$145:G$149))*'Input data'!G299</f>
        <v>464427.847883004</v>
      </c>
      <c r="I43"/>
    </row>
    <row r="44" spans="2:9" ht="14.45" customHeight="1">
      <c r="B44" s="34" t="s">
        <v>115</v>
      </c>
      <c r="C44" s="3" t="s">
        <v>221</v>
      </c>
      <c r="D44" s="36">
        <f>(SUM('Input data'!D$77:D$78)+SUMPRODUCT('Input data'!D$79:D$83,'Input data'!D$145:D$149))*'Input data'!D300</f>
        <v>0</v>
      </c>
      <c r="E44" s="36">
        <f>(SUM('Input data'!E$77:E$78)+SUMPRODUCT('Input data'!E$79:E$83,'Input data'!E$145:E$149))*'Input data'!E300</f>
        <v>0</v>
      </c>
      <c r="F44" s="36">
        <f>(SUM('Input data'!F$77:F$78)+SUMPRODUCT('Input data'!F$79:F$83,'Input data'!F$145:F$149))*'Input data'!F300</f>
        <v>0</v>
      </c>
      <c r="G44" s="36">
        <f>(SUM('Input data'!G$77:G$78)+SUMPRODUCT('Input data'!G$79:G$83,'Input data'!G$145:G$149))*'Input data'!G300</f>
        <v>0</v>
      </c>
      <c r="I44"/>
    </row>
    <row r="45" spans="2:9" ht="14.45" customHeight="1">
      <c r="B45" s="34" t="s">
        <v>117</v>
      </c>
      <c r="C45" s="3" t="s">
        <v>221</v>
      </c>
      <c r="D45" s="36">
        <f>(SUM('Input data'!D$77:D$78)+SUMPRODUCT('Input data'!D$79:D$83,'Input data'!D$145:D$149))*'Input data'!D301</f>
        <v>1066785.6897862097</v>
      </c>
      <c r="E45" s="36">
        <f>(SUM('Input data'!E$77:E$78)+SUMPRODUCT('Input data'!E$79:E$83,'Input data'!E$145:E$149))*'Input data'!E301</f>
        <v>1058657.068854087</v>
      </c>
      <c r="F45" s="36">
        <f>(SUM('Input data'!F$77:F$78)+SUMPRODUCT('Input data'!F$79:F$83,'Input data'!F$145:F$149))*'Input data'!F301</f>
        <v>914189.43054723344</v>
      </c>
      <c r="G45" s="36">
        <f>(SUM('Input data'!G$77:G$78)+SUMPRODUCT('Input data'!G$79:G$83,'Input data'!G$145:G$149))*'Input data'!G301</f>
        <v>1105708.9526300305</v>
      </c>
      <c r="I45"/>
    </row>
    <row r="46" spans="2:9" ht="14.45" customHeight="1">
      <c r="B46" s="34" t="s">
        <v>119</v>
      </c>
      <c r="C46" s="3" t="s">
        <v>221</v>
      </c>
      <c r="D46" s="36">
        <f>(SUM('Input data'!D$77:D$78)+SUMPRODUCT('Input data'!D$79:D$83,'Input data'!D$145:D$149))*'Input data'!D302</f>
        <v>0</v>
      </c>
      <c r="E46" s="36">
        <f>(SUM('Input data'!E$77:E$78)+SUMPRODUCT('Input data'!E$79:E$83,'Input data'!E$145:E$149))*'Input data'!E302</f>
        <v>0</v>
      </c>
      <c r="F46" s="36">
        <f>(SUM('Input data'!F$77:F$78)+SUMPRODUCT('Input data'!F$79:F$83,'Input data'!F$145:F$149))*'Input data'!F302</f>
        <v>0</v>
      </c>
      <c r="G46" s="36">
        <f>(SUM('Input data'!G$77:G$78)+SUMPRODUCT('Input data'!G$79:G$83,'Input data'!G$145:G$149))*'Input data'!G302</f>
        <v>0</v>
      </c>
      <c r="I46"/>
    </row>
    <row r="47" spans="2:9" ht="14.45" customHeight="1">
      <c r="B47" s="34" t="s">
        <v>121</v>
      </c>
      <c r="C47" s="3" t="s">
        <v>221</v>
      </c>
      <c r="D47" s="36">
        <f>(SUM('Input data'!D$77:D$78)+SUMPRODUCT('Input data'!D$79:D$83,'Input data'!D$145:D$149))*'Input data'!D303</f>
        <v>479616.82635951531</v>
      </c>
      <c r="E47" s="36">
        <f>(SUM('Input data'!E$77:E$78)+SUMPRODUCT('Input data'!E$79:E$83,'Input data'!E$145:E$149))*'Input data'!E303</f>
        <v>475962.27473638149</v>
      </c>
      <c r="F47" s="36">
        <f>(SUM('Input data'!F$77:F$78)+SUMPRODUCT('Input data'!F$79:F$83,'Input data'!F$145:F$149))*'Input data'!F303</f>
        <v>411010.98146371538</v>
      </c>
      <c r="G47" s="36">
        <f>(SUM('Input data'!G$77:G$78)+SUMPRODUCT('Input data'!G$79:G$83,'Input data'!G$145:G$149))*'Input data'!G303</f>
        <v>497116.35974794289</v>
      </c>
      <c r="I47"/>
    </row>
    <row r="48" spans="2:9" ht="14.45" customHeight="1">
      <c r="B48" s="34" t="s">
        <v>123</v>
      </c>
      <c r="C48" s="3" t="s">
        <v>221</v>
      </c>
      <c r="D48" s="36">
        <f>(SUM('Input data'!D$77:D$78)+SUMPRODUCT('Input data'!D$79:D$83,'Input data'!D$145:D$149))*'Input data'!D304</f>
        <v>1364039.7964302399</v>
      </c>
      <c r="E48" s="36">
        <f>(SUM('Input data'!E$77:E$78)+SUMPRODUCT('Input data'!E$79:E$83,'Input data'!E$145:E$149))*'Input data'!E304</f>
        <v>1353646.1789045555</v>
      </c>
      <c r="F48" s="36">
        <f>(SUM('Input data'!F$77:F$78)+SUMPRODUCT('Input data'!F$79:F$83,'Input data'!F$145:F$149))*'Input data'!F304</f>
        <v>1168923.4085922446</v>
      </c>
      <c r="G48" s="36">
        <f>(SUM('Input data'!G$77:G$78)+SUMPRODUCT('Input data'!G$79:G$83,'Input data'!G$145:G$149))*'Input data'!G304</f>
        <v>1413808.8175506168</v>
      </c>
      <c r="I48"/>
    </row>
    <row r="49" spans="2:9" ht="14.45" customHeight="1">
      <c r="B49" s="34" t="s">
        <v>125</v>
      </c>
      <c r="C49" s="3" t="s">
        <v>221</v>
      </c>
      <c r="D49" s="36">
        <f>(SUM('Input data'!D$77:D$78)+SUMPRODUCT('Input data'!D$79:D$83,'Input data'!D$145:D$149))*'Input data'!D305</f>
        <v>2840252.0738942451</v>
      </c>
      <c r="E49" s="36">
        <f>(SUM('Input data'!E$77:E$78)+SUMPRODUCT('Input data'!E$79:E$83,'Input data'!E$145:E$149))*'Input data'!E305</f>
        <v>2818610.1146128187</v>
      </c>
      <c r="F49" s="36">
        <f>(SUM('Input data'!F$77:F$78)+SUMPRODUCT('Input data'!F$79:F$83,'Input data'!F$145:F$149))*'Input data'!F305</f>
        <v>2433973.8064581072</v>
      </c>
      <c r="G49" s="36">
        <f>(SUM('Input data'!G$77:G$78)+SUMPRODUCT('Input data'!G$79:G$83,'Input data'!G$145:G$149))*'Input data'!G305</f>
        <v>2943882.8959734645</v>
      </c>
      <c r="I49"/>
    </row>
    <row r="50" spans="2:9" ht="14.45" customHeight="1">
      <c r="B50" s="34" t="s">
        <v>127</v>
      </c>
      <c r="C50" s="3" t="s">
        <v>221</v>
      </c>
      <c r="D50" s="36">
        <f>(SUM('Input data'!D$77:D$78)+SUMPRODUCT('Input data'!D$79:D$83,'Input data'!D$145:D$149))*'Input data'!D306</f>
        <v>730122.45122726576</v>
      </c>
      <c r="E50" s="36">
        <f>(SUM('Input data'!E$77:E$78)+SUMPRODUCT('Input data'!E$79:E$83,'Input data'!E$145:E$149))*'Input data'!E306</f>
        <v>724559.11390761356</v>
      </c>
      <c r="F50" s="36">
        <f>(SUM('Input data'!F$77:F$78)+SUMPRODUCT('Input data'!F$79:F$83,'Input data'!F$145:F$149))*'Input data'!F306</f>
        <v>625683.52229300095</v>
      </c>
      <c r="G50" s="36">
        <f>(SUM('Input data'!G$77:G$78)+SUMPRODUCT('Input data'!G$79:G$83,'Input data'!G$145:G$149))*'Input data'!G306</f>
        <v>756762.05499153154</v>
      </c>
      <c r="I50"/>
    </row>
    <row r="51" spans="2:9" ht="14.45" customHeight="1">
      <c r="B51" s="34" t="s">
        <v>129</v>
      </c>
      <c r="C51" s="3" t="s">
        <v>221</v>
      </c>
      <c r="D51" s="36">
        <f>(SUM('Input data'!D$77:D$78)+SUMPRODUCT('Input data'!D$79:D$83,'Input data'!D$145:D$149))*'Input data'!D307</f>
        <v>2709487.8996133143</v>
      </c>
      <c r="E51" s="36">
        <f>(SUM('Input data'!E$77:E$78)+SUMPRODUCT('Input data'!E$79:E$83,'Input data'!E$145:E$149))*'Input data'!E307</f>
        <v>2688842.3282797285</v>
      </c>
      <c r="F51" s="36">
        <f>(SUM('Input data'!F$77:F$78)+SUMPRODUCT('Input data'!F$79:F$83,'Input data'!F$145:F$149))*'Input data'!F307</f>
        <v>2321914.5361037962</v>
      </c>
      <c r="G51" s="36">
        <f>(SUM('Input data'!G$77:G$78)+SUMPRODUCT('Input data'!G$79:G$83,'Input data'!G$145:G$149))*'Input data'!G307</f>
        <v>2808347.5962689151</v>
      </c>
      <c r="I51"/>
    </row>
    <row r="52" spans="2:9" ht="14.45" customHeight="1">
      <c r="B52" s="34" t="s">
        <v>131</v>
      </c>
      <c r="C52" s="3" t="s">
        <v>221</v>
      </c>
      <c r="D52" s="36">
        <f>(SUM('Input data'!D$77:D$78)+SUMPRODUCT('Input data'!D$79:D$83,'Input data'!D$145:D$149))*'Input data'!D308</f>
        <v>2023703.2495639212</v>
      </c>
      <c r="E52" s="36">
        <f>(SUM('Input data'!E$77:E$78)+SUMPRODUCT('Input data'!E$79:E$83,'Input data'!E$145:E$149))*'Input data'!E308</f>
        <v>2008283.1733927585</v>
      </c>
      <c r="F52" s="36">
        <f>(SUM('Input data'!F$77:F$78)+SUMPRODUCT('Input data'!F$79:F$83,'Input data'!F$145:F$149))*'Input data'!F308</f>
        <v>1734226.6014893656</v>
      </c>
      <c r="G52" s="36">
        <f>(SUM('Input data'!G$77:G$78)+SUMPRODUCT('Input data'!G$79:G$83,'Input data'!G$145:G$149))*'Input data'!G308</f>
        <v>2097541.0730882096</v>
      </c>
      <c r="I52"/>
    </row>
    <row r="53" spans="2:9" ht="14.45" customHeight="1">
      <c r="B53" s="34" t="s">
        <v>132</v>
      </c>
      <c r="C53" s="3" t="s">
        <v>221</v>
      </c>
      <c r="D53" s="36">
        <f>(SUM('Input data'!D$77:D$78)+SUMPRODUCT('Input data'!D$79:D$83,'Input data'!D$145:D$149))*'Input data'!D309</f>
        <v>64356.463389728931</v>
      </c>
      <c r="E53" s="36">
        <f>(SUM('Input data'!E$77:E$78)+SUMPRODUCT('Input data'!E$79:E$83,'Input data'!E$145:E$149))*'Input data'!E309</f>
        <v>63866.08439380148</v>
      </c>
      <c r="F53" s="36">
        <f>(SUM('Input data'!F$77:F$78)+SUMPRODUCT('Input data'!F$79:F$83,'Input data'!F$145:F$149))*'Input data'!F309</f>
        <v>55150.719757105908</v>
      </c>
      <c r="G53" s="36">
        <f>(SUM('Input data'!G$77:G$78)+SUMPRODUCT('Input data'!G$79:G$83,'Input data'!G$145:G$149))*'Input data'!G309</f>
        <v>66704.604693273359</v>
      </c>
      <c r="I53"/>
    </row>
    <row r="54" spans="2:9" ht="14.45" customHeight="1">
      <c r="B54" s="34" t="s">
        <v>134</v>
      </c>
      <c r="C54" s="3" t="s">
        <v>221</v>
      </c>
      <c r="D54" s="36">
        <f>(SUM('Input data'!D$77:D$78)+SUMPRODUCT('Input data'!D$79:D$83,'Input data'!D$145:D$149))*'Input data'!D310</f>
        <v>2720442.128797119</v>
      </c>
      <c r="E54" s="36">
        <f>(SUM('Input data'!E$77:E$78)+SUMPRODUCT('Input data'!E$79:E$83,'Input data'!E$145:E$149))*'Input data'!E310</f>
        <v>2699713.0891741747</v>
      </c>
      <c r="F54" s="36">
        <f>(SUM('Input data'!F$77:F$78)+SUMPRODUCT('Input data'!F$79:F$83,'Input data'!F$145:F$149))*'Input data'!F310</f>
        <v>2331301.8391352356</v>
      </c>
      <c r="G54" s="36">
        <f>(SUM('Input data'!G$77:G$78)+SUMPRODUCT('Input data'!G$79:G$83,'Input data'!G$145:G$149))*'Input data'!G310</f>
        <v>2819701.5068000183</v>
      </c>
      <c r="I54"/>
    </row>
    <row r="55" spans="2:9" ht="14.45" customHeight="1">
      <c r="B55" s="34" t="s">
        <v>136</v>
      </c>
      <c r="C55" s="3" t="s">
        <v>221</v>
      </c>
      <c r="D55" s="36">
        <f>(SUM('Input data'!D$77:D$78)+SUMPRODUCT('Input data'!D$79:D$83,'Input data'!D$145:D$149))*'Input data'!D311</f>
        <v>2114136.5515198307</v>
      </c>
      <c r="E55" s="36">
        <f>(SUM('Input data'!E$77:E$78)+SUMPRODUCT('Input data'!E$79:E$83,'Input data'!E$145:E$149))*'Input data'!E311</f>
        <v>2098027.3978345264</v>
      </c>
      <c r="F55" s="36">
        <f>(SUM('Input data'!F$77:F$78)+SUMPRODUCT('Input data'!F$79:F$83,'Input data'!F$145:F$149))*'Input data'!F311</f>
        <v>1811724.0497670483</v>
      </c>
      <c r="G55" s="36">
        <f>(SUM('Input data'!G$77:G$78)+SUMPRODUCT('Input data'!G$79:G$83,'Input data'!G$145:G$149))*'Input data'!G311</f>
        <v>2191273.9685946945</v>
      </c>
      <c r="I55"/>
    </row>
    <row r="56" spans="2:9" ht="14.45" customHeight="1">
      <c r="B56" s="34" t="s">
        <v>137</v>
      </c>
      <c r="C56" s="3" t="s">
        <v>221</v>
      </c>
      <c r="D56" s="36">
        <f>(SUM('Input data'!D$77:D$78)+SUMPRODUCT('Input data'!D$79:D$83,'Input data'!D$145:D$149))*'Input data'!D312</f>
        <v>3494551.4283780269</v>
      </c>
      <c r="E56" s="36">
        <f>(SUM('Input data'!E$77:E$78)+SUMPRODUCT('Input data'!E$79:E$83,'Input data'!E$145:E$149))*'Input data'!E312</f>
        <v>3467923.883444625</v>
      </c>
      <c r="F56" s="36">
        <f>(SUM('Input data'!F$77:F$78)+SUMPRODUCT('Input data'!F$79:F$83,'Input data'!F$145:F$149))*'Input data'!F312</f>
        <v>2994680.1976385373</v>
      </c>
      <c r="G56" s="36">
        <f>(SUM('Input data'!G$77:G$78)+SUMPRODUCT('Input data'!G$79:G$83,'Input data'!G$145:G$149))*'Input data'!G312</f>
        <v>3622055.3357422757</v>
      </c>
      <c r="I56"/>
    </row>
    <row r="57" spans="2:9" ht="14.45" customHeight="1">
      <c r="B57" s="34" t="s">
        <v>139</v>
      </c>
      <c r="C57" s="3" t="s">
        <v>221</v>
      </c>
      <c r="D57" s="36">
        <f>(SUM('Input data'!D$77:D$78)+SUMPRODUCT('Input data'!D$79:D$83,'Input data'!D$145:D$149))*'Input data'!D313</f>
        <v>789106.00953005673</v>
      </c>
      <c r="E57" s="36">
        <f>(SUM('Input data'!E$77:E$78)+SUMPRODUCT('Input data'!E$79:E$83,'Input data'!E$145:E$149))*'Input data'!E313</f>
        <v>783093.23331066896</v>
      </c>
      <c r="F57" s="36">
        <f>(SUM('Input data'!F$77:F$78)+SUMPRODUCT('Input data'!F$79:F$83,'Input data'!F$145:F$149))*'Input data'!F313</f>
        <v>676229.89359582961</v>
      </c>
      <c r="G57" s="36">
        <f>(SUM('Input data'!G$77:G$78)+SUMPRODUCT('Input data'!G$79:G$83,'Input data'!G$145:G$149))*'Input data'!G313</f>
        <v>817897.71616302838</v>
      </c>
      <c r="I57"/>
    </row>
    <row r="58" spans="2:9" ht="14.45" customHeight="1">
      <c r="B58" s="34" t="s">
        <v>141</v>
      </c>
      <c r="C58" s="3" t="s">
        <v>221</v>
      </c>
      <c r="D58" s="36">
        <f>(SUM('Input data'!D$77:D$78)+SUMPRODUCT('Input data'!D$79:D$83,'Input data'!D$145:D$149))*'Input data'!D314</f>
        <v>1702348.5340581818</v>
      </c>
      <c r="E58" s="36">
        <f>(SUM('Input data'!E$77:E$78)+SUMPRODUCT('Input data'!E$79:E$83,'Input data'!E$145:E$149))*'Input data'!E314</f>
        <v>1689377.0946583087</v>
      </c>
      <c r="F58" s="36">
        <f>(SUM('Input data'!F$77:F$78)+SUMPRODUCT('Input data'!F$79:F$83,'Input data'!F$145:F$149))*'Input data'!F314</f>
        <v>1458839.4387399897</v>
      </c>
      <c r="G58" s="36">
        <f>(SUM('Input data'!G$77:G$78)+SUMPRODUCT('Input data'!G$79:G$83,'Input data'!G$145:G$149))*'Input data'!G314</f>
        <v>1764461.252739493</v>
      </c>
      <c r="I58"/>
    </row>
    <row r="59" spans="2:9" ht="14.45" customHeight="1">
      <c r="B59" s="34" t="s">
        <v>143</v>
      </c>
      <c r="C59" s="3" t="s">
        <v>221</v>
      </c>
      <c r="D59" s="36">
        <f>(SUM('Input data'!D$77:D$78)+SUMPRODUCT('Input data'!D$79:D$83,'Input data'!D$145:D$149))*'Input data'!D315</f>
        <v>1490909.8947181541</v>
      </c>
      <c r="E59" s="36">
        <f>(SUM('Input data'!E$77:E$78)+SUMPRODUCT('Input data'!E$79:E$83,'Input data'!E$145:E$149))*'Input data'!E315</f>
        <v>1479549.5610596258</v>
      </c>
      <c r="F59" s="36">
        <f>(SUM('Input data'!F$77:F$78)+SUMPRODUCT('Input data'!F$79:F$83,'Input data'!F$145:F$149))*'Input data'!F315</f>
        <v>1277645.6233892427</v>
      </c>
      <c r="G59" s="36">
        <f>(SUM('Input data'!G$77:G$78)+SUMPRODUCT('Input data'!G$79:G$83,'Input data'!G$145:G$149))*'Input data'!G315</f>
        <v>1545307.9601067116</v>
      </c>
      <c r="I59"/>
    </row>
    <row r="60" spans="2:9" ht="14.45" customHeight="1">
      <c r="B60" s="34" t="s">
        <v>145</v>
      </c>
      <c r="C60" s="3" t="s">
        <v>221</v>
      </c>
      <c r="D60" s="36">
        <f>(SUM('Input data'!D$77:D$78)+SUMPRODUCT('Input data'!D$79:D$83,'Input data'!D$145:D$149))*'Input data'!D316</f>
        <v>39665984.045407832</v>
      </c>
      <c r="E60" s="36">
        <f>(SUM('Input data'!E$77:E$78)+SUMPRODUCT('Input data'!E$79:E$83,'Input data'!E$145:E$149))*'Input data'!E316</f>
        <v>39363739.88213136</v>
      </c>
      <c r="F60" s="36">
        <f>(SUM('Input data'!F$77:F$78)+SUMPRODUCT('Input data'!F$79:F$83,'Input data'!F$145:F$149))*'Input data'!F316</f>
        <v>33992041.432271369</v>
      </c>
      <c r="G60" s="36">
        <f>(SUM('Input data'!G$77:G$78)+SUMPRODUCT('Input data'!G$79:G$83,'Input data'!G$145:G$149))*'Input data'!G316</f>
        <v>41113256.480481103</v>
      </c>
      <c r="I60"/>
    </row>
    <row r="61" spans="2:9" ht="14.45" customHeight="1">
      <c r="B61" s="34" t="s">
        <v>147</v>
      </c>
      <c r="C61" s="3" t="s">
        <v>221</v>
      </c>
      <c r="D61" s="36">
        <f>(SUM('Input data'!D$77:D$78)+SUMPRODUCT('Input data'!D$79:D$83,'Input data'!D$145:D$149))*'Input data'!D317</f>
        <v>4875067.0900156731</v>
      </c>
      <c r="E61" s="36">
        <f>(SUM('Input data'!E$77:E$78)+SUMPRODUCT('Input data'!E$79:E$83,'Input data'!E$145:E$149))*'Input data'!E317</f>
        <v>4837920.3858811762</v>
      </c>
      <c r="F61" s="36">
        <f>(SUM('Input data'!F$77:F$78)+SUMPRODUCT('Input data'!F$79:F$83,'Input data'!F$145:F$149))*'Input data'!F317</f>
        <v>4177722.7137290742</v>
      </c>
      <c r="G61" s="36">
        <f>(SUM('Input data'!G$77:G$78)+SUMPRODUCT('Input data'!G$79:G$83,'Input data'!G$145:G$149))*'Input data'!G317</f>
        <v>5052941.1649519121</v>
      </c>
      <c r="I61"/>
    </row>
    <row r="62" spans="2:9" ht="14.45" customHeight="1">
      <c r="B62" s="34" t="s">
        <v>149</v>
      </c>
      <c r="C62" s="3" t="s">
        <v>221</v>
      </c>
      <c r="D62" s="36">
        <f>(SUM('Input data'!D$77:D$78)+SUMPRODUCT('Input data'!D$79:D$83,'Input data'!D$145:D$149))*'Input data'!D318</f>
        <v>4153345.9797238368</v>
      </c>
      <c r="E62" s="36">
        <f>(SUM('Input data'!E$77:E$78)+SUMPRODUCT('Input data'!E$79:E$83,'Input data'!E$145:E$149))*'Input data'!E318</f>
        <v>4121698.5969436122</v>
      </c>
      <c r="F62" s="36">
        <f>(SUM('Input data'!F$77:F$78)+SUMPRODUCT('Input data'!F$79:F$83,'Input data'!F$145:F$149))*'Input data'!F318</f>
        <v>3559238.7790937712</v>
      </c>
      <c r="G62" s="36">
        <f>(SUM('Input data'!G$77:G$78)+SUMPRODUCT('Input data'!G$79:G$83,'Input data'!G$145:G$149))*'Input data'!G318</f>
        <v>4304886.9863176867</v>
      </c>
      <c r="I62"/>
    </row>
    <row r="63" spans="2:9" ht="14.45" customHeight="1">
      <c r="B63" s="34" t="s">
        <v>151</v>
      </c>
      <c r="C63" s="3" t="s">
        <v>221</v>
      </c>
      <c r="D63" s="36">
        <f>(SUM('Input data'!D$77:D$78)+SUMPRODUCT('Input data'!D$79:D$83,'Input data'!D$145:D$149))*'Input data'!D319</f>
        <v>11686452.785676606</v>
      </c>
      <c r="E63" s="36">
        <f>(SUM('Input data'!E$77:E$78)+SUMPRODUCT('Input data'!E$79:E$83,'Input data'!E$145:E$149))*'Input data'!E319</f>
        <v>11597405.148793746</v>
      </c>
      <c r="F63" s="36">
        <f>(SUM('Input data'!F$77:F$78)+SUMPRODUCT('Input data'!F$79:F$83,'Input data'!F$145:F$149))*'Input data'!F319</f>
        <v>10014787.149418822</v>
      </c>
      <c r="G63" s="36">
        <f>(SUM('Input data'!G$77:G$78)+SUMPRODUCT('Input data'!G$79:G$83,'Input data'!G$145:G$149))*'Input data'!G319</f>
        <v>12112850.400346475</v>
      </c>
      <c r="I63"/>
    </row>
    <row r="64" spans="2:9" ht="14.45" customHeight="1">
      <c r="B64" s="34" t="s">
        <v>153</v>
      </c>
      <c r="C64" s="3" t="s">
        <v>221</v>
      </c>
      <c r="D64" s="36">
        <f>(SUM('Input data'!D$77:D$78)+SUMPRODUCT('Input data'!D$79:D$83,'Input data'!D$145:D$149))*'Input data'!D320</f>
        <v>8126886.6942812502</v>
      </c>
      <c r="E64" s="36">
        <f>(SUM('Input data'!E$77:E$78)+SUMPRODUCT('Input data'!E$79:E$83,'Input data'!E$145:E$149))*'Input data'!E320</f>
        <v>8064961.9966324084</v>
      </c>
      <c r="F64" s="36">
        <f>(SUM('Input data'!F$77:F$78)+SUMPRODUCT('Input data'!F$79:F$83,'Input data'!F$145:F$149))*'Input data'!F320</f>
        <v>6964392.1832657726</v>
      </c>
      <c r="G64" s="36">
        <f>(SUM('Input data'!G$77:G$78)+SUMPRODUCT('Input data'!G$79:G$83,'Input data'!G$145:G$149))*'Input data'!G320</f>
        <v>8423408.2448907755</v>
      </c>
      <c r="I64"/>
    </row>
    <row r="65" spans="2:9" ht="14.45" customHeight="1">
      <c r="B65" s="34" t="s">
        <v>155</v>
      </c>
      <c r="C65" s="3" t="s">
        <v>221</v>
      </c>
      <c r="D65" s="36">
        <f>(SUM('Input data'!D$77:D$78)+SUMPRODUCT('Input data'!D$79:D$83,'Input data'!D$145:D$149))*'Input data'!D321</f>
        <v>7472549.5047346326</v>
      </c>
      <c r="E65" s="36">
        <f>(SUM('Input data'!E$77:E$78)+SUMPRODUCT('Input data'!E$79:E$83,'Input data'!E$145:E$149))*'Input data'!E321</f>
        <v>7415610.6810307996</v>
      </c>
      <c r="F65" s="36">
        <f>(SUM('Input data'!F$77:F$78)+SUMPRODUCT('Input data'!F$79:F$83,'Input data'!F$145:F$149))*'Input data'!F321</f>
        <v>6403653.3690645993</v>
      </c>
      <c r="G65" s="36">
        <f>(SUM('Input data'!G$77:G$78)+SUMPRODUCT('Input data'!G$79:G$83,'Input data'!G$145:G$149))*'Input data'!G321</f>
        <v>7745196.5895905765</v>
      </c>
      <c r="I65"/>
    </row>
    <row r="66" spans="2:9" ht="14.45" customHeight="1">
      <c r="B66" s="34" t="s">
        <v>157</v>
      </c>
      <c r="C66" s="3" t="s">
        <v>221</v>
      </c>
      <c r="D66" s="36">
        <f>(SUM('Input data'!D$77:D$78)+SUMPRODUCT('Input data'!D$79:D$83,'Input data'!D$145:D$149))*'Input data'!D322</f>
        <v>937467.72816572292</v>
      </c>
      <c r="E66" s="36">
        <f>(SUM('Input data'!E$77:E$78)+SUMPRODUCT('Input data'!E$79:E$83,'Input data'!E$145:E$149))*'Input data'!E322</f>
        <v>930324.47542872338</v>
      </c>
      <c r="F66" s="36">
        <f>(SUM('Input data'!F$77:F$78)+SUMPRODUCT('Input data'!F$79:F$83,'Input data'!F$145:F$149))*'Input data'!F322</f>
        <v>803369.50220993639</v>
      </c>
      <c r="G66" s="36">
        <f>(SUM('Input data'!G$77:G$78)+SUMPRODUCT('Input data'!G$79:G$83,'Input data'!G$145:G$149))*'Input data'!G322</f>
        <v>971672.63280622906</v>
      </c>
      <c r="I66"/>
    </row>
    <row r="67" spans="2:9" ht="14.45" customHeight="1">
      <c r="B67" s="34" t="s">
        <v>159</v>
      </c>
      <c r="C67" s="3" t="s">
        <v>221</v>
      </c>
      <c r="D67" s="36">
        <f>(SUM('Input data'!D$77:D$78)+SUMPRODUCT('Input data'!D$79:D$83,'Input data'!D$145:D$149))*'Input data'!D323</f>
        <v>4007674.4645214905</v>
      </c>
      <c r="E67" s="36">
        <f>(SUM('Input data'!E$77:E$78)+SUMPRODUCT('Input data'!E$79:E$83,'Input data'!E$145:E$149))*'Input data'!E323</f>
        <v>3977137.0596300066</v>
      </c>
      <c r="F67" s="36">
        <f>(SUM('Input data'!F$77:F$78)+SUMPRODUCT('Input data'!F$79:F$83,'Input data'!F$145:F$149))*'Input data'!F323</f>
        <v>3434404.559057998</v>
      </c>
      <c r="G67" s="36">
        <f>(SUM('Input data'!G$77:G$78)+SUMPRODUCT('Input data'!G$79:G$83,'Input data'!G$145:G$149))*'Input data'!G323</f>
        <v>4153900.4291820209</v>
      </c>
      <c r="I67"/>
    </row>
    <row r="68" spans="2:9" ht="14.45" customHeight="1">
      <c r="B68" s="34" t="s">
        <v>161</v>
      </c>
      <c r="C68" s="3" t="s">
        <v>221</v>
      </c>
      <c r="D68" s="36">
        <f>(SUM('Input data'!D$77:D$78)+SUMPRODUCT('Input data'!D$79:D$83,'Input data'!D$145:D$149))*'Input data'!D324</f>
        <v>5381390.5782718407</v>
      </c>
      <c r="E68" s="36">
        <f>(SUM('Input data'!E$77:E$78)+SUMPRODUCT('Input data'!E$79:E$83,'Input data'!E$145:E$149))*'Input data'!E324</f>
        <v>5340385.824911085</v>
      </c>
      <c r="F68" s="36">
        <f>(SUM('Input data'!F$77:F$78)+SUMPRODUCT('Input data'!F$79:F$83,'Input data'!F$145:F$149))*'Input data'!F324</f>
        <v>4611620.1552052135</v>
      </c>
      <c r="G68" s="36">
        <f>(SUM('Input data'!G$77:G$78)+SUMPRODUCT('Input data'!G$79:G$83,'Input data'!G$145:G$149))*'Input data'!G324</f>
        <v>5577738.6188846771</v>
      </c>
      <c r="I68"/>
    </row>
    <row r="69" spans="2:9" ht="14.45" customHeight="1">
      <c r="B69" s="34" t="s">
        <v>163</v>
      </c>
      <c r="C69" s="3" t="s">
        <v>221</v>
      </c>
      <c r="D69" s="36">
        <f>(SUM('Input data'!D$77:D$78)+SUMPRODUCT('Input data'!D$79:D$83,'Input data'!D$145:D$149))*'Input data'!D325</f>
        <v>56850.117388952385</v>
      </c>
      <c r="E69" s="36">
        <f>(SUM('Input data'!E$77:E$78)+SUMPRODUCT('Input data'!E$79:E$83,'Input data'!E$145:E$149))*'Input data'!E325</f>
        <v>56416.934736967174</v>
      </c>
      <c r="F69" s="36">
        <f>(SUM('Input data'!F$77:F$78)+SUMPRODUCT('Input data'!F$79:F$83,'Input data'!F$145:F$149))*'Input data'!F325</f>
        <v>48718.104245253999</v>
      </c>
      <c r="G69" s="36">
        <f>(SUM('Input data'!G$77:G$78)+SUMPRODUCT('Input data'!G$79:G$83,'Input data'!G$145:G$149))*'Input data'!G325</f>
        <v>58924.37849220707</v>
      </c>
      <c r="I69"/>
    </row>
    <row r="70" spans="2:9" ht="14.45" customHeight="1">
      <c r="B70" s="34" t="s">
        <v>165</v>
      </c>
      <c r="C70" s="3" t="s">
        <v>221</v>
      </c>
      <c r="D70" s="36">
        <f>(SUM('Input data'!D$77:D$78)+SUMPRODUCT('Input data'!D$79:D$83,'Input data'!D$145:D$149))*'Input data'!D326</f>
        <v>192690.38721216487</v>
      </c>
      <c r="E70" s="36">
        <f>(SUM('Input data'!E$77:E$78)+SUMPRODUCT('Input data'!E$79:E$83,'Input data'!E$145:E$149))*'Input data'!E326</f>
        <v>191222.13812529767</v>
      </c>
      <c r="F70" s="36">
        <f>(SUM('Input data'!F$77:F$78)+SUMPRODUCT('Input data'!F$79:F$83,'Input data'!F$145:F$149))*'Input data'!F326</f>
        <v>165127.37004629069</v>
      </c>
      <c r="G70" s="36">
        <f>(SUM('Input data'!G$77:G$78)+SUMPRODUCT('Input data'!G$79:G$83,'Input data'!G$145:G$149))*'Input data'!G326</f>
        <v>199720.98263610588</v>
      </c>
      <c r="I70"/>
    </row>
    <row r="71" spans="2:9" ht="14.45" customHeight="1">
      <c r="B71" s="34" t="s">
        <v>167</v>
      </c>
      <c r="C71" s="3" t="s">
        <v>221</v>
      </c>
      <c r="D71" s="36">
        <f>(SUM('Input data'!D$77:D$78)+SUMPRODUCT('Input data'!D$79:D$83,'Input data'!D$145:D$149))*'Input data'!D327</f>
        <v>173274.80285532883</v>
      </c>
      <c r="E71" s="36">
        <f>(SUM('Input data'!E$77:E$78)+SUMPRODUCT('Input data'!E$79:E$83,'Input data'!E$145:E$149))*'Input data'!E327</f>
        <v>171954.4953156003</v>
      </c>
      <c r="F71" s="36">
        <f>(SUM('Input data'!F$77:F$78)+SUMPRODUCT('Input data'!F$79:F$83,'Input data'!F$145:F$149))*'Input data'!F327</f>
        <v>148489.04973804319</v>
      </c>
      <c r="G71" s="36">
        <f>(SUM('Input data'!G$77:G$78)+SUMPRODUCT('Input data'!G$79:G$83,'Input data'!G$145:G$149))*'Input data'!G327</f>
        <v>179596.99180135864</v>
      </c>
      <c r="I71"/>
    </row>
    <row r="72" spans="2:9" ht="14.45" customHeight="1">
      <c r="B72" s="34" t="s">
        <v>169</v>
      </c>
      <c r="C72" s="3" t="s">
        <v>221</v>
      </c>
      <c r="D72" s="36">
        <f>(SUM('Input data'!D$77:D$78)+SUMPRODUCT('Input data'!D$79:D$83,'Input data'!D$145:D$149))*'Input data'!D328</f>
        <v>60588.286829940473</v>
      </c>
      <c r="E72" s="36">
        <f>(SUM('Input data'!E$77:E$78)+SUMPRODUCT('Input data'!E$79:E$83,'Input data'!E$145:E$149))*'Input data'!E328</f>
        <v>60126.620329084057</v>
      </c>
      <c r="F72" s="36">
        <f>(SUM('Input data'!F$77:F$78)+SUMPRODUCT('Input data'!F$79:F$83,'Input data'!F$145:F$149))*'Input data'!F328</f>
        <v>51921.554596402631</v>
      </c>
      <c r="G72" s="36">
        <f>(SUM('Input data'!G$77:G$78)+SUMPRODUCT('Input data'!G$79:G$83,'Input data'!G$145:G$149))*'Input data'!G328</f>
        <v>62798.940606156</v>
      </c>
      <c r="I72"/>
    </row>
    <row r="73" spans="2:9" ht="14.45" customHeight="1">
      <c r="B73" s="34" t="s">
        <v>171</v>
      </c>
      <c r="C73" s="3" t="s">
        <v>221</v>
      </c>
      <c r="D73" s="36">
        <f>(SUM('Input data'!D$77:D$78)+SUMPRODUCT('Input data'!D$79:D$83,'Input data'!D$145:D$149))*'Input data'!D329</f>
        <v>214127.53811600766</v>
      </c>
      <c r="E73" s="36">
        <f>(SUM('Input data'!E$77:E$78)+SUMPRODUCT('Input data'!E$79:E$83,'Input data'!E$145:E$149))*'Input data'!E329</f>
        <v>212495.94368693122</v>
      </c>
      <c r="F73" s="36">
        <f>(SUM('Input data'!F$77:F$78)+SUMPRODUCT('Input data'!F$79:F$83,'Input data'!F$145:F$149))*'Input data'!F329</f>
        <v>183498.085893882</v>
      </c>
      <c r="G73" s="36">
        <f>(SUM('Input data'!G$77:G$78)+SUMPRODUCT('Input data'!G$79:G$83,'Input data'!G$145:G$149))*'Input data'!G329</f>
        <v>221940.29988061276</v>
      </c>
      <c r="I73"/>
    </row>
    <row r="74" spans="2:9" ht="14.45" customHeight="1">
      <c r="B74" s="34" t="s">
        <v>173</v>
      </c>
      <c r="C74" s="3" t="s">
        <v>221</v>
      </c>
      <c r="D74" s="36">
        <f>(SUM('Input data'!D$77:D$78)+SUMPRODUCT('Input data'!D$79:D$83,'Input data'!D$145:D$149))*'Input data'!D330</f>
        <v>30985631.700742044</v>
      </c>
      <c r="E74" s="36">
        <f>(SUM('Input data'!E$77:E$78)+SUMPRODUCT('Input data'!E$79:E$83,'Input data'!E$145:E$149))*'Input data'!E330</f>
        <v>30749529.49497645</v>
      </c>
      <c r="F74" s="36">
        <f>(SUM('Input data'!F$77:F$78)+SUMPRODUCT('Input data'!F$79:F$83,'Input data'!F$145:F$149))*'Input data'!F330</f>
        <v>26553353.003192723</v>
      </c>
      <c r="G74" s="36">
        <f>(SUM('Input data'!G$77:G$78)+SUMPRODUCT('Input data'!G$79:G$83,'Input data'!G$145:G$149))*'Input data'!G330</f>
        <v>32116188.567615189</v>
      </c>
      <c r="I74"/>
    </row>
    <row r="75" spans="2:9" ht="14.45" customHeight="1">
      <c r="B75" s="34" t="s">
        <v>175</v>
      </c>
      <c r="C75" s="3" t="s">
        <v>221</v>
      </c>
      <c r="D75" s="36">
        <f>(SUM('Input data'!D$77:D$78)+SUMPRODUCT('Input data'!D$79:D$83,'Input data'!D$145:D$149))*'Input data'!D331</f>
        <v>490511.69363438879</v>
      </c>
      <c r="E75" s="36">
        <f>(SUM('Input data'!E$77:E$78)+SUMPRODUCT('Input data'!E$79:E$83,'Input data'!E$145:E$149))*'Input data'!E331</f>
        <v>486774.1260437264</v>
      </c>
      <c r="F75" s="36">
        <f>(SUM('Input data'!F$77:F$78)+SUMPRODUCT('Input data'!F$79:F$83,'Input data'!F$145:F$149))*'Input data'!F331</f>
        <v>420347.41389364447</v>
      </c>
      <c r="G75" s="36">
        <f>(SUM('Input data'!G$77:G$78)+SUMPRODUCT('Input data'!G$79:G$83,'Input data'!G$145:G$149))*'Input data'!G331</f>
        <v>508408.74246256083</v>
      </c>
      <c r="I75"/>
    </row>
    <row r="76" spans="2:9" ht="14.45" customHeight="1">
      <c r="B76" s="34" t="s">
        <v>177</v>
      </c>
      <c r="C76" s="3" t="s">
        <v>221</v>
      </c>
      <c r="D76" s="36">
        <f>(SUM('Input data'!D$77:D$78)+SUMPRODUCT('Input data'!D$79:D$83,'Input data'!D$145:D$149))*'Input data'!D332</f>
        <v>2650342.237636135</v>
      </c>
      <c r="E76" s="36">
        <f>(SUM('Input data'!E$77:E$78)+SUMPRODUCT('Input data'!E$79:E$83,'Input data'!E$145:E$149))*'Input data'!E332</f>
        <v>2630147.3403888205</v>
      </c>
      <c r="F76" s="36">
        <f>(SUM('Input data'!F$77:F$78)+SUMPRODUCT('Input data'!F$79:F$83,'Input data'!F$145:F$149))*'Input data'!F332</f>
        <v>2271229.2489276128</v>
      </c>
      <c r="G76" s="36">
        <f>(SUM('Input data'!G$77:G$78)+SUMPRODUCT('Input data'!G$79:G$83,'Input data'!G$145:G$149))*'Input data'!G332</f>
        <v>2747043.9168293239</v>
      </c>
      <c r="I76"/>
    </row>
    <row r="77" spans="2:9" ht="14.45" customHeight="1">
      <c r="B77" s="34" t="s">
        <v>179</v>
      </c>
      <c r="C77" s="3" t="s">
        <v>221</v>
      </c>
      <c r="D77" s="36">
        <f>(SUM('Input data'!D$77:D$78)+SUMPRODUCT('Input data'!D$79:D$83,'Input data'!D$145:D$149))*'Input data'!D333</f>
        <v>527535.58576900885</v>
      </c>
      <c r="E77" s="36">
        <f>(SUM('Input data'!E$77:E$78)+SUMPRODUCT('Input data'!E$79:E$83,'Input data'!E$145:E$149))*'Input data'!E333</f>
        <v>523515.90604703873</v>
      </c>
      <c r="F77" s="36">
        <f>(SUM('Input data'!F$77:F$78)+SUMPRODUCT('Input data'!F$79:F$83,'Input data'!F$145:F$149))*'Input data'!F333</f>
        <v>452075.29625207168</v>
      </c>
      <c r="G77" s="36">
        <f>(SUM('Input data'!G$77:G$78)+SUMPRODUCT('Input data'!G$79:G$83,'Input data'!G$145:G$149))*'Input data'!G333</f>
        <v>546783.50637850922</v>
      </c>
      <c r="I77"/>
    </row>
    <row r="78" spans="2:9" ht="14.45" customHeight="1">
      <c r="B78" s="34" t="s">
        <v>181</v>
      </c>
      <c r="C78" s="3" t="s">
        <v>221</v>
      </c>
      <c r="D78" s="36">
        <f>(SUM('Input data'!D$77:D$78)+SUMPRODUCT('Input data'!D$79:D$83,'Input data'!D$145:D$149))*'Input data'!D334</f>
        <v>1511297.7749569886</v>
      </c>
      <c r="E78" s="36">
        <f>(SUM('Input data'!E$77:E$78)+SUMPRODUCT('Input data'!E$79:E$83,'Input data'!E$145:E$149))*'Input data'!E334</f>
        <v>1499782.0911173904</v>
      </c>
      <c r="F78" s="36">
        <f>(SUM('Input data'!F$77:F$78)+SUMPRODUCT('Input data'!F$79:F$83,'Input data'!F$145:F$149))*'Input data'!F334</f>
        <v>1295117.15942882</v>
      </c>
      <c r="G78" s="36">
        <f>(SUM('Input data'!G$77:G$78)+SUMPRODUCT('Input data'!G$79:G$83,'Input data'!G$145:G$149))*'Input data'!G334</f>
        <v>1566439.7224851009</v>
      </c>
      <c r="I78"/>
    </row>
    <row r="79" spans="2:9" ht="14.45" customHeight="1">
      <c r="B79" s="34" t="s">
        <v>183</v>
      </c>
      <c r="C79" s="3" t="s">
        <v>221</v>
      </c>
      <c r="D79" s="36">
        <f>(SUM('Input data'!D$77:D$78)+SUMPRODUCT('Input data'!D$79:D$83,'Input data'!D$145:D$149))*'Input data'!D335</f>
        <v>460151.99118812644</v>
      </c>
      <c r="E79" s="36">
        <f>(SUM('Input data'!E$77:E$78)+SUMPRODUCT('Input data'!E$79:E$83,'Input data'!E$145:E$149))*'Input data'!E335</f>
        <v>456645.75639013312</v>
      </c>
      <c r="F79" s="36">
        <f>(SUM('Input data'!F$77:F$78)+SUMPRODUCT('Input data'!F$79:F$83,'Input data'!F$145:F$149))*'Input data'!F335</f>
        <v>394330.45532674226</v>
      </c>
      <c r="G79" s="36">
        <f>(SUM('Input data'!G$77:G$78)+SUMPRODUCT('Input data'!G$79:G$83,'Input data'!G$145:G$149))*'Input data'!G335</f>
        <v>476941.32110940828</v>
      </c>
      <c r="I79"/>
    </row>
    <row r="80" spans="2:9" ht="14.45" customHeight="1">
      <c r="B80" s="34" t="s">
        <v>185</v>
      </c>
      <c r="C80" s="3" t="s">
        <v>221</v>
      </c>
      <c r="D80" s="36">
        <f>(SUM('Input data'!D$77:D$78)+SUMPRODUCT('Input data'!D$79:D$83,'Input data'!D$145:D$149))*'Input data'!D336</f>
        <v>1747372.2588321103</v>
      </c>
      <c r="E80" s="36">
        <f>(SUM('Input data'!E$77:E$78)+SUMPRODUCT('Input data'!E$79:E$83,'Input data'!E$145:E$149))*'Input data'!E336</f>
        <v>1734057.7507211145</v>
      </c>
      <c r="F80" s="36">
        <f>(SUM('Input data'!F$77:F$78)+SUMPRODUCT('Input data'!F$79:F$83,'Input data'!F$145:F$149))*'Input data'!F336</f>
        <v>1497422.8334239228</v>
      </c>
      <c r="G80" s="36">
        <f>(SUM('Input data'!G$77:G$78)+SUMPRODUCT('Input data'!G$79:G$83,'Input data'!G$145:G$149))*'Input data'!G336</f>
        <v>1811127.7350891579</v>
      </c>
      <c r="I80"/>
    </row>
    <row r="81" spans="2:9" ht="14.45" customHeight="1">
      <c r="B81" s="34" t="s">
        <v>187</v>
      </c>
      <c r="C81" s="3" t="s">
        <v>221</v>
      </c>
      <c r="D81" s="36">
        <f>(SUM('Input data'!D$77:D$78)+SUMPRODUCT('Input data'!D$79:D$83,'Input data'!D$145:D$149))*'Input data'!D337</f>
        <v>270847.51593538024</v>
      </c>
      <c r="E81" s="36">
        <f>(SUM('Input data'!E$77:E$78)+SUMPRODUCT('Input data'!E$79:E$83,'Input data'!E$145:E$149))*'Input data'!E337</f>
        <v>268783.73048294609</v>
      </c>
      <c r="F81" s="36">
        <f>(SUM('Input data'!F$77:F$78)+SUMPRODUCT('Input data'!F$79:F$83,'Input data'!F$145:F$149))*'Input data'!F337</f>
        <v>232104.66612813275</v>
      </c>
      <c r="G81" s="36">
        <f>(SUM('Input data'!G$77:G$78)+SUMPRODUCT('Input data'!G$79:G$83,'Input data'!G$145:G$149))*'Input data'!G337</f>
        <v>280729.79046744813</v>
      </c>
      <c r="I81"/>
    </row>
    <row r="82" spans="2:9" ht="14.45" customHeight="1">
      <c r="B82" s="34" t="s">
        <v>189</v>
      </c>
      <c r="C82" s="3" t="s">
        <v>221</v>
      </c>
      <c r="D82" s="36">
        <f>(SUM('Input data'!D$77:D$78)+SUMPRODUCT('Input data'!D$79:D$83,'Input data'!D$145:D$149))*'Input data'!D338</f>
        <v>75394.516807573702</v>
      </c>
      <c r="E82" s="36">
        <f>(SUM('Input data'!E$77:E$78)+SUMPRODUCT('Input data'!E$79:E$83,'Input data'!E$145:E$149))*'Input data'!E338</f>
        <v>74820.030804098977</v>
      </c>
      <c r="F82" s="36">
        <f>(SUM('Input data'!F$77:F$78)+SUMPRODUCT('Input data'!F$79:F$83,'Input data'!F$145:F$149))*'Input data'!F338</f>
        <v>64609.85655001858</v>
      </c>
      <c r="G82" s="36">
        <f>(SUM('Input data'!G$77:G$78)+SUMPRODUCT('Input data'!G$79:G$83,'Input data'!G$145:G$149))*'Input data'!G338</f>
        <v>78145.397910292813</v>
      </c>
      <c r="I82"/>
    </row>
    <row r="83" spans="2:9" ht="14.45" customHeight="1">
      <c r="B83" s="34" t="s">
        <v>191</v>
      </c>
      <c r="C83" s="3" t="s">
        <v>221</v>
      </c>
      <c r="D83" s="36">
        <f>(SUM('Input data'!D$77:D$78)+SUMPRODUCT('Input data'!D$79:D$83,'Input data'!D$145:D$149))*'Input data'!D339</f>
        <v>418662.90931027912</v>
      </c>
      <c r="E83" s="36">
        <f>(SUM('Input data'!E$77:E$78)+SUMPRODUCT('Input data'!E$79:E$83,'Input data'!E$145:E$149))*'Input data'!E339</f>
        <v>415472.81019224081</v>
      </c>
      <c r="F83" s="36">
        <f>(SUM('Input data'!F$77:F$78)+SUMPRODUCT('Input data'!F$79:F$83,'Input data'!F$145:F$149))*'Input data'!F339</f>
        <v>358776.09750306542</v>
      </c>
      <c r="G83" s="36">
        <f>(SUM('Input data'!G$77:G$78)+SUMPRODUCT('Input data'!G$79:G$83,'Input data'!G$145:G$149))*'Input data'!G339</f>
        <v>433938.44836002809</v>
      </c>
      <c r="I83"/>
    </row>
    <row r="84" spans="2:9" ht="14.45" customHeight="1">
      <c r="B84" s="34" t="s">
        <v>193</v>
      </c>
      <c r="C84" s="3" t="s">
        <v>221</v>
      </c>
      <c r="D84" s="36">
        <f>(SUM('Input data'!D$77:D$78)+SUMPRODUCT('Input data'!D$79:D$83,'Input data'!D$145:D$149))*'Input data'!D340</f>
        <v>426568.48045683431</v>
      </c>
      <c r="E84" s="36">
        <f>(SUM('Input data'!E$77:E$78)+SUMPRODUCT('Input data'!E$79:E$83,'Input data'!E$145:E$149))*'Input data'!E340</f>
        <v>423318.14300628228</v>
      </c>
      <c r="F84" s="36">
        <f>(SUM('Input data'!F$77:F$78)+SUMPRODUCT('Input data'!F$79:F$83,'Input data'!F$145:F$149))*'Input data'!F340</f>
        <v>365550.83178551379</v>
      </c>
      <c r="G84" s="36">
        <f>(SUM('Input data'!G$77:G$78)+SUMPRODUCT('Input data'!G$79:G$83,'Input data'!G$145:G$149))*'Input data'!G340</f>
        <v>442132.46603020473</v>
      </c>
      <c r="I84"/>
    </row>
    <row r="85" spans="2:9" ht="14.45" customHeight="1">
      <c r="B85" s="34" t="s">
        <v>195</v>
      </c>
      <c r="C85" s="3" t="s">
        <v>221</v>
      </c>
      <c r="D85" s="36">
        <f>(SUM('Input data'!D$77:D$78)+SUMPRODUCT('Input data'!D$79:D$83,'Input data'!D$145:D$149))*'Input data'!D341</f>
        <v>294466.70623894472</v>
      </c>
      <c r="E85" s="36">
        <f>(SUM('Input data'!E$77:E$78)+SUMPRODUCT('Input data'!E$79:E$83,'Input data'!E$145:E$149))*'Input data'!E341</f>
        <v>292222.94888911868</v>
      </c>
      <c r="F85" s="36">
        <f>(SUM('Input data'!F$77:F$78)+SUMPRODUCT('Input data'!F$79:F$83,'Input data'!F$145:F$149))*'Input data'!F341</f>
        <v>252345.29584442524</v>
      </c>
      <c r="G85" s="36">
        <f>(SUM('Input data'!G$77:G$78)+SUMPRODUCT('Input data'!G$79:G$83,'Input data'!G$145:G$149))*'Input data'!G341</f>
        <v>305210.76206518058</v>
      </c>
      <c r="I85"/>
    </row>
    <row r="86" spans="2:9" ht="14.45" customHeight="1">
      <c r="B86" s="34" t="s">
        <v>197</v>
      </c>
      <c r="C86" s="3" t="s">
        <v>221</v>
      </c>
      <c r="D86" s="36">
        <f>(SUM('Input data'!D$77:D$78)+SUMPRODUCT('Input data'!D$79:D$83,'Input data'!D$145:D$149))*'Input data'!D342</f>
        <v>174115.00218173882</v>
      </c>
      <c r="E86" s="36">
        <f>(SUM('Input data'!E$77:E$78)+SUMPRODUCT('Input data'!E$79:E$83,'Input data'!E$145:E$149))*'Input data'!E342</f>
        <v>172788.29254841528</v>
      </c>
      <c r="F86" s="36">
        <f>(SUM('Input data'!F$77:F$78)+SUMPRODUCT('Input data'!F$79:F$83,'Input data'!F$145:F$149))*'Input data'!F342</f>
        <v>149209.06440557295</v>
      </c>
      <c r="G86" s="36">
        <f>(SUM('Input data'!G$77:G$78)+SUMPRODUCT('Input data'!G$79:G$83,'Input data'!G$145:G$149))*'Input data'!G342</f>
        <v>180467.84705007446</v>
      </c>
      <c r="I86"/>
    </row>
    <row r="87" spans="2:9" ht="14.45" customHeight="1">
      <c r="B87" s="34" t="s">
        <v>199</v>
      </c>
      <c r="C87" s="3" t="s">
        <v>221</v>
      </c>
      <c r="D87" s="36">
        <f>(SUM('Input data'!D$77:D$78)+SUMPRODUCT('Input data'!D$79:D$83,'Input data'!D$145:D$149))*'Input data'!D343</f>
        <v>211724.6854616355</v>
      </c>
      <c r="E87" s="36">
        <f>(SUM('Input data'!E$77:E$78)+SUMPRODUCT('Input data'!E$79:E$83,'Input data'!E$145:E$149))*'Input data'!E343</f>
        <v>210111.40012553823</v>
      </c>
      <c r="F87" s="36">
        <f>(SUM('Input data'!F$77:F$78)+SUMPRODUCT('Input data'!F$79:F$83,'Input data'!F$145:F$149))*'Input data'!F343</f>
        <v>181438.94456791464</v>
      </c>
      <c r="G87" s="36">
        <f>(SUM('Input data'!G$77:G$78)+SUMPRODUCT('Input data'!G$79:G$83,'Input data'!G$145:G$149))*'Input data'!G343</f>
        <v>219449.77557265869</v>
      </c>
      <c r="I87"/>
    </row>
    <row r="88" spans="2:9" ht="14.45" customHeight="1">
      <c r="B88" s="34" t="s">
        <v>201</v>
      </c>
      <c r="C88" s="3" t="s">
        <v>221</v>
      </c>
      <c r="D88" s="36">
        <f>(SUM('Input data'!D$77:D$78)+SUMPRODUCT('Input data'!D$79:D$83,'Input data'!D$145:D$149))*'Input data'!D344</f>
        <v>698233.36421518959</v>
      </c>
      <c r="E88" s="36">
        <f>(SUM('Input data'!E$77:E$78)+SUMPRODUCT('Input data'!E$79:E$83,'Input data'!E$145:E$149))*'Input data'!E344</f>
        <v>692913.01318854303</v>
      </c>
      <c r="F88" s="36">
        <f>(SUM('Input data'!F$77:F$78)+SUMPRODUCT('Input data'!F$79:F$83,'Input data'!F$145:F$149))*'Input data'!F344</f>
        <v>598355.94696521095</v>
      </c>
      <c r="G88" s="36">
        <f>(SUM('Input data'!G$77:G$78)+SUMPRODUCT('Input data'!G$79:G$83,'Input data'!G$145:G$149))*'Input data'!G344</f>
        <v>723709.44720156665</v>
      </c>
      <c r="I88"/>
    </row>
    <row r="89" spans="2:9" ht="14.45" customHeight="1">
      <c r="B89" s="34" t="s">
        <v>203</v>
      </c>
      <c r="C89" s="3" t="s">
        <v>221</v>
      </c>
      <c r="D89" s="36">
        <f>(SUM('Input data'!D$77:D$78)+SUMPRODUCT('Input data'!D$79:D$83,'Input data'!D$145:D$149))*'Input data'!D345</f>
        <v>874460.28046467097</v>
      </c>
      <c r="E89" s="36">
        <f>(SUM('Input data'!E$77:E$78)+SUMPRODUCT('Input data'!E$79:E$83,'Input data'!E$145:E$149))*'Input data'!E345</f>
        <v>867797.127585746</v>
      </c>
      <c r="F89" s="36">
        <f>(SUM('Input data'!F$77:F$78)+SUMPRODUCT('Input data'!F$79:F$83,'Input data'!F$145:F$149))*'Input data'!F345</f>
        <v>749374.83084759105</v>
      </c>
      <c r="G89" s="36">
        <f>(SUM('Input data'!G$77:G$78)+SUMPRODUCT('Input data'!G$79:G$83,'Input data'!G$145:G$149))*'Input data'!G345</f>
        <v>906366.26464583178</v>
      </c>
      <c r="I89"/>
    </row>
    <row r="90" spans="2:9" ht="14.45" customHeight="1">
      <c r="B90" s="34" t="s">
        <v>205</v>
      </c>
      <c r="C90" s="3" t="s">
        <v>221</v>
      </c>
      <c r="D90" s="36">
        <f>(SUM('Input data'!D$77:D$78)+SUMPRODUCT('Input data'!D$79:D$83,'Input data'!D$145:D$149))*'Input data'!D346</f>
        <v>6302979.3219628185</v>
      </c>
      <c r="E90" s="36">
        <f>(SUM('Input data'!E$77:E$78)+SUMPRODUCT('Input data'!E$79:E$83,'Input data'!E$145:E$149))*'Input data'!E346</f>
        <v>6254952.3094693245</v>
      </c>
      <c r="F90" s="36">
        <f>(SUM('Input data'!F$77:F$78)+SUMPRODUCT('Input data'!F$79:F$83,'Input data'!F$145:F$149))*'Input data'!F346</f>
        <v>5401382.0510199564</v>
      </c>
      <c r="G90" s="36">
        <f>(SUM('Input data'!G$77:G$78)+SUMPRODUCT('Input data'!G$79:G$83,'Input data'!G$145:G$149))*'Input data'!G346</f>
        <v>6532952.8988459986</v>
      </c>
      <c r="I90"/>
    </row>
    <row r="91" spans="2:9" ht="14.45" customHeight="1">
      <c r="B91" s="34" t="s">
        <v>207</v>
      </c>
      <c r="C91" s="3" t="s">
        <v>221</v>
      </c>
      <c r="D91" s="36">
        <f>(SUM('Input data'!D$77:D$78)+SUMPRODUCT('Input data'!D$79:D$83,'Input data'!D$145:D$149))*'Input data'!D347</f>
        <v>13577960.651858555</v>
      </c>
      <c r="E91" s="36">
        <f>(SUM('Input data'!E$77:E$78)+SUMPRODUCT('Input data'!E$79:E$83,'Input data'!E$145:E$149))*'Input data'!E347</f>
        <v>13474500.232181991</v>
      </c>
      <c r="F91" s="36">
        <f>(SUM('Input data'!F$77:F$78)+SUMPRODUCT('Input data'!F$79:F$83,'Input data'!F$145:F$149))*'Input data'!F347</f>
        <v>11635727.995941641</v>
      </c>
      <c r="G91" s="36">
        <f>(SUM('Input data'!G$77:G$78)+SUMPRODUCT('Input data'!G$79:G$83,'Input data'!G$145:G$149))*'Input data'!G347</f>
        <v>14073372.744835973</v>
      </c>
      <c r="I91"/>
    </row>
    <row r="92" spans="2:9" ht="14.45" customHeight="1">
      <c r="B92" s="34" t="s">
        <v>209</v>
      </c>
      <c r="C92" s="3" t="s">
        <v>221</v>
      </c>
      <c r="D92" s="36">
        <f>(SUM('Input data'!D$77:D$78)+SUMPRODUCT('Input data'!D$79:D$83,'Input data'!D$145:D$149))*'Input data'!D348</f>
        <v>5725553.9657092011</v>
      </c>
      <c r="E92" s="36">
        <f>(SUM('Input data'!E$77:E$78)+SUMPRODUCT('Input data'!E$79:E$83,'Input data'!E$145:E$149))*'Input data'!E348</f>
        <v>5681926.7796124434</v>
      </c>
      <c r="F92" s="36">
        <f>(SUM('Input data'!F$77:F$78)+SUMPRODUCT('Input data'!F$79:F$83,'Input data'!F$145:F$149))*'Input data'!F348</f>
        <v>4906553.3683041083</v>
      </c>
      <c r="G92" s="36">
        <f>(SUM('Input data'!G$77:G$78)+SUMPRODUCT('Input data'!G$79:G$83,'Input data'!G$145:G$149))*'Input data'!G348</f>
        <v>5934459.3194906535</v>
      </c>
      <c r="I92"/>
    </row>
    <row r="93" spans="2:9" ht="14.45" customHeight="1">
      <c r="B93" s="34" t="s">
        <v>210</v>
      </c>
      <c r="C93" s="3" t="s">
        <v>221</v>
      </c>
      <c r="D93" s="36">
        <f>(SUM('Input data'!D$77:D$78)+SUMPRODUCT('Input data'!D$79:D$83,'Input data'!D$145:D$149))*'Input data'!D349</f>
        <v>141385.71584325258</v>
      </c>
      <c r="E93" s="36">
        <f>(SUM('Input data'!E$77:E$78)+SUMPRODUCT('Input data'!E$79:E$83,'Input data'!E$145:E$149))*'Input data'!E349</f>
        <v>140308.39459652972</v>
      </c>
      <c r="F93" s="36">
        <f>(SUM('Input data'!F$77:F$78)+SUMPRODUCT('Input data'!F$79:F$83,'Input data'!F$145:F$149))*'Input data'!F349</f>
        <v>121161.4744102531</v>
      </c>
      <c r="G93" s="36">
        <f>(SUM('Input data'!G$77:G$78)+SUMPRODUCT('Input data'!G$79:G$83,'Input data'!G$145:G$149))*'Input data'!G349</f>
        <v>146544.38401139376</v>
      </c>
      <c r="I93"/>
    </row>
    <row r="94" spans="2:9" ht="14.45" customHeight="1">
      <c r="B94" s="34" t="s">
        <v>212</v>
      </c>
      <c r="C94" s="3" t="s">
        <v>221</v>
      </c>
      <c r="D94" s="36">
        <f>(SUM('Input data'!D$77:D$78)+SUMPRODUCT('Input data'!D$79:D$83,'Input data'!D$145:D$149))*'Input data'!D350</f>
        <v>11117664.587172469</v>
      </c>
      <c r="E94" s="36">
        <f>(SUM('Input data'!E$77:E$78)+SUMPRODUCT('Input data'!E$79:E$83,'Input data'!E$145:E$149))*'Input data'!E350</f>
        <v>11032950.963860068</v>
      </c>
      <c r="F94" s="36">
        <f>(SUM('Input data'!F$77:F$78)+SUMPRODUCT('Input data'!F$79:F$83,'Input data'!F$145:F$149))*'Input data'!F350</f>
        <v>9527360.139222715</v>
      </c>
      <c r="G94" s="36">
        <f>(SUM('Input data'!G$77:G$78)+SUMPRODUCT('Input data'!G$79:G$83,'Input data'!G$145:G$149))*'Input data'!G350</f>
        <v>11523309.118289748</v>
      </c>
      <c r="I94"/>
    </row>
    <row r="95" spans="2:9" ht="14.45" customHeight="1">
      <c r="B95" s="34" t="s">
        <v>213</v>
      </c>
      <c r="C95" s="3" t="s">
        <v>221</v>
      </c>
      <c r="D95" s="36">
        <f>(SUM('Input data'!D$77:D$78)+SUMPRODUCT('Input data'!D$79:D$83,'Input data'!D$145:D$149))*'Input data'!D351</f>
        <v>41463.967224068758</v>
      </c>
      <c r="E95" s="36">
        <f>(SUM('Input data'!E$77:E$78)+SUMPRODUCT('Input data'!E$79:E$83,'Input data'!E$145:E$149))*'Input data'!E351</f>
        <v>41148.02291104188</v>
      </c>
      <c r="F95" s="36">
        <f>(SUM('Input data'!F$77:F$78)+SUMPRODUCT('Input data'!F$79:F$83,'Input data'!F$145:F$149))*'Input data'!F351</f>
        <v>35532.835646114778</v>
      </c>
      <c r="G95" s="36">
        <f>(SUM('Input data'!G$77:G$78)+SUMPRODUCT('Input data'!G$79:G$83,'Input data'!G$145:G$149))*'Input data'!G351</f>
        <v>42976.841750097985</v>
      </c>
      <c r="I95"/>
    </row>
    <row r="98" spans="2:7" ht="28.9" customHeight="1">
      <c r="B98" s="31" t="s">
        <v>265</v>
      </c>
      <c r="C98" s="4"/>
      <c r="D98" s="4"/>
      <c r="E98" s="4"/>
      <c r="F98" s="4"/>
      <c r="G98" s="4"/>
    </row>
    <row r="99" spans="2:7" ht="14.45" customHeight="1">
      <c r="B99" s="35" t="s">
        <v>264</v>
      </c>
    </row>
    <row r="100" spans="2:7" ht="14.45" customHeight="1">
      <c r="B100" s="8" t="s">
        <v>1</v>
      </c>
      <c r="C100" s="8" t="s">
        <v>215</v>
      </c>
      <c r="D100" s="5"/>
      <c r="E100" s="5"/>
      <c r="F100" s="5"/>
      <c r="G100" s="5"/>
    </row>
    <row r="101" spans="2:7" ht="14.45" customHeight="1">
      <c r="B101" s="24"/>
      <c r="C101" s="24"/>
      <c r="D101" s="22" t="str">
        <f>'Input data'!D$5</f>
        <v>2023-24</v>
      </c>
      <c r="E101" s="22" t="str">
        <f>'Input data'!E$5</f>
        <v>2024-25</v>
      </c>
      <c r="F101" s="22" t="str">
        <f>'Input data'!F$5</f>
        <v>2025-26</v>
      </c>
      <c r="G101" s="22" t="str">
        <f>'Input data'!G$5</f>
        <v>2026-27</v>
      </c>
    </row>
    <row r="102" spans="2:7" ht="14.45" customHeight="1">
      <c r="B102" s="23"/>
      <c r="C102" s="23"/>
      <c r="D102" s="7"/>
      <c r="E102" s="7"/>
      <c r="F102" s="7"/>
      <c r="G102" s="7"/>
    </row>
    <row r="103" spans="2:7" ht="14.45" customHeight="1">
      <c r="B103" s="34" t="s">
        <v>0</v>
      </c>
      <c r="C103" s="3" t="s">
        <v>217</v>
      </c>
      <c r="D103" s="51">
        <f>SUMPRODUCT('A4a.CWD Entry Av. Distance'!$D7:$D11,'Distance Matrix_Entry'!C$23:C$27)/SUMIFS('A4a.CWD Entry Av. Distance'!$D7:$D11,'Distance Matrix_Entry'!C$23:C$27,"&gt;0")</f>
        <v>471.59134818736334</v>
      </c>
      <c r="E103" s="51">
        <f>SUMPRODUCT('A4a.CWD Entry Av. Distance'!$E7:$E11,'Distance Matrix_Entry'!C$23:C$27)/SUMIFS('A4a.CWD Entry Av. Distance'!$E7:$E11,'Distance Matrix_Entry'!C$23:C$27,"&gt;0")</f>
        <v>473.32487720321404</v>
      </c>
      <c r="F103" s="51">
        <f>SUMPRODUCT('A4a.CWD Entry Av. Distance'!$F7:$F11,'Distance Matrix_Entry'!C$23:C$27)/SUMIFS('A4a.CWD Entry Av. Distance'!$F7:$F11,'Distance Matrix_Entry'!C$23:C$27,"&gt;0")</f>
        <v>472.83241190848685</v>
      </c>
      <c r="G103" s="51">
        <f>SUMPRODUCT('A4a.CWD Entry Av. Distance'!$G7:$G11,'Distance Matrix_Entry'!C$23:C$27)/SUMIFS('A4a.CWD Entry Av. Distance'!$G7:$G11,'Distance Matrix_Entry'!C$23:C$27,"&gt;0")</f>
        <v>471.7676762295024</v>
      </c>
    </row>
    <row r="104" spans="2:7" ht="14.45" customHeight="1">
      <c r="B104" s="34" t="s">
        <v>216</v>
      </c>
      <c r="C104" s="3" t="s">
        <v>217</v>
      </c>
      <c r="D104" s="51">
        <f>SUMPRODUCT('A4a.CWD Entry Av. Distance'!$D7:$D11,'Distance Matrix_Entry'!D$23:D$27)/SUMIFS('A4a.CWD Entry Av. Distance'!$D7:$D11,'Distance Matrix_Entry'!D$23:D$27,"&gt;0")</f>
        <v>535.30694466550392</v>
      </c>
      <c r="E104" s="51">
        <f>SUMPRODUCT('A4a.CWD Entry Av. Distance'!$E7:$E11,'Distance Matrix_Entry'!D$23:D$27)/SUMIFS('A4a.CWD Entry Av. Distance'!$E7:$E11,'Distance Matrix_Entry'!D$23:D$27,"&gt;0")</f>
        <v>536.66770274358225</v>
      </c>
      <c r="F104" s="51">
        <f>SUMPRODUCT('A4a.CWD Entry Av. Distance'!$F7:$F11,'Distance Matrix_Entry'!D$23:D$27)/SUMIFS('A4a.CWD Entry Av. Distance'!$F7:$F11,'Distance Matrix_Entry'!D$23:D$27,"&gt;0")</f>
        <v>537.79941724629282</v>
      </c>
      <c r="G104" s="51">
        <f>SUMPRODUCT('A4a.CWD Entry Av. Distance'!$G7:$G11,'Distance Matrix_Entry'!D$23:D$27)/SUMIFS('A4a.CWD Entry Av. Distance'!$G7:$G11,'Distance Matrix_Entry'!D$23:D$27,"&gt;0")</f>
        <v>536.82724314735742</v>
      </c>
    </row>
    <row r="105" spans="2:7" ht="14.45" customHeight="1">
      <c r="B105" s="34" t="s">
        <v>218</v>
      </c>
      <c r="C105" s="3" t="s">
        <v>14</v>
      </c>
      <c r="D105" s="51">
        <f>SUMPRODUCT('A4a.CWD Entry Av. Distance'!$D7:$D11,'Distance Matrix_Entry'!E$23:E$27)/SUMIFS('A4a.CWD Entry Av. Distance'!$D7:$D11,'Distance Matrix_Entry'!E$23:E$27,"&gt;0")</f>
        <v>442.4345899080364</v>
      </c>
      <c r="E105" s="51">
        <f>SUMPRODUCT('A4a.CWD Entry Av. Distance'!$E7:$E11,'Distance Matrix_Entry'!E$23:E$27)/SUMIFS('A4a.CWD Entry Av. Distance'!$E7:$E11,'Distance Matrix_Entry'!E$23:E$27,"&gt;0")</f>
        <v>449.67190827754371</v>
      </c>
      <c r="F105" s="51">
        <f>SUMPRODUCT('A4a.CWD Entry Av. Distance'!$F7:$F11,'Distance Matrix_Entry'!E$23:E$27)/SUMIFS('A4a.CWD Entry Av. Distance'!$F7:$F11,'Distance Matrix_Entry'!E$23:E$27,"&gt;0")</f>
        <v>432.06055177726307</v>
      </c>
      <c r="G105" s="51">
        <f>SUMPRODUCT('A4a.CWD Entry Av. Distance'!$G7:$G11,'Distance Matrix_Entry'!E$23:E$27)/SUMIFS('A4a.CWD Entry Av. Distance'!$G7:$G11,'Distance Matrix_Entry'!E$23:E$27,"&gt;0")</f>
        <v>427.37119856051498</v>
      </c>
    </row>
    <row r="106" spans="2:7" ht="14.45" customHeight="1">
      <c r="B106" s="34" t="s">
        <v>219</v>
      </c>
      <c r="C106" s="3" t="s">
        <v>15</v>
      </c>
      <c r="D106" s="51">
        <f>SUMPRODUCT('A4a.CWD Entry Av. Distance'!$D7:$D11,'Distance Matrix_Entry'!F$23:F$27)/SUMIFS('A4a.CWD Entry Av. Distance'!$D7:$D11,'Distance Matrix_Entry'!F$23:F$27,"&gt;0")</f>
        <v>275.06927944782296</v>
      </c>
      <c r="E106" s="51">
        <f>SUMPRODUCT('A4a.CWD Entry Av. Distance'!$E7:$E11,'Distance Matrix_Entry'!F$23:F$27)/SUMIFS('A4a.CWD Entry Av. Distance'!$E7:$E11,'Distance Matrix_Entry'!F$23:F$27,"&gt;0")</f>
        <v>274.91792733650556</v>
      </c>
      <c r="F106" s="51">
        <f>SUMPRODUCT('A4a.CWD Entry Av. Distance'!$F7:$F11,'Distance Matrix_Entry'!F$23:F$27)/SUMIFS('A4a.CWD Entry Av. Distance'!$F7:$F11,'Distance Matrix_Entry'!F$23:F$27,"&gt;0")</f>
        <v>276.67792111710298</v>
      </c>
      <c r="G106" s="51">
        <f>SUMPRODUCT('A4a.CWD Entry Av. Distance'!$G7:$G11,'Distance Matrix_Entry'!F$23:F$27)/SUMIFS('A4a.CWD Entry Av. Distance'!$G7:$G11,'Distance Matrix_Entry'!F$23:F$27,"&gt;0")</f>
        <v>276.66959398405203</v>
      </c>
    </row>
    <row r="107" spans="2:7" ht="14.45" customHeight="1">
      <c r="B107" s="34" t="s">
        <v>55</v>
      </c>
      <c r="C107" s="3" t="s">
        <v>221</v>
      </c>
      <c r="D107" s="51">
        <f>SUMPRODUCT('A4a.CWD Entry Av. Distance'!$D7:$D11,'Distance Matrix_Entry'!G$23:G$27)/SUMIFS('A4a.CWD Entry Av. Distance'!$D7:$D11,'Distance Matrix_Entry'!G$23:G$27,"&gt;0")</f>
        <v>134.00086323153113</v>
      </c>
      <c r="E107" s="51">
        <f>SUMPRODUCT('A4a.CWD Entry Av. Distance'!$E7:$E11,'Distance Matrix_Entry'!G$23:G$27)/SUMIFS('A4a.CWD Entry Av. Distance'!$E7:$E11,'Distance Matrix_Entry'!G$23:G$27,"&gt;0")</f>
        <v>134.88362755372322</v>
      </c>
      <c r="F107" s="51">
        <f>SUMPRODUCT('A4a.CWD Entry Av. Distance'!$F7:$F11,'Distance Matrix_Entry'!G$23:G$27)/SUMIFS('A4a.CWD Entry Av. Distance'!$F7:$F11,'Distance Matrix_Entry'!G$23:G$27,"&gt;0")</f>
        <v>120.31673267080365</v>
      </c>
      <c r="G107" s="51">
        <f>SUMPRODUCT('A4a.CWD Entry Av. Distance'!$G7:$G11,'Distance Matrix_Entry'!G$23:G$27)/SUMIFS('A4a.CWD Entry Av. Distance'!$G7:$G11,'Distance Matrix_Entry'!G$23:G$27,"&gt;0")</f>
        <v>120.68787674443114</v>
      </c>
    </row>
    <row r="108" spans="2:7" ht="14.45" customHeight="1">
      <c r="B108" s="34" t="s">
        <v>57</v>
      </c>
      <c r="C108" s="3" t="s">
        <v>221</v>
      </c>
      <c r="D108" s="51">
        <f>SUMPRODUCT('A4a.CWD Entry Av. Distance'!$D7:$D11,'Distance Matrix_Entry'!H$23:H$27)/SUMIFS('A4a.CWD Entry Av. Distance'!$D7:$D11,'Distance Matrix_Entry'!H$23:H$27,"&gt;0")</f>
        <v>157.88409075711948</v>
      </c>
      <c r="E108" s="51">
        <f>SUMPRODUCT('A4a.CWD Entry Av. Distance'!$E7:$E11,'Distance Matrix_Entry'!H$23:H$27)/SUMIFS('A4a.CWD Entry Av. Distance'!$E7:$E11,'Distance Matrix_Entry'!H$23:H$27,"&gt;0")</f>
        <v>158.78501497328426</v>
      </c>
      <c r="F108" s="51">
        <f>SUMPRODUCT('A4a.CWD Entry Av. Distance'!$F7:$F11,'Distance Matrix_Entry'!H$23:H$27)/SUMIFS('A4a.CWD Entry Av. Distance'!$F7:$F11,'Distance Matrix_Entry'!H$23:H$27,"&gt;0")</f>
        <v>144.80794862875553</v>
      </c>
      <c r="G108" s="51">
        <f>SUMPRODUCT('A4a.CWD Entry Av. Distance'!$G7:$G11,'Distance Matrix_Entry'!H$23:H$27)/SUMIFS('A4a.CWD Entry Av. Distance'!$G7:$G11,'Distance Matrix_Entry'!H$23:H$27,"&gt;0")</f>
        <v>145.12838760342885</v>
      </c>
    </row>
    <row r="109" spans="2:7" ht="14.45" customHeight="1">
      <c r="B109" s="34" t="s">
        <v>59</v>
      </c>
      <c r="C109" s="3" t="s">
        <v>221</v>
      </c>
      <c r="D109" s="51">
        <f>SUMPRODUCT('A4a.CWD Entry Av. Distance'!$D7:$D11,'Distance Matrix_Entry'!I$23:I$27)/SUMIFS('A4a.CWD Entry Av. Distance'!$D7:$D11,'Distance Matrix_Entry'!I$23:I$27,"&gt;0")</f>
        <v>149.5730907571195</v>
      </c>
      <c r="E109" s="51">
        <f>SUMPRODUCT('A4a.CWD Entry Av. Distance'!$E7:$E11,'Distance Matrix_Entry'!I$23:I$27)/SUMIFS('A4a.CWD Entry Av. Distance'!$E7:$E11,'Distance Matrix_Entry'!I$23:I$27,"&gt;0")</f>
        <v>150.47401497328423</v>
      </c>
      <c r="F109" s="51">
        <f>SUMPRODUCT('A4a.CWD Entry Av. Distance'!$F7:$F11,'Distance Matrix_Entry'!I$23:I$27)/SUMIFS('A4a.CWD Entry Av. Distance'!$F7:$F11,'Distance Matrix_Entry'!I$23:I$27,"&gt;0")</f>
        <v>136.49694862875555</v>
      </c>
      <c r="G109" s="51">
        <f>SUMPRODUCT('A4a.CWD Entry Av. Distance'!$G7:$G11,'Distance Matrix_Entry'!I$23:I$27)/SUMIFS('A4a.CWD Entry Av. Distance'!$G7:$G11,'Distance Matrix_Entry'!I$23:I$27,"&gt;0")</f>
        <v>136.81738760342887</v>
      </c>
    </row>
    <row r="110" spans="2:7" ht="14.45" customHeight="1">
      <c r="B110" s="34" t="s">
        <v>61</v>
      </c>
      <c r="C110" s="3" t="s">
        <v>221</v>
      </c>
      <c r="D110" s="51">
        <f>SUMPRODUCT('A4a.CWD Entry Av. Distance'!$D7:$D11,'Distance Matrix_Entry'!J$23:J$27)/SUMIFS('A4a.CWD Entry Av. Distance'!$D7:$D11,'Distance Matrix_Entry'!J$23:J$27,"&gt;0")</f>
        <v>157.8830907571195</v>
      </c>
      <c r="E110" s="51">
        <f>SUMPRODUCT('A4a.CWD Entry Av. Distance'!$E7:$E11,'Distance Matrix_Entry'!J$23:J$27)/SUMIFS('A4a.CWD Entry Av. Distance'!$E7:$E11,'Distance Matrix_Entry'!J$23:J$27,"&gt;0")</f>
        <v>158.78401497328429</v>
      </c>
      <c r="F110" s="51">
        <f>SUMPRODUCT('A4a.CWD Entry Av. Distance'!$F7:$F11,'Distance Matrix_Entry'!J$23:J$27)/SUMIFS('A4a.CWD Entry Av. Distance'!$F7:$F11,'Distance Matrix_Entry'!J$23:J$27,"&gt;0")</f>
        <v>144.80694862875555</v>
      </c>
      <c r="G110" s="51">
        <f>SUMPRODUCT('A4a.CWD Entry Av. Distance'!$G7:$G11,'Distance Matrix_Entry'!J$23:J$27)/SUMIFS('A4a.CWD Entry Av. Distance'!$G7:$G11,'Distance Matrix_Entry'!J$23:J$27,"&gt;0")</f>
        <v>145.12738760342884</v>
      </c>
    </row>
    <row r="111" spans="2:7" ht="14.45" customHeight="1">
      <c r="B111" s="34" t="s">
        <v>62</v>
      </c>
      <c r="C111" s="3" t="s">
        <v>221</v>
      </c>
      <c r="D111" s="51">
        <f>SUMPRODUCT('A4a.CWD Entry Av. Distance'!$D7:$D11,'Distance Matrix_Entry'!K$23:K$27)/SUMIFS('A4a.CWD Entry Av. Distance'!$D7:$D11,'Distance Matrix_Entry'!K$23:K$27,"&gt;0")</f>
        <v>144.37646026986533</v>
      </c>
      <c r="E111" s="51">
        <f>SUMPRODUCT('A4a.CWD Entry Av. Distance'!$E7:$E11,'Distance Matrix_Entry'!K$23:K$27)/SUMIFS('A4a.CWD Entry Av. Distance'!$E7:$E11,'Distance Matrix_Entry'!K$23:K$27,"&gt;0")</f>
        <v>145.30312248446791</v>
      </c>
      <c r="F111" s="51">
        <f>SUMPRODUCT('A4a.CWD Entry Av. Distance'!$F7:$F11,'Distance Matrix_Entry'!K$23:K$27)/SUMIFS('A4a.CWD Entry Av. Distance'!$F7:$F11,'Distance Matrix_Entry'!K$23:K$27,"&gt;0")</f>
        <v>132.16201950087552</v>
      </c>
      <c r="G111" s="51">
        <f>SUMPRODUCT('A4a.CWD Entry Av. Distance'!$G7:$G11,'Distance Matrix_Entry'!K$23:K$27)/SUMIFS('A4a.CWD Entry Av. Distance'!$G7:$G11,'Distance Matrix_Entry'!K$23:K$27,"&gt;0")</f>
        <v>132.41059419266085</v>
      </c>
    </row>
    <row r="112" spans="2:7" ht="14.45" customHeight="1">
      <c r="B112" s="34" t="s">
        <v>64</v>
      </c>
      <c r="C112" s="3" t="s">
        <v>221</v>
      </c>
      <c r="D112" s="51">
        <f>SUMPRODUCT('A4a.CWD Entry Av. Distance'!$D7:$D11,'Distance Matrix_Entry'!L$23:L$27)/SUMIFS('A4a.CWD Entry Av. Distance'!$D7:$D11,'Distance Matrix_Entry'!L$23:L$27,"&gt;0")</f>
        <v>152.4463690774586</v>
      </c>
      <c r="E112" s="51">
        <f>SUMPRODUCT('A4a.CWD Entry Av. Distance'!$E7:$E11,'Distance Matrix_Entry'!L$23:L$27)/SUMIFS('A4a.CWD Entry Av. Distance'!$E7:$E11,'Distance Matrix_Entry'!L$23:L$27,"&gt;0")</f>
        <v>153.40717409726926</v>
      </c>
      <c r="F112" s="51">
        <f>SUMPRODUCT('A4a.CWD Entry Av. Distance'!$F7:$F11,'Distance Matrix_Entry'!L$23:L$27)/SUMIFS('A4a.CWD Entry Av. Distance'!$F7:$F11,'Distance Matrix_Entry'!L$23:L$27,"&gt;0")</f>
        <v>141.37502036870924</v>
      </c>
      <c r="G112" s="51">
        <f>SUMPRODUCT('A4a.CWD Entry Av. Distance'!$G7:$G11,'Distance Matrix_Entry'!L$23:L$27)/SUMIFS('A4a.CWD Entry Av. Distance'!$G7:$G11,'Distance Matrix_Entry'!L$23:L$27,"&gt;0")</f>
        <v>141.52826331906175</v>
      </c>
    </row>
    <row r="113" spans="2:7" ht="14.45" customHeight="1">
      <c r="B113" s="34" t="s">
        <v>66</v>
      </c>
      <c r="C113" s="3" t="s">
        <v>221</v>
      </c>
      <c r="D113" s="51">
        <f>SUMPRODUCT('A4a.CWD Entry Av. Distance'!$D7:$D11,'Distance Matrix_Entry'!M$23:M$27)/SUMIFS('A4a.CWD Entry Av. Distance'!$D7:$D11,'Distance Matrix_Entry'!M$23:M$27,"&gt;0")</f>
        <v>164.14309075711947</v>
      </c>
      <c r="E113" s="51">
        <f>SUMPRODUCT('A4a.CWD Entry Av. Distance'!$E7:$E11,'Distance Matrix_Entry'!M$23:M$27)/SUMIFS('A4a.CWD Entry Av. Distance'!$E7:$E11,'Distance Matrix_Entry'!M$23:M$27,"&gt;0")</f>
        <v>165.04401497328422</v>
      </c>
      <c r="F113" s="51">
        <f>SUMPRODUCT('A4a.CWD Entry Av. Distance'!$F7:$F11,'Distance Matrix_Entry'!M$23:M$27)/SUMIFS('A4a.CWD Entry Av. Distance'!$F7:$F11,'Distance Matrix_Entry'!M$23:M$27,"&gt;0")</f>
        <v>151.06694862875554</v>
      </c>
      <c r="G113" s="51">
        <f>SUMPRODUCT('A4a.CWD Entry Av. Distance'!$G7:$G11,'Distance Matrix_Entry'!M$23:M$27)/SUMIFS('A4a.CWD Entry Av. Distance'!$G7:$G11,'Distance Matrix_Entry'!M$23:M$27,"&gt;0")</f>
        <v>151.38738760342886</v>
      </c>
    </row>
    <row r="114" spans="2:7" ht="14.45" customHeight="1">
      <c r="B114" s="34" t="s">
        <v>68</v>
      </c>
      <c r="C114" s="3" t="s">
        <v>221</v>
      </c>
      <c r="D114" s="51">
        <f>SUMPRODUCT('A4a.CWD Entry Av. Distance'!$D7:$D11,'Distance Matrix_Entry'!N$23:N$27)/SUMIFS('A4a.CWD Entry Av. Distance'!$D7:$D11,'Distance Matrix_Entry'!N$23:N$27,"&gt;0")</f>
        <v>163.3234858721969</v>
      </c>
      <c r="E114" s="51">
        <f>SUMPRODUCT('A4a.CWD Entry Av. Distance'!$E7:$E11,'Distance Matrix_Entry'!N$23:N$27)/SUMIFS('A4a.CWD Entry Av. Distance'!$E7:$E11,'Distance Matrix_Entry'!N$23:N$27,"&gt;0")</f>
        <v>164.33031065366825</v>
      </c>
      <c r="F114" s="51">
        <f>SUMPRODUCT('A4a.CWD Entry Av. Distance'!$F7:$F11,'Distance Matrix_Entry'!N$23:N$27)/SUMIFS('A4a.CWD Entry Av. Distance'!$F7:$F11,'Distance Matrix_Entry'!N$23:N$27,"&gt;0")</f>
        <v>153.79286657474819</v>
      </c>
      <c r="G114" s="51">
        <f>SUMPRODUCT('A4a.CWD Entry Av. Distance'!$G7:$G11,'Distance Matrix_Entry'!N$23:N$27)/SUMIFS('A4a.CWD Entry Av. Distance'!$G7:$G11,'Distance Matrix_Entry'!N$23:N$27,"&gt;0")</f>
        <v>153.81761557175705</v>
      </c>
    </row>
    <row r="115" spans="2:7" ht="14.45" customHeight="1">
      <c r="B115" s="34" t="s">
        <v>70</v>
      </c>
      <c r="C115" s="3" t="s">
        <v>221</v>
      </c>
      <c r="D115" s="51">
        <f>SUMPRODUCT('A4a.CWD Entry Av. Distance'!$D7:$D11,'Distance Matrix_Entry'!O$23:O$27)/SUMIFS('A4a.CWD Entry Av. Distance'!$D7:$D11,'Distance Matrix_Entry'!O$23:O$27,"&gt;0")</f>
        <v>171.43898738491785</v>
      </c>
      <c r="E115" s="51">
        <f>SUMPRODUCT('A4a.CWD Entry Av. Distance'!$E7:$E11,'Distance Matrix_Entry'!O$23:O$27)/SUMIFS('A4a.CWD Entry Av. Distance'!$E7:$E11,'Distance Matrix_Entry'!O$23:O$27,"&gt;0")</f>
        <v>172.48014786880188</v>
      </c>
      <c r="F115" s="51">
        <f>SUMPRODUCT('A4a.CWD Entry Av. Distance'!$F7:$F11,'Distance Matrix_Entry'!O$23:O$27)/SUMIFS('A4a.CWD Entry Av. Distance'!$F7:$F11,'Distance Matrix_Entry'!O$23:O$27,"&gt;0")</f>
        <v>163.05791829494251</v>
      </c>
      <c r="G115" s="51">
        <f>SUMPRODUCT('A4a.CWD Entry Av. Distance'!$G7:$G11,'Distance Matrix_Entry'!O$23:O$27)/SUMIFS('A4a.CWD Entry Av. Distance'!$G7:$G11,'Distance Matrix_Entry'!O$23:O$27,"&gt;0")</f>
        <v>162.9867969531094</v>
      </c>
    </row>
    <row r="116" spans="2:7" ht="14.45" customHeight="1">
      <c r="B116" s="34" t="s">
        <v>72</v>
      </c>
      <c r="C116" s="3" t="s">
        <v>221</v>
      </c>
      <c r="D116" s="51">
        <f>SUMPRODUCT('A4a.CWD Entry Av. Distance'!$D7:$D11,'Distance Matrix_Entry'!P$23:P$27)/SUMIFS('A4a.CWD Entry Av. Distance'!$D7:$D11,'Distance Matrix_Entry'!P$23:P$27,"&gt;0")</f>
        <v>206.92548021822105</v>
      </c>
      <c r="E116" s="51">
        <f>SUMPRODUCT('A4a.CWD Entry Av. Distance'!$E7:$E11,'Distance Matrix_Entry'!P$23:P$27)/SUMIFS('A4a.CWD Entry Av. Distance'!$E7:$E11,'Distance Matrix_Entry'!P$23:P$27,"&gt;0")</f>
        <v>207.97702959440809</v>
      </c>
      <c r="F116" s="51">
        <f>SUMPRODUCT('A4a.CWD Entry Av. Distance'!$F7:$F11,'Distance Matrix_Entry'!P$23:P$27)/SUMIFS('A4a.CWD Entry Av. Distance'!$F7:$F11,'Distance Matrix_Entry'!P$23:P$27,"&gt;0")</f>
        <v>198.8922284863657</v>
      </c>
      <c r="G116" s="51">
        <f>SUMPRODUCT('A4a.CWD Entry Av. Distance'!$G7:$G11,'Distance Matrix_Entry'!P$23:P$27)/SUMIFS('A4a.CWD Entry Av. Distance'!$G7:$G11,'Distance Matrix_Entry'!P$23:P$27,"&gt;0")</f>
        <v>198.79209982692149</v>
      </c>
    </row>
    <row r="117" spans="2:7" ht="14.45" customHeight="1">
      <c r="B117" s="34" t="s">
        <v>74</v>
      </c>
      <c r="C117" s="3" t="s">
        <v>221</v>
      </c>
      <c r="D117" s="51">
        <f>SUMPRODUCT('A4a.CWD Entry Av. Distance'!$D7:$D11,'Distance Matrix_Entry'!Q$23:Q$27)/SUMIFS('A4a.CWD Entry Av. Distance'!$D7:$D11,'Distance Matrix_Entry'!Q$23:Q$27,"&gt;0")</f>
        <v>174.03448021822106</v>
      </c>
      <c r="E117" s="51">
        <f>SUMPRODUCT('A4a.CWD Entry Av. Distance'!$E7:$E11,'Distance Matrix_Entry'!Q$23:Q$27)/SUMIFS('A4a.CWD Entry Av. Distance'!$E7:$E11,'Distance Matrix_Entry'!Q$23:Q$27,"&gt;0")</f>
        <v>175.0860295944081</v>
      </c>
      <c r="F117" s="51">
        <f>SUMPRODUCT('A4a.CWD Entry Av. Distance'!$F7:$F11,'Distance Matrix_Entry'!Q$23:Q$27)/SUMIFS('A4a.CWD Entry Av. Distance'!$F7:$F11,'Distance Matrix_Entry'!Q$23:Q$27,"&gt;0")</f>
        <v>166.0012284863657</v>
      </c>
      <c r="G117" s="51">
        <f>SUMPRODUCT('A4a.CWD Entry Av. Distance'!$G7:$G11,'Distance Matrix_Entry'!Q$23:Q$27)/SUMIFS('A4a.CWD Entry Av. Distance'!$G7:$G11,'Distance Matrix_Entry'!Q$23:Q$27,"&gt;0")</f>
        <v>165.90109982692144</v>
      </c>
    </row>
    <row r="118" spans="2:7" ht="14.45" customHeight="1">
      <c r="B118" s="34" t="s">
        <v>76</v>
      </c>
      <c r="C118" s="3" t="s">
        <v>221</v>
      </c>
      <c r="D118" s="51">
        <f>SUMPRODUCT('A4a.CWD Entry Av. Distance'!$D7:$D11,'Distance Matrix_Entry'!R$23:R$27)/SUMIFS('A4a.CWD Entry Av. Distance'!$D7:$D11,'Distance Matrix_Entry'!R$23:R$27,"&gt;0")</f>
        <v>194.81548021822107</v>
      </c>
      <c r="E118" s="51">
        <f>SUMPRODUCT('A4a.CWD Entry Av. Distance'!$E7:$E11,'Distance Matrix_Entry'!R$23:R$27)/SUMIFS('A4a.CWD Entry Av. Distance'!$E7:$E11,'Distance Matrix_Entry'!R$23:R$27,"&gt;0")</f>
        <v>195.86702959440814</v>
      </c>
      <c r="F118" s="51">
        <f>SUMPRODUCT('A4a.CWD Entry Av. Distance'!$F7:$F11,'Distance Matrix_Entry'!R$23:R$27)/SUMIFS('A4a.CWD Entry Av. Distance'!$F7:$F11,'Distance Matrix_Entry'!R$23:R$27,"&gt;0")</f>
        <v>186.78222848636571</v>
      </c>
      <c r="G118" s="51">
        <f>SUMPRODUCT('A4a.CWD Entry Av. Distance'!$G7:$G11,'Distance Matrix_Entry'!R$23:R$27)/SUMIFS('A4a.CWD Entry Av. Distance'!$G7:$G11,'Distance Matrix_Entry'!R$23:R$27,"&gt;0")</f>
        <v>186.68209982692144</v>
      </c>
    </row>
    <row r="119" spans="2:7" ht="14.45" customHeight="1">
      <c r="B119" s="34" t="s">
        <v>78</v>
      </c>
      <c r="C119" s="3" t="s">
        <v>221</v>
      </c>
      <c r="D119" s="51">
        <f>SUMPRODUCT('A4a.CWD Entry Av. Distance'!$D7:$D11,'Distance Matrix_Entry'!S$23:S$27)/SUMIFS('A4a.CWD Entry Av. Distance'!$D7:$D11,'Distance Matrix_Entry'!S$23:S$27,"&gt;0")</f>
        <v>201.58648021822106</v>
      </c>
      <c r="E119" s="51">
        <f>SUMPRODUCT('A4a.CWD Entry Av. Distance'!$E7:$E11,'Distance Matrix_Entry'!S$23:S$27)/SUMIFS('A4a.CWD Entry Av. Distance'!$E7:$E11,'Distance Matrix_Entry'!S$23:S$27,"&gt;0")</f>
        <v>202.6380295944081</v>
      </c>
      <c r="F119" s="51">
        <f>SUMPRODUCT('A4a.CWD Entry Av. Distance'!$F7:$F11,'Distance Matrix_Entry'!S$23:S$27)/SUMIFS('A4a.CWD Entry Av. Distance'!$F7:$F11,'Distance Matrix_Entry'!S$23:S$27,"&gt;0")</f>
        <v>193.55322848636567</v>
      </c>
      <c r="G119" s="51">
        <f>SUMPRODUCT('A4a.CWD Entry Av. Distance'!$G7:$G11,'Distance Matrix_Entry'!S$23:S$27)/SUMIFS('A4a.CWD Entry Av. Distance'!$G7:$G11,'Distance Matrix_Entry'!S$23:S$27,"&gt;0")</f>
        <v>193.4530998269214</v>
      </c>
    </row>
    <row r="120" spans="2:7" ht="14.45" customHeight="1">
      <c r="B120" s="34" t="s">
        <v>80</v>
      </c>
      <c r="C120" s="3" t="s">
        <v>221</v>
      </c>
      <c r="D120" s="51">
        <f>SUMPRODUCT('A4a.CWD Entry Av. Distance'!$D7:$D11,'Distance Matrix_Entry'!T$23:T$27)/SUMIFS('A4a.CWD Entry Av. Distance'!$D7:$D11,'Distance Matrix_Entry'!T$23:T$27,"&gt;0")</f>
        <v>175.47719841050935</v>
      </c>
      <c r="E120" s="51">
        <f>SUMPRODUCT('A4a.CWD Entry Av. Distance'!$E7:$E11,'Distance Matrix_Entry'!T$23:T$27)/SUMIFS('A4a.CWD Entry Av. Distance'!$E7:$E11,'Distance Matrix_Entry'!T$23:T$27,"&gt;0")</f>
        <v>176.53544407536918</v>
      </c>
      <c r="F120" s="51">
        <f>SUMPRODUCT('A4a.CWD Entry Av. Distance'!$F7:$F11,'Distance Matrix_Entry'!T$23:T$27)/SUMIFS('A4a.CWD Entry Av. Distance'!$F7:$F11,'Distance Matrix_Entry'!T$23:T$27,"&gt;0")</f>
        <v>167.66813664688513</v>
      </c>
      <c r="G120" s="51">
        <f>SUMPRODUCT('A4a.CWD Entry Av. Distance'!$G7:$G11,'Distance Matrix_Entry'!T$23:T$27)/SUMIFS('A4a.CWD Entry Av. Distance'!$G7:$G11,'Distance Matrix_Entry'!T$23:T$27,"&gt;0")</f>
        <v>167.5493109630921</v>
      </c>
    </row>
    <row r="121" spans="2:7" ht="14.45" customHeight="1">
      <c r="B121" s="34" t="s">
        <v>82</v>
      </c>
      <c r="C121" s="3" t="s">
        <v>221</v>
      </c>
      <c r="D121" s="51">
        <f>SUMPRODUCT('A4a.CWD Entry Av. Distance'!$D7:$D11,'Distance Matrix_Entry'!U$23:U$27)/SUMIFS('A4a.CWD Entry Av. Distance'!$D7:$D11,'Distance Matrix_Entry'!U$23:U$27,"&gt;0")</f>
        <v>174.03548021822107</v>
      </c>
      <c r="E121" s="51">
        <f>SUMPRODUCT('A4a.CWD Entry Av. Distance'!$E7:$E11,'Distance Matrix_Entry'!U$23:U$27)/SUMIFS('A4a.CWD Entry Av. Distance'!$E7:$E11,'Distance Matrix_Entry'!U$23:U$27,"&gt;0")</f>
        <v>175.08702959440811</v>
      </c>
      <c r="F121" s="51">
        <f>SUMPRODUCT('A4a.CWD Entry Av. Distance'!$F7:$F11,'Distance Matrix_Entry'!U$23:U$27)/SUMIFS('A4a.CWD Entry Av. Distance'!$F7:$F11,'Distance Matrix_Entry'!U$23:U$27,"&gt;0")</f>
        <v>166.00222848636571</v>
      </c>
      <c r="G121" s="51">
        <f>SUMPRODUCT('A4a.CWD Entry Av. Distance'!$G7:$G11,'Distance Matrix_Entry'!U$23:U$27)/SUMIFS('A4a.CWD Entry Av. Distance'!$G7:$G11,'Distance Matrix_Entry'!U$23:U$27,"&gt;0")</f>
        <v>165.90209982692147</v>
      </c>
    </row>
    <row r="122" spans="2:7" ht="14.45" customHeight="1">
      <c r="B122" s="34" t="s">
        <v>83</v>
      </c>
      <c r="C122" s="3" t="s">
        <v>221</v>
      </c>
      <c r="D122" s="51">
        <f>SUMPRODUCT('A4a.CWD Entry Av. Distance'!$D7:$D11,'Distance Matrix_Entry'!V$23:V$27)/SUMIFS('A4a.CWD Entry Av. Distance'!$D7:$D11,'Distance Matrix_Entry'!V$23:V$27,"&gt;0")</f>
        <v>201.58548021822105</v>
      </c>
      <c r="E122" s="51">
        <f>SUMPRODUCT('A4a.CWD Entry Av. Distance'!$E7:$E11,'Distance Matrix_Entry'!V$23:V$27)/SUMIFS('A4a.CWD Entry Av. Distance'!$E7:$E11,'Distance Matrix_Entry'!V$23:V$27,"&gt;0")</f>
        <v>202.63702959440809</v>
      </c>
      <c r="F122" s="51">
        <f>SUMPRODUCT('A4a.CWD Entry Av. Distance'!$F7:$F11,'Distance Matrix_Entry'!V$23:V$27)/SUMIFS('A4a.CWD Entry Av. Distance'!$F7:$F11,'Distance Matrix_Entry'!V$23:V$27,"&gt;0")</f>
        <v>193.55222848636569</v>
      </c>
      <c r="G122" s="51">
        <f>SUMPRODUCT('A4a.CWD Entry Av. Distance'!$G7:$G11,'Distance Matrix_Entry'!V$23:V$27)/SUMIFS('A4a.CWD Entry Av. Distance'!$G7:$G11,'Distance Matrix_Entry'!V$23:V$27,"&gt;0")</f>
        <v>193.45209982692143</v>
      </c>
    </row>
    <row r="123" spans="2:7" ht="14.45" customHeight="1">
      <c r="B123" s="34" t="s">
        <v>84</v>
      </c>
      <c r="C123" s="3" t="s">
        <v>221</v>
      </c>
      <c r="D123" s="51">
        <f>SUMPRODUCT('A4a.CWD Entry Av. Distance'!$D7:$D11,'Distance Matrix_Entry'!W$23:W$27)/SUMIFS('A4a.CWD Entry Av. Distance'!$D7:$D11,'Distance Matrix_Entry'!W$23:W$27,"&gt;0")</f>
        <v>195.79126266681055</v>
      </c>
      <c r="E123" s="51">
        <f>SUMPRODUCT('A4a.CWD Entry Av. Distance'!$E7:$E11,'Distance Matrix_Entry'!W$23:W$27)/SUMIFS('A4a.CWD Entry Av. Distance'!$E7:$E11,'Distance Matrix_Entry'!W$23:W$27,"&gt;0")</f>
        <v>196.88709572981716</v>
      </c>
      <c r="F123" s="51">
        <f>SUMPRODUCT('A4a.CWD Entry Av. Distance'!$F7:$F11,'Distance Matrix_Entry'!W$23:W$27)/SUMIFS('A4a.CWD Entry Av. Distance'!$F7:$F11,'Distance Matrix_Entry'!W$23:W$27,"&gt;0")</f>
        <v>189.24061702115887</v>
      </c>
      <c r="G123" s="51">
        <f>SUMPRODUCT('A4a.CWD Entry Av. Distance'!$G7:$G11,'Distance Matrix_Entry'!W$23:W$27)/SUMIFS('A4a.CWD Entry Av. Distance'!$G7:$G11,'Distance Matrix_Entry'!W$23:W$27,"&gt;0")</f>
        <v>189.01684178505397</v>
      </c>
    </row>
    <row r="124" spans="2:7" ht="14.45" customHeight="1">
      <c r="B124" s="34" t="s">
        <v>86</v>
      </c>
      <c r="C124" s="3" t="s">
        <v>221</v>
      </c>
      <c r="D124" s="51">
        <f>SUMPRODUCT('A4a.CWD Entry Av. Distance'!$D7:$D11,'Distance Matrix_Entry'!X$23:X$27)/SUMIFS('A4a.CWD Entry Av. Distance'!$D7:$D11,'Distance Matrix_Entry'!X$23:X$27,"&gt;0")</f>
        <v>184.36126266681055</v>
      </c>
      <c r="E124" s="51">
        <f>SUMPRODUCT('A4a.CWD Entry Av. Distance'!$E7:$E11,'Distance Matrix_Entry'!X$23:X$27)/SUMIFS('A4a.CWD Entry Av. Distance'!$E7:$E11,'Distance Matrix_Entry'!X$23:X$27,"&gt;0")</f>
        <v>185.45709572981715</v>
      </c>
      <c r="F124" s="51">
        <f>SUMPRODUCT('A4a.CWD Entry Av. Distance'!$F7:$F11,'Distance Matrix_Entry'!X$23:X$27)/SUMIFS('A4a.CWD Entry Av. Distance'!$F7:$F11,'Distance Matrix_Entry'!X$23:X$27,"&gt;0")</f>
        <v>177.81061702115886</v>
      </c>
      <c r="G124" s="51">
        <f>SUMPRODUCT('A4a.CWD Entry Av. Distance'!$G7:$G11,'Distance Matrix_Entry'!X$23:X$27)/SUMIFS('A4a.CWD Entry Av. Distance'!$G7:$G11,'Distance Matrix_Entry'!X$23:X$27,"&gt;0")</f>
        <v>177.58684178505396</v>
      </c>
    </row>
    <row r="125" spans="2:7" ht="14.45" customHeight="1">
      <c r="B125" s="34" t="s">
        <v>88</v>
      </c>
      <c r="C125" s="3" t="s">
        <v>221</v>
      </c>
      <c r="D125" s="51">
        <f>SUMPRODUCT('A4a.CWD Entry Av. Distance'!$D7:$D11,'Distance Matrix_Entry'!Y$23:Y$27)/SUMIFS('A4a.CWD Entry Av. Distance'!$D7:$D11,'Distance Matrix_Entry'!Y$23:Y$27,"&gt;0")</f>
        <v>208.09226266681054</v>
      </c>
      <c r="E125" s="51">
        <f>SUMPRODUCT('A4a.CWD Entry Av. Distance'!$E7:$E11,'Distance Matrix_Entry'!Y$23:Y$27)/SUMIFS('A4a.CWD Entry Av. Distance'!$E7:$E11,'Distance Matrix_Entry'!Y$23:Y$27,"&gt;0")</f>
        <v>209.18809572981715</v>
      </c>
      <c r="F125" s="51">
        <f>SUMPRODUCT('A4a.CWD Entry Av. Distance'!$F7:$F11,'Distance Matrix_Entry'!Y$23:Y$27)/SUMIFS('A4a.CWD Entry Av. Distance'!$F7:$F11,'Distance Matrix_Entry'!Y$23:Y$27,"&gt;0")</f>
        <v>201.54161702115888</v>
      </c>
      <c r="G125" s="51">
        <f>SUMPRODUCT('A4a.CWD Entry Av. Distance'!$G7:$G11,'Distance Matrix_Entry'!Y$23:Y$27)/SUMIFS('A4a.CWD Entry Av. Distance'!$G7:$G11,'Distance Matrix_Entry'!Y$23:Y$27,"&gt;0")</f>
        <v>201.31784178505401</v>
      </c>
    </row>
    <row r="126" spans="2:7" ht="14.45" customHeight="1">
      <c r="B126" s="34" t="s">
        <v>90</v>
      </c>
      <c r="C126" s="3" t="s">
        <v>221</v>
      </c>
      <c r="D126" s="51">
        <f>SUMPRODUCT('A4a.CWD Entry Av. Distance'!$D7:$D11,'Distance Matrix_Entry'!Z$23:Z$27)/SUMIFS('A4a.CWD Entry Av. Distance'!$D7:$D11,'Distance Matrix_Entry'!Z$23:Z$27,"&gt;0")</f>
        <v>208.09126266681056</v>
      </c>
      <c r="E126" s="51">
        <f>SUMPRODUCT('A4a.CWD Entry Av. Distance'!$E7:$E11,'Distance Matrix_Entry'!Z$23:Z$27)/SUMIFS('A4a.CWD Entry Av. Distance'!$E7:$E11,'Distance Matrix_Entry'!Z$23:Z$27,"&gt;0")</f>
        <v>209.18709572981717</v>
      </c>
      <c r="F126" s="51">
        <f>SUMPRODUCT('A4a.CWD Entry Av. Distance'!$F7:$F11,'Distance Matrix_Entry'!Z$23:Z$27)/SUMIFS('A4a.CWD Entry Av. Distance'!$F7:$F11,'Distance Matrix_Entry'!Z$23:Z$27,"&gt;0")</f>
        <v>201.54061702115888</v>
      </c>
      <c r="G126" s="51">
        <f>SUMPRODUCT('A4a.CWD Entry Av. Distance'!$G7:$G11,'Distance Matrix_Entry'!Z$23:Z$27)/SUMIFS('A4a.CWD Entry Av. Distance'!$G7:$G11,'Distance Matrix_Entry'!Z$23:Z$27,"&gt;0")</f>
        <v>201.31684178505395</v>
      </c>
    </row>
    <row r="127" spans="2:7" ht="14.45" customHeight="1">
      <c r="B127" s="34" t="s">
        <v>91</v>
      </c>
      <c r="C127" s="3" t="s">
        <v>221</v>
      </c>
      <c r="D127" s="51">
        <f>SUMPRODUCT('A4a.CWD Entry Av. Distance'!$D7:$D11,'Distance Matrix_Entry'!AA$23:AA$27)/SUMIFS('A4a.CWD Entry Av. Distance'!$D7:$D11,'Distance Matrix_Entry'!AA$23:AA$27,"&gt;0")</f>
        <v>200.38384189738315</v>
      </c>
      <c r="E127" s="51">
        <f>SUMPRODUCT('A4a.CWD Entry Av. Distance'!$E7:$E11,'Distance Matrix_Entry'!AA$23:AA$27)/SUMIFS('A4a.CWD Entry Av. Distance'!$E7:$E11,'Distance Matrix_Entry'!AA$23:AA$27,"&gt;0")</f>
        <v>201.54746454942287</v>
      </c>
      <c r="F127" s="51">
        <f>SUMPRODUCT('A4a.CWD Entry Av. Distance'!$F7:$F11,'Distance Matrix_Entry'!AA$23:AA$27)/SUMIFS('A4a.CWD Entry Av. Distance'!$F7:$F11,'Distance Matrix_Entry'!AA$23:AA$27,"&gt;0")</f>
        <v>196.10277370789888</v>
      </c>
      <c r="G127" s="51">
        <f>SUMPRODUCT('A4a.CWD Entry Av. Distance'!$G7:$G11,'Distance Matrix_Entry'!AA$23:AA$27)/SUMIFS('A4a.CWD Entry Av. Distance'!$G7:$G11,'Distance Matrix_Entry'!AA$23:AA$27,"&gt;0")</f>
        <v>195.68971995369498</v>
      </c>
    </row>
    <row r="128" spans="2:7" ht="14.45" customHeight="1">
      <c r="B128" s="34" t="s">
        <v>93</v>
      </c>
      <c r="C128" s="3" t="s">
        <v>221</v>
      </c>
      <c r="D128" s="51">
        <f>SUMPRODUCT('A4a.CWD Entry Av. Distance'!$D7:$D11,'Distance Matrix_Entry'!AB$23:AB$27)/SUMIFS('A4a.CWD Entry Av. Distance'!$D7:$D11,'Distance Matrix_Entry'!AB$23:AB$27,"&gt;0")</f>
        <v>222.48979064070164</v>
      </c>
      <c r="E128" s="51">
        <f>SUMPRODUCT('A4a.CWD Entry Av. Distance'!$E7:$E11,'Distance Matrix_Entry'!AB$23:AB$27)/SUMIFS('A4a.CWD Entry Av. Distance'!$E7:$E11,'Distance Matrix_Entry'!AB$23:AB$27,"&gt;0")</f>
        <v>223.74694088021218</v>
      </c>
      <c r="F128" s="51">
        <f>SUMPRODUCT('A4a.CWD Entry Av. Distance'!$F7:$F11,'Distance Matrix_Entry'!AB$23:AB$27)/SUMIFS('A4a.CWD Entry Av. Distance'!$F7:$F11,'Distance Matrix_Entry'!AB$23:AB$27,"&gt;0")</f>
        <v>221.34000126675895</v>
      </c>
      <c r="G128" s="51">
        <f>SUMPRODUCT('A4a.CWD Entry Av. Distance'!$G7:$G11,'Distance Matrix_Entry'!AB$23:AB$27)/SUMIFS('A4a.CWD Entry Av. Distance'!$G7:$G11,'Distance Matrix_Entry'!AB$23:AB$27,"&gt;0")</f>
        <v>220.665804711568</v>
      </c>
    </row>
    <row r="129" spans="2:7" ht="14.45" customHeight="1">
      <c r="B129" s="34" t="s">
        <v>95</v>
      </c>
      <c r="C129" s="3" t="s">
        <v>221</v>
      </c>
      <c r="D129" s="51">
        <f>SUMPRODUCT('A4a.CWD Entry Av. Distance'!$D7:$D11,'Distance Matrix_Entry'!AC$23:AC$27)/SUMIFS('A4a.CWD Entry Av. Distance'!$D7:$D11,'Distance Matrix_Entry'!AC$23:AC$27,"&gt;0")</f>
        <v>230.74858351239519</v>
      </c>
      <c r="E129" s="51">
        <f>SUMPRODUCT('A4a.CWD Entry Av. Distance'!$E7:$E11,'Distance Matrix_Entry'!AC$23:AC$27)/SUMIFS('A4a.CWD Entry Av. Distance'!$E7:$E11,'Distance Matrix_Entry'!AC$23:AC$27,"&gt;0")</f>
        <v>232.04067570267557</v>
      </c>
      <c r="F129" s="51">
        <f>SUMPRODUCT('A4a.CWD Entry Av. Distance'!$F7:$F11,'Distance Matrix_Entry'!AC$23:AC$27)/SUMIFS('A4a.CWD Entry Av. Distance'!$F7:$F11,'Distance Matrix_Entry'!AC$23:AC$27,"&gt;0")</f>
        <v>230.76864138008671</v>
      </c>
      <c r="G129" s="51">
        <f>SUMPRODUCT('A4a.CWD Entry Av. Distance'!$G7:$G11,'Distance Matrix_Entry'!AC$23:AC$27)/SUMIFS('A4a.CWD Entry Av. Distance'!$G7:$G11,'Distance Matrix_Entry'!AC$23:AC$27,"&gt;0")</f>
        <v>229.996881751339</v>
      </c>
    </row>
    <row r="130" spans="2:7" ht="14.45" customHeight="1">
      <c r="B130" s="34" t="s">
        <v>97</v>
      </c>
      <c r="C130" s="3" t="s">
        <v>221</v>
      </c>
      <c r="D130" s="51">
        <f>SUMPRODUCT('A4a.CWD Entry Av. Distance'!$D7:$D11,'Distance Matrix_Entry'!AD$23:AD$27)/SUMIFS('A4a.CWD Entry Av. Distance'!$D7:$D11,'Distance Matrix_Entry'!AD$23:AD$27,"&gt;0")</f>
        <v>235.02778455080417</v>
      </c>
      <c r="E130" s="51">
        <f>SUMPRODUCT('A4a.CWD Entry Av. Distance'!$E7:$E11,'Distance Matrix_Entry'!AD$23:AD$27)/SUMIFS('A4a.CWD Entry Av. Distance'!$E7:$E11,'Distance Matrix_Entry'!AD$23:AD$27,"&gt;0")</f>
        <v>236.33798152157027</v>
      </c>
      <c r="F130" s="51">
        <f>SUMPRODUCT('A4a.CWD Entry Av. Distance'!$F7:$F11,'Distance Matrix_Entry'!AD$23:AD$27)/SUMIFS('A4a.CWD Entry Av. Distance'!$F7:$F11,'Distance Matrix_Entry'!AD$23:AD$27,"&gt;0")</f>
        <v>235.65398566593555</v>
      </c>
      <c r="G130" s="51">
        <f>SUMPRODUCT('A4a.CWD Entry Av. Distance'!$G7:$G11,'Distance Matrix_Entry'!AD$23:AD$27)/SUMIFS('A4a.CWD Entry Av. Distance'!$G7:$G11,'Distance Matrix_Entry'!AD$23:AD$27,"&gt;0")</f>
        <v>234.83167482320781</v>
      </c>
    </row>
    <row r="131" spans="2:7" ht="14.45" customHeight="1">
      <c r="B131" s="34" t="s">
        <v>99</v>
      </c>
      <c r="C131" s="3" t="s">
        <v>221</v>
      </c>
      <c r="D131" s="51">
        <f>SUMPRODUCT('A4a.CWD Entry Av. Distance'!$D7:$D11,'Distance Matrix_Entry'!AE$23:AE$27)/SUMIFS('A4a.CWD Entry Av. Distance'!$D7:$D11,'Distance Matrix_Entry'!AE$23:AE$27,"&gt;0")</f>
        <v>264.8592525383786</v>
      </c>
      <c r="E131" s="51">
        <f>SUMPRODUCT('A4a.CWD Entry Av. Distance'!$E7:$E11,'Distance Matrix_Entry'!AE$23:AE$27)/SUMIFS('A4a.CWD Entry Av. Distance'!$E7:$E11,'Distance Matrix_Entry'!AE$23:AE$27,"&gt;0")</f>
        <v>266.46368774173214</v>
      </c>
      <c r="F131" s="51">
        <f>SUMPRODUCT('A4a.CWD Entry Av. Distance'!$F7:$F11,'Distance Matrix_Entry'!AE$23:AE$27)/SUMIFS('A4a.CWD Entry Av. Distance'!$F7:$F11,'Distance Matrix_Entry'!AE$23:AE$27,"&gt;0")</f>
        <v>267.34000873001492</v>
      </c>
      <c r="G131" s="51">
        <f>SUMPRODUCT('A4a.CWD Entry Av. Distance'!$G7:$G11,'Distance Matrix_Entry'!AE$23:AE$27)/SUMIFS('A4a.CWD Entry Av. Distance'!$G7:$G11,'Distance Matrix_Entry'!AE$23:AE$27,"&gt;0")</f>
        <v>266.22061390203186</v>
      </c>
    </row>
    <row r="132" spans="2:7" ht="14.45" customHeight="1">
      <c r="B132" s="34" t="s">
        <v>101</v>
      </c>
      <c r="C132" s="3" t="s">
        <v>221</v>
      </c>
      <c r="D132" s="51">
        <f>SUMPRODUCT('A4a.CWD Entry Av. Distance'!$D7:$D11,'Distance Matrix_Entry'!AF$23:AF$27)/SUMIFS('A4a.CWD Entry Av. Distance'!$D7:$D11,'Distance Matrix_Entry'!AF$23:AF$27,"&gt;0")</f>
        <v>274.76925253837862</v>
      </c>
      <c r="E132" s="51">
        <f>SUMPRODUCT('A4a.CWD Entry Av. Distance'!$E7:$E11,'Distance Matrix_Entry'!AF$23:AF$27)/SUMIFS('A4a.CWD Entry Av. Distance'!$E7:$E11,'Distance Matrix_Entry'!AF$23:AF$27,"&gt;0")</f>
        <v>276.37368774173211</v>
      </c>
      <c r="F132" s="51">
        <f>SUMPRODUCT('A4a.CWD Entry Av. Distance'!$F7:$F11,'Distance Matrix_Entry'!AF$23:AF$27)/SUMIFS('A4a.CWD Entry Av. Distance'!$F7:$F11,'Distance Matrix_Entry'!AF$23:AF$27,"&gt;0")</f>
        <v>277.25000873001494</v>
      </c>
      <c r="G132" s="51">
        <f>SUMPRODUCT('A4a.CWD Entry Av. Distance'!$G7:$G11,'Distance Matrix_Entry'!AF$23:AF$27)/SUMIFS('A4a.CWD Entry Av. Distance'!$G7:$G11,'Distance Matrix_Entry'!AF$23:AF$27,"&gt;0")</f>
        <v>276.13061390203194</v>
      </c>
    </row>
    <row r="133" spans="2:7" ht="14.45" customHeight="1">
      <c r="B133" s="34" t="s">
        <v>103</v>
      </c>
      <c r="C133" s="3" t="s">
        <v>221</v>
      </c>
      <c r="D133" s="51">
        <f>SUMPRODUCT('A4a.CWD Entry Av. Distance'!$D7:$D11,'Distance Matrix_Entry'!AG$23:AG$27)/SUMIFS('A4a.CWD Entry Av. Distance'!$D7:$D11,'Distance Matrix_Entry'!AG$23:AG$27,"&gt;0")</f>
        <v>274.87925253837869</v>
      </c>
      <c r="E133" s="51">
        <f>SUMPRODUCT('A4a.CWD Entry Av. Distance'!$E7:$E11,'Distance Matrix_Entry'!AG$23:AG$27)/SUMIFS('A4a.CWD Entry Av. Distance'!$E7:$E11,'Distance Matrix_Entry'!AG$23:AG$27,"&gt;0")</f>
        <v>276.48368774173218</v>
      </c>
      <c r="F133" s="51">
        <f>SUMPRODUCT('A4a.CWD Entry Av. Distance'!$F7:$F11,'Distance Matrix_Entry'!AG$23:AG$27)/SUMIFS('A4a.CWD Entry Av. Distance'!$F7:$F11,'Distance Matrix_Entry'!AG$23:AG$27,"&gt;0")</f>
        <v>277.36000873001495</v>
      </c>
      <c r="G133" s="51">
        <f>SUMPRODUCT('A4a.CWD Entry Av. Distance'!$G7:$G11,'Distance Matrix_Entry'!AG$23:AG$27)/SUMIFS('A4a.CWD Entry Av. Distance'!$G7:$G11,'Distance Matrix_Entry'!AG$23:AG$27,"&gt;0")</f>
        <v>276.2406139020319</v>
      </c>
    </row>
    <row r="134" spans="2:7" ht="14.45" customHeight="1">
      <c r="B134" s="34" t="s">
        <v>104</v>
      </c>
      <c r="C134" s="3" t="s">
        <v>221</v>
      </c>
      <c r="D134" s="51">
        <f>SUMPRODUCT('A4a.CWD Entry Av. Distance'!$D7:$D11,'Distance Matrix_Entry'!AH$23:AH$27)/SUMIFS('A4a.CWD Entry Av. Distance'!$D7:$D11,'Distance Matrix_Entry'!AH$23:AH$27,"&gt;0")</f>
        <v>287.94925253837863</v>
      </c>
      <c r="E134" s="51">
        <f>SUMPRODUCT('A4a.CWD Entry Av. Distance'!$E7:$E11,'Distance Matrix_Entry'!AH$23:AH$27)/SUMIFS('A4a.CWD Entry Av. Distance'!$E7:$E11,'Distance Matrix_Entry'!AH$23:AH$27,"&gt;0")</f>
        <v>289.55368774173212</v>
      </c>
      <c r="F134" s="51">
        <f>SUMPRODUCT('A4a.CWD Entry Av. Distance'!$F7:$F11,'Distance Matrix_Entry'!AH$23:AH$27)/SUMIFS('A4a.CWD Entry Av. Distance'!$F7:$F11,'Distance Matrix_Entry'!AH$23:AH$27,"&gt;0")</f>
        <v>290.43000873001495</v>
      </c>
      <c r="G134" s="51">
        <f>SUMPRODUCT('A4a.CWD Entry Av. Distance'!$G7:$G11,'Distance Matrix_Entry'!AH$23:AH$27)/SUMIFS('A4a.CWD Entry Av. Distance'!$G7:$G11,'Distance Matrix_Entry'!AH$23:AH$27,"&gt;0")</f>
        <v>289.31061390203189</v>
      </c>
    </row>
    <row r="135" spans="2:7" ht="14.45" customHeight="1">
      <c r="B135" s="34" t="s">
        <v>106</v>
      </c>
      <c r="C135" s="3" t="s">
        <v>221</v>
      </c>
      <c r="D135" s="51">
        <f>SUMPRODUCT('A4a.CWD Entry Av. Distance'!$D7:$D11,'Distance Matrix_Entry'!AI$23:AI$27)/SUMIFS('A4a.CWD Entry Av. Distance'!$D7:$D11,'Distance Matrix_Entry'!AI$23:AI$27,"&gt;0")</f>
        <v>256.2779602486944</v>
      </c>
      <c r="E135" s="51">
        <f>SUMPRODUCT('A4a.CWD Entry Av. Distance'!$E7:$E11,'Distance Matrix_Entry'!AI$23:AI$27)/SUMIFS('A4a.CWD Entry Av. Distance'!$E7:$E11,'Distance Matrix_Entry'!AI$23:AI$27,"&gt;0")</f>
        <v>257.63331415355191</v>
      </c>
      <c r="F135" s="51">
        <f>SUMPRODUCT('A4a.CWD Entry Av. Distance'!$F7:$F11,'Distance Matrix_Entry'!AI$23:AI$27)/SUMIFS('A4a.CWD Entry Av. Distance'!$F7:$F11,'Distance Matrix_Entry'!AI$23:AI$27,"&gt;0")</f>
        <v>258.68520939677251</v>
      </c>
      <c r="G135" s="51">
        <f>SUMPRODUCT('A4a.CWD Entry Av. Distance'!$G7:$G11,'Distance Matrix_Entry'!AI$23:AI$27)/SUMIFS('A4a.CWD Entry Av. Distance'!$G7:$G11,'Distance Matrix_Entry'!AI$23:AI$27,"&gt;0")</f>
        <v>257.71915705181135</v>
      </c>
    </row>
    <row r="136" spans="2:7" ht="14.45" customHeight="1">
      <c r="B136" s="34" t="s">
        <v>108</v>
      </c>
      <c r="C136" s="3" t="s">
        <v>221</v>
      </c>
      <c r="D136" s="51">
        <f>SUMPRODUCT('A4a.CWD Entry Av. Distance'!$D7:$D11,'Distance Matrix_Entry'!AJ$23:AJ$27)/SUMIFS('A4a.CWD Entry Av. Distance'!$D7:$D11,'Distance Matrix_Entry'!AJ$23:AJ$27,"&gt;0")</f>
        <v>287.95025253837866</v>
      </c>
      <c r="E136" s="51">
        <f>SUMPRODUCT('A4a.CWD Entry Av. Distance'!$E7:$E11,'Distance Matrix_Entry'!AJ$23:AJ$27)/SUMIFS('A4a.CWD Entry Av. Distance'!$E7:$E11,'Distance Matrix_Entry'!AJ$23:AJ$27,"&gt;0")</f>
        <v>289.55468774173215</v>
      </c>
      <c r="F136" s="51">
        <f>SUMPRODUCT('A4a.CWD Entry Av. Distance'!$F7:$F11,'Distance Matrix_Entry'!AJ$23:AJ$27)/SUMIFS('A4a.CWD Entry Av. Distance'!$F7:$F11,'Distance Matrix_Entry'!AJ$23:AJ$27,"&gt;0")</f>
        <v>290.43100873001492</v>
      </c>
      <c r="G136" s="51">
        <f>SUMPRODUCT('A4a.CWD Entry Av. Distance'!$G7:$G11,'Distance Matrix_Entry'!AJ$23:AJ$27)/SUMIFS('A4a.CWD Entry Av. Distance'!$G7:$G11,'Distance Matrix_Entry'!AJ$23:AJ$27,"&gt;0")</f>
        <v>289.31161390203187</v>
      </c>
    </row>
    <row r="137" spans="2:7" ht="14.45" customHeight="1">
      <c r="B137" s="34" t="s">
        <v>109</v>
      </c>
      <c r="C137" s="3" t="s">
        <v>221</v>
      </c>
      <c r="D137" s="51">
        <f>SUMPRODUCT('A4a.CWD Entry Av. Distance'!$D7:$D11,'Distance Matrix_Entry'!AK$23:AK$27)/SUMIFS('A4a.CWD Entry Av. Distance'!$D7:$D11,'Distance Matrix_Entry'!AK$23:AK$27,"&gt;0")</f>
        <v>279.19156120199233</v>
      </c>
      <c r="E137" s="51">
        <f>SUMPRODUCT('A4a.CWD Entry Av. Distance'!$E7:$E11,'Distance Matrix_Entry'!AK$23:AK$27)/SUMIFS('A4a.CWD Entry Av. Distance'!$E7:$E11,'Distance Matrix_Entry'!AK$23:AK$27,"&gt;0")</f>
        <v>280.53395921860579</v>
      </c>
      <c r="F137" s="51">
        <f>SUMPRODUCT('A4a.CWD Entry Av. Distance'!$F7:$F11,'Distance Matrix_Entry'!AK$23:AK$27)/SUMIFS('A4a.CWD Entry Av. Distance'!$F7:$F11,'Distance Matrix_Entry'!AK$23:AK$27,"&gt;0")</f>
        <v>281.70987203171552</v>
      </c>
      <c r="G137" s="51">
        <f>SUMPRODUCT('A4a.CWD Entry Av. Distance'!$G7:$G11,'Distance Matrix_Entry'!AK$23:AK$27)/SUMIFS('A4a.CWD Entry Av. Distance'!$G7:$G11,'Distance Matrix_Entry'!AK$23:AK$27,"&gt;0")</f>
        <v>280.74426065664272</v>
      </c>
    </row>
    <row r="138" spans="2:7" ht="14.45" customHeight="1">
      <c r="B138" s="34" t="s">
        <v>111</v>
      </c>
      <c r="C138" s="3" t="s">
        <v>221</v>
      </c>
      <c r="D138" s="51">
        <f>SUMPRODUCT('A4a.CWD Entry Av. Distance'!$D7:$D11,'Distance Matrix_Entry'!AL$23:AL$27)/SUMIFS('A4a.CWD Entry Av. Distance'!$D7:$D11,'Distance Matrix_Entry'!AL$23:AL$27,"&gt;0")</f>
        <v>289.11156120199229</v>
      </c>
      <c r="E138" s="51">
        <f>SUMPRODUCT('A4a.CWD Entry Av. Distance'!$E7:$E11,'Distance Matrix_Entry'!AL$23:AL$27)/SUMIFS('A4a.CWD Entry Av. Distance'!$E7:$E11,'Distance Matrix_Entry'!AL$23:AL$27,"&gt;0")</f>
        <v>290.4539592186058</v>
      </c>
      <c r="F138" s="51">
        <f>SUMPRODUCT('A4a.CWD Entry Av. Distance'!$F7:$F11,'Distance Matrix_Entry'!AL$23:AL$27)/SUMIFS('A4a.CWD Entry Av. Distance'!$F7:$F11,'Distance Matrix_Entry'!AL$23:AL$27,"&gt;0")</f>
        <v>291.62987203171548</v>
      </c>
      <c r="G138" s="51">
        <f>SUMPRODUCT('A4a.CWD Entry Av. Distance'!$G7:$G11,'Distance Matrix_Entry'!AL$23:AL$27)/SUMIFS('A4a.CWD Entry Av. Distance'!$G7:$G11,'Distance Matrix_Entry'!AL$23:AL$27,"&gt;0")</f>
        <v>290.66426065664268</v>
      </c>
    </row>
    <row r="139" spans="2:7" ht="14.45" customHeight="1">
      <c r="B139" s="34" t="s">
        <v>113</v>
      </c>
      <c r="C139" s="3" t="s">
        <v>221</v>
      </c>
      <c r="D139" s="51">
        <f>SUMPRODUCT('A4a.CWD Entry Av. Distance'!$D7:$D11,'Distance Matrix_Entry'!AM$23:AM$27)/SUMIFS('A4a.CWD Entry Av. Distance'!$D7:$D11,'Distance Matrix_Entry'!AM$23:AM$27,"&gt;0")</f>
        <v>284.82334996746272</v>
      </c>
      <c r="E139" s="51">
        <f>SUMPRODUCT('A4a.CWD Entry Av. Distance'!$E7:$E11,'Distance Matrix_Entry'!AM$23:AM$27)/SUMIFS('A4a.CWD Entry Av. Distance'!$E7:$E11,'Distance Matrix_Entry'!AM$23:AM$27,"&gt;0")</f>
        <v>286.15854257029349</v>
      </c>
      <c r="F139" s="51">
        <f>SUMPRODUCT('A4a.CWD Entry Av. Distance'!$F7:$F11,'Distance Matrix_Entry'!AM$23:AM$27)/SUMIFS('A4a.CWD Entry Av. Distance'!$F7:$F11,'Distance Matrix_Entry'!AM$23:AM$27,"&gt;0")</f>
        <v>287.40342772173727</v>
      </c>
      <c r="G139" s="51">
        <f>SUMPRODUCT('A4a.CWD Entry Av. Distance'!$G7:$G11,'Distance Matrix_Entry'!AM$23:AM$27)/SUMIFS('A4a.CWD Entry Av. Distance'!$G7:$G11,'Distance Matrix_Entry'!AM$23:AM$27,"&gt;0")</f>
        <v>286.43806159194997</v>
      </c>
    </row>
    <row r="140" spans="2:7" ht="14.45" customHeight="1">
      <c r="B140" s="34" t="s">
        <v>115</v>
      </c>
      <c r="C140" s="3" t="s">
        <v>221</v>
      </c>
      <c r="D140" s="51">
        <f>SUMPRODUCT('A4a.CWD Entry Av. Distance'!$D7:$D11,'Distance Matrix_Entry'!AN$23:AN$27)/SUMIFS('A4a.CWD Entry Av. Distance'!$D7:$D11,'Distance Matrix_Entry'!AN$23:AN$27,"&gt;0")</f>
        <v>290.36566790255006</v>
      </c>
      <c r="E140" s="51">
        <f>SUMPRODUCT('A4a.CWD Entry Av. Distance'!$E7:$E11,'Distance Matrix_Entry'!AN$23:AN$27)/SUMIFS('A4a.CWD Entry Av. Distance'!$E7:$E11,'Distance Matrix_Entry'!AN$23:AN$27,"&gt;0")</f>
        <v>291.69694602577772</v>
      </c>
      <c r="F140" s="51">
        <f>SUMPRODUCT('A4a.CWD Entry Av. Distance'!$F7:$F11,'Distance Matrix_Entry'!AN$23:AN$27)/SUMIFS('A4a.CWD Entry Av. Distance'!$F7:$F11,'Distance Matrix_Entry'!AN$23:AN$27,"&gt;0")</f>
        <v>292.97930172641259</v>
      </c>
      <c r="G140" s="51">
        <f>SUMPRODUCT('A4a.CWD Entry Av. Distance'!$G7:$G11,'Distance Matrix_Entry'!AN$23:AN$27)/SUMIFS('A4a.CWD Entry Av. Distance'!$G7:$G11,'Distance Matrix_Entry'!AN$23:AN$27,"&gt;0")</f>
        <v>292.01406883084286</v>
      </c>
    </row>
    <row r="141" spans="2:7" ht="14.45" customHeight="1">
      <c r="B141" s="34" t="s">
        <v>117</v>
      </c>
      <c r="C141" s="3" t="s">
        <v>221</v>
      </c>
      <c r="D141" s="51">
        <f>SUMPRODUCT('A4a.CWD Entry Av. Distance'!$D7:$D11,'Distance Matrix_Entry'!AO$23:AO$27)/SUMIFS('A4a.CWD Entry Av. Distance'!$D7:$D11,'Distance Matrix_Entry'!AO$23:AO$27,"&gt;0")</f>
        <v>303.76532506950457</v>
      </c>
      <c r="E141" s="51">
        <f>SUMPRODUCT('A4a.CWD Entry Av. Distance'!$E7:$E11,'Distance Matrix_Entry'!AO$23:AO$27)/SUMIFS('A4a.CWD Entry Av. Distance'!$E7:$E11,'Distance Matrix_Entry'!AO$23:AO$27,"&gt;0")</f>
        <v>305.08713915885988</v>
      </c>
      <c r="F141" s="51">
        <f>SUMPRODUCT('A4a.CWD Entry Av. Distance'!$F7:$F11,'Distance Matrix_Entry'!AO$23:AO$27)/SUMIFS('A4a.CWD Entry Av. Distance'!$F7:$F11,'Distance Matrix_Entry'!AO$23:AO$27,"&gt;0")</f>
        <v>306.46008737311422</v>
      </c>
      <c r="G141" s="51">
        <f>SUMPRODUCT('A4a.CWD Entry Av. Distance'!$G7:$G11,'Distance Matrix_Entry'!AO$23:AO$27)/SUMIFS('A4a.CWD Entry Av. Distance'!$G7:$G11,'Distance Matrix_Entry'!AO$23:AO$27,"&gt;0")</f>
        <v>305.49517659779457</v>
      </c>
    </row>
    <row r="142" spans="2:7" ht="14.45" customHeight="1">
      <c r="B142" s="34" t="s">
        <v>119</v>
      </c>
      <c r="C142" s="3" t="s">
        <v>221</v>
      </c>
      <c r="D142" s="51">
        <f>SUMPRODUCT('A4a.CWD Entry Av. Distance'!$D7:$D11,'Distance Matrix_Entry'!AP$23:AP$27)/SUMIFS('A4a.CWD Entry Av. Distance'!$D7:$D11,'Distance Matrix_Entry'!AP$23:AP$27,"&gt;0")</f>
        <v>310.73000778439297</v>
      </c>
      <c r="E142" s="51">
        <f>SUMPRODUCT('A4a.CWD Entry Av. Distance'!$E7:$E11,'Distance Matrix_Entry'!AP$23:AP$27)/SUMIFS('A4a.CWD Entry Av. Distance'!$E7:$E11,'Distance Matrix_Entry'!AP$23:AP$27,"&gt;0")</f>
        <v>312.0469027931851</v>
      </c>
      <c r="F142" s="51">
        <f>SUMPRODUCT('A4a.CWD Entry Av. Distance'!$F7:$F11,'Distance Matrix_Entry'!AP$23:AP$27)/SUMIFS('A4a.CWD Entry Av. Distance'!$F7:$F11,'Distance Matrix_Entry'!AP$23:AP$27,"&gt;0")</f>
        <v>313.46693789226367</v>
      </c>
      <c r="G142" s="51">
        <f>SUMPRODUCT('A4a.CWD Entry Av. Distance'!$G7:$G11,'Distance Matrix_Entry'!AP$23:AP$27)/SUMIFS('A4a.CWD Entry Av. Distance'!$G7:$G11,'Distance Matrix_Entry'!AP$23:AP$27,"&gt;0")</f>
        <v>312.50219454401389</v>
      </c>
    </row>
    <row r="143" spans="2:7" ht="14.45" customHeight="1">
      <c r="B143" s="34" t="s">
        <v>121</v>
      </c>
      <c r="C143" s="3" t="s">
        <v>221</v>
      </c>
      <c r="D143" s="51">
        <f>SUMPRODUCT('A4a.CWD Entry Av. Distance'!$D7:$D11,'Distance Matrix_Entry'!AQ$23:AQ$27)/SUMIFS('A4a.CWD Entry Av. Distance'!$D7:$D11,'Distance Matrix_Entry'!AQ$23:AQ$27,"&gt;0")</f>
        <v>315.47776332524654</v>
      </c>
      <c r="E143" s="51">
        <f>SUMPRODUCT('A4a.CWD Entry Av. Distance'!$E7:$E11,'Distance Matrix_Entry'!AQ$23:AQ$27)/SUMIFS('A4a.CWD Entry Av. Distance'!$E7:$E11,'Distance Matrix_Entry'!AQ$23:AQ$27,"&gt;0")</f>
        <v>316.79130504531668</v>
      </c>
      <c r="F143" s="51">
        <f>SUMPRODUCT('A4a.CWD Entry Av. Distance'!$F7:$F11,'Distance Matrix_Entry'!AQ$23:AQ$27)/SUMIFS('A4a.CWD Entry Av. Distance'!$F7:$F11,'Distance Matrix_Entry'!AQ$23:AQ$27,"&gt;0")</f>
        <v>318.24343880954308</v>
      </c>
      <c r="G143" s="51">
        <f>SUMPRODUCT('A4a.CWD Entry Av. Distance'!$G7:$G11,'Distance Matrix_Entry'!AQ$23:AQ$27)/SUMIFS('A4a.CWD Entry Av. Distance'!$G7:$G11,'Distance Matrix_Entry'!AQ$23:AQ$27,"&gt;0")</f>
        <v>317.2788095946762</v>
      </c>
    </row>
    <row r="144" spans="2:7" ht="14.45" customHeight="1">
      <c r="B144" s="34" t="s">
        <v>123</v>
      </c>
      <c r="C144" s="3" t="s">
        <v>221</v>
      </c>
      <c r="D144" s="51">
        <f>SUMPRODUCT('A4a.CWD Entry Av. Distance'!$D7:$D11,'Distance Matrix_Entry'!AR$23:AR$27)/SUMIFS('A4a.CWD Entry Av. Distance'!$D7:$D11,'Distance Matrix_Entry'!AR$23:AR$27,"&gt;0")</f>
        <v>320.37266005021752</v>
      </c>
      <c r="E144" s="51">
        <f>SUMPRODUCT('A4a.CWD Entry Av. Distance'!$E7:$E11,'Distance Matrix_Entry'!AR$23:AR$27)/SUMIFS('A4a.CWD Entry Av. Distance'!$E7:$E11,'Distance Matrix_Entry'!AR$23:AR$27,"&gt;0")</f>
        <v>321.68274455732848</v>
      </c>
      <c r="F144" s="51">
        <f>SUMPRODUCT('A4a.CWD Entry Av. Distance'!$F7:$F11,'Distance Matrix_Entry'!AR$23:AR$27)/SUMIFS('A4a.CWD Entry Av. Distance'!$F7:$F11,'Distance Matrix_Entry'!AR$23:AR$27,"&gt;0")</f>
        <v>323.16797178004396</v>
      </c>
      <c r="G144" s="51">
        <f>SUMPRODUCT('A4a.CWD Entry Av. Distance'!$G7:$G11,'Distance Matrix_Entry'!AR$23:AR$27)/SUMIFS('A4a.CWD Entry Av. Distance'!$G7:$G11,'Distance Matrix_Entry'!AR$23:AR$27,"&gt;0")</f>
        <v>322.20346023575149</v>
      </c>
    </row>
    <row r="145" spans="2:7" ht="14.45" customHeight="1">
      <c r="B145" s="34" t="s">
        <v>125</v>
      </c>
      <c r="C145" s="3" t="s">
        <v>221</v>
      </c>
      <c r="D145" s="51">
        <f>SUMPRODUCT('A4a.CWD Entry Av. Distance'!$D7:$D11,'Distance Matrix_Entry'!AS$23:AS$27)/SUMIFS('A4a.CWD Entry Av. Distance'!$D7:$D11,'Distance Matrix_Entry'!AS$23:AS$27,"&gt;0")</f>
        <v>336.39143029446103</v>
      </c>
      <c r="E145" s="51">
        <f>SUMPRODUCT('A4a.CWD Entry Av. Distance'!$E7:$E11,'Distance Matrix_Entry'!AS$23:AS$27)/SUMIFS('A4a.CWD Entry Av. Distance'!$E7:$E11,'Distance Matrix_Entry'!AS$23:AS$27,"&gt;0")</f>
        <v>337.69020091627664</v>
      </c>
      <c r="F145" s="51">
        <f>SUMPRODUCT('A4a.CWD Entry Av. Distance'!$F7:$F11,'Distance Matrix_Entry'!AS$23:AS$27)/SUMIFS('A4a.CWD Entry Av. Distance'!$F7:$F11,'Distance Matrix_Entry'!AS$23:AS$27,"&gt;0")</f>
        <v>339.2837279740877</v>
      </c>
      <c r="G145" s="51">
        <f>SUMPRODUCT('A4a.CWD Entry Av. Distance'!$G7:$G11,'Distance Matrix_Entry'!AS$23:AS$27)/SUMIFS('A4a.CWD Entry Av. Distance'!$G7:$G11,'Distance Matrix_Entry'!AS$23:AS$27,"&gt;0")</f>
        <v>338.31960151205618</v>
      </c>
    </row>
    <row r="146" spans="2:7" ht="14.45" customHeight="1">
      <c r="B146" s="34" t="s">
        <v>127</v>
      </c>
      <c r="C146" s="3" t="s">
        <v>221</v>
      </c>
      <c r="D146" s="51">
        <f>SUMPRODUCT('A4a.CWD Entry Av. Distance'!$D7:$D11,'Distance Matrix_Entry'!AT$23:AT$27)/SUMIFS('A4a.CWD Entry Av. Distance'!$D7:$D11,'Distance Matrix_Entry'!AT$23:AT$27,"&gt;0")</f>
        <v>343.33649418480053</v>
      </c>
      <c r="E146" s="51">
        <f>SUMPRODUCT('A4a.CWD Entry Av. Distance'!$E7:$E11,'Distance Matrix_Entry'!AT$23:AT$27)/SUMIFS('A4a.CWD Entry Av. Distance'!$E7:$E11,'Distance Matrix_Entry'!AT$23:AT$27,"&gt;0")</f>
        <v>344.63035958261787</v>
      </c>
      <c r="F146" s="51">
        <f>SUMPRODUCT('A4a.CWD Entry Av. Distance'!$F7:$F11,'Distance Matrix_Entry'!AT$23:AT$27)/SUMIFS('A4a.CWD Entry Av. Distance'!$F7:$F11,'Distance Matrix_Entry'!AT$23:AT$27,"&gt;0")</f>
        <v>346.270840886141</v>
      </c>
      <c r="G146" s="51">
        <f>SUMPRODUCT('A4a.CWD Entry Av. Distance'!$G7:$G11,'Distance Matrix_Entry'!AT$23:AT$27)/SUMIFS('A4a.CWD Entry Av. Distance'!$G7:$G11,'Distance Matrix_Entry'!AT$23:AT$27,"&gt;0")</f>
        <v>345.30688137955377</v>
      </c>
    </row>
    <row r="147" spans="2:7" ht="14.45" customHeight="1">
      <c r="B147" s="34" t="s">
        <v>129</v>
      </c>
      <c r="C147" s="3" t="s">
        <v>221</v>
      </c>
      <c r="D147" s="51">
        <f>SUMPRODUCT('A4a.CWD Entry Av. Distance'!$D7:$D11,'Distance Matrix_Entry'!AU$23:AU$27)/SUMIFS('A4a.CWD Entry Av. Distance'!$D7:$D11,'Distance Matrix_Entry'!AU$23:AU$27,"&gt;0")</f>
        <v>356.04924035671138</v>
      </c>
      <c r="E147" s="51">
        <f>SUMPRODUCT('A4a.CWD Entry Av. Distance'!$E7:$E11,'Distance Matrix_Entry'!AU$23:AU$27)/SUMIFS('A4a.CWD Entry Av. Distance'!$E7:$E11,'Distance Matrix_Entry'!AU$23:AU$27,"&gt;0")</f>
        <v>357.33917049007812</v>
      </c>
      <c r="F147" s="51">
        <f>SUMPRODUCT('A4a.CWD Entry Av. Distance'!$F7:$F11,'Distance Matrix_Entry'!AU$23:AU$27)/SUMIFS('A4a.CWD Entry Av. Distance'!$F7:$F11,'Distance Matrix_Entry'!AU$23:AU$27,"&gt;0")</f>
        <v>359.01732130146053</v>
      </c>
      <c r="G147" s="51">
        <f>SUMPRODUCT('A4a.CWD Entry Av. Distance'!$G7:$G11,'Distance Matrix_Entry'!AU$23:AU$27)/SUMIFS('A4a.CWD Entry Av. Distance'!$G7:$G11,'Distance Matrix_Entry'!AU$23:AU$27,"&gt;0")</f>
        <v>358.05349573652927</v>
      </c>
    </row>
    <row r="148" spans="2:7" ht="14.45" customHeight="1">
      <c r="B148" s="34" t="s">
        <v>131</v>
      </c>
      <c r="C148" s="3" t="s">
        <v>221</v>
      </c>
      <c r="D148" s="51">
        <f>SUMPRODUCT('A4a.CWD Entry Av. Distance'!$D7:$D11,'Distance Matrix_Entry'!AV$23:AV$27)/SUMIFS('A4a.CWD Entry Av. Distance'!$D7:$D11,'Distance Matrix_Entry'!AV$23:AV$27,"&gt;0")</f>
        <v>356.04824035671129</v>
      </c>
      <c r="E148" s="51">
        <f>SUMPRODUCT('A4a.CWD Entry Av. Distance'!$E7:$E11,'Distance Matrix_Entry'!AV$23:AV$27)/SUMIFS('A4a.CWD Entry Av. Distance'!$E7:$E11,'Distance Matrix_Entry'!AV$23:AV$27,"&gt;0")</f>
        <v>357.33817049007808</v>
      </c>
      <c r="F148" s="51">
        <f>SUMPRODUCT('A4a.CWD Entry Av. Distance'!$F7:$F11,'Distance Matrix_Entry'!AV$23:AV$27)/SUMIFS('A4a.CWD Entry Av. Distance'!$F7:$F11,'Distance Matrix_Entry'!AV$23:AV$27,"&gt;0")</f>
        <v>359.01632130146055</v>
      </c>
      <c r="G148" s="51">
        <f>SUMPRODUCT('A4a.CWD Entry Av. Distance'!$G7:$G11,'Distance Matrix_Entry'!AV$23:AV$27)/SUMIFS('A4a.CWD Entry Av. Distance'!$G7:$G11,'Distance Matrix_Entry'!AV$23:AV$27,"&gt;0")</f>
        <v>358.05249573652924</v>
      </c>
    </row>
    <row r="149" spans="2:7" ht="14.45" customHeight="1">
      <c r="B149" s="34" t="s">
        <v>132</v>
      </c>
      <c r="C149" s="3" t="s">
        <v>221</v>
      </c>
      <c r="D149" s="51">
        <f>SUMPRODUCT('A4a.CWD Entry Av. Distance'!$D7:$D11,'Distance Matrix_Entry'!AW$23:AW$27)/SUMIFS('A4a.CWD Entry Av. Distance'!$D7:$D11,'Distance Matrix_Entry'!AW$23:AW$27,"&gt;0")</f>
        <v>360.34601506876766</v>
      </c>
      <c r="E149" s="51">
        <f>SUMPRODUCT('A4a.CWD Entry Av. Distance'!$E7:$E11,'Distance Matrix_Entry'!AW$23:AW$27)/SUMIFS('A4a.CWD Entry Av. Distance'!$E7:$E11,'Distance Matrix_Entry'!AW$23:AW$27,"&gt;0")</f>
        <v>361.62786682475871</v>
      </c>
      <c r="F149" s="51">
        <f>SUMPRODUCT('A4a.CWD Entry Av. Distance'!$F7:$F11,'Distance Matrix_Entry'!AW$23:AW$27)/SUMIFS('A4a.CWD Entry Av. Distance'!$F7:$F11,'Distance Matrix_Entry'!AW$23:AW$27,"&gt;0")</f>
        <v>363.38334623854269</v>
      </c>
      <c r="G149" s="51">
        <f>SUMPRODUCT('A4a.CWD Entry Av. Distance'!$G7:$G11,'Distance Matrix_Entry'!AW$23:AW$27)/SUMIFS('A4a.CWD Entry Av. Distance'!$G7:$G11,'Distance Matrix_Entry'!AW$23:AW$27,"&gt;0")</f>
        <v>362.41979563130656</v>
      </c>
    </row>
    <row r="150" spans="2:7" ht="14.45" customHeight="1">
      <c r="B150" s="34" t="s">
        <v>134</v>
      </c>
      <c r="C150" s="3" t="s">
        <v>221</v>
      </c>
      <c r="D150" s="51">
        <f>SUMPRODUCT('A4a.CWD Entry Av. Distance'!$D7:$D11,'Distance Matrix_Entry'!AX$23:AX$27)/SUMIFS('A4a.CWD Entry Av. Distance'!$D7:$D11,'Distance Matrix_Entry'!AX$23:AX$27,"&gt;0")</f>
        <v>368.94006022122164</v>
      </c>
      <c r="E150" s="51">
        <f>SUMPRODUCT('A4a.CWD Entry Av. Distance'!$E7:$E11,'Distance Matrix_Entry'!AX$23:AX$27)/SUMIFS('A4a.CWD Entry Av. Distance'!$E7:$E11,'Distance Matrix_Entry'!AX$23:AX$27,"&gt;0")</f>
        <v>370.21584280175728</v>
      </c>
      <c r="F150" s="51">
        <f>SUMPRODUCT('A4a.CWD Entry Av. Distance'!$F7:$F11,'Distance Matrix_Entry'!AX$23:AX$27)/SUMIFS('A4a.CWD Entry Av. Distance'!$F7:$F11,'Distance Matrix_Entry'!AX$23:AX$27,"&gt;0")</f>
        <v>372.02941814667633</v>
      </c>
      <c r="G150" s="51">
        <f>SUMPRODUCT('A4a.CWD Entry Av. Distance'!$G7:$G11,'Distance Matrix_Entry'!AX$23:AX$27)/SUMIFS('A4a.CWD Entry Av. Distance'!$G7:$G11,'Distance Matrix_Entry'!AX$23:AX$27,"&gt;0")</f>
        <v>371.06607411143068</v>
      </c>
    </row>
    <row r="151" spans="2:7" ht="14.45" customHeight="1">
      <c r="B151" s="34" t="s">
        <v>136</v>
      </c>
      <c r="C151" s="3" t="s">
        <v>221</v>
      </c>
      <c r="D151" s="51">
        <f>SUMPRODUCT('A4a.CWD Entry Av. Distance'!$D7:$D11,'Distance Matrix_Entry'!AY$23:AY$27)/SUMIFS('A4a.CWD Entry Av. Distance'!$D7:$D11,'Distance Matrix_Entry'!AY$23:AY$27,"&gt;0")</f>
        <v>368.93906022122161</v>
      </c>
      <c r="E151" s="51">
        <f>SUMPRODUCT('A4a.CWD Entry Av. Distance'!$E7:$E11,'Distance Matrix_Entry'!AY$23:AY$27)/SUMIFS('A4a.CWD Entry Av. Distance'!$E7:$E11,'Distance Matrix_Entry'!AY$23:AY$27,"&gt;0")</f>
        <v>370.21484280175719</v>
      </c>
      <c r="F151" s="51">
        <f>SUMPRODUCT('A4a.CWD Entry Av. Distance'!$F7:$F11,'Distance Matrix_Entry'!AY$23:AY$27)/SUMIFS('A4a.CWD Entry Av. Distance'!$F7:$F11,'Distance Matrix_Entry'!AY$23:AY$27,"&gt;0")</f>
        <v>372.02841814667636</v>
      </c>
      <c r="G151" s="51">
        <f>SUMPRODUCT('A4a.CWD Entry Av. Distance'!$G7:$G11,'Distance Matrix_Entry'!AY$23:AY$27)/SUMIFS('A4a.CWD Entry Av. Distance'!$G7:$G11,'Distance Matrix_Entry'!AY$23:AY$27,"&gt;0")</f>
        <v>371.0650741114307</v>
      </c>
    </row>
    <row r="152" spans="2:7" ht="14.45" customHeight="1">
      <c r="B152" s="34" t="s">
        <v>137</v>
      </c>
      <c r="C152" s="3" t="s">
        <v>221</v>
      </c>
      <c r="D152" s="51">
        <f>SUMPRODUCT('A4a.CWD Entry Av. Distance'!$D7:$D11,'Distance Matrix_Entry'!AZ$23:AZ$27)/SUMIFS('A4a.CWD Entry Av. Distance'!$D7:$D11,'Distance Matrix_Entry'!AZ$23:AZ$27,"&gt;0")</f>
        <v>381.84824677445147</v>
      </c>
      <c r="E152" s="51">
        <f>SUMPRODUCT('A4a.CWD Entry Av. Distance'!$E7:$E11,'Distance Matrix_Entry'!AZ$23:AZ$27)/SUMIFS('A4a.CWD Entry Av. Distance'!$E7:$E11,'Distance Matrix_Entry'!AZ$23:AZ$27,"&gt;0")</f>
        <v>383.11491173523899</v>
      </c>
      <c r="F152" s="51">
        <f>SUMPRODUCT('A4a.CWD Entry Av. Distance'!$F7:$F11,'Distance Matrix_Entry'!AZ$23:AZ$27)/SUMIFS('A4a.CWD Entry Av. Distance'!$F7:$F11,'Distance Matrix_Entry'!AZ$23:AZ$27,"&gt;0")</f>
        <v>385.01576361597319</v>
      </c>
      <c r="G152" s="51">
        <f>SUMPRODUCT('A4a.CWD Entry Av. Distance'!$G7:$G11,'Distance Matrix_Entry'!AZ$23:AZ$27)/SUMIFS('A4a.CWD Entry Av. Distance'!$G7:$G11,'Distance Matrix_Entry'!AZ$23:AZ$27,"&gt;0")</f>
        <v>384.05272991033877</v>
      </c>
    </row>
    <row r="153" spans="2:7" ht="14.45" customHeight="1">
      <c r="B153" s="34" t="s">
        <v>139</v>
      </c>
      <c r="C153" s="3" t="s">
        <v>221</v>
      </c>
      <c r="D153" s="51">
        <f>SUMPRODUCT('A4a.CWD Entry Av. Distance'!$D7:$D11,'Distance Matrix_Entry'!BA$23:BA$27)/SUMIFS('A4a.CWD Entry Av. Distance'!$D7:$D11,'Distance Matrix_Entry'!BA$23:BA$27,"&gt;0")</f>
        <v>399.0735747284574</v>
      </c>
      <c r="E153" s="51">
        <f>SUMPRODUCT('A4a.CWD Entry Av. Distance'!$E7:$E11,'Distance Matrix_Entry'!BA$23:BA$27)/SUMIFS('A4a.CWD Entry Av. Distance'!$E7:$E11,'Distance Matrix_Entry'!BA$23:BA$27,"&gt;0")</f>
        <v>400.32807362520407</v>
      </c>
      <c r="F153" s="51">
        <f>SUMPRODUCT('A4a.CWD Entry Av. Distance'!$F7:$F11,'Distance Matrix_Entry'!BA$23:BA$27)/SUMIFS('A4a.CWD Entry Av. Distance'!$F7:$F11,'Distance Matrix_Entry'!BA$23:BA$27,"&gt;0")</f>
        <v>402.34538264643299</v>
      </c>
      <c r="G153" s="51">
        <f>SUMPRODUCT('A4a.CWD Entry Av. Distance'!$G7:$G11,'Distance Matrix_Entry'!BA$23:BA$27)/SUMIFS('A4a.CWD Entry Av. Distance'!$G7:$G11,'Distance Matrix_Entry'!BA$23:BA$27,"&gt;0")</f>
        <v>401.38276302803064</v>
      </c>
    </row>
    <row r="154" spans="2:7" ht="14.45" customHeight="1">
      <c r="B154" s="34" t="s">
        <v>141</v>
      </c>
      <c r="C154" s="3" t="s">
        <v>221</v>
      </c>
      <c r="D154" s="51">
        <f>SUMPRODUCT('A4a.CWD Entry Av. Distance'!$D7:$D11,'Distance Matrix_Entry'!BB$23:BB$27)/SUMIFS('A4a.CWD Entry Av. Distance'!$D7:$D11,'Distance Matrix_Entry'!BB$23:BB$27,"&gt;0")</f>
        <v>413.35017503177943</v>
      </c>
      <c r="E154" s="51">
        <f>SUMPRODUCT('A4a.CWD Entry Av. Distance'!$E7:$E11,'Distance Matrix_Entry'!BB$23:BB$27)/SUMIFS('A4a.CWD Entry Av. Distance'!$E7:$E11,'Distance Matrix_Entry'!BB$23:BB$27,"&gt;0")</f>
        <v>414.60055160044845</v>
      </c>
      <c r="F154" s="51">
        <f>SUMPRODUCT('A4a.CWD Entry Av. Distance'!$F7:$F11,'Distance Matrix_Entry'!BB$23:BB$27)/SUMIFS('A4a.CWD Entry Av. Distance'!$F7:$F11,'Distance Matrix_Entry'!BB$23:BB$27,"&gt;0")</f>
        <v>416.65732075755113</v>
      </c>
      <c r="G154" s="51">
        <f>SUMPRODUCT('A4a.CWD Entry Av. Distance'!$G7:$G11,'Distance Matrix_Entry'!BB$23:BB$27)/SUMIFS('A4a.CWD Entry Av. Distance'!$G7:$G11,'Distance Matrix_Entry'!BB$23:BB$27,"&gt;0")</f>
        <v>415.69484144774975</v>
      </c>
    </row>
    <row r="155" spans="2:7" ht="14.45" customHeight="1">
      <c r="B155" s="34" t="s">
        <v>143</v>
      </c>
      <c r="C155" s="3" t="s">
        <v>221</v>
      </c>
      <c r="D155" s="51">
        <f>SUMPRODUCT('A4a.CWD Entry Av. Distance'!$D7:$D11,'Distance Matrix_Entry'!BC$23:BC$27)/SUMIFS('A4a.CWD Entry Av. Distance'!$D7:$D11,'Distance Matrix_Entry'!BC$23:BC$27,"&gt;0")</f>
        <v>410.61017503177948</v>
      </c>
      <c r="E155" s="51">
        <f>SUMPRODUCT('A4a.CWD Entry Av. Distance'!$E7:$E11,'Distance Matrix_Entry'!BC$23:BC$27)/SUMIFS('A4a.CWD Entry Av. Distance'!$E7:$E11,'Distance Matrix_Entry'!BC$23:BC$27,"&gt;0")</f>
        <v>411.86055160044845</v>
      </c>
      <c r="F155" s="51">
        <f>SUMPRODUCT('A4a.CWD Entry Av. Distance'!$F7:$F11,'Distance Matrix_Entry'!BC$23:BC$27)/SUMIFS('A4a.CWD Entry Av. Distance'!$F7:$F11,'Distance Matrix_Entry'!BC$23:BC$27,"&gt;0")</f>
        <v>413.91732075755124</v>
      </c>
      <c r="G155" s="51">
        <f>SUMPRODUCT('A4a.CWD Entry Av. Distance'!$G7:$G11,'Distance Matrix_Entry'!BC$23:BC$27)/SUMIFS('A4a.CWD Entry Av. Distance'!$G7:$G11,'Distance Matrix_Entry'!BC$23:BC$27,"&gt;0")</f>
        <v>412.95484144774974</v>
      </c>
    </row>
    <row r="156" spans="2:7" ht="14.45" customHeight="1">
      <c r="B156" s="34" t="s">
        <v>145</v>
      </c>
      <c r="C156" s="3" t="s">
        <v>221</v>
      </c>
      <c r="D156" s="51">
        <f>SUMPRODUCT('A4a.CWD Entry Av. Distance'!$D7:$D11,'Distance Matrix_Entry'!BD$23:BD$27)/SUMIFS('A4a.CWD Entry Av. Distance'!$D7:$D11,'Distance Matrix_Entry'!BD$23:BD$27,"&gt;0")</f>
        <v>415.23575638055746</v>
      </c>
      <c r="E156" s="51">
        <f>SUMPRODUCT('A4a.CWD Entry Av. Distance'!$E7:$E11,'Distance Matrix_Entry'!BD$23:BD$27)/SUMIFS('A4a.CWD Entry Av. Distance'!$E7:$E11,'Distance Matrix_Entry'!BD$23:BD$27,"&gt;0")</f>
        <v>416.48379118974708</v>
      </c>
      <c r="F156" s="51">
        <f>SUMPRODUCT('A4a.CWD Entry Av. Distance'!$F7:$F11,'Distance Matrix_Entry'!BD$23:BD$27)/SUMIFS('A4a.CWD Entry Av. Distance'!$F7:$F11,'Distance Matrix_Entry'!BD$23:BD$27,"&gt;0")</f>
        <v>418.56297635680829</v>
      </c>
      <c r="G156" s="51">
        <f>SUMPRODUCT('A4a.CWD Entry Av. Distance'!$G7:$G11,'Distance Matrix_Entry'!BD$23:BD$27)/SUMIFS('A4a.CWD Entry Av. Distance'!$G7:$G11,'Distance Matrix_Entry'!BD$23:BD$27,"&gt;0")</f>
        <v>417.60057675172459</v>
      </c>
    </row>
    <row r="157" spans="2:7" ht="14.45" customHeight="1">
      <c r="B157" s="34" t="s">
        <v>147</v>
      </c>
      <c r="C157" s="3" t="s">
        <v>221</v>
      </c>
      <c r="D157" s="51">
        <f>SUMPRODUCT('A4a.CWD Entry Av. Distance'!$D7:$D11,'Distance Matrix_Entry'!BE$23:BE$27)/SUMIFS('A4a.CWD Entry Av. Distance'!$D7:$D11,'Distance Matrix_Entry'!BE$23:BE$27,"&gt;0")</f>
        <v>421.34094059155166</v>
      </c>
      <c r="E157" s="51">
        <f>SUMPRODUCT('A4a.CWD Entry Av. Distance'!$E7:$E11,'Distance Matrix_Entry'!BE$23:BE$27)/SUMIFS('A4a.CWD Entry Av. Distance'!$E7:$E11,'Distance Matrix_Entry'!BE$23:BE$27,"&gt;0")</f>
        <v>422.579712287061</v>
      </c>
      <c r="F157" s="51">
        <f>SUMPRODUCT('A4a.CWD Entry Av. Distance'!$F7:$F11,'Distance Matrix_Entry'!BE$23:BE$27)/SUMIFS('A4a.CWD Entry Av. Distance'!$F7:$F11,'Distance Matrix_Entry'!BE$23:BE$27,"&gt;0")</f>
        <v>424.74756670061521</v>
      </c>
      <c r="G157" s="51">
        <f>SUMPRODUCT('A4a.CWD Entry Av. Distance'!$G7:$G11,'Distance Matrix_Entry'!BE$23:BE$27)/SUMIFS('A4a.CWD Entry Av. Distance'!$G7:$G11,'Distance Matrix_Entry'!BE$23:BE$27,"&gt;0")</f>
        <v>423.785482377211</v>
      </c>
    </row>
    <row r="158" spans="2:7" ht="14.45" customHeight="1">
      <c r="B158" s="34" t="s">
        <v>149</v>
      </c>
      <c r="C158" s="3" t="s">
        <v>221</v>
      </c>
      <c r="D158" s="51">
        <f>SUMPRODUCT('A4a.CWD Entry Av. Distance'!$D7:$D11,'Distance Matrix_Entry'!BF$23:BF$27)/SUMIFS('A4a.CWD Entry Av. Distance'!$D7:$D11,'Distance Matrix_Entry'!BF$23:BF$27,"&gt;0")</f>
        <v>430.65007284004338</v>
      </c>
      <c r="E158" s="51">
        <f>SUMPRODUCT('A4a.CWD Entry Av. Distance'!$E7:$E11,'Distance Matrix_Entry'!BF$23:BF$27)/SUMIFS('A4a.CWD Entry Av. Distance'!$E7:$E11,'Distance Matrix_Entry'!BF$23:BF$27,"&gt;0")</f>
        <v>431.88226959547598</v>
      </c>
      <c r="F158" s="51">
        <f>SUMPRODUCT('A4a.CWD Entry Av. Distance'!$F7:$F11,'Distance Matrix_Entry'!BF$23:BF$27)/SUMIFS('A4a.CWD Entry Av. Distance'!$F7:$F11,'Distance Matrix_Entry'!BF$23:BF$27,"&gt;0")</f>
        <v>434.11306126775986</v>
      </c>
      <c r="G158" s="51">
        <f>SUMPRODUCT('A4a.CWD Entry Av. Distance'!$G7:$G11,'Distance Matrix_Entry'!BF$23:BF$27)/SUMIFS('A4a.CWD Entry Av. Distance'!$G7:$G11,'Distance Matrix_Entry'!BF$23:BF$27,"&gt;0")</f>
        <v>433.15120073067885</v>
      </c>
    </row>
    <row r="159" spans="2:7" ht="14.45" customHeight="1">
      <c r="B159" s="34" t="s">
        <v>151</v>
      </c>
      <c r="C159" s="3" t="s">
        <v>221</v>
      </c>
      <c r="D159" s="51">
        <f>SUMPRODUCT('A4a.CWD Entry Av. Distance'!$D7:$D11,'Distance Matrix_Entry'!BG$23:BG$27)/SUMIFS('A4a.CWD Entry Av. Distance'!$D7:$D11,'Distance Matrix_Entry'!BG$23:BG$27,"&gt;0")</f>
        <v>461.81579793183295</v>
      </c>
      <c r="E159" s="51">
        <f>SUMPRODUCT('A4a.CWD Entry Av. Distance'!$E7:$E11,'Distance Matrix_Entry'!BG$23:BG$27)/SUMIFS('A4a.CWD Entry Av. Distance'!$E7:$E11,'Distance Matrix_Entry'!BG$23:BG$27,"&gt;0")</f>
        <v>463.04274997742561</v>
      </c>
      <c r="F159" s="51">
        <f>SUMPRODUCT('A4a.CWD Entry Av. Distance'!$F7:$F11,'Distance Matrix_Entry'!BG$23:BG$27)/SUMIFS('A4a.CWD Entry Av. Distance'!$F7:$F11,'Distance Matrix_Entry'!BG$23:BG$27,"&gt;0")</f>
        <v>465.32374555366994</v>
      </c>
      <c r="G159" s="51">
        <f>SUMPRODUCT('A4a.CWD Entry Av. Distance'!$G7:$G11,'Distance Matrix_Entry'!BG$23:BG$27)/SUMIFS('A4a.CWD Entry Av. Distance'!$G7:$G11,'Distance Matrix_Entry'!BG$23:BG$27,"&gt;0")</f>
        <v>464.36206352685934</v>
      </c>
    </row>
    <row r="160" spans="2:7" ht="14.45" customHeight="1">
      <c r="B160" s="34" t="s">
        <v>153</v>
      </c>
      <c r="C160" s="3" t="s">
        <v>221</v>
      </c>
      <c r="D160" s="51">
        <f>SUMPRODUCT('A4a.CWD Entry Av. Distance'!$D7:$D11,'Distance Matrix_Entry'!BH$23:BH$27)/SUMIFS('A4a.CWD Entry Av. Distance'!$D7:$D11,'Distance Matrix_Entry'!BH$23:BH$27,"&gt;0")</f>
        <v>440.75376748276898</v>
      </c>
      <c r="E160" s="51">
        <f>SUMPRODUCT('A4a.CWD Entry Av. Distance'!$E7:$E11,'Distance Matrix_Entry'!BH$23:BH$27)/SUMIFS('A4a.CWD Entry Av. Distance'!$E7:$E11,'Distance Matrix_Entry'!BH$23:BH$27,"&gt;0")</f>
        <v>441.97882810724366</v>
      </c>
      <c r="F160" s="51">
        <f>SUMPRODUCT('A4a.CWD Entry Av. Distance'!$F7:$F11,'Distance Matrix_Entry'!BH$23:BH$27)/SUMIFS('A4a.CWD Entry Av. Distance'!$F7:$F11,'Distance Matrix_Entry'!BH$23:BH$27,"&gt;0")</f>
        <v>444.2779289223007</v>
      </c>
      <c r="G160" s="51">
        <f>SUMPRODUCT('A4a.CWD Entry Av. Distance'!$G7:$G11,'Distance Matrix_Entry'!BH$23:BH$27)/SUMIFS('A4a.CWD Entry Av. Distance'!$G7:$G11,'Distance Matrix_Entry'!BH$23:BH$27,"&gt;0")</f>
        <v>443.31631127237745</v>
      </c>
    </row>
    <row r="161" spans="2:7" ht="14.45" customHeight="1">
      <c r="B161" s="34" t="s">
        <v>155</v>
      </c>
      <c r="C161" s="3" t="s">
        <v>221</v>
      </c>
      <c r="D161" s="51">
        <f>SUMPRODUCT('A4a.CWD Entry Av. Distance'!$D7:$D11,'Distance Matrix_Entry'!BI$23:BI$27)/SUMIFS('A4a.CWD Entry Av. Distance'!$D7:$D11,'Distance Matrix_Entry'!BI$23:BI$27,"&gt;0")</f>
        <v>449.67052324028117</v>
      </c>
      <c r="E161" s="51">
        <f>SUMPRODUCT('A4a.CWD Entry Av. Distance'!$E7:$E11,'Distance Matrix_Entry'!BI$23:BI$27)/SUMIFS('A4a.CWD Entry Av. Distance'!$E7:$E11,'Distance Matrix_Entry'!BI$23:BI$27,"&gt;0")</f>
        <v>450.88928605597835</v>
      </c>
      <c r="F161" s="51">
        <f>SUMPRODUCT('A4a.CWD Entry Av. Distance'!$F7:$F11,'Distance Matrix_Entry'!BI$23:BI$27)/SUMIFS('A4a.CWD Entry Av. Distance'!$F7:$F11,'Distance Matrix_Entry'!BI$23:BI$27,"&gt;0")</f>
        <v>453.24867134752174</v>
      </c>
      <c r="G161" s="51">
        <f>SUMPRODUCT('A4a.CWD Entry Av. Distance'!$G7:$G11,'Distance Matrix_Entry'!BI$23:BI$27)/SUMIFS('A4a.CWD Entry Av. Distance'!$G7:$G11,'Distance Matrix_Entry'!BI$23:BI$27,"&gt;0")</f>
        <v>452.28726805141042</v>
      </c>
    </row>
    <row r="162" spans="2:7" ht="14.45" customHeight="1">
      <c r="B162" s="34" t="s">
        <v>157</v>
      </c>
      <c r="C162" s="3" t="s">
        <v>221</v>
      </c>
      <c r="D162" s="51">
        <f>SUMPRODUCT('A4a.CWD Entry Av. Distance'!$D7:$D11,'Distance Matrix_Entry'!BJ$23:BJ$27)/SUMIFS('A4a.CWD Entry Av. Distance'!$D7:$D11,'Distance Matrix_Entry'!BJ$23:BJ$27,"&gt;0")</f>
        <v>463.65510480571766</v>
      </c>
      <c r="E162" s="51">
        <f>SUMPRODUCT('A4a.CWD Entry Av. Distance'!$E7:$E11,'Distance Matrix_Entry'!BJ$23:BJ$27)/SUMIFS('A4a.CWD Entry Av. Distance'!$E7:$E11,'Distance Matrix_Entry'!BJ$23:BJ$27,"&gt;0")</f>
        <v>464.86858134188003</v>
      </c>
      <c r="F162" s="51">
        <f>SUMPRODUCT('A4a.CWD Entry Av. Distance'!$F7:$F11,'Distance Matrix_Entry'!BJ$23:BJ$27)/SUMIFS('A4a.CWD Entry Av. Distance'!$F7:$F11,'Distance Matrix_Entry'!BJ$23:BJ$27,"&gt;0")</f>
        <v>467.27856845472041</v>
      </c>
      <c r="G162" s="51">
        <f>SUMPRODUCT('A4a.CWD Entry Av. Distance'!$G7:$G11,'Distance Matrix_Entry'!BJ$23:BJ$27)/SUMIFS('A4a.CWD Entry Av. Distance'!$G7:$G11,'Distance Matrix_Entry'!BJ$23:BJ$27,"&gt;0")</f>
        <v>466.31734508375609</v>
      </c>
    </row>
    <row r="163" spans="2:7" ht="14.45" customHeight="1">
      <c r="B163" s="34" t="s">
        <v>159</v>
      </c>
      <c r="C163" s="3" t="s">
        <v>221</v>
      </c>
      <c r="D163" s="51">
        <f>SUMPRODUCT('A4a.CWD Entry Av. Distance'!$D7:$D11,'Distance Matrix_Entry'!BK$23:BK$27)/SUMIFS('A4a.CWD Entry Av. Distance'!$D7:$D11,'Distance Matrix_Entry'!BK$23:BK$27,"&gt;0")</f>
        <v>471.26103965643557</v>
      </c>
      <c r="E163" s="51">
        <f>SUMPRODUCT('A4a.CWD Entry Av. Distance'!$E7:$E11,'Distance Matrix_Entry'!BK$23:BK$27)/SUMIFS('A4a.CWD Entry Av. Distance'!$E7:$E11,'Distance Matrix_Entry'!BK$23:BK$27,"&gt;0")</f>
        <v>472.46455332238673</v>
      </c>
      <c r="F163" s="51">
        <f>SUMPRODUCT('A4a.CWD Entry Av. Distance'!$F7:$F11,'Distance Matrix_Entry'!BK$23:BK$27)/SUMIFS('A4a.CWD Entry Av. Distance'!$F7:$F11,'Distance Matrix_Entry'!BK$23:BK$27,"&gt;0")</f>
        <v>474.96990795688515</v>
      </c>
      <c r="G163" s="51">
        <f>SUMPRODUCT('A4a.CWD Entry Av. Distance'!$G7:$G11,'Distance Matrix_Entry'!BK$23:BK$27)/SUMIFS('A4a.CWD Entry Av. Distance'!$G7:$G11,'Distance Matrix_Entry'!BK$23:BK$27,"&gt;0")</f>
        <v>474.00902368469059</v>
      </c>
    </row>
    <row r="164" spans="2:7" ht="14.45" customHeight="1">
      <c r="B164" s="34" t="s">
        <v>161</v>
      </c>
      <c r="C164" s="3" t="s">
        <v>221</v>
      </c>
      <c r="D164" s="51">
        <f>SUMPRODUCT('A4a.CWD Entry Av. Distance'!$D7:$D11,'Distance Matrix_Entry'!BL$23:BL$27)/SUMIFS('A4a.CWD Entry Av. Distance'!$D7:$D11,'Distance Matrix_Entry'!BL$23:BL$27,"&gt;0")</f>
        <v>498.67876006375366</v>
      </c>
      <c r="E164" s="51">
        <f>SUMPRODUCT('A4a.CWD Entry Av. Distance'!$E7:$E11,'Distance Matrix_Entry'!BL$23:BL$27)/SUMIFS('A4a.CWD Entry Av. Distance'!$E7:$E11,'Distance Matrix_Entry'!BL$23:BL$27,"&gt;0")</f>
        <v>499.87673803200067</v>
      </c>
      <c r="F164" s="51">
        <f>SUMPRODUCT('A4a.CWD Entry Av. Distance'!$F7:$F11,'Distance Matrix_Entry'!BL$23:BL$27)/SUMIFS('A4a.CWD Entry Av. Distance'!$F7:$F11,'Distance Matrix_Entry'!BL$23:BL$27,"&gt;0")</f>
        <v>502.43508199181531</v>
      </c>
      <c r="G164" s="51">
        <f>SUMPRODUCT('A4a.CWD Entry Av. Distance'!$G7:$G11,'Distance Matrix_Entry'!BL$23:BL$27)/SUMIFS('A4a.CWD Entry Av. Distance'!$G7:$G11,'Distance Matrix_Entry'!BL$23:BL$27,"&gt;0")</f>
        <v>501.47438613402761</v>
      </c>
    </row>
    <row r="165" spans="2:7" ht="14.45" customHeight="1">
      <c r="B165" s="34" t="s">
        <v>163</v>
      </c>
      <c r="C165" s="3" t="s">
        <v>221</v>
      </c>
      <c r="D165" s="51">
        <f>SUMPRODUCT('A4a.CWD Entry Av. Distance'!$D7:$D11,'Distance Matrix_Entry'!BM$23:BM$27)/SUMIFS('A4a.CWD Entry Av. Distance'!$D7:$D11,'Distance Matrix_Entry'!BM$23:BM$27,"&gt;0")</f>
        <v>496.24561271956367</v>
      </c>
      <c r="E165" s="51">
        <f>SUMPRODUCT('A4a.CWD Entry Av. Distance'!$E7:$E11,'Distance Matrix_Entry'!BM$23:BM$27)/SUMIFS('A4a.CWD Entry Av. Distance'!$E7:$E11,'Distance Matrix_Entry'!BM$23:BM$27,"&gt;0")</f>
        <v>497.43148005002968</v>
      </c>
      <c r="F165" s="51">
        <f>SUMPRODUCT('A4a.CWD Entry Av. Distance'!$F7:$F11,'Distance Matrix_Entry'!BM$23:BM$27)/SUMIFS('A4a.CWD Entry Av. Distance'!$F7:$F11,'Distance Matrix_Entry'!BM$23:BM$27,"&gt;0")</f>
        <v>500.10575059389032</v>
      </c>
      <c r="G165" s="51">
        <f>SUMPRODUCT('A4a.CWD Entry Av. Distance'!$G7:$G11,'Distance Matrix_Entry'!BM$23:BM$27)/SUMIFS('A4a.CWD Entry Av. Distance'!$G7:$G11,'Distance Matrix_Entry'!BM$23:BM$27,"&gt;0")</f>
        <v>499.14546693683258</v>
      </c>
    </row>
    <row r="166" spans="2:7" ht="14.45" customHeight="1">
      <c r="B166" s="34" t="s">
        <v>165</v>
      </c>
      <c r="C166" s="3" t="s">
        <v>221</v>
      </c>
      <c r="D166" s="51">
        <f>SUMPRODUCT('A4a.CWD Entry Av. Distance'!$D7:$D11,'Distance Matrix_Entry'!BN$23:BN$27)/SUMIFS('A4a.CWD Entry Av. Distance'!$D7:$D11,'Distance Matrix_Entry'!BN$23:BN$27,"&gt;0")</f>
        <v>525.51689894664423</v>
      </c>
      <c r="E166" s="51">
        <f>SUMPRODUCT('A4a.CWD Entry Av. Distance'!$E7:$E11,'Distance Matrix_Entry'!BN$23:BN$27)/SUMIFS('A4a.CWD Entry Av. Distance'!$E7:$E11,'Distance Matrix_Entry'!BN$23:BN$27,"&gt;0")</f>
        <v>526.68209228217984</v>
      </c>
      <c r="F166" s="51">
        <f>SUMPRODUCT('A4a.CWD Entry Av. Distance'!$F7:$F11,'Distance Matrix_Entry'!BN$23:BN$27)/SUMIFS('A4a.CWD Entry Av. Distance'!$F7:$F11,'Distance Matrix_Entry'!BN$23:BN$27,"&gt;0")</f>
        <v>529.55426038141434</v>
      </c>
      <c r="G166" s="51">
        <f>SUMPRODUCT('A4a.CWD Entry Av. Distance'!$G7:$G11,'Distance Matrix_Entry'!BN$23:BN$27)/SUMIFS('A4a.CWD Entry Av. Distance'!$G7:$G11,'Distance Matrix_Entry'!BN$23:BN$27,"&gt;0")</f>
        <v>528.59468038967566</v>
      </c>
    </row>
    <row r="167" spans="2:7" ht="14.45" customHeight="1">
      <c r="B167" s="34" t="s">
        <v>167</v>
      </c>
      <c r="C167" s="3" t="s">
        <v>221</v>
      </c>
      <c r="D167" s="51">
        <f>SUMPRODUCT('A4a.CWD Entry Av. Distance'!$D7:$D11,'Distance Matrix_Entry'!BO$23:BO$27)/SUMIFS('A4a.CWD Entry Av. Distance'!$D7:$D11,'Distance Matrix_Entry'!BO$23:BO$27,"&gt;0")</f>
        <v>411.1926165654819</v>
      </c>
      <c r="E167" s="51">
        <f>SUMPRODUCT('A4a.CWD Entry Av. Distance'!$E7:$E11,'Distance Matrix_Entry'!BO$23:BO$27)/SUMIFS('A4a.CWD Entry Av. Distance'!$E7:$E11,'Distance Matrix_Entry'!BO$23:BO$27,"&gt;0")</f>
        <v>410.50987206957109</v>
      </c>
      <c r="F167" s="51">
        <f>SUMPRODUCT('A4a.CWD Entry Av. Distance'!$F7:$F11,'Distance Matrix_Entry'!BO$23:BO$27)/SUMIFS('A4a.CWD Entry Av. Distance'!$F7:$F11,'Distance Matrix_Entry'!BO$23:BO$27,"&gt;0")</f>
        <v>431.07104418355664</v>
      </c>
      <c r="G167" s="51">
        <f>SUMPRODUCT('A4a.CWD Entry Av. Distance'!$G7:$G11,'Distance Matrix_Entry'!BO$23:BO$27)/SUMIFS('A4a.CWD Entry Av. Distance'!$G7:$G11,'Distance Matrix_Entry'!BO$23:BO$27,"&gt;0")</f>
        <v>430.17436107113036</v>
      </c>
    </row>
    <row r="168" spans="2:7" ht="14.45" customHeight="1">
      <c r="B168" s="34" t="s">
        <v>169</v>
      </c>
      <c r="C168" s="3" t="s">
        <v>221</v>
      </c>
      <c r="D168" s="51">
        <f>SUMPRODUCT('A4a.CWD Entry Av. Distance'!$D7:$D11,'Distance Matrix_Entry'!BP$23:BP$27)/SUMIFS('A4a.CWD Entry Av. Distance'!$D7:$D11,'Distance Matrix_Entry'!BP$23:BP$27,"&gt;0")</f>
        <v>334.21458171008663</v>
      </c>
      <c r="E168" s="51">
        <f>SUMPRODUCT('A4a.CWD Entry Av. Distance'!$E7:$E11,'Distance Matrix_Entry'!BP$23:BP$27)/SUMIFS('A4a.CWD Entry Av. Distance'!$E7:$E11,'Distance Matrix_Entry'!BP$23:BP$27,"&gt;0")</f>
        <v>334.49160664397544</v>
      </c>
      <c r="F168" s="51">
        <f>SUMPRODUCT('A4a.CWD Entry Av. Distance'!$F7:$F11,'Distance Matrix_Entry'!BP$23:BP$27)/SUMIFS('A4a.CWD Entry Av. Distance'!$F7:$F11,'Distance Matrix_Entry'!BP$23:BP$27,"&gt;0")</f>
        <v>345.86558370839947</v>
      </c>
      <c r="G168" s="51">
        <f>SUMPRODUCT('A4a.CWD Entry Av. Distance'!$G7:$G11,'Distance Matrix_Entry'!BP$23:BP$27)/SUMIFS('A4a.CWD Entry Av. Distance'!$G7:$G11,'Distance Matrix_Entry'!BP$23:BP$27,"&gt;0")</f>
        <v>344.93623364096715</v>
      </c>
    </row>
    <row r="169" spans="2:7" ht="14.45" customHeight="1">
      <c r="B169" s="34" t="s">
        <v>171</v>
      </c>
      <c r="C169" s="3" t="s">
        <v>221</v>
      </c>
      <c r="D169" s="51">
        <f>SUMPRODUCT('A4a.CWD Entry Av. Distance'!$D7:$D11,'Distance Matrix_Entry'!BQ$23:BQ$27)/SUMIFS('A4a.CWD Entry Av. Distance'!$D7:$D11,'Distance Matrix_Entry'!BQ$23:BQ$27,"&gt;0")</f>
        <v>317.39378651388444</v>
      </c>
      <c r="E169" s="51">
        <f>SUMPRODUCT('A4a.CWD Entry Av. Distance'!$E7:$E11,'Distance Matrix_Entry'!BQ$23:BQ$27)/SUMIFS('A4a.CWD Entry Av. Distance'!$E7:$E11,'Distance Matrix_Entry'!BQ$23:BQ$27,"&gt;0")</f>
        <v>317.88053471551541</v>
      </c>
      <c r="F169" s="51">
        <f>SUMPRODUCT('A4a.CWD Entry Av. Distance'!$F7:$F11,'Distance Matrix_Entry'!BQ$23:BQ$27)/SUMIFS('A4a.CWD Entry Av. Distance'!$F7:$F11,'Distance Matrix_Entry'!BQ$23:BQ$27,"&gt;0")</f>
        <v>327.24697902534854</v>
      </c>
      <c r="G169" s="51">
        <f>SUMPRODUCT('A4a.CWD Entry Av. Distance'!$G7:$G11,'Distance Matrix_Entry'!BQ$23:BQ$27)/SUMIFS('A4a.CWD Entry Av. Distance'!$G7:$G11,'Distance Matrix_Entry'!BQ$23:BQ$27,"&gt;0")</f>
        <v>326.31049076374342</v>
      </c>
    </row>
    <row r="170" spans="2:7" ht="14.45" customHeight="1">
      <c r="B170" s="34" t="s">
        <v>173</v>
      </c>
      <c r="C170" s="3" t="s">
        <v>221</v>
      </c>
      <c r="D170" s="51">
        <f>SUMPRODUCT('A4a.CWD Entry Av. Distance'!$D7:$D11,'Distance Matrix_Entry'!BR$23:BR$27)/SUMIFS('A4a.CWD Entry Av. Distance'!$D7:$D11,'Distance Matrix_Entry'!BR$23:BR$27,"&gt;0")</f>
        <v>322.45378651388444</v>
      </c>
      <c r="E170" s="51">
        <f>SUMPRODUCT('A4a.CWD Entry Av. Distance'!$E7:$E11,'Distance Matrix_Entry'!BR$23:BR$27)/SUMIFS('A4a.CWD Entry Av. Distance'!$E7:$E11,'Distance Matrix_Entry'!BR$23:BR$27,"&gt;0")</f>
        <v>322.94053471551535</v>
      </c>
      <c r="F170" s="51">
        <f>SUMPRODUCT('A4a.CWD Entry Av. Distance'!$F7:$F11,'Distance Matrix_Entry'!BR$23:BR$27)/SUMIFS('A4a.CWD Entry Av. Distance'!$F7:$F11,'Distance Matrix_Entry'!BR$23:BR$27,"&gt;0")</f>
        <v>332.30697902534848</v>
      </c>
      <c r="G170" s="51">
        <f>SUMPRODUCT('A4a.CWD Entry Av. Distance'!$G7:$G11,'Distance Matrix_Entry'!BR$23:BR$27)/SUMIFS('A4a.CWD Entry Av. Distance'!$G7:$G11,'Distance Matrix_Entry'!BR$23:BR$27,"&gt;0")</f>
        <v>331.37049076374336</v>
      </c>
    </row>
    <row r="171" spans="2:7" ht="14.45" customHeight="1">
      <c r="B171" s="34" t="s">
        <v>175</v>
      </c>
      <c r="C171" s="3" t="s">
        <v>221</v>
      </c>
      <c r="D171" s="51">
        <f>SUMPRODUCT('A4a.CWD Entry Av. Distance'!$D7:$D11,'Distance Matrix_Entry'!BS$23:BS$27)/SUMIFS('A4a.CWD Entry Av. Distance'!$D7:$D11,'Distance Matrix_Entry'!BS$23:BS$27,"&gt;0")</f>
        <v>302.58344492679009</v>
      </c>
      <c r="E171" s="51">
        <f>SUMPRODUCT('A4a.CWD Entry Av. Distance'!$E7:$E11,'Distance Matrix_Entry'!BS$23:BS$27)/SUMIFS('A4a.CWD Entry Av. Distance'!$E7:$E11,'Distance Matrix_Entry'!BS$23:BS$27,"&gt;0")</f>
        <v>303.25484987013806</v>
      </c>
      <c r="F171" s="51">
        <f>SUMPRODUCT('A4a.CWD Entry Av. Distance'!$F7:$F11,'Distance Matrix_Entry'!BS$23:BS$27)/SUMIFS('A4a.CWD Entry Av. Distance'!$F7:$F11,'Distance Matrix_Entry'!BS$23:BS$27,"&gt;0")</f>
        <v>310.85370557931572</v>
      </c>
      <c r="G171" s="51">
        <f>SUMPRODUCT('A4a.CWD Entry Av. Distance'!$G7:$G11,'Distance Matrix_Entry'!BS$23:BS$27)/SUMIFS('A4a.CWD Entry Av. Distance'!$G7:$G11,'Distance Matrix_Entry'!BS$23:BS$27,"&gt;0")</f>
        <v>309.910932294156</v>
      </c>
    </row>
    <row r="172" spans="2:7" ht="14.45" customHeight="1">
      <c r="B172" s="34" t="s">
        <v>177</v>
      </c>
      <c r="C172" s="3" t="s">
        <v>221</v>
      </c>
      <c r="D172" s="51">
        <f>SUMPRODUCT('A4a.CWD Entry Av. Distance'!$D7:$D11,'Distance Matrix_Entry'!BT$23:BT$27)/SUMIFS('A4a.CWD Entry Av. Distance'!$D7:$D11,'Distance Matrix_Entry'!BT$23:BT$27,"&gt;0")</f>
        <v>289.04639062546408</v>
      </c>
      <c r="E172" s="51">
        <f>SUMPRODUCT('A4a.CWD Entry Av. Distance'!$E7:$E11,'Distance Matrix_Entry'!BT$23:BT$27)/SUMIFS('A4a.CWD Entry Av. Distance'!$E7:$E11,'Distance Matrix_Entry'!BT$23:BT$27,"&gt;0")</f>
        <v>289.88657684404677</v>
      </c>
      <c r="F172" s="51">
        <f>SUMPRODUCT('A4a.CWD Entry Av. Distance'!$F7:$F11,'Distance Matrix_Entry'!BT$23:BT$27)/SUMIFS('A4a.CWD Entry Av. Distance'!$F7:$F11,'Distance Matrix_Entry'!BT$23:BT$27,"&gt;0")</f>
        <v>295.86980858339422</v>
      </c>
      <c r="G172" s="51">
        <f>SUMPRODUCT('A4a.CWD Entry Av. Distance'!$G7:$G11,'Distance Matrix_Entry'!BT$23:BT$27)/SUMIFS('A4a.CWD Entry Av. Distance'!$G7:$G11,'Distance Matrix_Entry'!BT$23:BT$27,"&gt;0")</f>
        <v>294.92129061607159</v>
      </c>
    </row>
    <row r="173" spans="2:7" ht="14.45" customHeight="1">
      <c r="B173" s="34" t="s">
        <v>179</v>
      </c>
      <c r="C173" s="3" t="s">
        <v>221</v>
      </c>
      <c r="D173" s="51">
        <f>SUMPRODUCT('A4a.CWD Entry Av. Distance'!$D7:$D11,'Distance Matrix_Entry'!BU$23:BU$27)/SUMIFS('A4a.CWD Entry Av. Distance'!$D7:$D11,'Distance Matrix_Entry'!BU$23:BU$27,"&gt;0")</f>
        <v>274.86896961901476</v>
      </c>
      <c r="E173" s="51">
        <f>SUMPRODUCT('A4a.CWD Entry Av. Distance'!$E7:$E11,'Distance Matrix_Entry'!BU$23:BU$27)/SUMIFS('A4a.CWD Entry Av. Distance'!$E7:$E11,'Distance Matrix_Entry'!BU$23:BU$27,"&gt;0")</f>
        <v>275.88592126556603</v>
      </c>
      <c r="F173" s="51">
        <f>SUMPRODUCT('A4a.CWD Entry Av. Distance'!$F7:$F11,'Distance Matrix_Entry'!BU$23:BU$27)/SUMIFS('A4a.CWD Entry Av. Distance'!$F7:$F11,'Distance Matrix_Entry'!BU$23:BU$27,"&gt;0")</f>
        <v>280.17710237864492</v>
      </c>
      <c r="G173" s="51">
        <f>SUMPRODUCT('A4a.CWD Entry Av. Distance'!$G7:$G11,'Distance Matrix_Entry'!BU$23:BU$27)/SUMIFS('A4a.CWD Entry Av. Distance'!$G7:$G11,'Distance Matrix_Entry'!BU$23:BU$27,"&gt;0")</f>
        <v>279.22256797851793</v>
      </c>
    </row>
    <row r="174" spans="2:7" ht="14.45" customHeight="1">
      <c r="B174" s="34" t="s">
        <v>181</v>
      </c>
      <c r="C174" s="3" t="s">
        <v>221</v>
      </c>
      <c r="D174" s="51">
        <f>SUMPRODUCT('A4a.CWD Entry Av. Distance'!$D7:$D11,'Distance Matrix_Entry'!BV$23:BV$27)/SUMIFS('A4a.CWD Entry Av. Distance'!$D7:$D11,'Distance Matrix_Entry'!BV$23:BV$27,"&gt;0")</f>
        <v>250.12549797803214</v>
      </c>
      <c r="E174" s="51">
        <f>SUMPRODUCT('A4a.CWD Entry Av. Distance'!$E7:$E11,'Distance Matrix_Entry'!BV$23:BV$27)/SUMIFS('A4a.CWD Entry Av. Distance'!$E7:$E11,'Distance Matrix_Entry'!BV$23:BV$27,"&gt;0")</f>
        <v>251.45095357266075</v>
      </c>
      <c r="F174" s="51">
        <f>SUMPRODUCT('A4a.CWD Entry Av. Distance'!$F7:$F11,'Distance Matrix_Entry'!BV$23:BV$27)/SUMIFS('A4a.CWD Entry Av. Distance'!$F7:$F11,'Distance Matrix_Entry'!BV$23:BV$27,"&gt;0")</f>
        <v>252.78904422823402</v>
      </c>
      <c r="G174" s="51">
        <f>SUMPRODUCT('A4a.CWD Entry Av. Distance'!$G7:$G11,'Distance Matrix_Entry'!BV$23:BV$27)/SUMIFS('A4a.CWD Entry Av. Distance'!$G7:$G11,'Distance Matrix_Entry'!BV$23:BV$27,"&gt;0")</f>
        <v>251.82400950972001</v>
      </c>
    </row>
    <row r="175" spans="2:7" ht="14.45" customHeight="1">
      <c r="B175" s="34" t="s">
        <v>183</v>
      </c>
      <c r="C175" s="3" t="s">
        <v>221</v>
      </c>
      <c r="D175" s="51">
        <f>SUMPRODUCT('A4a.CWD Entry Av. Distance'!$D7:$D11,'Distance Matrix_Entry'!BW$23:BW$27)/SUMIFS('A4a.CWD Entry Av. Distance'!$D7:$D11,'Distance Matrix_Entry'!BW$23:BW$27,"&gt;0")</f>
        <v>396.37854614119959</v>
      </c>
      <c r="E175" s="51">
        <f>SUMPRODUCT('A4a.CWD Entry Av. Distance'!$E7:$E11,'Distance Matrix_Entry'!BW$23:BW$27)/SUMIFS('A4a.CWD Entry Av. Distance'!$E7:$E11,'Distance Matrix_Entry'!BW$23:BW$27,"&gt;0")</f>
        <v>396.15405487661889</v>
      </c>
      <c r="F175" s="51">
        <f>SUMPRODUCT('A4a.CWD Entry Av. Distance'!$F7:$F11,'Distance Matrix_Entry'!BW$23:BW$27)/SUMIFS('A4a.CWD Entry Av. Distance'!$F7:$F11,'Distance Matrix_Entry'!BW$23:BW$27,"&gt;0")</f>
        <v>412.32869238384927</v>
      </c>
      <c r="G175" s="51">
        <f>SUMPRODUCT('A4a.CWD Entry Av. Distance'!$G7:$G11,'Distance Matrix_Entry'!BW$23:BW$27)/SUMIFS('A4a.CWD Entry Av. Distance'!$G7:$G11,'Distance Matrix_Entry'!BW$23:BW$27,"&gt;0")</f>
        <v>411.4164120485645</v>
      </c>
    </row>
    <row r="176" spans="2:7" ht="14.45" customHeight="1">
      <c r="B176" s="34" t="s">
        <v>185</v>
      </c>
      <c r="C176" s="3" t="s">
        <v>221</v>
      </c>
      <c r="D176" s="51">
        <f>SUMPRODUCT('A4a.CWD Entry Av. Distance'!$D7:$D11,'Distance Matrix_Entry'!BX$23:BX$27)/SUMIFS('A4a.CWD Entry Av. Distance'!$D7:$D11,'Distance Matrix_Entry'!BX$23:BX$27,"&gt;0")</f>
        <v>435.85089070751394</v>
      </c>
      <c r="E176" s="51">
        <f>SUMPRODUCT('A4a.CWD Entry Av. Distance'!$E7:$E11,'Distance Matrix_Entry'!BX$23:BX$27)/SUMIFS('A4a.CWD Entry Av. Distance'!$E7:$E11,'Distance Matrix_Entry'!BX$23:BX$27,"&gt;0")</f>
        <v>435.61230731636198</v>
      </c>
      <c r="F176" s="51">
        <f>SUMPRODUCT('A4a.CWD Entry Av. Distance'!$F7:$F11,'Distance Matrix_Entry'!BX$23:BX$27)/SUMIFS('A4a.CWD Entry Av. Distance'!$F7:$F11,'Distance Matrix_Entry'!BX$23:BX$27,"&gt;0")</f>
        <v>451.92183880068023</v>
      </c>
      <c r="G176" s="51">
        <f>SUMPRODUCT('A4a.CWD Entry Av. Distance'!$G7:$G11,'Distance Matrix_Entry'!BX$23:BX$27)/SUMIFS('A4a.CWD Entry Av. Distance'!$G7:$G11,'Distance Matrix_Entry'!BX$23:BX$27,"&gt;0")</f>
        <v>451.0100381085789</v>
      </c>
    </row>
    <row r="177" spans="2:7" ht="14.45" customHeight="1">
      <c r="B177" s="34" t="s">
        <v>187</v>
      </c>
      <c r="C177" s="3" t="s">
        <v>221</v>
      </c>
      <c r="D177" s="51">
        <f>SUMPRODUCT('A4a.CWD Entry Av. Distance'!$D7:$D11,'Distance Matrix_Entry'!BY$23:BY$27)/SUMIFS('A4a.CWD Entry Av. Distance'!$D7:$D11,'Distance Matrix_Entry'!BY$23:BY$27,"&gt;0")</f>
        <v>460.24689903417249</v>
      </c>
      <c r="E177" s="51">
        <f>SUMPRODUCT('A4a.CWD Entry Av. Distance'!$E7:$E11,'Distance Matrix_Entry'!BY$23:BY$27)/SUMIFS('A4a.CWD Entry Av. Distance'!$E7:$E11,'Distance Matrix_Entry'!BY$23:BY$27,"&gt;0")</f>
        <v>459.99108500448432</v>
      </c>
      <c r="F177" s="51">
        <f>SUMPRODUCT('A4a.CWD Entry Av. Distance'!$F7:$F11,'Distance Matrix_Entry'!BY$23:BY$27)/SUMIFS('A4a.CWD Entry Av. Distance'!$F7:$F11,'Distance Matrix_Entry'!BY$23:BY$27,"&gt;0")</f>
        <v>476.46555322479952</v>
      </c>
      <c r="G177" s="51">
        <f>SUMPRODUCT('A4a.CWD Entry Av. Distance'!$G7:$G11,'Distance Matrix_Entry'!BY$23:BY$27)/SUMIFS('A4a.CWD Entry Av. Distance'!$G7:$G11,'Distance Matrix_Entry'!BY$23:BY$27,"&gt;0")</f>
        <v>475.55433899906853</v>
      </c>
    </row>
    <row r="178" spans="2:7" ht="14.45" customHeight="1">
      <c r="B178" s="34" t="s">
        <v>189</v>
      </c>
      <c r="C178" s="3" t="s">
        <v>221</v>
      </c>
      <c r="D178" s="51">
        <f>SUMPRODUCT('A4a.CWD Entry Av. Distance'!$D7:$D11,'Distance Matrix_Entry'!BZ$23:BZ$27)/SUMIFS('A4a.CWD Entry Av. Distance'!$D7:$D11,'Distance Matrix_Entry'!BZ$23:BZ$27,"&gt;0")</f>
        <v>475.85516418454409</v>
      </c>
      <c r="E178" s="51">
        <f>SUMPRODUCT('A4a.CWD Entry Av. Distance'!$E7:$E11,'Distance Matrix_Entry'!BZ$23:BZ$27)/SUMIFS('A4a.CWD Entry Av. Distance'!$E7:$E11,'Distance Matrix_Entry'!BZ$23:BZ$27,"&gt;0")</f>
        <v>475.74360531009944</v>
      </c>
      <c r="F178" s="51">
        <f>SUMPRODUCT('A4a.CWD Entry Av. Distance'!$F7:$F11,'Distance Matrix_Entry'!BZ$23:BZ$27)/SUMIFS('A4a.CWD Entry Av. Distance'!$F7:$F11,'Distance Matrix_Entry'!BZ$23:BZ$27,"&gt;0")</f>
        <v>490.83722078914457</v>
      </c>
      <c r="G178" s="51">
        <f>SUMPRODUCT('A4a.CWD Entry Av. Distance'!$G7:$G11,'Distance Matrix_Entry'!BZ$23:BZ$27)/SUMIFS('A4a.CWD Entry Av. Distance'!$G7:$G11,'Distance Matrix_Entry'!BZ$23:BZ$27,"&gt;0")</f>
        <v>489.92109665847244</v>
      </c>
    </row>
    <row r="179" spans="2:7" ht="14.45" customHeight="1">
      <c r="B179" s="34" t="s">
        <v>191</v>
      </c>
      <c r="C179" s="3" t="s">
        <v>221</v>
      </c>
      <c r="D179" s="51">
        <f>SUMPRODUCT('A4a.CWD Entry Av. Distance'!$D7:$D11,'Distance Matrix_Entry'!CA$23:CA$27)/SUMIFS('A4a.CWD Entry Av. Distance'!$D7:$D11,'Distance Matrix_Entry'!CA$23:CA$27,"&gt;0")</f>
        <v>467.82824199706909</v>
      </c>
      <c r="E179" s="51">
        <f>SUMPRODUCT('A4a.CWD Entry Av. Distance'!$E7:$E11,'Distance Matrix_Entry'!CA$23:CA$27)/SUMIFS('A4a.CWD Entry Av. Distance'!$E7:$E11,'Distance Matrix_Entry'!CA$23:CA$27,"&gt;0")</f>
        <v>467.81676354875356</v>
      </c>
      <c r="F179" s="51">
        <f>SUMPRODUCT('A4a.CWD Entry Av. Distance'!$F7:$F11,'Distance Matrix_Entry'!CA$23:CA$27)/SUMIFS('A4a.CWD Entry Av. Distance'!$F7:$F11,'Distance Matrix_Entry'!CA$23:CA$27,"&gt;0")</f>
        <v>481.95237977616137</v>
      </c>
      <c r="G179" s="51">
        <f>SUMPRODUCT('A4a.CWD Entry Av. Distance'!$G7:$G11,'Distance Matrix_Entry'!CA$23:CA$27)/SUMIFS('A4a.CWD Entry Av. Distance'!$G7:$G11,'Distance Matrix_Entry'!CA$23:CA$27,"&gt;0")</f>
        <v>481.03284928279857</v>
      </c>
    </row>
    <row r="180" spans="2:7" ht="14.45" customHeight="1">
      <c r="B180" s="34" t="s">
        <v>193</v>
      </c>
      <c r="C180" s="3" t="s">
        <v>221</v>
      </c>
      <c r="D180" s="51">
        <f>SUMPRODUCT('A4a.CWD Entry Av. Distance'!$D7:$D11,'Distance Matrix_Entry'!CB$23:CB$27)/SUMIFS('A4a.CWD Entry Av. Distance'!$D7:$D11,'Distance Matrix_Entry'!CB$23:CB$27,"&gt;0")</f>
        <v>438.39371193483487</v>
      </c>
      <c r="E180" s="51">
        <f>SUMPRODUCT('A4a.CWD Entry Av. Distance'!$E7:$E11,'Distance Matrix_Entry'!CB$23:CB$27)/SUMIFS('A4a.CWD Entry Av. Distance'!$E7:$E11,'Distance Matrix_Entry'!CB$23:CB$27,"&gt;0")</f>
        <v>438.74922599532169</v>
      </c>
      <c r="F180" s="51">
        <f>SUMPRODUCT('A4a.CWD Entry Av. Distance'!$F7:$F11,'Distance Matrix_Entry'!CB$23:CB$27)/SUMIFS('A4a.CWD Entry Av. Distance'!$F7:$F11,'Distance Matrix_Entry'!CB$23:CB$27,"&gt;0")</f>
        <v>449.3718820727085</v>
      </c>
      <c r="G180" s="51">
        <f>SUMPRODUCT('A4a.CWD Entry Av. Distance'!$G7:$G11,'Distance Matrix_Entry'!CB$23:CB$27)/SUMIFS('A4a.CWD Entry Av. Distance'!$G7:$G11,'Distance Matrix_Entry'!CB$23:CB$27,"&gt;0")</f>
        <v>448.43986052951601</v>
      </c>
    </row>
    <row r="181" spans="2:7" ht="14.45" customHeight="1">
      <c r="B181" s="34" t="s">
        <v>195</v>
      </c>
      <c r="C181" s="3" t="s">
        <v>221</v>
      </c>
      <c r="D181" s="51">
        <f>SUMPRODUCT('A4a.CWD Entry Av. Distance'!$D7:$D11,'Distance Matrix_Entry'!CC$23:CC$27)/SUMIFS('A4a.CWD Entry Av. Distance'!$D7:$D11,'Distance Matrix_Entry'!CC$23:CC$27,"&gt;0")</f>
        <v>343.12266005021746</v>
      </c>
      <c r="E181" s="51">
        <f>SUMPRODUCT('A4a.CWD Entry Av. Distance'!$E7:$E11,'Distance Matrix_Entry'!CC$23:CC$27)/SUMIFS('A4a.CWD Entry Av. Distance'!$E7:$E11,'Distance Matrix_Entry'!CC$23:CC$27,"&gt;0")</f>
        <v>344.43274455732848</v>
      </c>
      <c r="F181" s="51">
        <f>SUMPRODUCT('A4a.CWD Entry Av. Distance'!$F7:$F11,'Distance Matrix_Entry'!CC$23:CC$27)/SUMIFS('A4a.CWD Entry Av. Distance'!$F7:$F11,'Distance Matrix_Entry'!CC$23:CC$27,"&gt;0")</f>
        <v>345.9179717800439</v>
      </c>
      <c r="G181" s="51">
        <f>SUMPRODUCT('A4a.CWD Entry Av. Distance'!$G7:$G11,'Distance Matrix_Entry'!CC$23:CC$27)/SUMIFS('A4a.CWD Entry Av. Distance'!$G7:$G11,'Distance Matrix_Entry'!CC$23:CC$27,"&gt;0")</f>
        <v>344.95346023575149</v>
      </c>
    </row>
    <row r="182" spans="2:7" ht="14.45" customHeight="1">
      <c r="B182" s="34" t="s">
        <v>197</v>
      </c>
      <c r="C182" s="3" t="s">
        <v>221</v>
      </c>
      <c r="D182" s="51">
        <f>SUMPRODUCT('A4a.CWD Entry Av. Distance'!$D7:$D11,'Distance Matrix_Entry'!CD$23:CD$27)/SUMIFS('A4a.CWD Entry Av. Distance'!$D7:$D11,'Distance Matrix_Entry'!CD$23:CD$27,"&gt;0")</f>
        <v>352.66266005021754</v>
      </c>
      <c r="E182" s="51">
        <f>SUMPRODUCT('A4a.CWD Entry Av. Distance'!$E7:$E11,'Distance Matrix_Entry'!CD$23:CD$27)/SUMIFS('A4a.CWD Entry Av. Distance'!$E7:$E11,'Distance Matrix_Entry'!CD$23:CD$27,"&gt;0")</f>
        <v>353.9727445573285</v>
      </c>
      <c r="F182" s="51">
        <f>SUMPRODUCT('A4a.CWD Entry Av. Distance'!$F7:$F11,'Distance Matrix_Entry'!CD$23:CD$27)/SUMIFS('A4a.CWD Entry Av. Distance'!$F7:$F11,'Distance Matrix_Entry'!CD$23:CD$27,"&gt;0")</f>
        <v>355.45797178004392</v>
      </c>
      <c r="G182" s="51">
        <f>SUMPRODUCT('A4a.CWD Entry Av. Distance'!$G7:$G11,'Distance Matrix_Entry'!CD$23:CD$27)/SUMIFS('A4a.CWD Entry Av. Distance'!$G7:$G11,'Distance Matrix_Entry'!CD$23:CD$27,"&gt;0")</f>
        <v>354.49346023575151</v>
      </c>
    </row>
    <row r="183" spans="2:7" ht="14.45" customHeight="1">
      <c r="B183" s="34" t="s">
        <v>199</v>
      </c>
      <c r="C183" s="3" t="s">
        <v>221</v>
      </c>
      <c r="D183" s="51">
        <f>SUMPRODUCT('A4a.CWD Entry Av. Distance'!$D7:$D11,'Distance Matrix_Entry'!CE$23:CE$27)/SUMIFS('A4a.CWD Entry Av. Distance'!$D7:$D11,'Distance Matrix_Entry'!CE$23:CE$27,"&gt;0")</f>
        <v>363.41868456406922</v>
      </c>
      <c r="E183" s="51">
        <f>SUMPRODUCT('A4a.CWD Entry Av. Distance'!$E7:$E11,'Distance Matrix_Entry'!CE$23:CE$27)/SUMIFS('A4a.CWD Entry Av. Distance'!$E7:$E11,'Distance Matrix_Entry'!CE$23:CE$27,"&gt;0")</f>
        <v>364.708994367316</v>
      </c>
      <c r="F183" s="51">
        <f>SUMPRODUCT('A4a.CWD Entry Av. Distance'!$F7:$F11,'Distance Matrix_Entry'!CE$23:CE$27)/SUMIFS('A4a.CWD Entry Av. Distance'!$F7:$F11,'Distance Matrix_Entry'!CE$23:CE$27,"&gt;0")</f>
        <v>366.38351086702477</v>
      </c>
      <c r="G183" s="51">
        <f>SUMPRODUCT('A4a.CWD Entry Av. Distance'!$G7:$G11,'Distance Matrix_Entry'!CE$23:CE$27)/SUMIFS('A4a.CWD Entry Av. Distance'!$G7:$G11,'Distance Matrix_Entry'!CE$23:CE$27,"&gt;0")</f>
        <v>365.41967237955345</v>
      </c>
    </row>
    <row r="184" spans="2:7" ht="14.45" customHeight="1">
      <c r="B184" s="34" t="s">
        <v>201</v>
      </c>
      <c r="C184" s="3" t="s">
        <v>221</v>
      </c>
      <c r="D184" s="51">
        <f>SUMPRODUCT('A4a.CWD Entry Av. Distance'!$D7:$D11,'Distance Matrix_Entry'!CF$23:CF$27)/SUMIFS('A4a.CWD Entry Av. Distance'!$D7:$D11,'Distance Matrix_Entry'!CF$23:CF$27,"&gt;0")</f>
        <v>382.05048945590806</v>
      </c>
      <c r="E184" s="51">
        <f>SUMPRODUCT('A4a.CWD Entry Av. Distance'!$E7:$E11,'Distance Matrix_Entry'!CF$23:CF$27)/SUMIFS('A4a.CWD Entry Av. Distance'!$E7:$E11,'Distance Matrix_Entry'!CF$23:CF$27,"&gt;0")</f>
        <v>383.21036048483995</v>
      </c>
      <c r="F184" s="51">
        <f>SUMPRODUCT('A4a.CWD Entry Av. Distance'!$F7:$F11,'Distance Matrix_Entry'!CF$23:CF$27)/SUMIFS('A4a.CWD Entry Av. Distance'!$F7:$F11,'Distance Matrix_Entry'!CF$23:CF$27,"&gt;0")</f>
        <v>386.13347526706309</v>
      </c>
      <c r="G184" s="51">
        <f>SUMPRODUCT('A4a.CWD Entry Av. Distance'!$G7:$G11,'Distance Matrix_Entry'!CF$23:CF$27)/SUMIFS('A4a.CWD Entry Av. Distance'!$G7:$G11,'Distance Matrix_Entry'!CF$23:CF$27,"&gt;0")</f>
        <v>385.17407642669787</v>
      </c>
    </row>
    <row r="185" spans="2:7" ht="14.45" customHeight="1">
      <c r="B185" s="34" t="s">
        <v>203</v>
      </c>
      <c r="C185" s="3" t="s">
        <v>221</v>
      </c>
      <c r="D185" s="51">
        <f>SUMPRODUCT('A4a.CWD Entry Av. Distance'!$D7:$D11,'Distance Matrix_Entry'!CG$23:CG$27)/SUMIFS('A4a.CWD Entry Av. Distance'!$D7:$D11,'Distance Matrix_Entry'!CG$23:CG$27,"&gt;0")</f>
        <v>381.55744379290877</v>
      </c>
      <c r="E185" s="51">
        <f>SUMPRODUCT('A4a.CWD Entry Av. Distance'!$E7:$E11,'Distance Matrix_Entry'!CG$23:CG$27)/SUMIFS('A4a.CWD Entry Av. Distance'!$E7:$E11,'Distance Matrix_Entry'!CG$23:CG$27,"&gt;0")</f>
        <v>382.62159782801933</v>
      </c>
      <c r="F185" s="51">
        <f>SUMPRODUCT('A4a.CWD Entry Av. Distance'!$F7:$F11,'Distance Matrix_Entry'!CG$23:CG$27)/SUMIFS('A4a.CWD Entry Av. Distance'!$F7:$F11,'Distance Matrix_Entry'!CG$23:CG$27,"&gt;0")</f>
        <v>386.46094380545424</v>
      </c>
      <c r="G185" s="51">
        <f>SUMPRODUCT('A4a.CWD Entry Av. Distance'!$G7:$G11,'Distance Matrix_Entry'!CG$23:CG$27)/SUMIFS('A4a.CWD Entry Av. Distance'!$G7:$G11,'Distance Matrix_Entry'!CG$23:CG$27,"&gt;0")</f>
        <v>385.50480281289424</v>
      </c>
    </row>
    <row r="186" spans="2:7" ht="14.45" customHeight="1">
      <c r="B186" s="34" t="s">
        <v>205</v>
      </c>
      <c r="C186" s="3" t="s">
        <v>221</v>
      </c>
      <c r="D186" s="51">
        <f>SUMPRODUCT('A4a.CWD Entry Av. Distance'!$D7:$D11,'Distance Matrix_Entry'!CH$23:CH$27)/SUMIFS('A4a.CWD Entry Av. Distance'!$D7:$D11,'Distance Matrix_Entry'!CH$23:CH$27,"&gt;0")</f>
        <v>130.52279115465075</v>
      </c>
      <c r="E186" s="51">
        <f>SUMPRODUCT('A4a.CWD Entry Av. Distance'!$E7:$E11,'Distance Matrix_Entry'!CH$23:CH$27)/SUMIFS('A4a.CWD Entry Av. Distance'!$E7:$E11,'Distance Matrix_Entry'!CH$23:CH$27,"&gt;0")</f>
        <v>131.39084017580879</v>
      </c>
      <c r="F186" s="51">
        <f>SUMPRODUCT('A4a.CWD Entry Av. Distance'!$F7:$F11,'Distance Matrix_Entry'!CH$23:CH$27)/SUMIFS('A4a.CWD Entry Av. Distance'!$F7:$F11,'Distance Matrix_Entry'!CH$23:CH$27,"&gt;0")</f>
        <v>116.34599621929178</v>
      </c>
      <c r="G186" s="51">
        <f>SUMPRODUCT('A4a.CWD Entry Av. Distance'!$G7:$G11,'Distance Matrix_Entry'!CH$23:CH$27)/SUMIFS('A4a.CWD Entry Av. Distance'!$G7:$G11,'Distance Matrix_Entry'!CH$23:CH$27,"&gt;0")</f>
        <v>116.75822758099442</v>
      </c>
    </row>
    <row r="187" spans="2:7" ht="14.45" customHeight="1">
      <c r="B187" s="34" t="s">
        <v>207</v>
      </c>
      <c r="C187" s="3" t="s">
        <v>221</v>
      </c>
      <c r="D187" s="51">
        <f>SUMPRODUCT('A4a.CWD Entry Av. Distance'!$D7:$D11,'Distance Matrix_Entry'!CI$23:CI$27)/SUMIFS('A4a.CWD Entry Av. Distance'!$D7:$D11,'Distance Matrix_Entry'!CI$23:CI$27,"&gt;0")</f>
        <v>81.75162315524922</v>
      </c>
      <c r="E187" s="51">
        <f>SUMPRODUCT('A4a.CWD Entry Av. Distance'!$E7:$E11,'Distance Matrix_Entry'!CI$23:CI$27)/SUMIFS('A4a.CWD Entry Av. Distance'!$E7:$E11,'Distance Matrix_Entry'!CI$23:CI$27,"&gt;0")</f>
        <v>82.413327281009074</v>
      </c>
      <c r="F187" s="51">
        <f>SUMPRODUCT('A4a.CWD Entry Av. Distance'!$F7:$F11,'Distance Matrix_Entry'!CI$23:CI$27)/SUMIFS('A4a.CWD Entry Av. Distance'!$F7:$F11,'Distance Matrix_Entry'!CI$23:CI$27,"&gt;0")</f>
        <v>60.666455865507487</v>
      </c>
      <c r="G187" s="51">
        <f>SUMPRODUCT('A4a.CWD Entry Av. Distance'!$G7:$G11,'Distance Matrix_Entry'!CI$23:CI$27)/SUMIFS('A4a.CWD Entry Av. Distance'!$G7:$G11,'Distance Matrix_Entry'!CI$23:CI$27,"&gt;0")</f>
        <v>61.654832570106691</v>
      </c>
    </row>
    <row r="188" spans="2:7" ht="14.45" customHeight="1">
      <c r="B188" s="34" t="s">
        <v>209</v>
      </c>
      <c r="C188" s="3" t="s">
        <v>221</v>
      </c>
      <c r="D188" s="51">
        <f>SUMPRODUCT('A4a.CWD Entry Av. Distance'!$D7:$D11,'Distance Matrix_Entry'!CJ$23:CJ$27)/SUMIFS('A4a.CWD Entry Av. Distance'!$D7:$D11,'Distance Matrix_Entry'!CJ$23:CJ$27,"&gt;0")</f>
        <v>81.752623155249253</v>
      </c>
      <c r="E188" s="51">
        <f>SUMPRODUCT('A4a.CWD Entry Av. Distance'!$E7:$E11,'Distance Matrix_Entry'!CJ$23:CJ$27)/SUMIFS('A4a.CWD Entry Av. Distance'!$E7:$E11,'Distance Matrix_Entry'!CJ$23:CJ$27,"&gt;0")</f>
        <v>82.414327281009079</v>
      </c>
      <c r="F188" s="51">
        <f>SUMPRODUCT('A4a.CWD Entry Av. Distance'!$F7:$F11,'Distance Matrix_Entry'!CJ$23:CJ$27)/SUMIFS('A4a.CWD Entry Av. Distance'!$F7:$F11,'Distance Matrix_Entry'!CJ$23:CJ$27,"&gt;0")</f>
        <v>60.667455865507499</v>
      </c>
      <c r="G188" s="51">
        <f>SUMPRODUCT('A4a.CWD Entry Av. Distance'!$G7:$G11,'Distance Matrix_Entry'!CJ$23:CJ$27)/SUMIFS('A4a.CWD Entry Av. Distance'!$G7:$G11,'Distance Matrix_Entry'!CJ$23:CJ$27,"&gt;0")</f>
        <v>61.655832570106703</v>
      </c>
    </row>
    <row r="189" spans="2:7" ht="14.45" customHeight="1">
      <c r="B189" s="34" t="s">
        <v>210</v>
      </c>
      <c r="C189" s="3" t="s">
        <v>221</v>
      </c>
      <c r="D189" s="51">
        <f>SUMPRODUCT('A4a.CWD Entry Av. Distance'!$D7:$D11,'Distance Matrix_Entry'!CK$23:CK$27)/SUMIFS('A4a.CWD Entry Av. Distance'!$D7:$D11,'Distance Matrix_Entry'!CK$23:CK$27,"&gt;0")</f>
        <v>83.072623155249246</v>
      </c>
      <c r="E189" s="51">
        <f>SUMPRODUCT('A4a.CWD Entry Av. Distance'!$E7:$E11,'Distance Matrix_Entry'!CK$23:CK$27)/SUMIFS('A4a.CWD Entry Av. Distance'!$E7:$E11,'Distance Matrix_Entry'!CK$23:CK$27,"&gt;0")</f>
        <v>83.734327281009072</v>
      </c>
      <c r="F189" s="51">
        <f>SUMPRODUCT('A4a.CWD Entry Av. Distance'!$F7:$F11,'Distance Matrix_Entry'!CK$23:CK$27)/SUMIFS('A4a.CWD Entry Av. Distance'!$F7:$F11,'Distance Matrix_Entry'!CK$23:CK$27,"&gt;0")</f>
        <v>61.987455865507492</v>
      </c>
      <c r="G189" s="51">
        <f>SUMPRODUCT('A4a.CWD Entry Av. Distance'!$G7:$G11,'Distance Matrix_Entry'!CK$23:CK$27)/SUMIFS('A4a.CWD Entry Av. Distance'!$G7:$G11,'Distance Matrix_Entry'!CK$23:CK$27,"&gt;0")</f>
        <v>62.975832570106689</v>
      </c>
    </row>
    <row r="190" spans="2:7" ht="14.45" customHeight="1">
      <c r="B190" s="34" t="s">
        <v>212</v>
      </c>
      <c r="C190" s="3" t="s">
        <v>221</v>
      </c>
      <c r="D190" s="51">
        <f>SUMPRODUCT('A4a.CWD Entry Av. Distance'!$D7:$D11,'Distance Matrix_Entry'!CL$23:CL$27)/SUMIFS('A4a.CWD Entry Av. Distance'!$D7:$D11,'Distance Matrix_Entry'!CL$23:CL$27,"&gt;0")</f>
        <v>81.752623155249253</v>
      </c>
      <c r="E190" s="51">
        <f>SUMPRODUCT('A4a.CWD Entry Av. Distance'!$E7:$E11,'Distance Matrix_Entry'!CL$23:CL$27)/SUMIFS('A4a.CWD Entry Av. Distance'!$E7:$E11,'Distance Matrix_Entry'!CL$23:CL$27,"&gt;0")</f>
        <v>82.414327281009079</v>
      </c>
      <c r="F190" s="51">
        <f>SUMPRODUCT('A4a.CWD Entry Av. Distance'!$F7:$F11,'Distance Matrix_Entry'!CL$23:CL$27)/SUMIFS('A4a.CWD Entry Av. Distance'!$F7:$F11,'Distance Matrix_Entry'!CL$23:CL$27,"&gt;0")</f>
        <v>60.667455865507499</v>
      </c>
      <c r="G190" s="51">
        <f>SUMPRODUCT('A4a.CWD Entry Av. Distance'!$G7:$G11,'Distance Matrix_Entry'!CL$23:CL$27)/SUMIFS('A4a.CWD Entry Av. Distance'!$G7:$G11,'Distance Matrix_Entry'!CL$23:CL$27,"&gt;0")</f>
        <v>61.655832570106703</v>
      </c>
    </row>
    <row r="191" spans="2:7" ht="14.45" customHeight="1">
      <c r="B191" s="34" t="s">
        <v>213</v>
      </c>
      <c r="C191" s="3" t="s">
        <v>221</v>
      </c>
      <c r="D191" s="51">
        <f>SUMPRODUCT('A4a.CWD Entry Av. Distance'!$D7:$D11,'Distance Matrix_Entry'!CM$23:CM$27)/SUMIFS('A4a.CWD Entry Av. Distance'!$D7:$D11,'Distance Matrix_Entry'!CM$23:CM$27,"&gt;0")</f>
        <v>77.133733450177701</v>
      </c>
      <c r="E191" s="51">
        <f>SUMPRODUCT('A4a.CWD Entry Av. Distance'!$E7:$E11,'Distance Matrix_Entry'!CM$23:CM$27)/SUMIFS('A4a.CWD Entry Av. Distance'!$E7:$E11,'Distance Matrix_Entry'!CM$23:CM$27,"&gt;0")</f>
        <v>77.775899844789379</v>
      </c>
      <c r="F191" s="51">
        <f>SUMPRODUCT('A4a.CWD Entry Av. Distance'!$F7:$F11,'Distance Matrix_Entry'!CM$23:CM$27)/SUMIFS('A4a.CWD Entry Av. Distance'!$F7:$F11,'Distance Matrix_Entry'!CM$23:CM$27,"&gt;0")</f>
        <v>55.394448104979567</v>
      </c>
      <c r="G191" s="51">
        <f>SUMPRODUCT('A4a.CWD Entry Av. Distance'!$G7:$G11,'Distance Matrix_Entry'!CM$23:CM$27)/SUMIFS('A4a.CWD Entry Av. Distance'!$G7:$G11,'Distance Matrix_Entry'!CM$23:CM$27,"&gt;0")</f>
        <v>56.437377032884541</v>
      </c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1" tint="0.499984740745262"/>
  </sheetPr>
  <dimension ref="A1:C5"/>
  <sheetViews>
    <sheetView showGridLines="0" zoomScale="130" zoomScaleNormal="130" workbookViewId="0">
      <selection activeCell="F8" sqref="F8"/>
    </sheetView>
  </sheetViews>
  <sheetFormatPr defaultColWidth="8.85546875" defaultRowHeight="12"/>
  <cols>
    <col min="1" max="1" width="26.5703125" style="109" customWidth="1"/>
    <col min="2" max="2" width="20.7109375" style="109" bestFit="1" customWidth="1"/>
    <col min="3" max="3" width="85.140625" style="109" customWidth="1"/>
    <col min="4" max="16384" width="8.85546875" style="109"/>
  </cols>
  <sheetData>
    <row r="1" spans="1:3">
      <c r="A1" s="109" t="s">
        <v>561</v>
      </c>
      <c r="B1" s="109" t="s">
        <v>557</v>
      </c>
      <c r="C1" s="109" t="s">
        <v>558</v>
      </c>
    </row>
    <row r="2" spans="1:3" ht="48">
      <c r="A2" s="110" t="s">
        <v>36</v>
      </c>
      <c r="B2" s="111">
        <v>0.56000000000000005</v>
      </c>
      <c r="C2" s="112" t="s">
        <v>562</v>
      </c>
    </row>
    <row r="3" spans="1:3">
      <c r="A3" s="110" t="s">
        <v>556</v>
      </c>
      <c r="B3" s="110" t="s">
        <v>559</v>
      </c>
      <c r="C3" s="110" t="s">
        <v>563</v>
      </c>
    </row>
    <row r="4" spans="1:3">
      <c r="A4" s="110" t="s">
        <v>44</v>
      </c>
      <c r="B4" s="111">
        <v>1</v>
      </c>
      <c r="C4" s="110" t="s">
        <v>564</v>
      </c>
    </row>
    <row r="5" spans="1:3">
      <c r="A5" s="110" t="s">
        <v>560</v>
      </c>
      <c r="B5" s="111">
        <v>0.5</v>
      </c>
      <c r="C5" s="110" t="s">
        <v>565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030A0"/>
  </sheetPr>
  <dimension ref="B2:N265"/>
  <sheetViews>
    <sheetView showGridLines="0" workbookViewId="0">
      <selection activeCell="F8" sqref="F8"/>
    </sheetView>
  </sheetViews>
  <sheetFormatPr defaultColWidth="8.85546875" defaultRowHeight="14.45" customHeight="1"/>
  <cols>
    <col min="1" max="1" width="8.85546875" style="1"/>
    <col min="2" max="2" width="42.42578125" style="1" customWidth="1"/>
    <col min="3" max="3" width="10.28515625" style="1" customWidth="1"/>
    <col min="4" max="7" width="11.7109375" style="1" customWidth="1"/>
    <col min="8" max="8" width="8.85546875" style="1"/>
    <col min="9" max="9" width="8.85546875" style="1" customWidth="1"/>
    <col min="10" max="10" width="24.28515625" style="1" customWidth="1"/>
    <col min="11" max="11" width="16.28515625" style="1" customWidth="1"/>
    <col min="12" max="12" width="10.28515625" style="1" customWidth="1"/>
    <col min="13" max="16384" width="8.85546875" style="1"/>
  </cols>
  <sheetData>
    <row r="2" spans="2:14" ht="28.9" customHeight="1" thickBot="1">
      <c r="B2" s="31" t="s">
        <v>620</v>
      </c>
      <c r="C2" s="31"/>
      <c r="D2" s="4"/>
      <c r="E2" s="4"/>
      <c r="F2" s="4"/>
      <c r="G2" s="4"/>
      <c r="J2"/>
      <c r="K2"/>
      <c r="L2"/>
    </row>
    <row r="3" spans="2:14" ht="14.45" customHeight="1" thickBot="1">
      <c r="B3" s="35" t="s">
        <v>254</v>
      </c>
      <c r="C3" s="35"/>
      <c r="J3" s="89" t="s">
        <v>547</v>
      </c>
      <c r="K3" s="90"/>
      <c r="L3" s="357" t="s">
        <v>35</v>
      </c>
    </row>
    <row r="4" spans="2:14" ht="14.45" customHeight="1">
      <c r="B4" s="25" t="s">
        <v>243</v>
      </c>
      <c r="C4" s="26"/>
      <c r="D4" s="5"/>
      <c r="E4" s="5"/>
      <c r="F4" s="5"/>
      <c r="G4" s="5"/>
      <c r="J4" s="92" t="str">
        <f>B7</f>
        <v>Cross-system network use</v>
      </c>
      <c r="K4" s="93" t="s">
        <v>548</v>
      </c>
      <c r="L4" s="94">
        <f>G11/10^6</f>
        <v>4.5555031200913465</v>
      </c>
      <c r="N4"/>
    </row>
    <row r="5" spans="2:14" ht="14.45" customHeight="1" thickBot="1">
      <c r="B5" s="27"/>
      <c r="C5" s="28"/>
      <c r="D5" s="22" t="str">
        <f>'Input data'!D$5</f>
        <v>2023-24</v>
      </c>
      <c r="E5" s="22" t="str">
        <f>'Input data'!E$5</f>
        <v>2024-25</v>
      </c>
      <c r="F5" s="22" t="str">
        <f>'Input data'!F$5</f>
        <v>2025-26</v>
      </c>
      <c r="G5" s="22" t="str">
        <f>'Input data'!G$5</f>
        <v>2026-27</v>
      </c>
      <c r="J5" s="95" t="str">
        <f>B9</f>
        <v>Intra-system network use</v>
      </c>
      <c r="K5" s="96" t="str">
        <f>K4</f>
        <v>million €</v>
      </c>
      <c r="L5" s="97">
        <f>G12/10^6</f>
        <v>79.328607102915583</v>
      </c>
      <c r="N5"/>
    </row>
    <row r="6" spans="2:14" ht="14.45" customHeight="1" thickBot="1">
      <c r="B6" s="29"/>
      <c r="C6" s="30"/>
      <c r="D6" s="7"/>
      <c r="E6" s="7"/>
      <c r="F6" s="7"/>
      <c r="G6" s="7"/>
      <c r="J6" s="89" t="s">
        <v>549</v>
      </c>
      <c r="K6" s="90"/>
      <c r="L6" s="91"/>
      <c r="N6"/>
    </row>
    <row r="7" spans="2:14" ht="14.45" customHeight="1">
      <c r="B7" s="65" t="s">
        <v>242</v>
      </c>
      <c r="C7" s="34" t="s">
        <v>7</v>
      </c>
      <c r="D7" s="36">
        <f>SUMPRODUCT('Entry Tariff_2'!D175:D179,'Exit Tariff_2'!D143:D147)</f>
        <v>2224304.6977762794</v>
      </c>
      <c r="E7" s="36">
        <f>SUMPRODUCT('Entry Tariff_2'!E175:E179,'Exit Tariff_2'!E143:E147)</f>
        <v>5260189.6940738084</v>
      </c>
      <c r="F7" s="36">
        <f>SUMPRODUCT('Entry Tariff_2'!F175:F179,'Exit Tariff_2'!F143:F147)</f>
        <v>8158695.5239026137</v>
      </c>
      <c r="G7" s="36">
        <f>SUMPRODUCT('Entry Tariff_2'!G175:G179,'Exit Tariff_2'!G143:G147)</f>
        <v>3492690.993303535</v>
      </c>
      <c r="J7" s="92" t="str">
        <f>J4</f>
        <v>Cross-system network use</v>
      </c>
      <c r="K7" s="93" t="s">
        <v>45</v>
      </c>
      <c r="L7" s="101">
        <f>G247</f>
        <v>5.4091153928902042E-2</v>
      </c>
      <c r="N7"/>
    </row>
    <row r="8" spans="2:14" ht="14.45" customHeight="1" thickBot="1">
      <c r="B8" s="66"/>
      <c r="C8" s="34" t="s">
        <v>16</v>
      </c>
      <c r="D8" s="36">
        <f>+SUM('Exit Tariff_2'!D280:D284)</f>
        <v>782187.01078712719</v>
      </c>
      <c r="E8" s="36">
        <f>+SUM('Exit Tariff_2'!E280:E284)</f>
        <v>1832433.4227198372</v>
      </c>
      <c r="F8" s="36">
        <f>+SUM('Exit Tariff_2'!F280:F284)</f>
        <v>2878786.8500326285</v>
      </c>
      <c r="G8" s="36">
        <f>+SUM('Exit Tariff_2'!G280:G284)</f>
        <v>1062812.1267878111</v>
      </c>
      <c r="J8" s="95" t="str">
        <f>J5</f>
        <v>Intra-system network use</v>
      </c>
      <c r="K8" s="96" t="str">
        <f>K7</f>
        <v>%</v>
      </c>
      <c r="L8" s="102">
        <f>G248</f>
        <v>0.94590884607109793</v>
      </c>
      <c r="N8"/>
    </row>
    <row r="9" spans="2:14" ht="14.45" customHeight="1" thickBot="1">
      <c r="B9" s="65" t="s">
        <v>241</v>
      </c>
      <c r="C9" s="34" t="s">
        <v>7</v>
      </c>
      <c r="D9" s="36">
        <f>'Entry Tariff_2'!D217-SUMPRODUCT('Entry Tariff_2'!D175:D179,'Exit Tariff_2'!D143:D147)</f>
        <v>17620517.310671598</v>
      </c>
      <c r="E9" s="36">
        <f>'Entry Tariff_2'!E217-SUMPRODUCT('Entry Tariff_2'!E175:E179,'Exit Tariff_2'!E143:E147)</f>
        <v>15731812.962697942</v>
      </c>
      <c r="F9" s="36">
        <f>'Entry Tariff_2'!F217-SUMPRODUCT('Entry Tariff_2'!F175:F179,'Exit Tariff_2'!F143:F147)</f>
        <v>11625398.291391127</v>
      </c>
      <c r="G9" s="36">
        <f>'Entry Tariff_2'!G217-SUMPRODUCT('Entry Tariff_2'!G175:G179,'Exit Tariff_2'!G143:G147)</f>
        <v>19994859.869138405</v>
      </c>
      <c r="J9" s="89" t="s">
        <v>550</v>
      </c>
      <c r="K9" s="90"/>
      <c r="L9" s="91"/>
    </row>
    <row r="10" spans="2:14" ht="14.45" customHeight="1">
      <c r="B10" s="66"/>
      <c r="C10" s="34" t="s">
        <v>16</v>
      </c>
      <c r="D10" s="36">
        <f>+'Exit Tariff_2'!D307-SUM('Exit Tariff_2'!D280:D284)</f>
        <v>50247355.296650276</v>
      </c>
      <c r="E10" s="36">
        <f>+'Exit Tariff_2'!E307-SUM('Exit Tariff_2'!E280:E284)</f>
        <v>52147001.980407499</v>
      </c>
      <c r="F10" s="36">
        <f>+'Exit Tariff_2'!F307-SUM('Exit Tariff_2'!F280:F284)</f>
        <v>47994597.246436991</v>
      </c>
      <c r="G10" s="36">
        <f>+'Exit Tariff_2'!G307-SUM('Exit Tariff_2'!G280:G284)</f>
        <v>59333747.23377718</v>
      </c>
      <c r="J10" s="92" t="str">
        <f>J7</f>
        <v>Cross-system network use</v>
      </c>
      <c r="K10" s="93" t="str">
        <f>K4</f>
        <v>million €</v>
      </c>
      <c r="L10" s="98">
        <f>L4/L7</f>
        <v>84.219004203148373</v>
      </c>
    </row>
    <row r="11" spans="2:14" ht="14.45" customHeight="1" thickBot="1">
      <c r="B11" s="67" t="s">
        <v>242</v>
      </c>
      <c r="C11" s="68"/>
      <c r="D11" s="69">
        <f t="shared" ref="D11:G11" si="0">D7+D8</f>
        <v>3006491.7085634065</v>
      </c>
      <c r="E11" s="69">
        <f t="shared" si="0"/>
        <v>7092623.1167936455</v>
      </c>
      <c r="F11" s="69">
        <f t="shared" si="0"/>
        <v>11037482.373935241</v>
      </c>
      <c r="G11" s="69">
        <f t="shared" si="0"/>
        <v>4555503.1200913461</v>
      </c>
      <c r="J11" s="95" t="str">
        <f>J8</f>
        <v>Intra-system network use</v>
      </c>
      <c r="K11" s="96" t="str">
        <f>K5</f>
        <v>million €</v>
      </c>
      <c r="L11" s="99">
        <f>L5/L8</f>
        <v>83.864959538556803</v>
      </c>
    </row>
    <row r="12" spans="2:14" ht="14.45" customHeight="1" thickBot="1">
      <c r="B12" s="67" t="s">
        <v>241</v>
      </c>
      <c r="C12" s="68"/>
      <c r="D12" s="69">
        <f t="shared" ref="D12:G12" si="1">D9+D10</f>
        <v>67867872.607321873</v>
      </c>
      <c r="E12" s="69">
        <f t="shared" si="1"/>
        <v>67878814.943105444</v>
      </c>
      <c r="F12" s="69">
        <f t="shared" si="1"/>
        <v>59619995.537828118</v>
      </c>
      <c r="G12" s="69">
        <f t="shared" si="1"/>
        <v>79328607.102915585</v>
      </c>
      <c r="J12" s="87" t="s">
        <v>551</v>
      </c>
      <c r="K12" s="88"/>
      <c r="L12" s="100">
        <f>IF(L11="-",0,2*(L11-L10)/(L11+L10))</f>
        <v>-4.2127119888204232E-3</v>
      </c>
    </row>
    <row r="13" spans="2:14" ht="14.45" customHeight="1">
      <c r="D13" s="58">
        <f>'Input data'!D9-SUM(D11:D12)</f>
        <v>0</v>
      </c>
      <c r="E13" s="58">
        <f>'Input data'!E9-SUM(E11:E12)</f>
        <v>0</v>
      </c>
      <c r="F13" s="58">
        <f>'Input data'!F9-SUM(F11:F12)</f>
        <v>0</v>
      </c>
      <c r="G13" s="58">
        <f>'Input data'!G9-SUM(G11:G12)</f>
        <v>0</v>
      </c>
    </row>
    <row r="14" spans="2:14" ht="28.9" customHeight="1"/>
    <row r="15" spans="2:14" ht="28.9" customHeight="1">
      <c r="B15" s="31" t="s">
        <v>246</v>
      </c>
      <c r="C15" s="31"/>
      <c r="D15" s="4"/>
      <c r="E15" s="4"/>
      <c r="F15" s="4"/>
      <c r="G15" s="4"/>
    </row>
    <row r="17" spans="2:9" ht="28.9" customHeight="1">
      <c r="B17" s="33" t="s">
        <v>621</v>
      </c>
      <c r="C17" s="33"/>
      <c r="D17" s="4"/>
      <c r="E17" s="4"/>
      <c r="F17" s="4"/>
      <c r="G17" s="4"/>
    </row>
    <row r="18" spans="2:9" ht="14.45" customHeight="1">
      <c r="B18" s="103" t="s">
        <v>250</v>
      </c>
      <c r="C18" s="35"/>
    </row>
    <row r="19" spans="2:9" ht="14.45" customHeight="1">
      <c r="B19" s="25" t="s">
        <v>266</v>
      </c>
      <c r="C19" s="26"/>
      <c r="D19" s="5"/>
      <c r="E19" s="5"/>
      <c r="F19" s="5"/>
      <c r="G19" s="5"/>
    </row>
    <row r="20" spans="2:9" ht="14.45" customHeight="1">
      <c r="B20" s="27"/>
      <c r="C20" s="28"/>
      <c r="D20" s="22" t="str">
        <f>'Input data'!D$5</f>
        <v>2023-24</v>
      </c>
      <c r="E20" s="22" t="str">
        <f>'Input data'!E$5</f>
        <v>2024-25</v>
      </c>
      <c r="F20" s="22" t="str">
        <f>'Input data'!F$5</f>
        <v>2025-26</v>
      </c>
      <c r="G20" s="22" t="str">
        <f>'Input data'!G$5</f>
        <v>2026-27</v>
      </c>
    </row>
    <row r="21" spans="2:9" ht="14.45" customHeight="1">
      <c r="B21" s="29"/>
      <c r="C21" s="30"/>
      <c r="D21" s="7"/>
      <c r="E21" s="7"/>
      <c r="F21" s="7"/>
      <c r="G21" s="7"/>
    </row>
    <row r="22" spans="2:9" ht="14.45" customHeight="1">
      <c r="B22" s="65" t="str">
        <f>+B7</f>
        <v>Cross-system network use</v>
      </c>
      <c r="C22" s="34" t="str">
        <f>+C7</f>
        <v>Entry</v>
      </c>
      <c r="D22" s="36">
        <f>SUMPRODUCT('Exit Tariff_2'!D143:D147,'Input data'!D115:D119)+SUMPRODUCT('Exit Tariff_2'!D165:D166,'Input data'!D136:D137)</f>
        <v>23735665.193424653</v>
      </c>
      <c r="E22" s="36">
        <f>SUMPRODUCT('Exit Tariff_2'!E143:E147,'Input data'!E115:E119)+SUMPRODUCT('Exit Tariff_2'!E165:E166,'Input data'!E136:E137)</f>
        <v>53185677.116301365</v>
      </c>
      <c r="F22" s="36">
        <f>SUMPRODUCT('Exit Tariff_2'!F143:F147,'Input data'!F115:F119)+SUMPRODUCT('Exit Tariff_2'!F165:F166,'Input data'!F136:F137)</f>
        <v>78142994.060000002</v>
      </c>
      <c r="G22" s="36">
        <f>SUMPRODUCT('Exit Tariff_2'!G143:G147,'Input data'!G115:G119)+SUMPRODUCT('Exit Tariff_2'!G165:G166,'Input data'!G136:G137)</f>
        <v>28225695.350000001</v>
      </c>
    </row>
    <row r="23" spans="2:9" ht="14.45" customHeight="1">
      <c r="B23" s="66"/>
      <c r="C23" s="34" t="str">
        <f>+C8</f>
        <v>Exit</v>
      </c>
      <c r="D23" s="36">
        <f>SUMPRODUCT('Exit Tariff_2'!D143:D147,'Input data'!D115:D119)+SUMPRODUCT('Exit Tariff_2'!D165:D166,'Input data'!D136:D137)</f>
        <v>23735665.193424653</v>
      </c>
      <c r="E23" s="36">
        <f>SUMPRODUCT('Exit Tariff_2'!E143:E147,'Input data'!E115:E119)+SUMPRODUCT('Exit Tariff_2'!E165:E166,'Input data'!E136:E137)</f>
        <v>53185677.116301365</v>
      </c>
      <c r="F23" s="36">
        <f>SUMPRODUCT('Exit Tariff_2'!F143:F147,'Input data'!F115:F119)+SUMPRODUCT('Exit Tariff_2'!F165:F166,'Input data'!F136:F137)</f>
        <v>78142994.060000002</v>
      </c>
      <c r="G23" s="36">
        <f>SUMPRODUCT('Exit Tariff_2'!G143:G147,'Input data'!G115:G119)+SUMPRODUCT('Exit Tariff_2'!G165:G166,'Input data'!G136:G137)</f>
        <v>28225695.350000001</v>
      </c>
    </row>
    <row r="24" spans="2:9" ht="14.45" customHeight="1">
      <c r="B24" s="65" t="str">
        <f>+B9</f>
        <v>Intra-system network use</v>
      </c>
      <c r="C24" s="34" t="str">
        <f>+C9</f>
        <v>Entry</v>
      </c>
      <c r="D24" s="36">
        <f>SUMPRODUCT('Input data'!D20:D32,'Input data'!D115:D127)+SUMPRODUCT('Input data'!D40:D41,'Input data'!D118:D119)+'Input data'!D42*'Input data'!D124+'Input data'!D43*'Input data'!D126-D22</f>
        <v>218494153.45369864</v>
      </c>
      <c r="E24" s="36">
        <f>SUMPRODUCT('Input data'!E20:E32,'Input data'!E115:E127)+SUMPRODUCT('Input data'!E40:E41,'Input data'!E118:E119)+'Input data'!E42*'Input data'!E124+'Input data'!E43*'Input data'!E126-E22</f>
        <v>188640590.01890412</v>
      </c>
      <c r="F24" s="36">
        <f>SUMPRODUCT('Input data'!F20:F32,'Input data'!F115:F127)+SUMPRODUCT('Input data'!F40:F41,'Input data'!F118:F119)+'Input data'!F42*'Input data'!F124+'Input data'!F43*'Input data'!F126-F22</f>
        <v>131099426.14736924</v>
      </c>
      <c r="G24" s="36">
        <f>SUMPRODUCT('Input data'!G20:G32,'Input data'!G115:G127)+SUMPRODUCT('Input data'!G40:G41,'Input data'!G118:G119)+'Input data'!G42*'Input data'!G124+'Input data'!G43*'Input data'!G126-G22</f>
        <v>182344648.85123289</v>
      </c>
    </row>
    <row r="25" spans="2:9" ht="14.45" customHeight="1">
      <c r="B25" s="66"/>
      <c r="C25" s="34" t="str">
        <f>+C10</f>
        <v>Exit</v>
      </c>
      <c r="D25" s="36">
        <f>SUMPRODUCT('Input data'!D65:D76,'Input data'!D133:D144)+SUM('Input data'!D77:D78)+SUMPRODUCT('Input data'!D79:D83,'Input data'!D145:D149)+SUMPRODUCT('Input data'!D91:D92,'Input data'!D136:D137)+SUMPRODUCT('Input data'!D93:D94,'Input data'!D141:D142)+'Input data'!D95*'Input data'!D144-D23</f>
        <v>328224220.96674716</v>
      </c>
      <c r="E25" s="36">
        <f>SUMPRODUCT('Input data'!E65:E76,'Input data'!E133:E144)+SUM('Input data'!E77:E78)+SUMPRODUCT('Input data'!E79:E83,'Input data'!E145:E149)+SUMPRODUCT('Input data'!E91:E92,'Input data'!E136:E137)+SUMPRODUCT('Input data'!E93:E94,'Input data'!E141:E142)+'Input data'!E95*'Input data'!E144-E23</f>
        <v>321042436.76192564</v>
      </c>
      <c r="F25" s="36">
        <f>SUMPRODUCT('Input data'!F65:F76,'Input data'!F133:F144)+SUM('Input data'!F77:F78)+SUMPRODUCT('Input data'!F79:F83,'Input data'!F145:F149)+SUMPRODUCT('Input data'!F91:F92,'Input data'!F136:F137)+SUMPRODUCT('Input data'!F93:F94,'Input data'!F141:F142)+'Input data'!F95*'Input data'!F144-F23</f>
        <v>278427506.09727025</v>
      </c>
      <c r="G25" s="36">
        <f>SUMPRODUCT('Input data'!G65:G76,'Input data'!G133:G144)+SUM('Input data'!G77:G78)+SUMPRODUCT('Input data'!G79:G83,'Input data'!G145:G149)+SUMPRODUCT('Input data'!G91:G92,'Input data'!G136:G137)+SUMPRODUCT('Input data'!G93:G94,'Input data'!G141:G142)+'Input data'!G95*'Input data'!G144-G23</f>
        <v>333578850.92155701</v>
      </c>
    </row>
    <row r="26" spans="2:9" ht="14.45" customHeight="1">
      <c r="B26" s="67" t="str">
        <f>+B11</f>
        <v>Cross-system network use</v>
      </c>
      <c r="C26" s="68"/>
      <c r="D26" s="69">
        <f t="shared" ref="D26:G26" si="2">AVERAGE(D22:D23)</f>
        <v>23735665.193424653</v>
      </c>
      <c r="E26" s="69">
        <f t="shared" si="2"/>
        <v>53185677.116301365</v>
      </c>
      <c r="F26" s="69">
        <f t="shared" si="2"/>
        <v>78142994.060000002</v>
      </c>
      <c r="G26" s="69">
        <f t="shared" si="2"/>
        <v>28225695.350000001</v>
      </c>
    </row>
    <row r="27" spans="2:9" ht="14.45" customHeight="1">
      <c r="B27" s="67" t="str">
        <f>+B12</f>
        <v>Intra-system network use</v>
      </c>
      <c r="C27" s="68"/>
      <c r="D27" s="69">
        <f t="shared" ref="D27:G27" si="3">AVERAGE(D24:D25)</f>
        <v>273359187.2102229</v>
      </c>
      <c r="E27" s="69">
        <f t="shared" si="3"/>
        <v>254841513.39041489</v>
      </c>
      <c r="F27" s="69">
        <f t="shared" si="3"/>
        <v>204763466.12231976</v>
      </c>
      <c r="G27" s="69">
        <f t="shared" si="3"/>
        <v>257961749.88639495</v>
      </c>
    </row>
    <row r="28" spans="2:9" ht="14.45" customHeight="1">
      <c r="D28" s="58">
        <f>AVERAGE(SUM('Input capacity'!D7:D11),SUM('Input capacity'!D19:D107))-SUM(D26:D27)</f>
        <v>0</v>
      </c>
      <c r="E28" s="58">
        <f>AVERAGE(SUM('Input capacity'!E7:E11),SUM('Input capacity'!E19:E107))-SUM(E26:E27)</f>
        <v>0</v>
      </c>
      <c r="F28" s="58">
        <f>AVERAGE(SUM('Input capacity'!F7:F11),SUM('Input capacity'!F19:F107))-SUM(F26:F27)</f>
        <v>0</v>
      </c>
      <c r="G28" s="58">
        <f>AVERAGE(SUM('Input capacity'!G7:G11),SUM('Input capacity'!G19:G107))-SUM(G26:G27)</f>
        <v>0</v>
      </c>
      <c r="I28"/>
    </row>
    <row r="30" spans="2:9" ht="28.9" customHeight="1">
      <c r="B30" s="33" t="s">
        <v>244</v>
      </c>
      <c r="C30" s="33"/>
      <c r="D30" s="4"/>
      <c r="E30" s="4"/>
      <c r="F30" s="4"/>
      <c r="G30" s="4"/>
    </row>
    <row r="31" spans="2:9" ht="14.45" customHeight="1">
      <c r="B31" s="35" t="s">
        <v>253</v>
      </c>
      <c r="C31" s="35"/>
    </row>
    <row r="32" spans="2:9" ht="14.45" customHeight="1">
      <c r="B32" s="25" t="str">
        <f>B4</f>
        <v>Network use</v>
      </c>
      <c r="C32" s="26"/>
      <c r="D32" s="5"/>
      <c r="E32" s="5"/>
      <c r="F32" s="5"/>
      <c r="G32" s="5"/>
    </row>
    <row r="33" spans="2:7" ht="14.45" customHeight="1">
      <c r="B33" s="27"/>
      <c r="C33" s="28"/>
      <c r="D33" s="22" t="str">
        <f>'Input data'!D$5</f>
        <v>2023-24</v>
      </c>
      <c r="E33" s="22" t="str">
        <f>'Input data'!E$5</f>
        <v>2024-25</v>
      </c>
      <c r="F33" s="22" t="str">
        <f>'Input data'!F$5</f>
        <v>2025-26</v>
      </c>
      <c r="G33" s="22" t="str">
        <f>'Input data'!G$5</f>
        <v>2026-27</v>
      </c>
    </row>
    <row r="34" spans="2:7" ht="14.45" customHeight="1">
      <c r="B34" s="29"/>
      <c r="C34" s="30"/>
      <c r="D34" s="7"/>
      <c r="E34" s="7"/>
      <c r="F34" s="7"/>
      <c r="G34" s="7"/>
    </row>
    <row r="35" spans="2:7" ht="14.45" customHeight="1">
      <c r="B35" s="67" t="str">
        <f>B11</f>
        <v>Cross-system network use</v>
      </c>
      <c r="C35" s="68"/>
      <c r="D35" s="71">
        <f t="shared" ref="D35:G36" si="4">D11/D26</f>
        <v>0.12666557621466099</v>
      </c>
      <c r="E35" s="71">
        <f t="shared" si="4"/>
        <v>0.13335588642190591</v>
      </c>
      <c r="F35" s="71">
        <f t="shared" si="4"/>
        <v>0.14124724176117959</v>
      </c>
      <c r="G35" s="71">
        <f t="shared" si="4"/>
        <v>0.16139560296399733</v>
      </c>
    </row>
    <row r="36" spans="2:7" ht="14.45" customHeight="1">
      <c r="B36" s="67" t="str">
        <f>B12</f>
        <v>Intra-system network use</v>
      </c>
      <c r="C36" s="68"/>
      <c r="D36" s="71">
        <f t="shared" si="4"/>
        <v>0.24827361136075179</v>
      </c>
      <c r="E36" s="71">
        <f t="shared" si="4"/>
        <v>0.26635697630281968</v>
      </c>
      <c r="F36" s="71">
        <f t="shared" si="4"/>
        <v>0.29116519986144823</v>
      </c>
      <c r="G36" s="71">
        <f t="shared" si="4"/>
        <v>0.30752081321301122</v>
      </c>
    </row>
    <row r="39" spans="2:7" ht="28.9" customHeight="1">
      <c r="B39" s="33" t="s">
        <v>245</v>
      </c>
      <c r="C39" s="33"/>
      <c r="D39" s="4"/>
      <c r="E39" s="4"/>
      <c r="F39" s="4"/>
      <c r="G39" s="4"/>
    </row>
    <row r="40" spans="2:7" ht="14.45" customHeight="1">
      <c r="B40" s="35" t="s">
        <v>248</v>
      </c>
      <c r="C40" s="35"/>
    </row>
    <row r="41" spans="2:7" ht="14.45" customHeight="1">
      <c r="B41" s="25"/>
      <c r="C41" s="26"/>
      <c r="D41" s="5"/>
      <c r="E41" s="5"/>
      <c r="F41" s="5"/>
      <c r="G41" s="5"/>
    </row>
    <row r="42" spans="2:7" ht="14.45" customHeight="1">
      <c r="B42" s="27"/>
      <c r="C42" s="28"/>
      <c r="D42" s="22" t="str">
        <f>'Input data'!D$5</f>
        <v>2023-24</v>
      </c>
      <c r="E42" s="22" t="str">
        <f>'Input data'!E$5</f>
        <v>2024-25</v>
      </c>
      <c r="F42" s="22" t="str">
        <f>'Input data'!F$5</f>
        <v>2025-26</v>
      </c>
      <c r="G42" s="22" t="str">
        <f>'Input data'!G$5</f>
        <v>2026-27</v>
      </c>
    </row>
    <row r="43" spans="2:7" ht="14.45" customHeight="1">
      <c r="B43" s="29"/>
      <c r="C43" s="30"/>
      <c r="D43" s="7"/>
      <c r="E43" s="7"/>
      <c r="F43" s="7"/>
      <c r="G43" s="7"/>
    </row>
    <row r="44" spans="2:7" ht="14.45" customHeight="1">
      <c r="B44" s="67" t="s">
        <v>247</v>
      </c>
      <c r="C44" s="68"/>
      <c r="D44" s="72">
        <f t="shared" ref="D44:G44" si="5">IF(D35="-",0,2*(D36-D35)/(D36+D35))</f>
        <v>0.64868138181278467</v>
      </c>
      <c r="E44" s="72">
        <f t="shared" si="5"/>
        <v>0.66548316195923374</v>
      </c>
      <c r="F44" s="72">
        <f t="shared" si="5"/>
        <v>0.69340261134809844</v>
      </c>
      <c r="G44" s="72">
        <f t="shared" si="5"/>
        <v>0.62324629809443033</v>
      </c>
    </row>
    <row r="47" spans="2:7" ht="28.9" customHeight="1">
      <c r="B47" s="31" t="s">
        <v>249</v>
      </c>
      <c r="C47" s="31"/>
      <c r="D47" s="4"/>
      <c r="E47" s="4"/>
      <c r="F47" s="4"/>
      <c r="G47" s="4"/>
    </row>
    <row r="49" spans="2:7" ht="28.9" customHeight="1">
      <c r="B49" s="33" t="s">
        <v>622</v>
      </c>
      <c r="C49" s="33"/>
      <c r="D49" s="4"/>
      <c r="E49" s="4"/>
      <c r="F49" s="4"/>
      <c r="G49" s="4"/>
    </row>
    <row r="50" spans="2:7" ht="14.45" customHeight="1">
      <c r="B50" s="35" t="str">
        <f>B18</f>
        <v>Measured in equivalent capacity.</v>
      </c>
      <c r="C50" s="35"/>
    </row>
    <row r="51" spans="2:7" ht="14.45" customHeight="1">
      <c r="B51" s="25" t="str">
        <f>B19</f>
        <v>Forecasted capacity</v>
      </c>
      <c r="C51" s="26"/>
      <c r="D51" s="5"/>
      <c r="E51" s="5"/>
      <c r="F51" s="5"/>
      <c r="G51" s="5"/>
    </row>
    <row r="52" spans="2:7" ht="14.45" customHeight="1">
      <c r="B52" s="27"/>
      <c r="C52" s="28"/>
      <c r="D52" s="22" t="str">
        <f>D20</f>
        <v>2023-24</v>
      </c>
      <c r="E52" s="22" t="str">
        <f>E20</f>
        <v>2024-25</v>
      </c>
      <c r="F52" s="22" t="str">
        <f>F20</f>
        <v>2025-26</v>
      </c>
      <c r="G52" s="22" t="str">
        <f>G20</f>
        <v>2026-27</v>
      </c>
    </row>
    <row r="53" spans="2:7" ht="14.45" customHeight="1">
      <c r="B53" s="29"/>
      <c r="C53" s="30"/>
      <c r="D53" s="7"/>
      <c r="E53" s="7"/>
      <c r="F53" s="7"/>
      <c r="G53" s="7"/>
    </row>
    <row r="54" spans="2:7" ht="14.45" customHeight="1">
      <c r="B54" s="65" t="str">
        <f>B22</f>
        <v>Cross-system network use</v>
      </c>
      <c r="C54" s="34" t="str">
        <f>C22</f>
        <v>Entry</v>
      </c>
      <c r="D54" s="36">
        <f>SUM('Exit Tariff_1'!D199:D200)</f>
        <v>3430305.9752597525</v>
      </c>
      <c r="E54" s="36">
        <f>SUM('Exit Tariff_1'!E199:E200)</f>
        <v>7686455.9945354126</v>
      </c>
      <c r="F54" s="36">
        <f>SUM('Exit Tariff_1'!F199:F200)</f>
        <v>11293316.503426366</v>
      </c>
      <c r="G54" s="36">
        <f>SUM('Exit Tariff_1'!G199:G200)</f>
        <v>4079210.3623785796</v>
      </c>
    </row>
    <row r="55" spans="2:7" ht="14.45" customHeight="1">
      <c r="B55" s="66"/>
      <c r="C55" s="34" t="str">
        <f>C23</f>
        <v>Exit</v>
      </c>
      <c r="D55" s="36">
        <f>SUM('Exit Tariff_1'!D199:D200)</f>
        <v>3430305.9752597525</v>
      </c>
      <c r="E55" s="36">
        <f>SUM('Exit Tariff_1'!E199:E200)</f>
        <v>7686455.9945354126</v>
      </c>
      <c r="F55" s="36">
        <f>SUM('Exit Tariff_1'!F199:F200)</f>
        <v>11293316.503426366</v>
      </c>
      <c r="G55" s="36">
        <f>SUM('Exit Tariff_1'!G199:G200)</f>
        <v>4079210.3623785796</v>
      </c>
    </row>
    <row r="56" spans="2:7" ht="14.45" customHeight="1">
      <c r="B56" s="65" t="str">
        <f>B24</f>
        <v>Intra-system network use</v>
      </c>
      <c r="C56" s="34" t="str">
        <f>C24</f>
        <v>Entry</v>
      </c>
      <c r="D56" s="36">
        <f>SUM('Entry Tariff_1'!D31:D35)-SUM('Exit Tariff_1'!D199:D200)</f>
        <v>205081463.27539489</v>
      </c>
      <c r="E56" s="36">
        <f>SUM('Entry Tariff_1'!E31:E35)-SUM('Exit Tariff_1'!E199:E200)</f>
        <v>200967635.17425132</v>
      </c>
      <c r="F56" s="36">
        <f>SUM('Entry Tariff_1'!F31:F35)-SUM('Exit Tariff_1'!F199:F200)</f>
        <v>175560730.04039803</v>
      </c>
      <c r="G56" s="36">
        <f>SUM('Entry Tariff_1'!G31:G35)-SUM('Exit Tariff_1'!G199:G200)</f>
        <v>183261691.09179816</v>
      </c>
    </row>
    <row r="57" spans="2:7" ht="14.45" customHeight="1">
      <c r="B57" s="66"/>
      <c r="C57" s="34" t="str">
        <f>C25</f>
        <v>Exit</v>
      </c>
      <c r="D57" s="36">
        <f>SUM('Exit Tariff_1'!D201:D287)</f>
        <v>154447608.97863322</v>
      </c>
      <c r="E57" s="36">
        <f>SUM('Exit Tariff_1'!E201:E287)</f>
        <v>150798472.15438589</v>
      </c>
      <c r="F57" s="36">
        <f>SUM('Exit Tariff_1'!F201:F287)</f>
        <v>130851487.67453192</v>
      </c>
      <c r="G57" s="36">
        <f>SUM('Exit Tariff_1'!G201:G287)</f>
        <v>156585744.60714909</v>
      </c>
    </row>
    <row r="58" spans="2:7" ht="14.45" customHeight="1">
      <c r="B58" s="67" t="str">
        <f>B26</f>
        <v>Cross-system network use</v>
      </c>
      <c r="C58" s="68"/>
      <c r="D58" s="69">
        <f t="shared" ref="D58:G58" si="6">AVERAGE(D54:D55)</f>
        <v>3430305.9752597525</v>
      </c>
      <c r="E58" s="69">
        <f t="shared" si="6"/>
        <v>7686455.9945354126</v>
      </c>
      <c r="F58" s="69">
        <f t="shared" si="6"/>
        <v>11293316.503426366</v>
      </c>
      <c r="G58" s="69">
        <f t="shared" si="6"/>
        <v>4079210.3623785796</v>
      </c>
    </row>
    <row r="59" spans="2:7" ht="14.45" customHeight="1">
      <c r="B59" s="67" t="str">
        <f>B27</f>
        <v>Intra-system network use</v>
      </c>
      <c r="C59" s="68"/>
      <c r="D59" s="69">
        <f t="shared" ref="D59:G59" si="7">AVERAGE(D56:D57)</f>
        <v>179764536.12701404</v>
      </c>
      <c r="E59" s="69">
        <f t="shared" si="7"/>
        <v>175883053.66431862</v>
      </c>
      <c r="F59" s="69">
        <f t="shared" si="7"/>
        <v>153206108.85746497</v>
      </c>
      <c r="G59" s="69">
        <f t="shared" si="7"/>
        <v>169923717.84947363</v>
      </c>
    </row>
    <row r="60" spans="2:7" ht="14.45" customHeight="1">
      <c r="D60" s="58">
        <f>AVERAGE(SUM('Entry Tariff_1'!D31:D35),SUM('Exit Tariff_1'!D199:D287))-SUM(D58:D59)</f>
        <v>0</v>
      </c>
      <c r="E60" s="58">
        <f>AVERAGE(SUM('Entry Tariff_1'!E31:E35),SUM('Exit Tariff_1'!E199:E287))-SUM(E58:E59)</f>
        <v>0</v>
      </c>
      <c r="F60" s="58">
        <f>AVERAGE(SUM('Entry Tariff_1'!F31:F35),SUM('Exit Tariff_1'!F199:F287))-SUM(F58:F59)</f>
        <v>0</v>
      </c>
      <c r="G60" s="58">
        <f>AVERAGE(SUM('Entry Tariff_1'!G31:G35),SUM('Exit Tariff_1'!G199:G287))-SUM(G58:G59)</f>
        <v>0</v>
      </c>
    </row>
    <row r="62" spans="2:7" ht="28.9" customHeight="1">
      <c r="B62" s="33" t="s">
        <v>252</v>
      </c>
      <c r="C62" s="33"/>
      <c r="D62" s="4"/>
      <c r="E62" s="4"/>
      <c r="F62" s="4"/>
      <c r="G62" s="4"/>
    </row>
    <row r="63" spans="2:7" ht="14.45" customHeight="1">
      <c r="B63" s="35" t="str">
        <f>B31</f>
        <v>Ratio between revenues and the cost driver.</v>
      </c>
      <c r="C63" s="35"/>
    </row>
    <row r="64" spans="2:7" ht="14.45" customHeight="1">
      <c r="B64" s="8" t="str">
        <f>B32</f>
        <v>Network use</v>
      </c>
      <c r="C64" s="63"/>
      <c r="D64" s="5"/>
      <c r="E64" s="5"/>
      <c r="F64" s="5"/>
      <c r="G64" s="5"/>
    </row>
    <row r="65" spans="2:9" ht="14.45" customHeight="1">
      <c r="B65" s="24"/>
      <c r="C65" s="64"/>
      <c r="D65" s="22" t="str">
        <f t="shared" ref="D65:G65" si="8">D33</f>
        <v>2023-24</v>
      </c>
      <c r="E65" s="22" t="str">
        <f t="shared" si="8"/>
        <v>2024-25</v>
      </c>
      <c r="F65" s="22" t="str">
        <f t="shared" si="8"/>
        <v>2025-26</v>
      </c>
      <c r="G65" s="22" t="str">
        <f t="shared" si="8"/>
        <v>2026-27</v>
      </c>
    </row>
    <row r="66" spans="2:9" ht="14.45" customHeight="1">
      <c r="B66" s="23"/>
      <c r="C66" s="30"/>
      <c r="D66" s="7"/>
      <c r="E66" s="7"/>
      <c r="F66" s="7"/>
      <c r="G66" s="7"/>
    </row>
    <row r="67" spans="2:9" ht="14.45" customHeight="1">
      <c r="B67" s="67" t="str">
        <f>B35</f>
        <v>Cross-system network use</v>
      </c>
      <c r="C67" s="68"/>
      <c r="D67" s="71">
        <f t="shared" ref="D67:G68" si="9">D11/D58</f>
        <v>0.87645001065415062</v>
      </c>
      <c r="E67" s="71">
        <f t="shared" si="9"/>
        <v>0.92274295485930768</v>
      </c>
      <c r="F67" s="71">
        <f t="shared" si="9"/>
        <v>0.97734641286166868</v>
      </c>
      <c r="G67" s="71">
        <f t="shared" si="9"/>
        <v>1.1167610187759578</v>
      </c>
    </row>
    <row r="68" spans="2:9" ht="14.45" customHeight="1">
      <c r="B68" s="67" t="str">
        <f>B36</f>
        <v>Intra-system network use</v>
      </c>
      <c r="C68" s="68"/>
      <c r="D68" s="71">
        <f t="shared" si="9"/>
        <v>0.37753760596789399</v>
      </c>
      <c r="E68" s="71">
        <f t="shared" si="9"/>
        <v>0.38593152398101677</v>
      </c>
      <c r="F68" s="71">
        <f t="shared" si="9"/>
        <v>0.38914894440205039</v>
      </c>
      <c r="G68" s="71">
        <f t="shared" si="9"/>
        <v>0.46684834881725323</v>
      </c>
    </row>
    <row r="71" spans="2:9" ht="28.9" customHeight="1">
      <c r="B71" s="33" t="s">
        <v>251</v>
      </c>
      <c r="C71" s="33"/>
      <c r="D71" s="4"/>
      <c r="E71" s="4"/>
      <c r="F71" s="4"/>
      <c r="G71" s="4"/>
    </row>
    <row r="72" spans="2:9" ht="14.45" customHeight="1">
      <c r="B72" s="35" t="str">
        <f>B40</f>
        <v>A positive result (+) implies that cross-system users are being subsidized.</v>
      </c>
      <c r="C72" s="35"/>
    </row>
    <row r="73" spans="2:9" ht="14.45" customHeight="1">
      <c r="B73" s="25"/>
      <c r="C73" s="26"/>
      <c r="D73" s="5"/>
      <c r="E73" s="5"/>
      <c r="F73" s="5"/>
      <c r="G73" s="5"/>
    </row>
    <row r="74" spans="2:9" ht="14.45" customHeight="1">
      <c r="B74" s="27"/>
      <c r="C74" s="28"/>
      <c r="D74" s="22" t="str">
        <f t="shared" ref="D74:G74" si="10">D42</f>
        <v>2023-24</v>
      </c>
      <c r="E74" s="22" t="str">
        <f t="shared" si="10"/>
        <v>2024-25</v>
      </c>
      <c r="F74" s="22" t="str">
        <f t="shared" si="10"/>
        <v>2025-26</v>
      </c>
      <c r="G74" s="22" t="str">
        <f t="shared" si="10"/>
        <v>2026-27</v>
      </c>
    </row>
    <row r="75" spans="2:9" ht="14.45" customHeight="1">
      <c r="B75" s="29"/>
      <c r="C75" s="30"/>
      <c r="D75" s="7"/>
      <c r="E75" s="7"/>
      <c r="F75" s="7"/>
      <c r="G75" s="7"/>
    </row>
    <row r="76" spans="2:9" ht="14.45" customHeight="1">
      <c r="B76" s="67" t="str">
        <f>B44</f>
        <v>Capacity cost allocation comparison index</v>
      </c>
      <c r="C76" s="68"/>
      <c r="D76" s="72">
        <f t="shared" ref="D76:G76" si="11">IF(D67="-",0,2*(D68-D67)/(D68+D67))</f>
        <v>-0.79572142192314854</v>
      </c>
      <c r="E76" s="72">
        <f t="shared" si="11"/>
        <v>-0.82038954615204818</v>
      </c>
      <c r="F76" s="72">
        <f t="shared" si="11"/>
        <v>-0.86088469358202502</v>
      </c>
      <c r="G76" s="72">
        <f t="shared" si="11"/>
        <v>-0.82079922392281601</v>
      </c>
    </row>
    <row r="79" spans="2:9" ht="28.9" customHeight="1">
      <c r="B79" s="31" t="s">
        <v>262</v>
      </c>
      <c r="C79" s="31"/>
      <c r="D79" s="4"/>
      <c r="E79" s="4"/>
      <c r="F79" s="4"/>
      <c r="G79" s="4"/>
      <c r="I79"/>
    </row>
    <row r="80" spans="2:9" ht="14.45" customHeight="1">
      <c r="I80"/>
    </row>
    <row r="81" spans="2:12" ht="28.9" customHeight="1">
      <c r="B81" s="33" t="s">
        <v>271</v>
      </c>
      <c r="C81" s="33"/>
      <c r="D81" s="4"/>
      <c r="E81" s="4"/>
      <c r="F81" s="4"/>
      <c r="G81" s="4"/>
      <c r="I81"/>
    </row>
    <row r="82" spans="2:12" ht="14.45" customHeight="1">
      <c r="B82" s="35"/>
      <c r="C82" s="35"/>
      <c r="I82"/>
    </row>
    <row r="83" spans="2:12" ht="14.45" customHeight="1">
      <c r="B83" s="25" t="s">
        <v>266</v>
      </c>
      <c r="C83" s="26"/>
      <c r="D83" s="5"/>
      <c r="E83" s="5"/>
      <c r="F83" s="5"/>
      <c r="G83" s="5"/>
    </row>
    <row r="84" spans="2:12" ht="14.45" customHeight="1">
      <c r="B84" s="27"/>
      <c r="C84" s="28"/>
      <c r="D84" s="22" t="str">
        <f>'Input data'!D$5</f>
        <v>2023-24</v>
      </c>
      <c r="E84" s="22" t="str">
        <f>'Input data'!E$5</f>
        <v>2024-25</v>
      </c>
      <c r="F84" s="22" t="str">
        <f>'Input data'!F$5</f>
        <v>2025-26</v>
      </c>
      <c r="G84" s="22" t="str">
        <f>'Input data'!G$5</f>
        <v>2026-27</v>
      </c>
    </row>
    <row r="85" spans="2:12" ht="14.45" customHeight="1">
      <c r="B85" s="29"/>
      <c r="C85" s="30"/>
      <c r="D85" s="7"/>
      <c r="E85" s="7"/>
      <c r="F85" s="7"/>
      <c r="G85" s="7"/>
    </row>
    <row r="86" spans="2:12" ht="14.45" customHeight="1">
      <c r="B86" s="65" t="str">
        <f t="shared" ref="B86:G86" si="12">B22</f>
        <v>Cross-system network use</v>
      </c>
      <c r="C86" s="34" t="str">
        <f t="shared" si="12"/>
        <v>Entry</v>
      </c>
      <c r="D86" s="36">
        <f t="shared" si="12"/>
        <v>23735665.193424653</v>
      </c>
      <c r="E86" s="36">
        <f t="shared" si="12"/>
        <v>53185677.116301365</v>
      </c>
      <c r="F86" s="36">
        <f t="shared" si="12"/>
        <v>78142994.060000002</v>
      </c>
      <c r="G86" s="36">
        <f t="shared" si="12"/>
        <v>28225695.350000001</v>
      </c>
      <c r="I86"/>
      <c r="J86"/>
      <c r="K86"/>
      <c r="L86"/>
    </row>
    <row r="87" spans="2:12" ht="14.45" customHeight="1">
      <c r="B87" s="66"/>
      <c r="C87" s="34" t="str">
        <f t="shared" ref="C87:G89" si="13">C23</f>
        <v>Exit</v>
      </c>
      <c r="D87" s="36">
        <f t="shared" si="13"/>
        <v>23735665.193424653</v>
      </c>
      <c r="E87" s="36">
        <f t="shared" si="13"/>
        <v>53185677.116301365</v>
      </c>
      <c r="F87" s="36">
        <f t="shared" si="13"/>
        <v>78142994.060000002</v>
      </c>
      <c r="G87" s="36">
        <f t="shared" si="13"/>
        <v>28225695.350000001</v>
      </c>
      <c r="I87"/>
      <c r="J87"/>
    </row>
    <row r="88" spans="2:12" ht="14.45" customHeight="1">
      <c r="B88" s="65" t="str">
        <f>B24</f>
        <v>Intra-system network use</v>
      </c>
      <c r="C88" s="34" t="str">
        <f t="shared" si="13"/>
        <v>Entry</v>
      </c>
      <c r="D88" s="36">
        <f t="shared" si="13"/>
        <v>218494153.45369864</v>
      </c>
      <c r="E88" s="36">
        <f t="shared" si="13"/>
        <v>188640590.01890412</v>
      </c>
      <c r="F88" s="36">
        <f t="shared" si="13"/>
        <v>131099426.14736924</v>
      </c>
      <c r="G88" s="36">
        <f t="shared" si="13"/>
        <v>182344648.85123289</v>
      </c>
    </row>
    <row r="89" spans="2:12" ht="14.45" customHeight="1">
      <c r="B89" s="66"/>
      <c r="C89" s="34" t="str">
        <f t="shared" si="13"/>
        <v>Exit</v>
      </c>
      <c r="D89" s="36">
        <f t="shared" si="13"/>
        <v>328224220.96674716</v>
      </c>
      <c r="E89" s="36">
        <f t="shared" si="13"/>
        <v>321042436.76192564</v>
      </c>
      <c r="F89" s="36">
        <f t="shared" si="13"/>
        <v>278427506.09727025</v>
      </c>
      <c r="G89" s="36">
        <f t="shared" si="13"/>
        <v>333578850.92155701</v>
      </c>
    </row>
    <row r="90" spans="2:12" ht="14.45" customHeight="1">
      <c r="D90" s="58">
        <f>SUM(D22:D25)-SUM(D86:D89)</f>
        <v>0</v>
      </c>
      <c r="E90" s="58">
        <f>SUM(E22:E25)-SUM(E86:E89)</f>
        <v>0</v>
      </c>
      <c r="F90" s="58">
        <f>SUM(F22:F25)-SUM(F86:F89)</f>
        <v>0</v>
      </c>
      <c r="G90" s="58">
        <f>SUM(G22:G25)-SUM(G86:G89)</f>
        <v>0</v>
      </c>
    </row>
    <row r="91" spans="2:12" ht="14.45" customHeight="1">
      <c r="B91" s="35"/>
      <c r="C91" s="35"/>
    </row>
    <row r="92" spans="2:12" ht="14.45" customHeight="1">
      <c r="B92" s="25" t="s">
        <v>273</v>
      </c>
      <c r="C92" s="26"/>
      <c r="D92" s="5"/>
      <c r="E92" s="5"/>
      <c r="F92" s="5"/>
      <c r="G92" s="5"/>
      <c r="I92"/>
    </row>
    <row r="93" spans="2:12" ht="14.45" customHeight="1">
      <c r="B93" s="73" t="s">
        <v>272</v>
      </c>
      <c r="C93" s="28"/>
      <c r="D93" s="22" t="str">
        <f>'Input data'!D$5</f>
        <v>2023-24</v>
      </c>
      <c r="E93" s="22" t="str">
        <f>'Input data'!E$5</f>
        <v>2024-25</v>
      </c>
      <c r="F93" s="22" t="str">
        <f>'Input data'!F$5</f>
        <v>2025-26</v>
      </c>
      <c r="G93" s="22" t="str">
        <f>'Input data'!G$5</f>
        <v>2026-27</v>
      </c>
      <c r="I93"/>
    </row>
    <row r="94" spans="2:12" ht="14.45" customHeight="1">
      <c r="B94" s="29"/>
      <c r="C94" s="30"/>
      <c r="D94" s="7"/>
      <c r="E94" s="7"/>
      <c r="F94" s="7"/>
      <c r="G94" s="7"/>
      <c r="I94"/>
    </row>
    <row r="95" spans="2:12" ht="14.45" customHeight="1">
      <c r="B95" s="65" t="str">
        <f>B22</f>
        <v>Cross-system network use</v>
      </c>
      <c r="C95" s="34" t="str">
        <f>C22</f>
        <v>Entry</v>
      </c>
      <c r="D95" s="52">
        <f t="shared" ref="D95:G95" si="14">D86/SUM(D86,D88)</f>
        <v>9.7988205275430645E-2</v>
      </c>
      <c r="E95" s="52">
        <f t="shared" si="14"/>
        <v>0.21993341644133788</v>
      </c>
      <c r="F95" s="52">
        <f t="shared" si="14"/>
        <v>0.37345674926984956</v>
      </c>
      <c r="G95" s="52">
        <f t="shared" si="14"/>
        <v>0.1340440196223735</v>
      </c>
      <c r="I95"/>
    </row>
    <row r="96" spans="2:12" ht="14.45" customHeight="1">
      <c r="B96" s="66"/>
      <c r="C96" s="34" t="str">
        <f>C23</f>
        <v>Exit</v>
      </c>
      <c r="D96" s="52">
        <f t="shared" ref="D96:G96" si="15">D87/SUM(D87,D89)</f>
        <v>6.7438552308835845E-2</v>
      </c>
      <c r="E96" s="52">
        <f t="shared" si="15"/>
        <v>0.14212100893522892</v>
      </c>
      <c r="F96" s="52">
        <f t="shared" si="15"/>
        <v>0.21915159561863357</v>
      </c>
      <c r="G96" s="52">
        <f t="shared" si="15"/>
        <v>7.8013655828456194E-2</v>
      </c>
      <c r="I96"/>
    </row>
    <row r="97" spans="2:9" ht="14.45" customHeight="1">
      <c r="B97" s="65" t="str">
        <f>B24</f>
        <v>Intra-system network use</v>
      </c>
      <c r="C97" s="34" t="str">
        <f>C24</f>
        <v>Entry</v>
      </c>
      <c r="D97" s="52">
        <f t="shared" ref="D97:G97" si="16">D88/SUM(D86,D88)</f>
        <v>0.90201179472456938</v>
      </c>
      <c r="E97" s="52">
        <f t="shared" si="16"/>
        <v>0.78006658355866221</v>
      </c>
      <c r="F97" s="52">
        <f t="shared" si="16"/>
        <v>0.62654325073015038</v>
      </c>
      <c r="G97" s="52">
        <f t="shared" si="16"/>
        <v>0.86595598037762656</v>
      </c>
      <c r="I97"/>
    </row>
    <row r="98" spans="2:9" ht="14.45" customHeight="1">
      <c r="B98" s="66"/>
      <c r="C98" s="34" t="str">
        <f>C25</f>
        <v>Exit</v>
      </c>
      <c r="D98" s="52">
        <f t="shared" ref="D98:G98" si="17">D89/SUM(D87,D89)</f>
        <v>0.93256144769116422</v>
      </c>
      <c r="E98" s="52">
        <f t="shared" si="17"/>
        <v>0.85787899106477106</v>
      </c>
      <c r="F98" s="52">
        <f t="shared" si="17"/>
        <v>0.78084840438136649</v>
      </c>
      <c r="G98" s="52">
        <f t="shared" si="17"/>
        <v>0.92198634417154379</v>
      </c>
      <c r="I98"/>
    </row>
    <row r="99" spans="2:9" ht="14.45" customHeight="1">
      <c r="D99"/>
      <c r="E99"/>
      <c r="F99"/>
      <c r="G99"/>
      <c r="I99"/>
    </row>
    <row r="100" spans="2:9" ht="14.45" customHeight="1">
      <c r="I100"/>
    </row>
    <row r="101" spans="2:9" ht="14.45" customHeight="1">
      <c r="B101" s="25" t="s">
        <v>267</v>
      </c>
      <c r="C101" s="26"/>
      <c r="D101" s="5"/>
      <c r="E101" s="5"/>
      <c r="F101" s="5"/>
      <c r="G101" s="5"/>
    </row>
    <row r="102" spans="2:9" ht="14.45" customHeight="1">
      <c r="B102" s="27"/>
      <c r="C102" s="28"/>
      <c r="D102" s="22" t="str">
        <f>'Input data'!D$5</f>
        <v>2023-24</v>
      </c>
      <c r="E102" s="22" t="str">
        <f>'Input data'!E$5</f>
        <v>2024-25</v>
      </c>
      <c r="F102" s="22" t="str">
        <f>'Input data'!F$5</f>
        <v>2025-26</v>
      </c>
      <c r="G102" s="22" t="str">
        <f>'Input data'!G$5</f>
        <v>2026-27</v>
      </c>
    </row>
    <row r="103" spans="2:9" ht="14.45" customHeight="1">
      <c r="B103" s="29"/>
      <c r="C103" s="30"/>
      <c r="D103" s="7"/>
      <c r="E103" s="7"/>
      <c r="F103" s="7"/>
      <c r="G103" s="7"/>
    </row>
    <row r="104" spans="2:9" ht="14.45" customHeight="1">
      <c r="B104" s="65" t="str">
        <f>B95</f>
        <v>Cross-system network use</v>
      </c>
      <c r="C104" s="34" t="str">
        <f>C95</f>
        <v>Entry</v>
      </c>
      <c r="D104" s="51">
        <f>'A4a.CWD Entry Av. Distance'!D21</f>
        <v>302.46740381130962</v>
      </c>
      <c r="E104" s="51">
        <f>'A4a.CWD Entry Av. Distance'!E21</f>
        <v>318.61212678739832</v>
      </c>
      <c r="F104" s="51">
        <f>'A4a.CWD Entry Av. Distance'!F21</f>
        <v>335.12881055246402</v>
      </c>
      <c r="G104" s="51">
        <f>'A4a.CWD Entry Av. Distance'!G21</f>
        <v>304.88218358604041</v>
      </c>
    </row>
    <row r="105" spans="2:9" ht="14.45" customHeight="1">
      <c r="B105" s="66"/>
      <c r="C105" s="34" t="str">
        <f>C96</f>
        <v>Exit</v>
      </c>
      <c r="D105" s="51">
        <f>SUMPRODUCT('A4b.CWD Exit Av. Distance'!D7:D8,'A4b.CWD Exit Av. Distance'!D103:D104)/SUM('A4b.CWD Exit Av. Distance'!D7:D8)</f>
        <v>491.50247208678223</v>
      </c>
      <c r="E105" s="51">
        <f>SUMPRODUCT('A4b.CWD Exit Av. Distance'!E7:E8,'A4b.CWD Exit Av. Distance'!E103:E104)/SUM('A4b.CWD Exit Av. Distance'!E7:E8)</f>
        <v>493.11951018457904</v>
      </c>
      <c r="F105" s="51">
        <f>SUMPRODUCT('A4b.CWD Exit Av. Distance'!F7:F8,'A4b.CWD Exit Av. Distance'!F103:F104)/SUM('A4b.CWD Exit Av. Distance'!F7:F8)</f>
        <v>493.13460107655123</v>
      </c>
      <c r="G105" s="51">
        <f>SUMPRODUCT('A4b.CWD Exit Av. Distance'!G7:G8,'A4b.CWD Exit Av. Distance'!G103:G104)/SUM('A4b.CWD Exit Av. Distance'!G7:G8)</f>
        <v>492.0987908913321</v>
      </c>
    </row>
    <row r="106" spans="2:9" ht="14.45" customHeight="1">
      <c r="B106" s="65" t="str">
        <f>B97</f>
        <v>Intra-system network use</v>
      </c>
      <c r="C106" s="34" t="str">
        <f>C97</f>
        <v>Entry</v>
      </c>
      <c r="D106" s="51">
        <f>(SUMPRODUCT('A4a.CWD Entry Av. Distance'!D7:D11,'A4a.CWD Entry Av. Distance'!D19:D23)-D86*D104)/(SUM('A4a.CWD Entry Av. Distance'!D7:D11)-D86)</f>
        <v>301.69298396692727</v>
      </c>
      <c r="E106" s="51">
        <f>(SUMPRODUCT('A4a.CWD Entry Av. Distance'!E7:E11,'A4a.CWD Entry Av. Distance'!E19:E23)-E86*E104)/(SUM('A4a.CWD Entry Av. Distance'!E7:E11)-E86)</f>
        <v>316.98629260871945</v>
      </c>
      <c r="F106" s="51">
        <f>(SUMPRODUCT('A4a.CWD Entry Av. Distance'!F7:F11,'A4a.CWD Entry Av. Distance'!F19:F23)-F86*F104)/(SUM('A4a.CWD Entry Av. Distance'!F7:F11)-F86)</f>
        <v>328.52688203957211</v>
      </c>
      <c r="G106" s="51">
        <f>(SUMPRODUCT('A4a.CWD Entry Av. Distance'!G7:G11,'A4a.CWD Entry Av. Distance'!G19:G23)-G86*G104)/(SUM('A4a.CWD Entry Av. Distance'!G7:G11)-G86)</f>
        <v>302.26536856565525</v>
      </c>
    </row>
    <row r="107" spans="2:9" ht="14.45" customHeight="1">
      <c r="B107" s="66"/>
      <c r="C107" s="34" t="str">
        <f>C98</f>
        <v>Exit</v>
      </c>
      <c r="D107" s="51">
        <f>(SUMPRODUCT('A4b.CWD Exit Av. Distance'!D7:D95,'A4b.CWD Exit Av. Distance'!D103:D191)-D87*D105)/(SUM('A4b.CWD Exit Av. Distance'!D7:D95)-D87)</f>
        <v>289.10306019608765</v>
      </c>
      <c r="E107" s="51">
        <f>(SUMPRODUCT('A4b.CWD Exit Av. Distance'!E7:E95,'A4b.CWD Exit Av. Distance'!E103:E191)-E87*E105)/(SUM('A4b.CWD Exit Av. Distance'!E7:E95)-E87)</f>
        <v>290.36680000938389</v>
      </c>
      <c r="F107" s="51">
        <f>(SUMPRODUCT('A4b.CWD Exit Av. Distance'!F7:F95,'A4b.CWD Exit Av. Distance'!F103:F191)-F87*F105)/(SUM('A4b.CWD Exit Av. Distance'!F7:F95)-F87)</f>
        <v>287.80304162886449</v>
      </c>
      <c r="G107" s="51">
        <f>(SUMPRODUCT('A4b.CWD Exit Av. Distance'!G7:G95,'A4b.CWD Exit Av. Distance'!G103:G191)-G87*G105)/(SUM('A4b.CWD Exit Av. Distance'!G7:G95)-G87)</f>
        <v>287.37045992942728</v>
      </c>
    </row>
    <row r="108" spans="2:9" ht="14.45" customHeight="1">
      <c r="D108" s="58"/>
      <c r="E108" s="58"/>
      <c r="F108" s="58"/>
      <c r="G108" s="58"/>
    </row>
    <row r="110" spans="2:9" ht="14.45" customHeight="1">
      <c r="B110" s="25" t="s">
        <v>274</v>
      </c>
      <c r="C110" s="26"/>
      <c r="D110" s="5"/>
      <c r="E110" s="5"/>
      <c r="F110" s="5"/>
      <c r="G110" s="5"/>
    </row>
    <row r="111" spans="2:9" ht="14.45" customHeight="1">
      <c r="B111" s="27"/>
      <c r="C111" s="28"/>
      <c r="D111" s="22" t="str">
        <f>'Input data'!D$5</f>
        <v>2023-24</v>
      </c>
      <c r="E111" s="22" t="str">
        <f>'Input data'!E$5</f>
        <v>2024-25</v>
      </c>
      <c r="F111" s="22" t="str">
        <f>'Input data'!F$5</f>
        <v>2025-26</v>
      </c>
      <c r="G111" s="22" t="str">
        <f>'Input data'!G$5</f>
        <v>2026-27</v>
      </c>
    </row>
    <row r="112" spans="2:9" ht="14.45" customHeight="1">
      <c r="B112" s="29"/>
      <c r="C112" s="30"/>
      <c r="D112" s="7"/>
      <c r="E112" s="7"/>
      <c r="F112" s="7"/>
      <c r="G112" s="7"/>
    </row>
    <row r="113" spans="2:7" ht="14.45" customHeight="1">
      <c r="B113" s="74" t="str">
        <f>C7</f>
        <v>Entry</v>
      </c>
      <c r="C113" s="75"/>
      <c r="D113" s="50">
        <f>'Input data'!D190</f>
        <v>0.28000000000000003</v>
      </c>
      <c r="E113" s="50">
        <f>'Input data'!E190</f>
        <v>0.28000000000000003</v>
      </c>
      <c r="F113" s="50">
        <f>'Input data'!F190</f>
        <v>0.28000000000000003</v>
      </c>
      <c r="G113" s="50">
        <f>'Input data'!G190</f>
        <v>0.28000000000000003</v>
      </c>
    </row>
    <row r="114" spans="2:7" ht="14.45" customHeight="1">
      <c r="B114" s="74" t="str">
        <f>C8</f>
        <v>Exit</v>
      </c>
      <c r="C114" s="75"/>
      <c r="D114" s="50">
        <f>'Input data'!D191</f>
        <v>0.72</v>
      </c>
      <c r="E114" s="50">
        <f>'Input data'!E191</f>
        <v>0.72</v>
      </c>
      <c r="F114" s="50">
        <f>'Input data'!F191</f>
        <v>0.72</v>
      </c>
      <c r="G114" s="50">
        <f>'Input data'!G191</f>
        <v>0.72</v>
      </c>
    </row>
    <row r="117" spans="2:7" ht="14.45" customHeight="1">
      <c r="B117" s="25" t="str">
        <f>B92&amp;" x "&amp;B101&amp;" x "&amp;B110</f>
        <v>Forecasted capacity (%) x Average distance x E/X split</v>
      </c>
      <c r="C117" s="26"/>
      <c r="D117" s="5"/>
      <c r="E117" s="5"/>
      <c r="F117" s="5"/>
      <c r="G117" s="5"/>
    </row>
    <row r="118" spans="2:7" ht="14.45" customHeight="1">
      <c r="B118" s="27"/>
      <c r="C118" s="28"/>
      <c r="D118" s="22" t="str">
        <f>'Input data'!D$5</f>
        <v>2023-24</v>
      </c>
      <c r="E118" s="22" t="str">
        <f>'Input data'!E$5</f>
        <v>2024-25</v>
      </c>
      <c r="F118" s="22" t="str">
        <f>'Input data'!F$5</f>
        <v>2025-26</v>
      </c>
      <c r="G118" s="22" t="str">
        <f>'Input data'!G$5</f>
        <v>2026-27</v>
      </c>
    </row>
    <row r="119" spans="2:7" ht="14.45" customHeight="1">
      <c r="B119" s="29"/>
      <c r="C119" s="30"/>
      <c r="D119" s="7"/>
      <c r="E119" s="7"/>
      <c r="F119" s="7"/>
      <c r="G119" s="7"/>
    </row>
    <row r="120" spans="2:7" ht="14.45" customHeight="1">
      <c r="B120" s="65" t="str">
        <f>B104</f>
        <v>Cross-system network use</v>
      </c>
      <c r="C120" s="34" t="str">
        <f>C104</f>
        <v>Entry</v>
      </c>
      <c r="D120" s="36">
        <f t="shared" ref="D120:G120" si="18">D95*D104*D113</f>
        <v>8.2987066550609718</v>
      </c>
      <c r="E120" s="36">
        <f t="shared" si="18"/>
        <v>19.6205669979181</v>
      </c>
      <c r="F120" s="36">
        <f t="shared" si="18"/>
        <v>35.043712529166456</v>
      </c>
      <c r="G120" s="36">
        <f t="shared" si="18"/>
        <v>11.442937351753399</v>
      </c>
    </row>
    <row r="121" spans="2:7" ht="14.45" customHeight="1">
      <c r="B121" s="66"/>
      <c r="C121" s="34" t="str">
        <f>C105</f>
        <v>Exit</v>
      </c>
      <c r="D121" s="36">
        <f t="shared" ref="D121:G121" si="19">D96*D105*D114</f>
        <v>23.865274925097545</v>
      </c>
      <c r="E121" s="36">
        <f t="shared" si="19"/>
        <v>50.45950246541635</v>
      </c>
      <c r="F121" s="36">
        <f t="shared" si="19"/>
        <v>77.81128897009286</v>
      </c>
      <c r="G121" s="36">
        <f t="shared" si="19"/>
        <v>27.641106508460986</v>
      </c>
    </row>
    <row r="122" spans="2:7" ht="14.45" customHeight="1">
      <c r="B122" s="65" t="str">
        <f>B106</f>
        <v>Intra-system network use</v>
      </c>
      <c r="C122" s="34" t="str">
        <f>C106</f>
        <v>Entry</v>
      </c>
      <c r="D122" s="36">
        <f t="shared" ref="D122:G122" si="20">D97*D106*D113</f>
        <v>76.196576378669263</v>
      </c>
      <c r="E122" s="36">
        <f t="shared" si="20"/>
        <v>69.235716006858866</v>
      </c>
      <c r="F122" s="36">
        <f t="shared" si="20"/>
        <v>57.634164175087975</v>
      </c>
      <c r="G122" s="36">
        <f t="shared" si="20"/>
        <v>73.28958099973346</v>
      </c>
    </row>
    <row r="123" spans="2:7" ht="14.45" customHeight="1">
      <c r="B123" s="66"/>
      <c r="C123" s="34" t="str">
        <f>C107</f>
        <v>Exit</v>
      </c>
      <c r="D123" s="36">
        <f t="shared" ref="D123:G123" si="21">D98*D107*D114</f>
        <v>194.11658521085471</v>
      </c>
      <c r="E123" s="36">
        <f t="shared" si="21"/>
        <v>179.35169575014459</v>
      </c>
      <c r="F123" s="36">
        <f t="shared" si="21"/>
        <v>161.80599299904205</v>
      </c>
      <c r="G123" s="36">
        <f t="shared" si="21"/>
        <v>190.76518063672398</v>
      </c>
    </row>
    <row r="124" spans="2:7" ht="14.45" customHeight="1">
      <c r="B124" s="67" t="str">
        <f>B120</f>
        <v>Cross-system network use</v>
      </c>
      <c r="C124" s="68"/>
      <c r="D124" s="69">
        <f t="shared" ref="D124:G124" si="22">SUM(D120:D121)</f>
        <v>32.16398158015852</v>
      </c>
      <c r="E124" s="69">
        <f t="shared" si="22"/>
        <v>70.080069463334453</v>
      </c>
      <c r="F124" s="69">
        <f t="shared" si="22"/>
        <v>112.85500149925932</v>
      </c>
      <c r="G124" s="69">
        <f t="shared" si="22"/>
        <v>39.084043860214386</v>
      </c>
    </row>
    <row r="125" spans="2:7" ht="14.45" customHeight="1">
      <c r="B125" s="67" t="str">
        <f>B122</f>
        <v>Intra-system network use</v>
      </c>
      <c r="C125" s="68"/>
      <c r="D125" s="69">
        <f t="shared" ref="D125:G125" si="23">SUM(D122:D123)</f>
        <v>270.31316158952399</v>
      </c>
      <c r="E125" s="69">
        <f t="shared" si="23"/>
        <v>248.58741175700345</v>
      </c>
      <c r="F125" s="69">
        <f t="shared" si="23"/>
        <v>219.44015717413004</v>
      </c>
      <c r="G125" s="69">
        <f t="shared" si="23"/>
        <v>264.05476163645744</v>
      </c>
    </row>
    <row r="126" spans="2:7" ht="14.45" customHeight="1">
      <c r="D126" s="58"/>
      <c r="E126" s="58"/>
      <c r="F126" s="58"/>
      <c r="G126" s="58"/>
    </row>
    <row r="128" spans="2:7" ht="28.9" customHeight="1">
      <c r="B128" s="33" t="s">
        <v>258</v>
      </c>
      <c r="C128" s="33"/>
      <c r="D128" s="4"/>
      <c r="E128" s="4"/>
      <c r="F128" s="4"/>
      <c r="G128" s="4"/>
    </row>
    <row r="129" spans="2:7" ht="14.45" customHeight="1">
      <c r="B129" s="35" t="s">
        <v>253</v>
      </c>
      <c r="C129" s="35"/>
    </row>
    <row r="130" spans="2:7" ht="14.45" customHeight="1">
      <c r="B130" s="25" t="str">
        <f>B64</f>
        <v>Network use</v>
      </c>
      <c r="C130" s="26"/>
      <c r="D130" s="5"/>
      <c r="E130" s="5"/>
      <c r="F130" s="5"/>
      <c r="G130" s="5"/>
    </row>
    <row r="131" spans="2:7" ht="14.45" customHeight="1">
      <c r="B131" s="27"/>
      <c r="C131" s="28"/>
      <c r="D131" s="22" t="str">
        <f>'Input data'!D$5</f>
        <v>2023-24</v>
      </c>
      <c r="E131" s="22" t="str">
        <f>'Input data'!E$5</f>
        <v>2024-25</v>
      </c>
      <c r="F131" s="22" t="str">
        <f>'Input data'!F$5</f>
        <v>2025-26</v>
      </c>
      <c r="G131" s="22" t="str">
        <f>'Input data'!G$5</f>
        <v>2026-27</v>
      </c>
    </row>
    <row r="132" spans="2:7" ht="14.45" customHeight="1">
      <c r="B132" s="29"/>
      <c r="C132" s="30"/>
      <c r="D132" s="7"/>
      <c r="E132" s="7"/>
      <c r="F132" s="7"/>
      <c r="G132" s="7"/>
    </row>
    <row r="133" spans="2:7" ht="14.45" customHeight="1">
      <c r="B133" s="67" t="str">
        <f>B124</f>
        <v>Cross-system network use</v>
      </c>
      <c r="C133" s="68"/>
      <c r="D133" s="70">
        <f t="shared" ref="D133:G134" si="24">D11/D124</f>
        <v>93473.866134100332</v>
      </c>
      <c r="E133" s="70">
        <f t="shared" si="24"/>
        <v>101207.4213268934</v>
      </c>
      <c r="F133" s="70">
        <f t="shared" si="24"/>
        <v>97802.332438121332</v>
      </c>
      <c r="G133" s="70">
        <f t="shared" si="24"/>
        <v>116556.59625151075</v>
      </c>
    </row>
    <row r="134" spans="2:7" ht="14.45" customHeight="1">
      <c r="B134" s="67" t="str">
        <f>B125</f>
        <v>Intra-system network use</v>
      </c>
      <c r="C134" s="68"/>
      <c r="D134" s="70">
        <f t="shared" si="24"/>
        <v>251071.28416625384</v>
      </c>
      <c r="E134" s="70">
        <f t="shared" si="24"/>
        <v>273058.13461486791</v>
      </c>
      <c r="F134" s="70">
        <f t="shared" si="24"/>
        <v>271691.36363003281</v>
      </c>
      <c r="G134" s="70">
        <f t="shared" si="24"/>
        <v>300424.83086191339</v>
      </c>
    </row>
    <row r="137" spans="2:7" ht="28.9" customHeight="1">
      <c r="B137" s="33" t="s">
        <v>259</v>
      </c>
      <c r="C137" s="33"/>
      <c r="D137" s="4"/>
      <c r="E137" s="4"/>
      <c r="F137" s="4"/>
      <c r="G137" s="4"/>
    </row>
    <row r="138" spans="2:7" ht="14.45" customHeight="1">
      <c r="B138" s="35" t="s">
        <v>248</v>
      </c>
      <c r="C138" s="35"/>
    </row>
    <row r="139" spans="2:7" ht="14.45" customHeight="1">
      <c r="B139" s="25"/>
      <c r="C139" s="26"/>
      <c r="D139" s="5"/>
      <c r="E139" s="5"/>
      <c r="F139" s="5"/>
      <c r="G139" s="5"/>
    </row>
    <row r="140" spans="2:7" ht="14.45" customHeight="1">
      <c r="B140" s="27"/>
      <c r="C140" s="28"/>
      <c r="D140" s="22" t="str">
        <f>'Input data'!D$5</f>
        <v>2023-24</v>
      </c>
      <c r="E140" s="22" t="str">
        <f>'Input data'!E$5</f>
        <v>2024-25</v>
      </c>
      <c r="F140" s="22" t="str">
        <f>'Input data'!F$5</f>
        <v>2025-26</v>
      </c>
      <c r="G140" s="22" t="str">
        <f>'Input data'!G$5</f>
        <v>2026-27</v>
      </c>
    </row>
    <row r="141" spans="2:7" ht="14.45" customHeight="1">
      <c r="B141" s="29"/>
      <c r="C141" s="30"/>
      <c r="D141" s="7"/>
      <c r="E141" s="7"/>
      <c r="F141" s="7"/>
      <c r="G141" s="7"/>
    </row>
    <row r="142" spans="2:7" ht="14.45" customHeight="1">
      <c r="B142" s="67" t="s">
        <v>247</v>
      </c>
      <c r="C142" s="68"/>
      <c r="D142" s="72">
        <f>IF(D133="-",0,2*(D134-D133)/(D134+D133))</f>
        <v>0.91481431617754227</v>
      </c>
      <c r="E142" s="72">
        <f>IF(E133="-",0,2*(E134-E133)/(E134+E133))</f>
        <v>0.91833571409235359</v>
      </c>
      <c r="F142" s="72">
        <f>IF(F133="-",0,2*(F134-F133)/(F134+F133))</f>
        <v>0.9412286761170463</v>
      </c>
      <c r="G142" s="72">
        <f>IF(G133="-",0,2*(G134-G133)/(G134+G133))</f>
        <v>0.88190131576478192</v>
      </c>
    </row>
    <row r="145" spans="2:7" ht="28.9" customHeight="1">
      <c r="B145" s="31" t="s">
        <v>268</v>
      </c>
      <c r="C145" s="31"/>
      <c r="D145" s="4"/>
      <c r="E145" s="4"/>
      <c r="F145" s="4"/>
      <c r="G145" s="4"/>
    </row>
    <row r="147" spans="2:7" ht="28.9" customHeight="1">
      <c r="B147" s="33" t="s">
        <v>275</v>
      </c>
      <c r="C147" s="33"/>
      <c r="D147" s="4"/>
      <c r="E147" s="4"/>
      <c r="F147" s="4"/>
      <c r="G147" s="4"/>
    </row>
    <row r="148" spans="2:7" ht="14.45" customHeight="1">
      <c r="B148" s="35"/>
      <c r="C148" s="35"/>
    </row>
    <row r="149" spans="2:7" ht="14.45" customHeight="1">
      <c r="B149" s="25" t="s">
        <v>269</v>
      </c>
      <c r="C149" s="26"/>
      <c r="D149" s="5"/>
      <c r="E149" s="5"/>
      <c r="F149" s="5"/>
      <c r="G149" s="5"/>
    </row>
    <row r="150" spans="2:7" ht="14.45" customHeight="1">
      <c r="B150" s="27"/>
      <c r="C150" s="28"/>
      <c r="D150" s="22" t="str">
        <f>'Input data'!D$5</f>
        <v>2023-24</v>
      </c>
      <c r="E150" s="22" t="str">
        <f>'Input data'!E$5</f>
        <v>2024-25</v>
      </c>
      <c r="F150" s="22" t="str">
        <f>'Input data'!F$5</f>
        <v>2025-26</v>
      </c>
      <c r="G150" s="22" t="str">
        <f>'Input data'!G$5</f>
        <v>2026-27</v>
      </c>
    </row>
    <row r="151" spans="2:7" ht="14.45" customHeight="1">
      <c r="B151" s="29"/>
      <c r="C151" s="30"/>
      <c r="D151" s="7"/>
      <c r="E151" s="7"/>
      <c r="F151" s="7"/>
      <c r="G151" s="7"/>
    </row>
    <row r="152" spans="2:7" ht="14.45" customHeight="1">
      <c r="B152" s="65" t="str">
        <f>B86</f>
        <v>Cross-system network use</v>
      </c>
      <c r="C152" s="34" t="str">
        <f t="shared" ref="C152:C155" si="25">C86</f>
        <v>Entry</v>
      </c>
      <c r="D152" s="36">
        <f t="shared" ref="D152:G152" si="26">D54</f>
        <v>3430305.9752597525</v>
      </c>
      <c r="E152" s="36">
        <f t="shared" si="26"/>
        <v>7686455.9945354126</v>
      </c>
      <c r="F152" s="36">
        <f t="shared" si="26"/>
        <v>11293316.503426366</v>
      </c>
      <c r="G152" s="36">
        <f t="shared" si="26"/>
        <v>4079210.3623785796</v>
      </c>
    </row>
    <row r="153" spans="2:7" ht="14.45" customHeight="1">
      <c r="B153" s="66"/>
      <c r="C153" s="34" t="str">
        <f t="shared" si="25"/>
        <v>Exit</v>
      </c>
      <c r="D153" s="36">
        <f t="shared" ref="D153:G153" si="27">D55</f>
        <v>3430305.9752597525</v>
      </c>
      <c r="E153" s="36">
        <f t="shared" si="27"/>
        <v>7686455.9945354126</v>
      </c>
      <c r="F153" s="36">
        <f t="shared" si="27"/>
        <v>11293316.503426366</v>
      </c>
      <c r="G153" s="36">
        <f t="shared" si="27"/>
        <v>4079210.3623785796</v>
      </c>
    </row>
    <row r="154" spans="2:7" ht="14.45" customHeight="1">
      <c r="B154" s="65" t="str">
        <f>B88</f>
        <v>Intra-system network use</v>
      </c>
      <c r="C154" s="34" t="str">
        <f t="shared" si="25"/>
        <v>Entry</v>
      </c>
      <c r="D154" s="36">
        <f t="shared" ref="D154:G154" si="28">D56</f>
        <v>205081463.27539489</v>
      </c>
      <c r="E154" s="36">
        <f t="shared" si="28"/>
        <v>200967635.17425132</v>
      </c>
      <c r="F154" s="36">
        <f t="shared" si="28"/>
        <v>175560730.04039803</v>
      </c>
      <c r="G154" s="36">
        <f t="shared" si="28"/>
        <v>183261691.09179816</v>
      </c>
    </row>
    <row r="155" spans="2:7" ht="14.45" customHeight="1">
      <c r="B155" s="66"/>
      <c r="C155" s="34" t="str">
        <f t="shared" si="25"/>
        <v>Exit</v>
      </c>
      <c r="D155" s="36">
        <f t="shared" ref="D155:G155" si="29">D57</f>
        <v>154447608.97863322</v>
      </c>
      <c r="E155" s="36">
        <f t="shared" si="29"/>
        <v>150798472.15438589</v>
      </c>
      <c r="F155" s="36">
        <f t="shared" si="29"/>
        <v>130851487.67453192</v>
      </c>
      <c r="G155" s="36">
        <f t="shared" si="29"/>
        <v>156585744.60714909</v>
      </c>
    </row>
    <row r="156" spans="2:7" ht="14.45" customHeight="1">
      <c r="D156" s="58">
        <f t="shared" ref="D156:G156" si="30">SUM(D54:D57)-SUM(D152:D155)</f>
        <v>0</v>
      </c>
      <c r="E156" s="58">
        <f t="shared" si="30"/>
        <v>0</v>
      </c>
      <c r="F156" s="58">
        <f t="shared" si="30"/>
        <v>0</v>
      </c>
      <c r="G156" s="58">
        <f t="shared" si="30"/>
        <v>0</v>
      </c>
    </row>
    <row r="157" spans="2:7" ht="14.45" customHeight="1">
      <c r="B157" s="35"/>
      <c r="C157" s="35"/>
    </row>
    <row r="158" spans="2:7" ht="14.45" customHeight="1">
      <c r="B158" s="25" t="s">
        <v>276</v>
      </c>
      <c r="C158" s="26"/>
      <c r="D158" s="5"/>
      <c r="E158" s="5"/>
      <c r="F158" s="5"/>
      <c r="G158" s="5"/>
    </row>
    <row r="159" spans="2:7" ht="14.45" customHeight="1">
      <c r="B159" s="73" t="s">
        <v>272</v>
      </c>
      <c r="C159" s="28"/>
      <c r="D159" s="22" t="str">
        <f>'Input data'!D$5</f>
        <v>2023-24</v>
      </c>
      <c r="E159" s="22" t="str">
        <f>'Input data'!E$5</f>
        <v>2024-25</v>
      </c>
      <c r="F159" s="22" t="str">
        <f>'Input data'!F$5</f>
        <v>2025-26</v>
      </c>
      <c r="G159" s="22" t="str">
        <f>'Input data'!G$5</f>
        <v>2026-27</v>
      </c>
    </row>
    <row r="160" spans="2:7" ht="14.45" customHeight="1">
      <c r="B160" s="29"/>
      <c r="C160" s="30"/>
      <c r="D160" s="7"/>
      <c r="E160" s="7"/>
      <c r="F160" s="7"/>
      <c r="G160" s="7"/>
    </row>
    <row r="161" spans="2:11" ht="14.45" customHeight="1">
      <c r="B161" s="65" t="str">
        <f>B152</f>
        <v>Cross-system network use</v>
      </c>
      <c r="C161" s="34" t="str">
        <f t="shared" ref="C161:C164" si="31">C152</f>
        <v>Entry</v>
      </c>
      <c r="D161" s="52">
        <f t="shared" ref="D161:G161" si="32">D152/SUM(D152,D154)</f>
        <v>1.6451378200796611E-2</v>
      </c>
      <c r="E161" s="52">
        <f t="shared" si="32"/>
        <v>3.6838271185958206E-2</v>
      </c>
      <c r="F161" s="52">
        <f t="shared" si="32"/>
        <v>6.0439239675645191E-2</v>
      </c>
      <c r="G161" s="52">
        <f t="shared" si="32"/>
        <v>2.1774264619818472E-2</v>
      </c>
    </row>
    <row r="162" spans="2:11" ht="14.45" customHeight="1">
      <c r="B162" s="66"/>
      <c r="C162" s="34" t="str">
        <f t="shared" si="31"/>
        <v>Exit</v>
      </c>
      <c r="D162" s="52">
        <f t="shared" ref="D162:G162" si="33">D153/SUM(D153,D155)</f>
        <v>2.1727586003789996E-2</v>
      </c>
      <c r="E162" s="52">
        <f t="shared" si="33"/>
        <v>4.8499602355327999E-2</v>
      </c>
      <c r="F162" s="52">
        <f t="shared" si="33"/>
        <v>7.9449379586802843E-2</v>
      </c>
      <c r="G162" s="52">
        <f t="shared" si="33"/>
        <v>2.5389546607424492E-2</v>
      </c>
    </row>
    <row r="163" spans="2:11" ht="14.45" customHeight="1">
      <c r="B163" s="65" t="str">
        <f>B154</f>
        <v>Intra-system network use</v>
      </c>
      <c r="C163" s="34" t="str">
        <f t="shared" si="31"/>
        <v>Entry</v>
      </c>
      <c r="D163" s="52">
        <f t="shared" ref="D163:G163" si="34">D154/SUM(D152,D154)</f>
        <v>0.98354862179920344</v>
      </c>
      <c r="E163" s="52">
        <f t="shared" si="34"/>
        <v>0.96316172881404183</v>
      </c>
      <c r="F163" s="52">
        <f t="shared" si="34"/>
        <v>0.93956076032435476</v>
      </c>
      <c r="G163" s="52">
        <f t="shared" si="34"/>
        <v>0.97822573538018154</v>
      </c>
    </row>
    <row r="164" spans="2:11" ht="14.45" customHeight="1">
      <c r="B164" s="66"/>
      <c r="C164" s="34" t="str">
        <f t="shared" si="31"/>
        <v>Exit</v>
      </c>
      <c r="D164" s="52">
        <f t="shared" ref="D164:G164" si="35">D155/SUM(D153,D155)</f>
        <v>0.97827241399621001</v>
      </c>
      <c r="E164" s="52">
        <f t="shared" si="35"/>
        <v>0.95150039764467198</v>
      </c>
      <c r="F164" s="52">
        <f t="shared" si="35"/>
        <v>0.92055062041319724</v>
      </c>
      <c r="G164" s="52">
        <f t="shared" si="35"/>
        <v>0.97461045339257557</v>
      </c>
    </row>
    <row r="165" spans="2:11" ht="14.45" customHeight="1">
      <c r="D165" s="58">
        <f>ABS(SUM(D161,D163)-1)+ABS(SUM(D162,D164)-1)</f>
        <v>0</v>
      </c>
      <c r="E165" s="58">
        <f t="shared" ref="E165:G165" si="36">ABS(SUM(E161,E163)-1)+ABS(SUM(E162,E164)-1)</f>
        <v>0</v>
      </c>
      <c r="F165" s="58">
        <f t="shared" si="36"/>
        <v>0</v>
      </c>
      <c r="G165" s="58">
        <f t="shared" si="36"/>
        <v>0</v>
      </c>
    </row>
    <row r="167" spans="2:11" ht="14.45" customHeight="1">
      <c r="B167" s="25" t="s">
        <v>267</v>
      </c>
      <c r="C167" s="26"/>
      <c r="D167" s="5"/>
      <c r="E167" s="5"/>
      <c r="F167" s="5"/>
      <c r="G167" s="5"/>
    </row>
    <row r="168" spans="2:11" ht="14.45" customHeight="1">
      <c r="B168" s="27"/>
      <c r="C168" s="28"/>
      <c r="D168" s="22" t="str">
        <f>'Input data'!D$5</f>
        <v>2023-24</v>
      </c>
      <c r="E168" s="22" t="str">
        <f>'Input data'!E$5</f>
        <v>2024-25</v>
      </c>
      <c r="F168" s="22" t="str">
        <f>'Input data'!F$5</f>
        <v>2025-26</v>
      </c>
      <c r="G168" s="22" t="str">
        <f>'Input data'!G$5</f>
        <v>2026-27</v>
      </c>
    </row>
    <row r="169" spans="2:11" ht="14.45" customHeight="1">
      <c r="B169" s="29"/>
      <c r="C169" s="30"/>
      <c r="D169" s="7"/>
      <c r="E169" s="7"/>
      <c r="F169" s="7"/>
      <c r="G169" s="7"/>
    </row>
    <row r="170" spans="2:11" ht="14.45" customHeight="1">
      <c r="B170" s="65" t="str">
        <f>B161</f>
        <v>Cross-system network use</v>
      </c>
      <c r="C170" s="34" t="str">
        <f>C161</f>
        <v>Entry</v>
      </c>
      <c r="D170" s="51">
        <f>'Entry Tariff_1'!D45</f>
        <v>717.73809469931041</v>
      </c>
      <c r="E170" s="51">
        <f>'Entry Tariff_1'!E45</f>
        <v>718.75731814420055</v>
      </c>
      <c r="F170" s="51">
        <f>'Entry Tariff_1'!F45</f>
        <v>709.73735265661117</v>
      </c>
      <c r="G170" s="51">
        <f>'Entry Tariff_1'!G45</f>
        <v>726.56144486144308</v>
      </c>
      <c r="I170"/>
      <c r="J170"/>
      <c r="K170"/>
    </row>
    <row r="171" spans="2:11" ht="14.45" customHeight="1">
      <c r="B171" s="66"/>
      <c r="C171" s="34" t="str">
        <f>C162</f>
        <v>Exit</v>
      </c>
      <c r="D171" s="51">
        <f>SUMPRODUCT('Exit Tariff_1'!D199:D200,'Exit Tariff_1'!D295:D296)/SUM('Exit Tariff_1'!D199:D200)</f>
        <v>500.93170549788999</v>
      </c>
      <c r="E171" s="51">
        <f>SUMPRODUCT('Exit Tariff_1'!E199:E200,'Exit Tariff_1'!E295:E296)/SUM('Exit Tariff_1'!E199:E200)</f>
        <v>501.15889917461698</v>
      </c>
      <c r="F171" s="51">
        <f>SUMPRODUCT('Exit Tariff_1'!F199:F200,'Exit Tariff_1'!F295:F296)/SUM('Exit Tariff_1'!F199:F200)</f>
        <v>501.28960592533281</v>
      </c>
      <c r="G171" s="51">
        <f>SUMPRODUCT('Exit Tariff_1'!G199:G200,'Exit Tariff_1'!G295:G296)/SUM('Exit Tariff_1'!G199:G200)</f>
        <v>501.13773533667188</v>
      </c>
      <c r="I171"/>
      <c r="J171"/>
      <c r="K171"/>
    </row>
    <row r="172" spans="2:11" ht="14.45" customHeight="1">
      <c r="B172" s="65" t="str">
        <f>B163</f>
        <v>Intra-system network use</v>
      </c>
      <c r="C172" s="34" t="str">
        <f>C163</f>
        <v>Entry</v>
      </c>
      <c r="D172" s="51">
        <f>(SUMPRODUCT('Entry Tariff_1'!D31:D35,'Entry Tariff_1'!D43:D47)-D152*D170)/(SUM('Entry Tariff_1'!D31:D35)-D152)</f>
        <v>721.48004654322892</v>
      </c>
      <c r="E172" s="51">
        <f>(SUMPRODUCT('Entry Tariff_1'!E31:E35,'Entry Tariff_1'!E43:E47)-E152*E170)/(SUM('Entry Tariff_1'!E31:E35)-E152)</f>
        <v>723.36288333447828</v>
      </c>
      <c r="F172" s="51">
        <f>(SUMPRODUCT('Entry Tariff_1'!F31:F35,'Entry Tariff_1'!F43:F47)-F152*F170)/(SUM('Entry Tariff_1'!F31:F35)-F152)</f>
        <v>712.18700959607713</v>
      </c>
      <c r="G172" s="51">
        <f>(SUMPRODUCT('Entry Tariff_1'!G31:G35,'Entry Tariff_1'!G43:G47)-G152*G170)/(SUM('Entry Tariff_1'!G31:G35)-G152)</f>
        <v>728.53418693653191</v>
      </c>
      <c r="I172"/>
      <c r="J172"/>
      <c r="K172"/>
    </row>
    <row r="173" spans="2:11" ht="14.45" customHeight="1">
      <c r="B173" s="66"/>
      <c r="C173" s="34" t="str">
        <f>C164</f>
        <v>Exit</v>
      </c>
      <c r="D173" s="51">
        <f>(SUMPRODUCT('Exit Tariff_1'!D199:D287,'Exit Tariff_1'!D295:D383)-D153*D171)/(SUM('Exit Tariff_1'!D199:D287)-D153)</f>
        <v>726.04047099587024</v>
      </c>
      <c r="E173" s="51">
        <f>(SUMPRODUCT('Exit Tariff_1'!E199:E287,'Exit Tariff_1'!E295:E383)-E153*E171)/(SUM('Exit Tariff_1'!E199:E287)-E153)</f>
        <v>733.89676707255319</v>
      </c>
      <c r="F173" s="51">
        <f>(SUMPRODUCT('Exit Tariff_1'!F199:F287,'Exit Tariff_1'!F295:F383)-F153*F171)/(SUM('Exit Tariff_1'!F199:F287)-F153)</f>
        <v>729.57106087887371</v>
      </c>
      <c r="G173" s="51">
        <f>(SUMPRODUCT('Exit Tariff_1'!G199:G287,'Exit Tariff_1'!G295:G383)-G153*G171)/(SUM('Exit Tariff_1'!G199:G287)-G153)</f>
        <v>734.20085488642121</v>
      </c>
      <c r="I173"/>
      <c r="J173"/>
      <c r="K173"/>
    </row>
    <row r="174" spans="2:11" ht="14.45" customHeight="1">
      <c r="D174"/>
      <c r="E174"/>
      <c r="F174"/>
      <c r="G174"/>
    </row>
    <row r="176" spans="2:11" ht="14.45" customHeight="1">
      <c r="B176" s="25" t="s">
        <v>274</v>
      </c>
      <c r="C176" s="26"/>
      <c r="D176" s="5"/>
      <c r="E176" s="5"/>
      <c r="F176" s="5"/>
      <c r="G176" s="5"/>
    </row>
    <row r="177" spans="2:7" ht="14.45" customHeight="1">
      <c r="B177" s="27"/>
      <c r="C177" s="28"/>
      <c r="D177" s="22" t="str">
        <f>'Input data'!D$5</f>
        <v>2023-24</v>
      </c>
      <c r="E177" s="22" t="str">
        <f>'Input data'!E$5</f>
        <v>2024-25</v>
      </c>
      <c r="F177" s="22" t="str">
        <f>'Input data'!F$5</f>
        <v>2025-26</v>
      </c>
      <c r="G177" s="22" t="str">
        <f>'Input data'!G$5</f>
        <v>2026-27</v>
      </c>
    </row>
    <row r="178" spans="2:7" ht="14.45" customHeight="1">
      <c r="B178" s="29"/>
      <c r="C178" s="30"/>
      <c r="D178" s="7"/>
      <c r="E178" s="7"/>
      <c r="F178" s="7"/>
      <c r="G178" s="7"/>
    </row>
    <row r="179" spans="2:7" ht="14.45" customHeight="1">
      <c r="B179" s="74" t="str">
        <f>C170</f>
        <v>Entry</v>
      </c>
      <c r="C179" s="75"/>
      <c r="D179" s="50">
        <f>'Input data'!D190</f>
        <v>0.28000000000000003</v>
      </c>
      <c r="E179" s="50">
        <f>'Input data'!E190</f>
        <v>0.28000000000000003</v>
      </c>
      <c r="F179" s="50">
        <f>'Input data'!F190</f>
        <v>0.28000000000000003</v>
      </c>
      <c r="G179" s="50">
        <f>'Input data'!G190</f>
        <v>0.28000000000000003</v>
      </c>
    </row>
    <row r="180" spans="2:7" ht="14.45" customHeight="1">
      <c r="B180" s="74" t="str">
        <f>C171</f>
        <v>Exit</v>
      </c>
      <c r="C180" s="75"/>
      <c r="D180" s="50">
        <f>'Input data'!D191</f>
        <v>0.72</v>
      </c>
      <c r="E180" s="50">
        <f>'Input data'!E191</f>
        <v>0.72</v>
      </c>
      <c r="F180" s="50">
        <f>'Input data'!F191</f>
        <v>0.72</v>
      </c>
      <c r="G180" s="50">
        <f>'Input data'!G191</f>
        <v>0.72</v>
      </c>
    </row>
    <row r="183" spans="2:7" ht="14.45" customHeight="1">
      <c r="B183" s="25" t="str">
        <f>B158&amp;" x "&amp;B167&amp;" x "&amp;B176</f>
        <v>Effective capacity (%) x Average distance x E/X split</v>
      </c>
      <c r="C183" s="26"/>
      <c r="D183" s="5"/>
      <c r="E183" s="5"/>
      <c r="F183" s="5"/>
      <c r="G183" s="5"/>
    </row>
    <row r="184" spans="2:7" ht="14.45" customHeight="1">
      <c r="B184" s="27"/>
      <c r="C184" s="28"/>
      <c r="D184" s="22" t="str">
        <f>'Input data'!D$5</f>
        <v>2023-24</v>
      </c>
      <c r="E184" s="22" t="str">
        <f>'Input data'!E$5</f>
        <v>2024-25</v>
      </c>
      <c r="F184" s="22" t="str">
        <f>'Input data'!F$5</f>
        <v>2025-26</v>
      </c>
      <c r="G184" s="22" t="str">
        <f>'Input data'!G$5</f>
        <v>2026-27</v>
      </c>
    </row>
    <row r="185" spans="2:7" ht="14.45" customHeight="1">
      <c r="B185" s="29"/>
      <c r="C185" s="30"/>
      <c r="D185" s="7"/>
      <c r="E185" s="7"/>
      <c r="F185" s="7"/>
      <c r="G185" s="7"/>
    </row>
    <row r="186" spans="2:7" ht="14.45" customHeight="1">
      <c r="B186" s="65" t="str">
        <f>B170</f>
        <v>Cross-system network use</v>
      </c>
      <c r="C186" s="34" t="str">
        <f>C170</f>
        <v>Entry</v>
      </c>
      <c r="D186" s="36">
        <f t="shared" ref="D186:G186" si="37">D161*D170*D179</f>
        <v>3.3061786366049084</v>
      </c>
      <c r="E186" s="36">
        <f t="shared" si="37"/>
        <v>7.4137775607526688</v>
      </c>
      <c r="F186" s="36">
        <f t="shared" si="37"/>
        <v>12.010876069911836</v>
      </c>
      <c r="G186" s="36">
        <f t="shared" si="37"/>
        <v>4.4296955256317991</v>
      </c>
    </row>
    <row r="187" spans="2:7" ht="14.45" customHeight="1">
      <c r="B187" s="66"/>
      <c r="C187" s="34" t="str">
        <f>C171</f>
        <v>Exit</v>
      </c>
      <c r="D187" s="36">
        <f t="shared" ref="D187:G187" si="38">D162*D171*D180</f>
        <v>7.8365064335260364</v>
      </c>
      <c r="E187" s="36">
        <f t="shared" si="38"/>
        <v>17.500325275298046</v>
      </c>
      <c r="F187" s="36">
        <f t="shared" si="38"/>
        <v>28.675546692538013</v>
      </c>
      <c r="G187" s="36">
        <f t="shared" si="38"/>
        <v>9.161035119410105</v>
      </c>
    </row>
    <row r="188" spans="2:7" ht="14.45" customHeight="1">
      <c r="B188" s="65" t="str">
        <f>B172</f>
        <v>Intra-system network use</v>
      </c>
      <c r="C188" s="34" t="str">
        <f>C172</f>
        <v>Entry</v>
      </c>
      <c r="D188" s="36">
        <f t="shared" ref="D188:G188" si="39">D163*D172*D179</f>
        <v>198.69099752130106</v>
      </c>
      <c r="E188" s="36">
        <f t="shared" si="39"/>
        <v>195.08032467625696</v>
      </c>
      <c r="F188" s="36">
        <f t="shared" si="39"/>
        <v>187.36003110418127</v>
      </c>
      <c r="G188" s="36">
        <f t="shared" si="39"/>
        <v>199.54784941436566</v>
      </c>
    </row>
    <row r="189" spans="2:7" ht="14.45" customHeight="1">
      <c r="B189" s="66"/>
      <c r="C189" s="34" t="str">
        <f>C173</f>
        <v>Exit</v>
      </c>
      <c r="D189" s="36">
        <f t="shared" ref="D189:G189" si="40">D164*D173*D180</f>
        <v>511.3910622384542</v>
      </c>
      <c r="E189" s="36">
        <f t="shared" si="40"/>
        <v>502.77820730376493</v>
      </c>
      <c r="F189" s="36">
        <f t="shared" si="40"/>
        <v>483.55710676384444</v>
      </c>
      <c r="G189" s="36">
        <f t="shared" si="40"/>
        <v>515.20307620469157</v>
      </c>
    </row>
    <row r="190" spans="2:7" ht="14.45" customHeight="1">
      <c r="B190" s="67" t="str">
        <f>B186</f>
        <v>Cross-system network use</v>
      </c>
      <c r="C190" s="68"/>
      <c r="D190" s="69">
        <f t="shared" ref="D190:G190" si="41">SUM(D186:D187)</f>
        <v>11.142685070130945</v>
      </c>
      <c r="E190" s="69">
        <f t="shared" si="41"/>
        <v>24.914102836050716</v>
      </c>
      <c r="F190" s="69">
        <f t="shared" si="41"/>
        <v>40.686422762449851</v>
      </c>
      <c r="G190" s="69">
        <f t="shared" si="41"/>
        <v>13.590730645041905</v>
      </c>
    </row>
    <row r="191" spans="2:7" ht="14.45" customHeight="1">
      <c r="B191" s="67" t="str">
        <f>B188</f>
        <v>Intra-system network use</v>
      </c>
      <c r="C191" s="68"/>
      <c r="D191" s="69">
        <f t="shared" ref="D191:G191" si="42">SUM(D188:D189)</f>
        <v>710.08205975975523</v>
      </c>
      <c r="E191" s="69">
        <f t="shared" si="42"/>
        <v>697.85853198002189</v>
      </c>
      <c r="F191" s="69">
        <f t="shared" si="42"/>
        <v>670.91713786802575</v>
      </c>
      <c r="G191" s="69">
        <f t="shared" si="42"/>
        <v>714.75092561905717</v>
      </c>
    </row>
    <row r="192" spans="2:7" ht="14.45" customHeight="1">
      <c r="D192"/>
      <c r="E192"/>
      <c r="F192"/>
      <c r="G192"/>
    </row>
    <row r="194" spans="2:7" ht="28.9" customHeight="1">
      <c r="B194" s="33" t="s">
        <v>260</v>
      </c>
      <c r="C194" s="33"/>
      <c r="D194" s="4"/>
      <c r="E194" s="4"/>
      <c r="F194" s="4"/>
      <c r="G194" s="4"/>
    </row>
    <row r="195" spans="2:7" ht="14.45" customHeight="1">
      <c r="B195" s="35" t="s">
        <v>253</v>
      </c>
      <c r="C195" s="35"/>
    </row>
    <row r="196" spans="2:7" ht="14.45" customHeight="1">
      <c r="B196" s="25" t="str">
        <f>B130</f>
        <v>Network use</v>
      </c>
      <c r="C196" s="26"/>
      <c r="D196" s="5"/>
      <c r="E196" s="5"/>
      <c r="F196" s="5"/>
      <c r="G196" s="5"/>
    </row>
    <row r="197" spans="2:7" ht="14.45" customHeight="1">
      <c r="B197" s="27"/>
      <c r="C197" s="28"/>
      <c r="D197" s="22" t="str">
        <f>'Input data'!D$5</f>
        <v>2023-24</v>
      </c>
      <c r="E197" s="22" t="str">
        <f>'Input data'!E$5</f>
        <v>2024-25</v>
      </c>
      <c r="F197" s="22" t="str">
        <f>'Input data'!F$5</f>
        <v>2025-26</v>
      </c>
      <c r="G197" s="22" t="str">
        <f>'Input data'!G$5</f>
        <v>2026-27</v>
      </c>
    </row>
    <row r="198" spans="2:7" ht="14.45" customHeight="1">
      <c r="B198" s="29"/>
      <c r="C198" s="30"/>
      <c r="D198" s="7"/>
      <c r="E198" s="7"/>
      <c r="F198" s="7"/>
      <c r="G198" s="7"/>
    </row>
    <row r="199" spans="2:7" ht="14.45" customHeight="1">
      <c r="B199" s="67" t="str">
        <f>B190</f>
        <v>Cross-system network use</v>
      </c>
      <c r="C199" s="68"/>
      <c r="D199" s="70">
        <f t="shared" ref="D199:G200" si="43">D11/D190</f>
        <v>269817.52509748313</v>
      </c>
      <c r="E199" s="70">
        <f t="shared" si="43"/>
        <v>284683.06338250387</v>
      </c>
      <c r="F199" s="70">
        <f t="shared" si="43"/>
        <v>271281.71081488911</v>
      </c>
      <c r="G199" s="70">
        <f t="shared" si="43"/>
        <v>335191.92154347192</v>
      </c>
    </row>
    <row r="200" spans="2:7" ht="14.45" customHeight="1">
      <c r="B200" s="67" t="str">
        <f>B191</f>
        <v>Intra-system network use</v>
      </c>
      <c r="C200" s="68"/>
      <c r="D200" s="70">
        <f t="shared" si="43"/>
        <v>95577.506394519907</v>
      </c>
      <c r="E200" s="70">
        <f t="shared" si="43"/>
        <v>97267.299649563734</v>
      </c>
      <c r="F200" s="70">
        <f t="shared" si="43"/>
        <v>88863.426156145986</v>
      </c>
      <c r="G200" s="70">
        <f t="shared" si="43"/>
        <v>110987.7640720896</v>
      </c>
    </row>
    <row r="203" spans="2:7" ht="28.9" customHeight="1">
      <c r="B203" s="33" t="s">
        <v>261</v>
      </c>
      <c r="C203" s="33"/>
      <c r="D203" s="4"/>
      <c r="E203" s="4"/>
      <c r="F203" s="4"/>
      <c r="G203" s="4"/>
    </row>
    <row r="204" spans="2:7" ht="14.45" customHeight="1">
      <c r="B204" s="35" t="s">
        <v>248</v>
      </c>
      <c r="C204" s="35"/>
    </row>
    <row r="205" spans="2:7" ht="14.45" customHeight="1">
      <c r="B205" s="25"/>
      <c r="C205" s="26"/>
      <c r="D205" s="5"/>
      <c r="E205" s="5"/>
      <c r="F205" s="5"/>
      <c r="G205" s="5"/>
    </row>
    <row r="206" spans="2:7" ht="14.45" customHeight="1">
      <c r="B206" s="27"/>
      <c r="C206" s="28"/>
      <c r="D206" s="22" t="str">
        <f>'Input data'!D$5</f>
        <v>2023-24</v>
      </c>
      <c r="E206" s="22" t="str">
        <f>'Input data'!E$5</f>
        <v>2024-25</v>
      </c>
      <c r="F206" s="22" t="str">
        <f>'Input data'!F$5</f>
        <v>2025-26</v>
      </c>
      <c r="G206" s="22" t="str">
        <f>'Input data'!G$5</f>
        <v>2026-27</v>
      </c>
    </row>
    <row r="207" spans="2:7" ht="14.45" customHeight="1">
      <c r="B207" s="29"/>
      <c r="C207" s="30"/>
      <c r="D207" s="7"/>
      <c r="E207" s="7"/>
      <c r="F207" s="7"/>
      <c r="G207" s="7"/>
    </row>
    <row r="208" spans="2:7" ht="14.45" customHeight="1">
      <c r="B208" s="67" t="s">
        <v>247</v>
      </c>
      <c r="C208" s="68"/>
      <c r="D208" s="72">
        <f>IF(D199="-",0,2*(D200-D199)/(D200+D199))</f>
        <v>-0.95370765164209204</v>
      </c>
      <c r="E208" s="72">
        <f>IF(E199="-",0,2*(E200-E199)/(E200+E199))</f>
        <v>-0.98136188296909754</v>
      </c>
      <c r="F208" s="72">
        <f>IF(F199="-",0,2*(F200-F199)/(F200+F199))</f>
        <v>-1.0130265047750138</v>
      </c>
      <c r="G208" s="72">
        <f>IF(G199="-",0,2*(G200-G199)/(G200+G199))</f>
        <v>-1.0049949143787853</v>
      </c>
    </row>
    <row r="211" spans="2:7" ht="28.9" customHeight="1">
      <c r="B211" s="31" t="s">
        <v>299</v>
      </c>
      <c r="C211" s="31"/>
      <c r="D211" s="4"/>
      <c r="E211" s="4"/>
      <c r="F211" s="4"/>
      <c r="G211" s="4"/>
    </row>
    <row r="213" spans="2:7" ht="28.9" customHeight="1">
      <c r="B213" s="33" t="s">
        <v>297</v>
      </c>
      <c r="C213" s="33"/>
      <c r="D213" s="4"/>
      <c r="E213" s="4"/>
      <c r="F213" s="4"/>
      <c r="G213" s="4"/>
    </row>
    <row r="214" spans="2:7" ht="14.45" customHeight="1">
      <c r="B214" s="35"/>
      <c r="C214" s="35"/>
    </row>
    <row r="215" spans="2:7" ht="14.45" customHeight="1">
      <c r="B215" s="25" t="str">
        <f>B19</f>
        <v>Forecasted capacity</v>
      </c>
      <c r="C215" s="26"/>
      <c r="D215" s="5"/>
      <c r="E215" s="5"/>
      <c r="F215" s="5"/>
      <c r="G215" s="5"/>
    </row>
    <row r="216" spans="2:7" ht="14.45" customHeight="1">
      <c r="B216" s="86" t="s">
        <v>300</v>
      </c>
      <c r="C216" s="28"/>
      <c r="D216" s="22" t="str">
        <f>'Input data'!D$5</f>
        <v>2023-24</v>
      </c>
      <c r="E216" s="22" t="str">
        <f>'Input data'!E$5</f>
        <v>2024-25</v>
      </c>
      <c r="F216" s="22" t="str">
        <f>'Input data'!F$5</f>
        <v>2025-26</v>
      </c>
      <c r="G216" s="22" t="str">
        <f>'Input data'!G$5</f>
        <v>2026-27</v>
      </c>
    </row>
    <row r="217" spans="2:7" ht="14.45" customHeight="1">
      <c r="B217" s="29"/>
      <c r="C217" s="30"/>
      <c r="D217" s="7"/>
      <c r="E217" s="7"/>
      <c r="F217" s="7"/>
      <c r="G217" s="7"/>
    </row>
    <row r="218" spans="2:7" ht="14.45" customHeight="1">
      <c r="B218" s="65" t="str">
        <f>B152</f>
        <v>Cross-system network use</v>
      </c>
      <c r="C218" s="34" t="str">
        <f t="shared" ref="C218:C221" si="44">C152</f>
        <v>Entry</v>
      </c>
      <c r="D218" s="36">
        <f>SUMPRODUCT('Exit Tariff_2'!D143:D147,'Input data'!D115:D119)+SUMPRODUCT('Exit Tariff_2'!D165:D166,'Input data'!D136:D137)</f>
        <v>23735665.193424653</v>
      </c>
      <c r="E218" s="36">
        <f>SUMPRODUCT('Exit Tariff_2'!E143:E147,'Input data'!E115:E119)+SUMPRODUCT('Exit Tariff_2'!E165:E166,'Input data'!E136:E137)</f>
        <v>53185677.116301365</v>
      </c>
      <c r="F218" s="36">
        <f>SUMPRODUCT('Exit Tariff_2'!F143:F147,'Input data'!F115:F119)+SUMPRODUCT('Exit Tariff_2'!F165:F166,'Input data'!F136:F137)</f>
        <v>78142994.060000002</v>
      </c>
      <c r="G218" s="36">
        <f>SUMPRODUCT('Exit Tariff_2'!G143:G147,'Input data'!G115:G119)+SUMPRODUCT('Exit Tariff_2'!G165:G166,'Input data'!G136:G137)</f>
        <v>28225695.350000001</v>
      </c>
    </row>
    <row r="219" spans="2:7" ht="14.45" customHeight="1">
      <c r="B219" s="66"/>
      <c r="C219" s="34" t="str">
        <f t="shared" si="44"/>
        <v>Exit</v>
      </c>
      <c r="D219" s="36">
        <f>SUMPRODUCT('Exit Tariff_2'!D143:D147,'Input data'!D115:D119)+SUMPRODUCT('Exit Tariff_2'!D165:D166,'Input data'!D136:D137)</f>
        <v>23735665.193424653</v>
      </c>
      <c r="E219" s="36">
        <f>SUMPRODUCT('Exit Tariff_2'!E143:E147,'Input data'!E115:E119)+SUMPRODUCT('Exit Tariff_2'!E165:E166,'Input data'!E136:E137)</f>
        <v>53185677.116301365</v>
      </c>
      <c r="F219" s="36">
        <f>SUMPRODUCT('Exit Tariff_2'!F143:F147,'Input data'!F115:F119)+SUMPRODUCT('Exit Tariff_2'!F165:F166,'Input data'!F136:F137)</f>
        <v>78142994.060000002</v>
      </c>
      <c r="G219" s="36">
        <f>SUMPRODUCT('Exit Tariff_2'!G143:G147,'Input data'!G115:G119)+SUMPRODUCT('Exit Tariff_2'!G165:G166,'Input data'!G136:G137)</f>
        <v>28225695.350000001</v>
      </c>
    </row>
    <row r="220" spans="2:7" ht="14.45" customHeight="1">
      <c r="B220" s="65" t="str">
        <f>B154</f>
        <v>Intra-system network use</v>
      </c>
      <c r="C220" s="34" t="str">
        <f t="shared" si="44"/>
        <v>Entry</v>
      </c>
      <c r="D220" s="36">
        <f>SUMPRODUCT('Input data'!D20:D32,'Input data'!D115:D127)+SUMPRODUCT('Input data'!D40:D41,'Input data'!D118:D119)+'Input data'!D42*'Input data'!D124+'Input data'!D43*'Input data'!D126-D218</f>
        <v>218494153.45369864</v>
      </c>
      <c r="E220" s="36">
        <f>SUMPRODUCT('Input data'!E20:E32,'Input data'!E115:E127)+SUMPRODUCT('Input data'!E40:E41,'Input data'!E118:E119)+'Input data'!E42*'Input data'!E124+'Input data'!E43*'Input data'!E126-E218</f>
        <v>188640590.01890412</v>
      </c>
      <c r="F220" s="36">
        <f>SUMPRODUCT('Input data'!F20:F32,'Input data'!F115:F127)+SUMPRODUCT('Input data'!F40:F41,'Input data'!F118:F119)+'Input data'!F42*'Input data'!F124+'Input data'!F43*'Input data'!F126-F218</f>
        <v>131099426.14736924</v>
      </c>
      <c r="G220" s="36">
        <f>SUMPRODUCT('Input data'!G20:G32,'Input data'!G115:G127)+SUMPRODUCT('Input data'!G40:G41,'Input data'!G118:G119)+'Input data'!G42*'Input data'!G124+'Input data'!G43*'Input data'!G126-G218</f>
        <v>182344648.85123289</v>
      </c>
    </row>
    <row r="221" spans="2:7" ht="14.45" customHeight="1">
      <c r="B221" s="66"/>
      <c r="C221" s="34" t="str">
        <f t="shared" si="44"/>
        <v>Exit</v>
      </c>
      <c r="D221" s="36">
        <f>SUMPRODUCT('Input data'!D65:D76,'Input data'!D133:D144)+SUM('Input data'!D77:D78)+SUMPRODUCT('Input data'!D79:D83,'Input data'!D145:D149)+SUMPRODUCT('Input data'!D91:D92,'Input data'!D136:D137)+SUMPRODUCT('Input data'!D93:D94,'Input data'!D141:D142)+'Input data'!D95*'Input data'!D144-D219</f>
        <v>328224220.96674716</v>
      </c>
      <c r="E221" s="36">
        <f>SUMPRODUCT('Input data'!E65:E76,'Input data'!E133:E144)+SUM('Input data'!E77:E78)+SUMPRODUCT('Input data'!E79:E83,'Input data'!E145:E149)+SUMPRODUCT('Input data'!E91:E92,'Input data'!E136:E137)+SUMPRODUCT('Input data'!E93:E94,'Input data'!E141:E142)+'Input data'!E95*'Input data'!E144-E219</f>
        <v>321042436.76192564</v>
      </c>
      <c r="F221" s="36">
        <f>SUMPRODUCT('Input data'!F65:F76,'Input data'!F133:F144)+SUM('Input data'!F77:F78)+SUMPRODUCT('Input data'!F79:F83,'Input data'!F145:F149)+SUMPRODUCT('Input data'!F91:F92,'Input data'!F136:F137)+SUMPRODUCT('Input data'!F93:F94,'Input data'!F141:F142)+'Input data'!F95*'Input data'!F144-F219</f>
        <v>278427506.09727025</v>
      </c>
      <c r="G221" s="36">
        <f>SUMPRODUCT('Input data'!G65:G76,'Input data'!G133:G144)+SUM('Input data'!G77:G78)+SUMPRODUCT('Input data'!G79:G83,'Input data'!G145:G149)+SUMPRODUCT('Input data'!G91:G92,'Input data'!G136:G137)+SUMPRODUCT('Input data'!G93:G94,'Input data'!G141:G142)+'Input data'!G95*'Input data'!G144-G219</f>
        <v>333578850.92155701</v>
      </c>
    </row>
    <row r="222" spans="2:7" ht="14.45" customHeight="1">
      <c r="D222" s="58">
        <f>SUM('Input capacity'!D7:D11,'Input capacity'!D19:D107)-SUM(D218:D221)</f>
        <v>0</v>
      </c>
      <c r="E222" s="58">
        <f>SUM('Input capacity'!E7:E11,'Input capacity'!E19:E107)-SUM(E218:E221)</f>
        <v>0</v>
      </c>
      <c r="F222" s="58">
        <f>SUM('Input capacity'!F7:F11,'Input capacity'!F19:F107)-SUM(F218:F221)</f>
        <v>0</v>
      </c>
      <c r="G222" s="58">
        <f>SUM('Input capacity'!G7:G11,'Input capacity'!G19:G107)-SUM(G218:G221)</f>
        <v>0</v>
      </c>
    </row>
    <row r="223" spans="2:7" ht="14.45" customHeight="1">
      <c r="B223" s="35"/>
      <c r="C223" s="35"/>
    </row>
    <row r="224" spans="2:7" ht="14.45" customHeight="1">
      <c r="B224" s="25" t="s">
        <v>298</v>
      </c>
      <c r="C224" s="26"/>
      <c r="D224" s="5"/>
      <c r="E224" s="5"/>
      <c r="F224" s="5"/>
      <c r="G224" s="5"/>
    </row>
    <row r="225" spans="2:7" ht="14.45" customHeight="1">
      <c r="B225" s="73"/>
      <c r="C225" s="28"/>
      <c r="D225" s="22" t="str">
        <f>'Input data'!D$5</f>
        <v>2023-24</v>
      </c>
      <c r="E225" s="22" t="str">
        <f>'Input data'!E$5</f>
        <v>2024-25</v>
      </c>
      <c r="F225" s="22" t="str">
        <f>'Input data'!F$5</f>
        <v>2025-26</v>
      </c>
      <c r="G225" s="22" t="str">
        <f>'Input data'!G$5</f>
        <v>2026-27</v>
      </c>
    </row>
    <row r="226" spans="2:7" ht="14.45" customHeight="1">
      <c r="B226" s="29"/>
      <c r="C226" s="30"/>
      <c r="D226" s="7"/>
      <c r="E226" s="7"/>
      <c r="F226" s="7"/>
      <c r="G226" s="7"/>
    </row>
    <row r="227" spans="2:7" ht="14.45" customHeight="1">
      <c r="B227" s="65" t="str">
        <f>B218</f>
        <v>Cross-system network use</v>
      </c>
      <c r="C227" s="34" t="str">
        <f t="shared" ref="C227:C230" si="45">C218</f>
        <v>Entry</v>
      </c>
      <c r="D227" s="52">
        <f>'Entry Tariff_1'!D57*D218/'Input capacity'!D9</f>
        <v>0.11173966216246302</v>
      </c>
      <c r="E227" s="52">
        <f>'Entry Tariff_1'!E57*E218/'Input capacity'!E9</f>
        <v>0.24995021219374236</v>
      </c>
      <c r="F227" s="52">
        <f>'Entry Tariff_1'!F57*F218/'Input capacity'!F9</f>
        <v>0.41128155964387991</v>
      </c>
      <c r="G227" s="52">
        <f>'Entry Tariff_1'!G57*G218/'Input capacity'!G9</f>
        <v>0.14825790286040963</v>
      </c>
    </row>
    <row r="228" spans="2:7" ht="14.45" customHeight="1">
      <c r="B228" s="66"/>
      <c r="C228" s="34" t="str">
        <f t="shared" si="45"/>
        <v>Exit</v>
      </c>
      <c r="D228" s="52">
        <f>SUM('Exit Tariff_1'!D391:D392)</f>
        <v>1.5092623940537939E-2</v>
      </c>
      <c r="E228" s="52">
        <f>SUM('Exit Tariff_1'!E391:E392)</f>
        <v>3.3636454666979079E-2</v>
      </c>
      <c r="F228" s="52">
        <f>SUM('Exit Tariff_1'!F391:F392)</f>
        <v>5.5981489073460247E-2</v>
      </c>
      <c r="G228" s="52">
        <f>SUM('Exit Tariff_1'!G391:G392)</f>
        <v>1.7470751566649088E-2</v>
      </c>
    </row>
    <row r="229" spans="2:7" ht="14.45" customHeight="1">
      <c r="B229" s="65" t="str">
        <f>B220</f>
        <v>Intra-system network use</v>
      </c>
      <c r="C229" s="34" t="str">
        <f t="shared" si="45"/>
        <v>Entry</v>
      </c>
      <c r="D229" s="52">
        <f t="shared" ref="D229:G229" si="46">1-D227</f>
        <v>0.888260337837537</v>
      </c>
      <c r="E229" s="52">
        <f t="shared" si="46"/>
        <v>0.75004978780625764</v>
      </c>
      <c r="F229" s="52">
        <f t="shared" si="46"/>
        <v>0.58871844035612009</v>
      </c>
      <c r="G229" s="52">
        <f t="shared" si="46"/>
        <v>0.85174209713959037</v>
      </c>
    </row>
    <row r="230" spans="2:7" ht="14.45" customHeight="1">
      <c r="B230" s="66"/>
      <c r="C230" s="34" t="str">
        <f t="shared" si="45"/>
        <v>Exit</v>
      </c>
      <c r="D230" s="52">
        <f t="shared" ref="D230:G230" si="47">1-D228</f>
        <v>0.9849073760594621</v>
      </c>
      <c r="E230" s="52">
        <f t="shared" si="47"/>
        <v>0.96636354533302093</v>
      </c>
      <c r="F230" s="52">
        <f t="shared" si="47"/>
        <v>0.94401851092653977</v>
      </c>
      <c r="G230" s="52">
        <f t="shared" si="47"/>
        <v>0.98252924843335088</v>
      </c>
    </row>
    <row r="231" spans="2:7" ht="14.45" customHeight="1">
      <c r="D231" s="58">
        <f>ABS(SUM(D227,D229)-1)+ABS(SUM(D228,D230)-1)</f>
        <v>0</v>
      </c>
      <c r="E231" s="58">
        <f t="shared" ref="E231:G231" si="48">ABS(SUM(E227,E229)-1)+ABS(SUM(E228,E230)-1)</f>
        <v>0</v>
      </c>
      <c r="F231" s="58">
        <f t="shared" si="48"/>
        <v>0</v>
      </c>
      <c r="G231" s="58">
        <f t="shared" si="48"/>
        <v>0</v>
      </c>
    </row>
    <row r="233" spans="2:7" ht="14.45" customHeight="1">
      <c r="B233" s="25" t="s">
        <v>274</v>
      </c>
      <c r="C233" s="26"/>
      <c r="D233" s="5"/>
      <c r="E233" s="5"/>
      <c r="F233" s="5"/>
      <c r="G233" s="5"/>
    </row>
    <row r="234" spans="2:7" ht="14.45" customHeight="1">
      <c r="B234" s="27"/>
      <c r="C234" s="28"/>
      <c r="D234" s="22" t="str">
        <f>'Input data'!D$5</f>
        <v>2023-24</v>
      </c>
      <c r="E234" s="22" t="str">
        <f>'Input data'!E$5</f>
        <v>2024-25</v>
      </c>
      <c r="F234" s="22" t="str">
        <f>'Input data'!F$5</f>
        <v>2025-26</v>
      </c>
      <c r="G234" s="22" t="str">
        <f>'Input data'!G$5</f>
        <v>2026-27</v>
      </c>
    </row>
    <row r="235" spans="2:7" ht="14.45" customHeight="1">
      <c r="B235" s="29"/>
      <c r="C235" s="30"/>
      <c r="D235" s="7"/>
      <c r="E235" s="7"/>
      <c r="F235" s="7"/>
      <c r="G235" s="7"/>
    </row>
    <row r="236" spans="2:7" ht="14.45" customHeight="1">
      <c r="B236" s="74" t="str">
        <f>C229</f>
        <v>Entry</v>
      </c>
      <c r="C236" s="75"/>
      <c r="D236" s="50">
        <f>'Input data'!D190</f>
        <v>0.28000000000000003</v>
      </c>
      <c r="E236" s="50">
        <f>'Input data'!E190</f>
        <v>0.28000000000000003</v>
      </c>
      <c r="F236" s="50">
        <f>'Input data'!F190</f>
        <v>0.28000000000000003</v>
      </c>
      <c r="G236" s="50">
        <f>'Input data'!G190</f>
        <v>0.28000000000000003</v>
      </c>
    </row>
    <row r="237" spans="2:7" ht="14.45" customHeight="1">
      <c r="B237" s="74" t="str">
        <f>C230</f>
        <v>Exit</v>
      </c>
      <c r="C237" s="75"/>
      <c r="D237" s="50">
        <f>'Input data'!D191</f>
        <v>0.72</v>
      </c>
      <c r="E237" s="50">
        <f>'Input data'!E191</f>
        <v>0.72</v>
      </c>
      <c r="F237" s="50">
        <f>'Input data'!F191</f>
        <v>0.72</v>
      </c>
      <c r="G237" s="50">
        <f>'Input data'!G191</f>
        <v>0.72</v>
      </c>
    </row>
    <row r="240" spans="2:7" ht="14.45" customHeight="1">
      <c r="B240" s="25" t="str">
        <f>B224&amp;" x "&amp;B233</f>
        <v>Weight of cost (%) x E/X split</v>
      </c>
      <c r="C240" s="26"/>
      <c r="D240" s="5"/>
      <c r="E240" s="5"/>
      <c r="F240" s="5"/>
      <c r="G240" s="5"/>
    </row>
    <row r="241" spans="2:7" ht="14.45" customHeight="1">
      <c r="B241" s="27"/>
      <c r="C241" s="28"/>
      <c r="D241" s="22" t="str">
        <f>'Input data'!D$5</f>
        <v>2023-24</v>
      </c>
      <c r="E241" s="22" t="str">
        <f>'Input data'!E$5</f>
        <v>2024-25</v>
      </c>
      <c r="F241" s="22" t="str">
        <f>'Input data'!F$5</f>
        <v>2025-26</v>
      </c>
      <c r="G241" s="22" t="str">
        <f>'Input data'!G$5</f>
        <v>2026-27</v>
      </c>
    </row>
    <row r="242" spans="2:7" ht="14.45" customHeight="1">
      <c r="B242" s="29"/>
      <c r="C242" s="30"/>
      <c r="D242" s="7"/>
      <c r="E242" s="7"/>
      <c r="F242" s="7"/>
      <c r="G242" s="7"/>
    </row>
    <row r="243" spans="2:7" ht="14.45" customHeight="1">
      <c r="B243" s="65" t="str">
        <f>B227</f>
        <v>Cross-system network use</v>
      </c>
      <c r="C243" s="34" t="str">
        <f t="shared" ref="C243:C246" si="49">C227</f>
        <v>Entry</v>
      </c>
      <c r="D243" s="50">
        <f t="shared" ref="D243:G244" si="50">D227*D236</f>
        <v>3.1287105405489651E-2</v>
      </c>
      <c r="E243" s="50">
        <f t="shared" si="50"/>
        <v>6.9986059414247861E-2</v>
      </c>
      <c r="F243" s="50">
        <f t="shared" si="50"/>
        <v>0.11515883670028638</v>
      </c>
      <c r="G243" s="50">
        <f t="shared" si="50"/>
        <v>4.1512212800914702E-2</v>
      </c>
    </row>
    <row r="244" spans="2:7" ht="14.45" customHeight="1">
      <c r="B244" s="66"/>
      <c r="C244" s="34" t="str">
        <f t="shared" si="49"/>
        <v>Exit</v>
      </c>
      <c r="D244" s="50">
        <f t="shared" si="50"/>
        <v>1.0866689237187315E-2</v>
      </c>
      <c r="E244" s="50">
        <f t="shared" si="50"/>
        <v>2.4218247360224935E-2</v>
      </c>
      <c r="F244" s="50">
        <f t="shared" si="50"/>
        <v>4.0306672132891373E-2</v>
      </c>
      <c r="G244" s="50">
        <f t="shared" si="50"/>
        <v>1.2578941127987343E-2</v>
      </c>
    </row>
    <row r="245" spans="2:7" ht="14.45" customHeight="1">
      <c r="B245" s="65" t="str">
        <f>B229</f>
        <v>Intra-system network use</v>
      </c>
      <c r="C245" s="34" t="str">
        <f t="shared" si="49"/>
        <v>Entry</v>
      </c>
      <c r="D245" s="50">
        <f t="shared" ref="D245:G246" si="51">D229*D236</f>
        <v>0.24871289459451038</v>
      </c>
      <c r="E245" s="50">
        <f t="shared" si="51"/>
        <v>0.21001394058575215</v>
      </c>
      <c r="F245" s="50">
        <f t="shared" si="51"/>
        <v>0.16484116329971363</v>
      </c>
      <c r="G245" s="50">
        <f t="shared" si="51"/>
        <v>0.23848778719908534</v>
      </c>
    </row>
    <row r="246" spans="2:7" ht="14.45" customHeight="1">
      <c r="B246" s="66"/>
      <c r="C246" s="34" t="str">
        <f t="shared" si="49"/>
        <v>Exit</v>
      </c>
      <c r="D246" s="50">
        <f t="shared" si="51"/>
        <v>0.70913331076281272</v>
      </c>
      <c r="E246" s="50">
        <f t="shared" si="51"/>
        <v>0.69578175263977504</v>
      </c>
      <c r="F246" s="50">
        <f t="shared" si="51"/>
        <v>0.67969332786710857</v>
      </c>
      <c r="G246" s="50">
        <f t="shared" si="51"/>
        <v>0.70742105887201256</v>
      </c>
    </row>
    <row r="247" spans="2:7" ht="14.45" customHeight="1">
      <c r="B247" s="67" t="str">
        <f>B243</f>
        <v>Cross-system network use</v>
      </c>
      <c r="C247" s="68"/>
      <c r="D247" s="85">
        <f t="shared" ref="D247:G247" si="52">SUM(D243:D244)</f>
        <v>4.2153794642676969E-2</v>
      </c>
      <c r="E247" s="85">
        <f t="shared" si="52"/>
        <v>9.4204306774472793E-2</v>
      </c>
      <c r="F247" s="85">
        <f t="shared" si="52"/>
        <v>0.15546550883317775</v>
      </c>
      <c r="G247" s="85">
        <f t="shared" si="52"/>
        <v>5.4091153928902042E-2</v>
      </c>
    </row>
    <row r="248" spans="2:7" ht="14.45" customHeight="1">
      <c r="B248" s="67" t="str">
        <f>B245</f>
        <v>Intra-system network use</v>
      </c>
      <c r="C248" s="68"/>
      <c r="D248" s="85">
        <f t="shared" ref="D248:G248" si="53">SUM(D245:D246)</f>
        <v>0.95784620535732312</v>
      </c>
      <c r="E248" s="85">
        <f t="shared" si="53"/>
        <v>0.90579569322552722</v>
      </c>
      <c r="F248" s="85">
        <f t="shared" si="53"/>
        <v>0.84453449116682222</v>
      </c>
      <c r="G248" s="85">
        <f t="shared" si="53"/>
        <v>0.94590884607109793</v>
      </c>
    </row>
    <row r="249" spans="2:7" ht="14.45" customHeight="1">
      <c r="D249" s="58"/>
      <c r="E249" s="58"/>
      <c r="F249" s="58"/>
      <c r="G249" s="58"/>
    </row>
    <row r="251" spans="2:7" ht="28.9" customHeight="1">
      <c r="B251" s="33" t="s">
        <v>277</v>
      </c>
      <c r="C251" s="33"/>
      <c r="D251" s="4"/>
      <c r="E251" s="4"/>
      <c r="F251" s="4"/>
      <c r="G251" s="4"/>
    </row>
    <row r="252" spans="2:7" ht="14.45" customHeight="1">
      <c r="B252" s="35" t="s">
        <v>253</v>
      </c>
      <c r="C252" s="35"/>
    </row>
    <row r="253" spans="2:7" ht="14.45" customHeight="1">
      <c r="B253" s="25" t="str">
        <f>B196</f>
        <v>Network use</v>
      </c>
      <c r="C253" s="26"/>
      <c r="D253" s="5"/>
      <c r="E253" s="5"/>
      <c r="F253" s="5"/>
      <c r="G253" s="5"/>
    </row>
    <row r="254" spans="2:7" ht="14.45" customHeight="1">
      <c r="B254" s="27"/>
      <c r="C254" s="28"/>
      <c r="D254" s="22" t="str">
        <f>'Input data'!D$5</f>
        <v>2023-24</v>
      </c>
      <c r="E254" s="22" t="str">
        <f>'Input data'!E$5</f>
        <v>2024-25</v>
      </c>
      <c r="F254" s="22" t="str">
        <f>'Input data'!F$5</f>
        <v>2025-26</v>
      </c>
      <c r="G254" s="22" t="str">
        <f>'Input data'!G$5</f>
        <v>2026-27</v>
      </c>
    </row>
    <row r="255" spans="2:7" ht="14.45" customHeight="1">
      <c r="B255" s="29"/>
      <c r="C255" s="30"/>
      <c r="D255" s="7"/>
      <c r="E255" s="7"/>
      <c r="F255" s="7"/>
      <c r="G255" s="7"/>
    </row>
    <row r="256" spans="2:7" ht="14.45" customHeight="1">
      <c r="B256" s="67" t="str">
        <f>B247</f>
        <v>Cross-system network use</v>
      </c>
      <c r="C256" s="68"/>
      <c r="D256" s="69">
        <f t="shared" ref="D256:G257" si="54">D11/D247</f>
        <v>71321970.751349658</v>
      </c>
      <c r="E256" s="69">
        <f t="shared" si="54"/>
        <v>75289796.821853831</v>
      </c>
      <c r="F256" s="69">
        <f t="shared" si="54"/>
        <v>70996341.611559704</v>
      </c>
      <c r="G256" s="69">
        <f t="shared" si="54"/>
        <v>84219004.203148365</v>
      </c>
    </row>
    <row r="257" spans="2:7" ht="14.45" customHeight="1">
      <c r="B257" s="67" t="str">
        <f>B248</f>
        <v>Intra-system network use</v>
      </c>
      <c r="C257" s="68"/>
      <c r="D257" s="69">
        <f t="shared" si="54"/>
        <v>70854665.631842077</v>
      </c>
      <c r="E257" s="69">
        <f t="shared" si="54"/>
        <v>74938328.202234909</v>
      </c>
      <c r="F257" s="69">
        <f t="shared" si="54"/>
        <v>70595098.437550128</v>
      </c>
      <c r="G257" s="69">
        <f t="shared" si="54"/>
        <v>83864959.538556799</v>
      </c>
    </row>
    <row r="260" spans="2:7" ht="28.9" customHeight="1">
      <c r="B260" s="33" t="s">
        <v>278</v>
      </c>
      <c r="C260" s="33"/>
      <c r="D260" s="4"/>
      <c r="E260" s="4"/>
      <c r="F260" s="4"/>
      <c r="G260" s="4"/>
    </row>
    <row r="261" spans="2:7" ht="14.45" customHeight="1">
      <c r="B261" s="35" t="s">
        <v>248</v>
      </c>
      <c r="C261" s="35"/>
    </row>
    <row r="262" spans="2:7" ht="14.45" customHeight="1">
      <c r="B262" s="25"/>
      <c r="C262" s="26"/>
      <c r="D262" s="5"/>
      <c r="E262" s="5"/>
      <c r="F262" s="5"/>
      <c r="G262" s="5"/>
    </row>
    <row r="263" spans="2:7" ht="14.45" customHeight="1">
      <c r="B263" s="27"/>
      <c r="C263" s="28"/>
      <c r="D263" s="22" t="str">
        <f>'Input data'!D$5</f>
        <v>2023-24</v>
      </c>
      <c r="E263" s="22" t="str">
        <f>'Input data'!E$5</f>
        <v>2024-25</v>
      </c>
      <c r="F263" s="22" t="str">
        <f>'Input data'!F$5</f>
        <v>2025-26</v>
      </c>
      <c r="G263" s="22" t="str">
        <f>'Input data'!G$5</f>
        <v>2026-27</v>
      </c>
    </row>
    <row r="264" spans="2:7" ht="14.45" customHeight="1">
      <c r="B264" s="29"/>
      <c r="C264" s="30"/>
      <c r="D264" s="7"/>
      <c r="E264" s="7"/>
      <c r="F264" s="7"/>
      <c r="G264" s="7"/>
    </row>
    <row r="265" spans="2:7" ht="14.45" customHeight="1">
      <c r="B265" s="67" t="s">
        <v>247</v>
      </c>
      <c r="C265" s="68"/>
      <c r="D265" s="72">
        <f>IF(D256="-",0,2*(D257-D256)/(D257+D256))</f>
        <v>-6.573585244316925E-3</v>
      </c>
      <c r="E265" s="72">
        <f>IF(E256="-",0,2*(E257-E256)/(E257+E256))</f>
        <v>-4.6791320807946617E-3</v>
      </c>
      <c r="F265" s="72">
        <f>IF(F256="-",0,2*(F257-F256)/(F257+F256))</f>
        <v>-5.6676190858770637E-3</v>
      </c>
      <c r="G265" s="72">
        <f>IF(G256="-",0,2*(G257-G256)/(G257+G256))</f>
        <v>-4.2127119888203798E-3</v>
      </c>
    </row>
  </sheetData>
  <conditionalFormatting sqref="D13:G13 D28:G28 D60:G60 D90:G90 D108:G108 D126:G126 D156:G156 D165:G165 D231:G231 D249:G249">
    <cfRule type="cellIs" dxfId="5" priority="73" operator="equal">
      <formula>0</formula>
    </cfRule>
    <cfRule type="cellIs" dxfId="4" priority="74" operator="lessThan">
      <formula>0</formula>
    </cfRule>
    <cfRule type="cellIs" dxfId="3" priority="75" operator="greaterThan">
      <formula>0</formula>
    </cfRule>
  </conditionalFormatting>
  <conditionalFormatting sqref="D222:G222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A8CE-259D-4B3D-B718-D6B981A38DA5}">
  <sheetPr>
    <tabColor theme="5"/>
  </sheetPr>
  <dimension ref="A1:XFD38"/>
  <sheetViews>
    <sheetView showGridLines="0" zoomScale="90" zoomScaleNormal="90" workbookViewId="0">
      <selection activeCell="P7" sqref="P7"/>
    </sheetView>
  </sheetViews>
  <sheetFormatPr defaultColWidth="9.140625" defaultRowHeight="0" customHeight="1" zeroHeight="1"/>
  <cols>
    <col min="1" max="2" width="3.7109375" style="190" customWidth="1"/>
    <col min="3" max="3" width="11" style="190" customWidth="1"/>
    <col min="4" max="4" width="37.5703125" style="190" bestFit="1" customWidth="1"/>
    <col min="5" max="5" width="66.42578125" style="190" bestFit="1" customWidth="1"/>
    <col min="6" max="6" width="3.7109375" style="190" customWidth="1"/>
    <col min="7" max="9" width="13.85546875" style="190" customWidth="1"/>
    <col min="10" max="10" width="3.7109375" style="190" customWidth="1"/>
    <col min="11" max="11" width="18.7109375" style="190" customWidth="1"/>
    <col min="12" max="13" width="3.7109375" style="190" customWidth="1"/>
    <col min="14" max="14" width="1.7109375" style="267" customWidth="1"/>
    <col min="15" max="15" width="5.7109375" style="267" customWidth="1"/>
    <col min="16" max="16" width="49.42578125" style="267" bestFit="1" customWidth="1"/>
    <col min="17" max="17" width="2.28515625" style="267" customWidth="1"/>
    <col min="18" max="18" width="2.42578125" style="267" customWidth="1"/>
    <col min="19" max="16383" width="0" style="267" hidden="1" customWidth="1"/>
    <col min="16384" max="16384" width="4.140625" style="267" hidden="1" customWidth="1"/>
  </cols>
  <sheetData>
    <row r="1" spans="1:18" s="1" customFormat="1" ht="24.95" customHeight="1" thickBot="1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2" spans="1:18" s="1" customFormat="1" ht="18.75">
      <c r="A2" s="190"/>
      <c r="B2" s="191" t="str">
        <f>+Labels!B50</f>
        <v>Transmission tariffs</v>
      </c>
      <c r="C2" s="192"/>
      <c r="D2" s="192"/>
      <c r="E2" s="192"/>
      <c r="F2" s="192"/>
      <c r="G2" s="192"/>
      <c r="H2" s="192"/>
      <c r="I2" s="192"/>
      <c r="J2" s="192"/>
      <c r="K2" s="192"/>
      <c r="L2" s="193"/>
      <c r="M2" s="190"/>
      <c r="N2" s="199"/>
      <c r="O2" s="200"/>
      <c r="P2" s="201"/>
      <c r="Q2" s="202"/>
      <c r="R2" s="190"/>
    </row>
    <row r="3" spans="1:18" s="1" customFormat="1" ht="15.75" thickBot="1">
      <c r="A3" s="190"/>
      <c r="B3" s="194"/>
      <c r="C3" s="195"/>
      <c r="D3" s="195"/>
      <c r="E3" s="195"/>
      <c r="F3" s="195"/>
      <c r="G3" s="195"/>
      <c r="H3" s="195"/>
      <c r="I3" s="195"/>
      <c r="J3" s="195"/>
      <c r="K3" s="195"/>
      <c r="L3" s="198"/>
      <c r="M3" s="190"/>
      <c r="N3" s="209"/>
      <c r="O3" s="256"/>
      <c r="P3" s="211" t="str">
        <f>+Labels!B53</f>
        <v>Green cells are estimates and vary with input values</v>
      </c>
      <c r="Q3" s="212"/>
      <c r="R3" s="190"/>
    </row>
    <row r="4" spans="1:18" s="1" customFormat="1" ht="15.75" thickBot="1">
      <c r="A4" s="190"/>
      <c r="B4" s="194"/>
      <c r="C4" s="195"/>
      <c r="D4" s="220" t="str">
        <f>+Input!D9</f>
        <v>Point</v>
      </c>
      <c r="E4" s="221" t="str">
        <f>+Input!E9</f>
        <v>Product</v>
      </c>
      <c r="F4" s="195"/>
      <c r="G4" s="196" t="str">
        <f>+Input!G9</f>
        <v>2024-2025</v>
      </c>
      <c r="H4" s="196" t="str">
        <f>+Input!H9</f>
        <v>2025-2026</v>
      </c>
      <c r="I4" s="196" t="str">
        <f>+Input!I9</f>
        <v>2026-2027</v>
      </c>
      <c r="J4" s="198"/>
      <c r="K4" s="196" t="str">
        <f>+Input!K9</f>
        <v>Unit</v>
      </c>
      <c r="L4" s="198"/>
      <c r="M4" s="190"/>
      <c r="N4" s="217"/>
      <c r="O4" s="218"/>
      <c r="P4" s="218"/>
      <c r="Q4" s="219"/>
      <c r="R4" s="190"/>
    </row>
    <row r="5" spans="1:18" s="1" customFormat="1" ht="15">
      <c r="A5" s="190"/>
      <c r="B5" s="194"/>
      <c r="C5" s="223" t="str">
        <f>+Input!C10</f>
        <v>Entry</v>
      </c>
      <c r="D5" s="224" t="str">
        <f>+Input!D10</f>
        <v>VIP Iberico</v>
      </c>
      <c r="E5" s="225" t="str">
        <f>+Input!E10</f>
        <v>Yearly</v>
      </c>
      <c r="F5" s="205"/>
      <c r="G5" s="257">
        <f>'Art30(2)(a)'!H5</f>
        <v>3.5228583569365819E-2</v>
      </c>
      <c r="H5" s="257">
        <f>'Art30(2)(a)'!I5</f>
        <v>3.7366318116816469E-2</v>
      </c>
      <c r="I5" s="258">
        <f>'Art30(2)(a)'!J5</f>
        <v>4.3924653615128845E-2</v>
      </c>
      <c r="J5" s="228"/>
      <c r="K5" s="243" t="str">
        <f>+Labels!B51</f>
        <v>€/(kWh/day)/year</v>
      </c>
      <c r="L5" s="198"/>
      <c r="M5" s="190"/>
      <c r="N5" s="190"/>
      <c r="O5" s="190"/>
      <c r="P5" s="190"/>
      <c r="Q5" s="190"/>
      <c r="R5" s="190"/>
    </row>
    <row r="6" spans="1:18" s="1" customFormat="1" ht="15">
      <c r="A6" s="190"/>
      <c r="B6" s="194"/>
      <c r="C6" s="230"/>
      <c r="D6" s="231"/>
      <c r="E6" s="232" t="str">
        <f>+Input!E11</f>
        <v>Quarterly</v>
      </c>
      <c r="F6" s="195"/>
      <c r="G6" s="259">
        <f>'Art30(2)(a)'!H6</f>
        <v>4.156972861185166E-2</v>
      </c>
      <c r="H6" s="259">
        <f>'Art30(2)(a)'!I6</f>
        <v>4.4092255377843427E-2</v>
      </c>
      <c r="I6" s="260">
        <f>'Art30(2)(a)'!J6</f>
        <v>5.1831091265852038E-2</v>
      </c>
      <c r="J6" s="195"/>
      <c r="K6" s="235" t="str">
        <f>+$K$5</f>
        <v>€/(kWh/day)/year</v>
      </c>
      <c r="L6" s="198"/>
      <c r="M6" s="190"/>
      <c r="N6" s="190"/>
      <c r="O6" s="190"/>
      <c r="P6" s="190"/>
      <c r="Q6" s="190"/>
      <c r="R6" s="190"/>
    </row>
    <row r="7" spans="1:18" s="1" customFormat="1" ht="15">
      <c r="A7" s="190"/>
      <c r="B7" s="194"/>
      <c r="C7" s="230"/>
      <c r="D7" s="231"/>
      <c r="E7" s="232" t="str">
        <f>+Input!E12</f>
        <v>Monthly</v>
      </c>
      <c r="F7" s="236"/>
      <c r="G7" s="259">
        <f>'Art30(2)(a)'!H7</f>
        <v>4.755858781864386E-2</v>
      </c>
      <c r="H7" s="259">
        <f>'Art30(2)(a)'!I7</f>
        <v>5.0444529457702232E-2</v>
      </c>
      <c r="I7" s="260">
        <f>'Art30(2)(a)'!J7</f>
        <v>5.9298282380423943E-2</v>
      </c>
      <c r="J7" s="237"/>
      <c r="K7" s="235" t="str">
        <f t="shared" ref="K7:K36" si="0">+$K$5</f>
        <v>€/(kWh/day)/year</v>
      </c>
      <c r="L7" s="198"/>
      <c r="M7" s="190"/>
      <c r="N7" s="190"/>
      <c r="O7" s="190"/>
      <c r="P7" s="190"/>
      <c r="Q7" s="190"/>
      <c r="R7" s="190"/>
    </row>
    <row r="8" spans="1:18" s="1" customFormat="1" ht="15">
      <c r="A8" s="190"/>
      <c r="B8" s="194"/>
      <c r="C8" s="230"/>
      <c r="D8" s="231"/>
      <c r="E8" s="232" t="str">
        <f>+Input!E13</f>
        <v>Daily</v>
      </c>
      <c r="F8" s="236"/>
      <c r="G8" s="259">
        <f>'Art30(2)(a)'!H8</f>
        <v>6.8343452124569687E-2</v>
      </c>
      <c r="H8" s="259">
        <f>'Art30(2)(a)'!I8</f>
        <v>7.2490657146623949E-2</v>
      </c>
      <c r="I8" s="260">
        <f>'Art30(2)(a)'!J8</f>
        <v>8.5213828013349951E-2</v>
      </c>
      <c r="J8" s="236"/>
      <c r="K8" s="235" t="str">
        <f t="shared" si="0"/>
        <v>€/(kWh/day)/year</v>
      </c>
      <c r="L8" s="198"/>
      <c r="M8" s="190"/>
      <c r="N8" s="190"/>
      <c r="O8" s="190"/>
      <c r="P8" s="190"/>
      <c r="Q8" s="190"/>
      <c r="R8" s="190"/>
    </row>
    <row r="9" spans="1:18" s="1" customFormat="1" ht="15.75" thickBot="1">
      <c r="A9" s="190"/>
      <c r="B9" s="194"/>
      <c r="C9" s="230"/>
      <c r="D9" s="238"/>
      <c r="E9" s="239" t="str">
        <f>+Input!E14</f>
        <v>Intraday</v>
      </c>
      <c r="F9" s="205"/>
      <c r="G9" s="261">
        <f>'Art30(2)(a)'!H9</f>
        <v>7.5036883002749188E-2</v>
      </c>
      <c r="H9" s="261">
        <f>'Art30(2)(a)'!I9</f>
        <v>7.9590257588819074E-2</v>
      </c>
      <c r="I9" s="262">
        <f>'Art30(2)(a)'!J9</f>
        <v>9.3559512200224432E-2</v>
      </c>
      <c r="J9" s="228"/>
      <c r="K9" s="242" t="str">
        <f t="shared" si="0"/>
        <v>€/(kWh/day)/year</v>
      </c>
      <c r="L9" s="198"/>
      <c r="M9" s="190"/>
      <c r="N9" s="190"/>
      <c r="O9" s="190"/>
      <c r="P9" s="190"/>
      <c r="Q9" s="190"/>
      <c r="R9" s="190"/>
    </row>
    <row r="10" spans="1:18" s="1" customFormat="1" ht="15">
      <c r="A10" s="190"/>
      <c r="B10" s="194"/>
      <c r="C10" s="230"/>
      <c r="D10" s="224" t="str">
        <f>+Input!D15</f>
        <v>LNG terminal</v>
      </c>
      <c r="E10" s="225" t="str">
        <f>+Input!E15</f>
        <v>Yearly</v>
      </c>
      <c r="F10" s="195"/>
      <c r="G10" s="257">
        <f>'Art30(2)(a)'!H10</f>
        <v>9.8902373364759225E-2</v>
      </c>
      <c r="H10" s="257">
        <f>'Art30(2)(a)'!I10</f>
        <v>0.10440725521264488</v>
      </c>
      <c r="I10" s="258">
        <f>'Art30(2)(a)'!J10</f>
        <v>0.12374153940209431</v>
      </c>
      <c r="J10" s="195"/>
      <c r="K10" s="243" t="str">
        <f t="shared" si="0"/>
        <v>€/(kWh/day)/year</v>
      </c>
      <c r="L10" s="198"/>
      <c r="M10" s="190"/>
      <c r="N10" s="190"/>
      <c r="O10" s="190"/>
      <c r="P10" s="190"/>
      <c r="Q10" s="190"/>
      <c r="R10" s="190"/>
    </row>
    <row r="11" spans="1:18" s="1" customFormat="1" ht="15">
      <c r="A11" s="190"/>
      <c r="B11" s="194"/>
      <c r="C11" s="230"/>
      <c r="D11" s="231"/>
      <c r="E11" s="232" t="str">
        <f>+Input!E16</f>
        <v>Quarterly</v>
      </c>
      <c r="F11" s="236"/>
      <c r="G11" s="259">
        <f>'Art30(2)(a)'!H11</f>
        <v>0.11670480057041588</v>
      </c>
      <c r="H11" s="259">
        <f>'Art30(2)(a)'!I11</f>
        <v>0.12320056115092094</v>
      </c>
      <c r="I11" s="260">
        <f>'Art30(2)(a)'!J11</f>
        <v>0.14601501649447127</v>
      </c>
      <c r="J11" s="237"/>
      <c r="K11" s="235" t="str">
        <f t="shared" si="0"/>
        <v>€/(kWh/day)/year</v>
      </c>
      <c r="L11" s="198"/>
      <c r="M11" s="190"/>
      <c r="N11" s="190"/>
      <c r="O11" s="190"/>
      <c r="P11" s="190"/>
      <c r="Q11" s="190"/>
      <c r="R11" s="190"/>
    </row>
    <row r="12" spans="1:18" s="1" customFormat="1" ht="15">
      <c r="A12" s="190"/>
      <c r="B12" s="194"/>
      <c r="C12" s="230"/>
      <c r="D12" s="231"/>
      <c r="E12" s="232" t="str">
        <f>+Input!E17</f>
        <v>Monthly</v>
      </c>
      <c r="F12" s="236"/>
      <c r="G12" s="259">
        <f>'Art30(2)(a)'!H12</f>
        <v>0.13351820404242495</v>
      </c>
      <c r="H12" s="259">
        <f>'Art30(2)(a)'!I12</f>
        <v>0.1409497945370706</v>
      </c>
      <c r="I12" s="260">
        <f>'Art30(2)(a)'!J12</f>
        <v>0.16705107819282733</v>
      </c>
      <c r="J12" s="236"/>
      <c r="K12" s="235" t="str">
        <f t="shared" si="0"/>
        <v>€/(kWh/day)/year</v>
      </c>
      <c r="L12" s="198"/>
      <c r="M12" s="190"/>
      <c r="N12" s="190"/>
      <c r="O12" s="190"/>
      <c r="P12" s="190"/>
      <c r="Q12" s="190"/>
      <c r="R12" s="190"/>
    </row>
    <row r="13" spans="1:18" s="1" customFormat="1" ht="15">
      <c r="A13" s="190"/>
      <c r="B13" s="194"/>
      <c r="C13" s="230"/>
      <c r="D13" s="231"/>
      <c r="E13" s="232" t="str">
        <f>+Input!E18</f>
        <v>Daily</v>
      </c>
      <c r="F13" s="205"/>
      <c r="G13" s="259">
        <f>'Art30(2)(a)'!H13</f>
        <v>0.19187060432763287</v>
      </c>
      <c r="H13" s="259">
        <f>'Art30(2)(a)'!I13</f>
        <v>0.20255007511253109</v>
      </c>
      <c r="I13" s="260">
        <f>'Art30(2)(a)'!J13</f>
        <v>0.24005858644006298</v>
      </c>
      <c r="J13" s="228"/>
      <c r="K13" s="235" t="str">
        <f t="shared" si="0"/>
        <v>€/(kWh/day)/year</v>
      </c>
      <c r="L13" s="198"/>
      <c r="M13" s="190"/>
      <c r="N13" s="190"/>
      <c r="O13" s="190"/>
      <c r="P13" s="190"/>
      <c r="Q13" s="190"/>
      <c r="R13" s="190"/>
    </row>
    <row r="14" spans="1:18" s="1" customFormat="1" ht="15.75" thickBot="1">
      <c r="A14" s="190"/>
      <c r="B14" s="194"/>
      <c r="C14" s="230"/>
      <c r="D14" s="238"/>
      <c r="E14" s="239" t="str">
        <f>+Input!E19</f>
        <v>Intraday</v>
      </c>
      <c r="F14" s="195"/>
      <c r="G14" s="261">
        <f>'Art30(2)(a)'!H14</f>
        <v>0.2106620552669371</v>
      </c>
      <c r="H14" s="261">
        <f>'Art30(2)(a)'!I14</f>
        <v>0.22238745360293358</v>
      </c>
      <c r="I14" s="262">
        <f>'Art30(2)(a)'!J14</f>
        <v>0.26356947892646088</v>
      </c>
      <c r="J14" s="195"/>
      <c r="K14" s="242" t="str">
        <f t="shared" si="0"/>
        <v>€/(kWh/day)/year</v>
      </c>
      <c r="L14" s="198"/>
      <c r="M14" s="190"/>
      <c r="N14" s="190"/>
      <c r="O14" s="190"/>
      <c r="P14" s="190"/>
      <c r="Q14" s="190"/>
      <c r="R14" s="190"/>
    </row>
    <row r="15" spans="1:18" s="1" customFormat="1" ht="15">
      <c r="A15" s="190"/>
      <c r="B15" s="194"/>
      <c r="C15" s="230"/>
      <c r="D15" s="224" t="str">
        <f>+Input!D20</f>
        <v>Underground Storage</v>
      </c>
      <c r="E15" s="225" t="str">
        <f>+Input!E20</f>
        <v>Daily</v>
      </c>
      <c r="F15" s="236"/>
      <c r="G15" s="257">
        <f>'Art30(2)(a)'!H15</f>
        <v>0</v>
      </c>
      <c r="H15" s="257">
        <f>'Art30(2)(a)'!I15</f>
        <v>0</v>
      </c>
      <c r="I15" s="258">
        <f>'Art30(2)(a)'!J15</f>
        <v>0</v>
      </c>
      <c r="J15" s="237"/>
      <c r="K15" s="243" t="str">
        <f t="shared" si="0"/>
        <v>€/(kWh/day)/year</v>
      </c>
      <c r="L15" s="198"/>
      <c r="M15" s="190"/>
      <c r="N15" s="190"/>
      <c r="O15" s="190"/>
      <c r="P15" s="190"/>
      <c r="Q15" s="190"/>
      <c r="R15" s="190"/>
    </row>
    <row r="16" spans="1:18" s="1" customFormat="1" ht="15.75" thickBot="1">
      <c r="A16" s="190"/>
      <c r="B16" s="194"/>
      <c r="C16" s="244"/>
      <c r="D16" s="238"/>
      <c r="E16" s="239" t="str">
        <f>+Input!E21</f>
        <v>Intraday</v>
      </c>
      <c r="F16" s="236"/>
      <c r="G16" s="261">
        <f>'Art30(2)(a)'!H16</f>
        <v>0</v>
      </c>
      <c r="H16" s="261">
        <f>'Art30(2)(a)'!I16</f>
        <v>0</v>
      </c>
      <c r="I16" s="262">
        <f>'Art30(2)(a)'!J16</f>
        <v>0</v>
      </c>
      <c r="J16" s="236"/>
      <c r="K16" s="242" t="str">
        <f t="shared" si="0"/>
        <v>€/(kWh/day)/year</v>
      </c>
      <c r="L16" s="198"/>
      <c r="M16" s="190"/>
      <c r="N16" s="190"/>
      <c r="O16" s="190"/>
      <c r="P16" s="190"/>
      <c r="Q16" s="190"/>
      <c r="R16" s="190"/>
    </row>
    <row r="17" spans="1:18" s="1" customFormat="1" ht="15.75" thickBot="1">
      <c r="A17" s="190"/>
      <c r="B17" s="194"/>
      <c r="C17" s="245"/>
      <c r="D17" s="231" t="str">
        <f>+Input!D22</f>
        <v>Gas producers</v>
      </c>
      <c r="E17" s="246" t="str">
        <f>+Input!E22</f>
        <v>Used capacity at injection</v>
      </c>
      <c r="F17" s="236"/>
      <c r="G17" s="263">
        <f>'Art30(2)(a)'!H17</f>
        <v>7.1206007464080477E-3</v>
      </c>
      <c r="H17" s="263">
        <f>'Art30(2)(a)'!I17</f>
        <v>7.3225838532495419E-3</v>
      </c>
      <c r="I17" s="264">
        <f>'Art30(2)(a)'!J17</f>
        <v>8.7193329422280367E-3</v>
      </c>
      <c r="J17" s="236"/>
      <c r="K17" s="249" t="str">
        <f t="shared" si="0"/>
        <v>€/(kWh/day)/year</v>
      </c>
      <c r="L17" s="198"/>
      <c r="M17" s="190"/>
      <c r="N17" s="190"/>
      <c r="O17" s="190"/>
      <c r="P17" s="190"/>
      <c r="Q17" s="190"/>
      <c r="R17" s="190"/>
    </row>
    <row r="18" spans="1:18" s="1" customFormat="1" ht="15">
      <c r="A18" s="190"/>
      <c r="B18" s="194"/>
      <c r="C18" s="223" t="str">
        <f>+Input!C23</f>
        <v>Exit</v>
      </c>
      <c r="D18" s="224" t="str">
        <f>+Input!D23</f>
        <v>VIP Iberico</v>
      </c>
      <c r="E18" s="225" t="str">
        <f>+Input!E23</f>
        <v>Yearly</v>
      </c>
      <c r="F18" s="205"/>
      <c r="G18" s="257">
        <f>'Art30(2)(a)'!H18</f>
        <v>3.4453513090425783E-2</v>
      </c>
      <c r="H18" s="257">
        <f>'Art30(2)(a)'!I18</f>
        <v>3.6839986548534723E-2</v>
      </c>
      <c r="I18" s="258">
        <f>'Art30(2)(a)'!J18</f>
        <v>3.7654063561903033E-2</v>
      </c>
      <c r="J18" s="228"/>
      <c r="K18" s="243" t="str">
        <f t="shared" si="0"/>
        <v>€/(kWh/day)/year</v>
      </c>
      <c r="L18" s="198"/>
      <c r="M18" s="190"/>
      <c r="N18" s="190"/>
      <c r="O18" s="190"/>
      <c r="P18" s="190"/>
      <c r="Q18" s="190"/>
      <c r="R18" s="190"/>
    </row>
    <row r="19" spans="1:18" s="1" customFormat="1" ht="15">
      <c r="A19" s="190"/>
      <c r="B19" s="194"/>
      <c r="C19" s="244"/>
      <c r="D19" s="231"/>
      <c r="E19" s="232" t="str">
        <f>+Input!E24</f>
        <v>Quarterly</v>
      </c>
      <c r="F19" s="195"/>
      <c r="G19" s="259">
        <f>'Art30(2)(a)'!H19</f>
        <v>4.0655145446702429E-2</v>
      </c>
      <c r="H19" s="259">
        <f>'Art30(2)(a)'!I19</f>
        <v>4.3471184127270961E-2</v>
      </c>
      <c r="I19" s="260">
        <f>'Art30(2)(a)'!J19</f>
        <v>4.4431795003045574E-2</v>
      </c>
      <c r="J19" s="195"/>
      <c r="K19" s="235" t="str">
        <f t="shared" si="0"/>
        <v>€/(kWh/day)/year</v>
      </c>
      <c r="L19" s="198"/>
      <c r="M19" s="190"/>
      <c r="N19" s="190"/>
      <c r="O19" s="190"/>
      <c r="P19" s="190"/>
      <c r="Q19" s="190"/>
      <c r="R19" s="190"/>
    </row>
    <row r="20" spans="1:18" s="1" customFormat="1" ht="15">
      <c r="A20" s="190"/>
      <c r="B20" s="194"/>
      <c r="C20" s="244"/>
      <c r="D20" s="231"/>
      <c r="E20" s="232" t="str">
        <f>+Input!E25</f>
        <v>Monthly</v>
      </c>
      <c r="F20" s="236"/>
      <c r="G20" s="259">
        <f>'Art30(2)(a)'!H20</f>
        <v>4.6512242672074815E-2</v>
      </c>
      <c r="H20" s="259">
        <f>'Art30(2)(a)'!I20</f>
        <v>4.9733981840521871E-2</v>
      </c>
      <c r="I20" s="260">
        <f>'Art30(2)(a)'!J20</f>
        <v>5.0832985808569105E-2</v>
      </c>
      <c r="J20" s="237"/>
      <c r="K20" s="235" t="str">
        <f t="shared" si="0"/>
        <v>€/(kWh/day)/year</v>
      </c>
      <c r="L20" s="198"/>
      <c r="M20" s="190"/>
      <c r="N20" s="190"/>
      <c r="O20" s="190"/>
      <c r="P20" s="190"/>
      <c r="Q20" s="190"/>
      <c r="R20" s="190"/>
    </row>
    <row r="21" spans="1:18" s="1" customFormat="1" ht="15">
      <c r="A21" s="190"/>
      <c r="B21" s="194"/>
      <c r="C21" s="244"/>
      <c r="D21" s="231"/>
      <c r="E21" s="232" t="str">
        <f>+Input!E26</f>
        <v>Daily</v>
      </c>
      <c r="F21" s="236"/>
      <c r="G21" s="259">
        <f>'Art30(2)(a)'!H21</f>
        <v>6.6839815395426022E-2</v>
      </c>
      <c r="H21" s="259">
        <f>'Art30(2)(a)'!I21</f>
        <v>7.1469573904157355E-2</v>
      </c>
      <c r="I21" s="260">
        <f>'Art30(2)(a)'!J21</f>
        <v>7.3048883310091892E-2</v>
      </c>
      <c r="J21" s="236"/>
      <c r="K21" s="235" t="str">
        <f t="shared" si="0"/>
        <v>€/(kWh/day)/year</v>
      </c>
      <c r="L21" s="198"/>
      <c r="M21" s="190"/>
      <c r="N21" s="190"/>
      <c r="O21" s="190"/>
      <c r="P21" s="190"/>
      <c r="Q21" s="190"/>
      <c r="R21" s="190"/>
    </row>
    <row r="22" spans="1:18" s="1" customFormat="1" ht="15.75" thickBot="1">
      <c r="A22" s="190"/>
      <c r="B22" s="194"/>
      <c r="C22" s="244"/>
      <c r="D22" s="238"/>
      <c r="E22" s="239" t="str">
        <f>+Input!E27</f>
        <v>Intraday</v>
      </c>
      <c r="F22" s="205"/>
      <c r="G22" s="261">
        <f>'Art30(2)(a)'!H22</f>
        <v>7.338598288260692E-2</v>
      </c>
      <c r="H22" s="261">
        <f>'Art30(2)(a)'!I22</f>
        <v>7.8469171348378941E-2</v>
      </c>
      <c r="I22" s="262">
        <f>'Art30(2)(a)'!J22</f>
        <v>8.020315538685345E-2</v>
      </c>
      <c r="J22" s="228"/>
      <c r="K22" s="242" t="str">
        <f t="shared" si="0"/>
        <v>€/(kWh/day)/year</v>
      </c>
      <c r="L22" s="198"/>
      <c r="M22" s="190"/>
      <c r="N22" s="190"/>
      <c r="O22" s="190"/>
      <c r="P22" s="190"/>
      <c r="Q22" s="190"/>
      <c r="R22" s="190"/>
    </row>
    <row r="23" spans="1:18" s="1" customFormat="1" ht="15">
      <c r="A23" s="190"/>
      <c r="B23" s="194"/>
      <c r="C23" s="244"/>
      <c r="D23" s="224" t="str">
        <f>+Input!D28</f>
        <v>LNG terminal</v>
      </c>
      <c r="E23" s="225" t="str">
        <f>+Input!E28</f>
        <v>Yearly</v>
      </c>
      <c r="F23" s="195"/>
      <c r="G23" s="257">
        <f>'Art30(2)(a)'!H23</f>
        <v>0</v>
      </c>
      <c r="H23" s="257">
        <f>'Art30(2)(a)'!I23</f>
        <v>0</v>
      </c>
      <c r="I23" s="258">
        <f>'Art30(2)(a)'!J23</f>
        <v>0</v>
      </c>
      <c r="J23" s="195"/>
      <c r="K23" s="243" t="str">
        <f t="shared" si="0"/>
        <v>€/(kWh/day)/year</v>
      </c>
      <c r="L23" s="198"/>
      <c r="M23" s="190"/>
      <c r="N23" s="190"/>
      <c r="O23" s="190"/>
      <c r="P23" s="190"/>
      <c r="Q23" s="190"/>
      <c r="R23" s="190"/>
    </row>
    <row r="24" spans="1:18" s="1" customFormat="1" ht="15">
      <c r="A24" s="190"/>
      <c r="B24" s="194"/>
      <c r="C24" s="244"/>
      <c r="D24" s="231"/>
      <c r="E24" s="232" t="str">
        <f>+Input!E29</f>
        <v>Quarterly</v>
      </c>
      <c r="F24" s="236"/>
      <c r="G24" s="259">
        <f>'Art30(2)(a)'!H24</f>
        <v>0</v>
      </c>
      <c r="H24" s="259">
        <f>'Art30(2)(a)'!I24</f>
        <v>0</v>
      </c>
      <c r="I24" s="260">
        <f>'Art30(2)(a)'!J24</f>
        <v>0</v>
      </c>
      <c r="J24" s="237"/>
      <c r="K24" s="235" t="str">
        <f t="shared" si="0"/>
        <v>€/(kWh/day)/year</v>
      </c>
      <c r="L24" s="198"/>
      <c r="M24" s="190"/>
      <c r="N24" s="190"/>
      <c r="O24" s="190"/>
      <c r="P24" s="190"/>
      <c r="Q24" s="190"/>
      <c r="R24" s="190"/>
    </row>
    <row r="25" spans="1:18" s="1" customFormat="1" ht="15">
      <c r="A25" s="190"/>
      <c r="B25" s="194"/>
      <c r="C25" s="244"/>
      <c r="D25" s="231"/>
      <c r="E25" s="232" t="str">
        <f>+Input!E30</f>
        <v>Monthly</v>
      </c>
      <c r="F25" s="236"/>
      <c r="G25" s="259">
        <f>'Art30(2)(a)'!H25</f>
        <v>0</v>
      </c>
      <c r="H25" s="259">
        <f>'Art30(2)(a)'!I25</f>
        <v>0</v>
      </c>
      <c r="I25" s="260">
        <f>'Art30(2)(a)'!J25</f>
        <v>0</v>
      </c>
      <c r="J25" s="236"/>
      <c r="K25" s="235" t="str">
        <f t="shared" si="0"/>
        <v>€/(kWh/day)/year</v>
      </c>
      <c r="L25" s="198"/>
      <c r="M25" s="190"/>
      <c r="N25" s="190"/>
      <c r="O25" s="190"/>
      <c r="P25" s="190"/>
      <c r="Q25" s="190"/>
      <c r="R25" s="190"/>
    </row>
    <row r="26" spans="1:18" s="1" customFormat="1" ht="15">
      <c r="A26" s="190"/>
      <c r="B26" s="194"/>
      <c r="C26" s="244"/>
      <c r="D26" s="231"/>
      <c r="E26" s="232" t="str">
        <f>+Input!E31</f>
        <v>Daily</v>
      </c>
      <c r="F26" s="205"/>
      <c r="G26" s="259">
        <f>'Art30(2)(a)'!H26</f>
        <v>0</v>
      </c>
      <c r="H26" s="259">
        <f>'Art30(2)(a)'!I26</f>
        <v>0</v>
      </c>
      <c r="I26" s="260">
        <f>'Art30(2)(a)'!J26</f>
        <v>0</v>
      </c>
      <c r="J26" s="228"/>
      <c r="K26" s="235" t="str">
        <f t="shared" si="0"/>
        <v>€/(kWh/day)/year</v>
      </c>
      <c r="L26" s="198"/>
      <c r="M26" s="190"/>
      <c r="N26" s="190"/>
      <c r="O26" s="190"/>
      <c r="P26" s="190"/>
      <c r="Q26" s="190"/>
      <c r="R26" s="190"/>
    </row>
    <row r="27" spans="1:18" s="1" customFormat="1" ht="15.75" thickBot="1">
      <c r="A27" s="190"/>
      <c r="B27" s="194"/>
      <c r="C27" s="244"/>
      <c r="D27" s="238"/>
      <c r="E27" s="239" t="str">
        <f>+Input!E32</f>
        <v>Intraday</v>
      </c>
      <c r="F27" s="195"/>
      <c r="G27" s="261">
        <f>'Art30(2)(a)'!H27</f>
        <v>0</v>
      </c>
      <c r="H27" s="261">
        <f>'Art30(2)(a)'!I27</f>
        <v>0</v>
      </c>
      <c r="I27" s="262">
        <f>'Art30(2)(a)'!J27</f>
        <v>0</v>
      </c>
      <c r="J27" s="195"/>
      <c r="K27" s="242" t="str">
        <f t="shared" si="0"/>
        <v>€/(kWh/day)/year</v>
      </c>
      <c r="L27" s="198"/>
      <c r="M27" s="190"/>
      <c r="N27" s="190"/>
      <c r="O27" s="190"/>
      <c r="P27" s="190"/>
      <c r="Q27" s="190"/>
      <c r="R27" s="190"/>
    </row>
    <row r="28" spans="1:18" s="1" customFormat="1" ht="15">
      <c r="A28" s="190"/>
      <c r="B28" s="194"/>
      <c r="C28" s="244"/>
      <c r="D28" s="224" t="str">
        <f>+Input!D33</f>
        <v>Underground Storage</v>
      </c>
      <c r="E28" s="225" t="str">
        <f>+Input!E33</f>
        <v>Daily</v>
      </c>
      <c r="F28" s="236"/>
      <c r="G28" s="257">
        <f>'Art30(2)(a)'!H28</f>
        <v>0</v>
      </c>
      <c r="H28" s="257">
        <f>'Art30(2)(a)'!I28</f>
        <v>0</v>
      </c>
      <c r="I28" s="258">
        <f>'Art30(2)(a)'!J28</f>
        <v>0</v>
      </c>
      <c r="J28" s="237"/>
      <c r="K28" s="243" t="str">
        <f t="shared" si="0"/>
        <v>€/(kWh/day)/year</v>
      </c>
      <c r="L28" s="198"/>
      <c r="M28" s="190"/>
      <c r="N28" s="190"/>
      <c r="O28" s="190"/>
      <c r="P28" s="190"/>
      <c r="Q28" s="190"/>
      <c r="R28" s="190"/>
    </row>
    <row r="29" spans="1:18" s="1" customFormat="1" ht="15.75" thickBot="1">
      <c r="A29" s="190"/>
      <c r="B29" s="194"/>
      <c r="C29" s="244"/>
      <c r="D29" s="238"/>
      <c r="E29" s="239" t="str">
        <f>+Input!E34</f>
        <v>Intraday</v>
      </c>
      <c r="F29" s="236"/>
      <c r="G29" s="261">
        <f>'Art30(2)(a)'!H29</f>
        <v>0</v>
      </c>
      <c r="H29" s="261">
        <f>'Art30(2)(a)'!I29</f>
        <v>0</v>
      </c>
      <c r="I29" s="262">
        <f>'Art30(2)(a)'!J29</f>
        <v>0</v>
      </c>
      <c r="J29" s="236"/>
      <c r="K29" s="242" t="str">
        <f t="shared" si="0"/>
        <v>€/(kWh/day)/year</v>
      </c>
      <c r="L29" s="198"/>
      <c r="M29" s="190"/>
      <c r="N29" s="190"/>
      <c r="O29" s="190"/>
      <c r="P29" s="190"/>
      <c r="Q29" s="190"/>
      <c r="R29" s="190"/>
    </row>
    <row r="30" spans="1:18" s="1" customFormat="1" ht="15.75" thickBot="1">
      <c r="A30" s="190"/>
      <c r="B30" s="194"/>
      <c r="C30" s="244"/>
      <c r="D30" s="250" t="str">
        <f>+Input!D35</f>
        <v>Distribution networks and HP Customers</v>
      </c>
      <c r="E30" s="251" t="str">
        <f>+Input!E35</f>
        <v>Long Uses</v>
      </c>
      <c r="F30" s="205"/>
      <c r="G30" s="265">
        <f>'Art30(2)(a)'!H30</f>
        <v>0.166115332177528</v>
      </c>
      <c r="H30" s="265">
        <f>'Art30(2)(a)'!I30</f>
        <v>0.17704832862406322</v>
      </c>
      <c r="I30" s="266">
        <f>'Art30(2)(a)'!J30</f>
        <v>0.18096584987033748</v>
      </c>
      <c r="J30" s="228"/>
      <c r="K30" s="254" t="str">
        <f t="shared" si="0"/>
        <v>€/(kWh/day)/year</v>
      </c>
      <c r="L30" s="198"/>
      <c r="M30" s="190"/>
      <c r="N30" s="190"/>
      <c r="O30" s="190"/>
      <c r="P30" s="190"/>
      <c r="Q30" s="190"/>
      <c r="R30" s="190"/>
    </row>
    <row r="31" spans="1:18" s="1" customFormat="1" ht="15">
      <c r="A31" s="190"/>
      <c r="B31" s="194"/>
      <c r="C31" s="244"/>
      <c r="D31" s="224" t="str">
        <f>+Input!D36</f>
        <v>HP Customers</v>
      </c>
      <c r="E31" s="225" t="str">
        <f>+Input!E36</f>
        <v>Annual Flexible Rate - Annual Base Capacity</v>
      </c>
      <c r="F31" s="195"/>
      <c r="G31" s="257">
        <f>'Art30(2)(a)'!H31</f>
        <v>0.166115332177528</v>
      </c>
      <c r="H31" s="257">
        <f>'Art30(2)(a)'!I31</f>
        <v>0.17704832862406322</v>
      </c>
      <c r="I31" s="258">
        <f>'Art30(2)(a)'!J31</f>
        <v>0.18096584987033748</v>
      </c>
      <c r="J31" s="195"/>
      <c r="K31" s="255" t="str">
        <f t="shared" si="0"/>
        <v>€/(kWh/day)/year</v>
      </c>
      <c r="L31" s="198"/>
      <c r="M31" s="190"/>
      <c r="N31" s="190"/>
      <c r="O31" s="190"/>
      <c r="P31" s="190"/>
      <c r="Q31" s="190"/>
      <c r="R31" s="190"/>
    </row>
    <row r="32" spans="1:18" s="1" customFormat="1" ht="15">
      <c r="A32" s="190"/>
      <c r="B32" s="194"/>
      <c r="C32" s="244"/>
      <c r="D32" s="231"/>
      <c r="E32" s="232" t="str">
        <f>+Input!E37</f>
        <v>Annual Flexible Rate - Additional Monthly Capacity (April to September)</v>
      </c>
      <c r="F32" s="236"/>
      <c r="G32" s="259">
        <f>'Art30(2)(a)'!H32</f>
        <v>0.24917299826629197</v>
      </c>
      <c r="H32" s="259">
        <f>'Art30(2)(a)'!I32</f>
        <v>0.26557249293609486</v>
      </c>
      <c r="I32" s="260">
        <f>'Art30(2)(a)'!J32</f>
        <v>0.27144877480550622</v>
      </c>
      <c r="J32" s="237"/>
      <c r="K32" s="235" t="str">
        <f t="shared" si="0"/>
        <v>€/(kWh/day)/year</v>
      </c>
      <c r="L32" s="198"/>
      <c r="M32" s="190"/>
      <c r="N32" s="190"/>
      <c r="O32" s="190"/>
      <c r="P32" s="190"/>
      <c r="Q32" s="190"/>
      <c r="R32" s="190"/>
    </row>
    <row r="33" spans="1:18" s="1" customFormat="1" ht="15">
      <c r="A33" s="190"/>
      <c r="B33" s="194"/>
      <c r="C33" s="244"/>
      <c r="D33" s="231"/>
      <c r="E33" s="232" t="str">
        <f>+Input!E38</f>
        <v>Flexible Monthly Rate - Monthly Capacity (October to March)</v>
      </c>
      <c r="F33" s="236"/>
      <c r="G33" s="259">
        <f>'Art30(2)(a)'!H33</f>
        <v>0.49834599653258393</v>
      </c>
      <c r="H33" s="259">
        <f>'Art30(2)(a)'!I33</f>
        <v>0.53114498587218972</v>
      </c>
      <c r="I33" s="260">
        <f>'Art30(2)(a)'!J33</f>
        <v>0.54289754961101244</v>
      </c>
      <c r="J33" s="236"/>
      <c r="K33" s="235" t="str">
        <f t="shared" si="0"/>
        <v>€/(kWh/day)/year</v>
      </c>
      <c r="L33" s="198"/>
      <c r="M33" s="190"/>
      <c r="N33" s="190"/>
      <c r="O33" s="190"/>
      <c r="P33" s="190"/>
      <c r="Q33" s="190"/>
      <c r="R33" s="190"/>
    </row>
    <row r="34" spans="1:18" s="1" customFormat="1" ht="15">
      <c r="A34" s="190"/>
      <c r="B34" s="194"/>
      <c r="C34" s="244"/>
      <c r="D34" s="231"/>
      <c r="E34" s="232" t="str">
        <f>+Input!E39</f>
        <v>Flexible Monthly Rate - Monthly Capacity (April to September)</v>
      </c>
      <c r="F34" s="205"/>
      <c r="G34" s="259">
        <f>'Art30(2)(a)'!H34</f>
        <v>0.24917299826629197</v>
      </c>
      <c r="H34" s="259">
        <f>'Art30(2)(a)'!I34</f>
        <v>0.26557249293609486</v>
      </c>
      <c r="I34" s="260">
        <f>'Art30(2)(a)'!J34</f>
        <v>0.27144877480550622</v>
      </c>
      <c r="J34" s="228"/>
      <c r="K34" s="235" t="str">
        <f t="shared" si="0"/>
        <v>€/(kWh/day)/year</v>
      </c>
      <c r="L34" s="198"/>
      <c r="M34" s="190"/>
      <c r="N34" s="190"/>
      <c r="O34" s="190"/>
      <c r="P34" s="190"/>
      <c r="Q34" s="190"/>
      <c r="R34" s="190"/>
    </row>
    <row r="35" spans="1:18" s="1" customFormat="1" ht="15">
      <c r="A35" s="190"/>
      <c r="B35" s="194"/>
      <c r="C35" s="244"/>
      <c r="D35" s="231"/>
      <c r="E35" s="232" t="str">
        <f>+Input!E40</f>
        <v>Daily Flexible Rate - Daily Capacity (October to March)</v>
      </c>
      <c r="F35" s="195"/>
      <c r="G35" s="259">
        <f>'Art30(2)(a)'!H35</f>
        <v>1.6611533217752801</v>
      </c>
      <c r="H35" s="259">
        <f>'Art30(2)(a)'!I35</f>
        <v>1.7704832862406321</v>
      </c>
      <c r="I35" s="260">
        <f>'Art30(2)(a)'!J35</f>
        <v>1.8096584987033748</v>
      </c>
      <c r="J35" s="195"/>
      <c r="K35" s="235" t="str">
        <f t="shared" si="0"/>
        <v>€/(kWh/day)/year</v>
      </c>
      <c r="L35" s="198"/>
      <c r="M35" s="190"/>
      <c r="N35" s="190"/>
      <c r="O35" s="190"/>
      <c r="P35" s="190"/>
      <c r="Q35" s="190"/>
      <c r="R35" s="190"/>
    </row>
    <row r="36" spans="1:18" s="1" customFormat="1" ht="15.75" thickBot="1">
      <c r="A36" s="190"/>
      <c r="B36" s="194"/>
      <c r="C36" s="245"/>
      <c r="D36" s="238"/>
      <c r="E36" s="239" t="str">
        <f>+Input!E41</f>
        <v>Daily Flexible Rate - Daily Capacity (April to September)</v>
      </c>
      <c r="F36" s="236"/>
      <c r="G36" s="261">
        <f>'Art30(2)(a)'!H36</f>
        <v>0.99669199306516787</v>
      </c>
      <c r="H36" s="261">
        <f>'Art30(2)(a)'!I36</f>
        <v>1.0622899717443794</v>
      </c>
      <c r="I36" s="262">
        <f>'Art30(2)(a)'!J36</f>
        <v>1.0857950992220249</v>
      </c>
      <c r="J36" s="237"/>
      <c r="K36" s="242" t="str">
        <f t="shared" si="0"/>
        <v>€/(kWh/day)/year</v>
      </c>
      <c r="L36" s="198"/>
      <c r="M36" s="190"/>
      <c r="N36" s="190"/>
      <c r="O36" s="190"/>
      <c r="P36" s="190"/>
      <c r="Q36" s="190"/>
      <c r="R36" s="190"/>
    </row>
    <row r="37" spans="1:18" s="1" customFormat="1" ht="15.75" thickBot="1">
      <c r="A37" s="190"/>
      <c r="B37" s="213"/>
      <c r="C37" s="214"/>
      <c r="D37" s="214"/>
      <c r="E37" s="214"/>
      <c r="F37" s="214"/>
      <c r="G37" s="214"/>
      <c r="H37" s="214"/>
      <c r="I37" s="214"/>
      <c r="J37" s="214"/>
      <c r="K37" s="214"/>
      <c r="L37" s="216"/>
      <c r="M37" s="190"/>
      <c r="N37" s="190"/>
      <c r="O37" s="190"/>
      <c r="P37" s="190"/>
      <c r="Q37" s="190"/>
      <c r="R37" s="190"/>
    </row>
    <row r="38" spans="1:18" s="1" customFormat="1" ht="15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366A-4503-409E-A10F-C2A8E2A23B3A}">
  <sheetPr>
    <tabColor theme="6"/>
  </sheetPr>
  <dimension ref="B2:F11"/>
  <sheetViews>
    <sheetView showGridLines="0" workbookViewId="0">
      <selection activeCell="F8" sqref="F8"/>
    </sheetView>
  </sheetViews>
  <sheetFormatPr defaultColWidth="8.85546875" defaultRowHeight="15"/>
  <cols>
    <col min="1" max="1" width="8.85546875" style="1"/>
    <col min="2" max="2" width="23.5703125" style="1" customWidth="1"/>
    <col min="3" max="3" width="48.42578125" style="1" customWidth="1"/>
    <col min="4" max="4" width="2.28515625" style="1" customWidth="1"/>
    <col min="5" max="5" width="12.140625" style="1" bestFit="1" customWidth="1"/>
    <col min="6" max="6" width="10" style="1" customWidth="1"/>
    <col min="7" max="16384" width="8.85546875" style="1"/>
  </cols>
  <sheetData>
    <row r="2" spans="2:6" ht="15.75" thickBot="1"/>
    <row r="3" spans="2:6" ht="15.75" thickBot="1">
      <c r="B3" s="268" t="s">
        <v>654</v>
      </c>
      <c r="C3" s="269" t="s">
        <v>649</v>
      </c>
      <c r="D3" s="270"/>
      <c r="E3" s="271" t="s">
        <v>801</v>
      </c>
      <c r="F3" s="272"/>
    </row>
    <row r="4" spans="2:6" ht="30.75" thickBot="1">
      <c r="B4" s="273" t="s">
        <v>655</v>
      </c>
      <c r="C4" s="274" t="s">
        <v>656</v>
      </c>
      <c r="D4" s="275"/>
      <c r="E4" s="276"/>
      <c r="F4" s="277">
        <f>'Input data'!D7/1000</f>
        <v>70874.364315885279</v>
      </c>
    </row>
    <row r="5" spans="2:6" ht="30.75" thickBot="1">
      <c r="B5" s="273" t="s">
        <v>657</v>
      </c>
      <c r="C5" s="274" t="s">
        <v>658</v>
      </c>
      <c r="D5" s="275"/>
      <c r="E5" s="276"/>
      <c r="F5" s="277">
        <f>+F4</f>
        <v>70874.364315885279</v>
      </c>
    </row>
    <row r="6" spans="2:6">
      <c r="B6" s="278" t="s">
        <v>659</v>
      </c>
      <c r="C6" s="279" t="s">
        <v>660</v>
      </c>
      <c r="D6" s="280"/>
      <c r="E6" s="281" t="s">
        <v>661</v>
      </c>
      <c r="F6" s="282">
        <v>1</v>
      </c>
    </row>
    <row r="7" spans="2:6" ht="15.75" thickBot="1">
      <c r="B7" s="283"/>
      <c r="C7" s="284"/>
      <c r="D7" s="285"/>
      <c r="E7" s="286" t="s">
        <v>662</v>
      </c>
      <c r="F7" s="287">
        <v>0</v>
      </c>
    </row>
    <row r="8" spans="2:6">
      <c r="B8" s="278" t="s">
        <v>663</v>
      </c>
      <c r="C8" s="363" t="s">
        <v>664</v>
      </c>
      <c r="D8" s="288"/>
      <c r="E8" s="281" t="s">
        <v>665</v>
      </c>
      <c r="F8" s="289">
        <f>'Input data'!D190</f>
        <v>0.28000000000000003</v>
      </c>
    </row>
    <row r="9" spans="2:6" ht="15.75" thickBot="1">
      <c r="B9" s="283"/>
      <c r="C9" s="364"/>
      <c r="D9" s="290"/>
      <c r="E9" s="286" t="s">
        <v>666</v>
      </c>
      <c r="F9" s="291">
        <f>1-F8</f>
        <v>0.72</v>
      </c>
    </row>
    <row r="10" spans="2:6" ht="30">
      <c r="B10" s="278" t="s">
        <v>667</v>
      </c>
      <c r="C10" s="363" t="s">
        <v>668</v>
      </c>
      <c r="D10" s="288"/>
      <c r="E10" s="281" t="s">
        <v>669</v>
      </c>
      <c r="F10" s="292">
        <f>CAA!D12/SUM(CAA!D11:D12)</f>
        <v>0.95757998343147677</v>
      </c>
    </row>
    <row r="11" spans="2:6" ht="30.75" thickBot="1">
      <c r="B11" s="238"/>
      <c r="C11" s="364"/>
      <c r="D11" s="290"/>
      <c r="E11" s="286" t="s">
        <v>670</v>
      </c>
      <c r="F11" s="293">
        <f>1-F10</f>
        <v>4.2420016568523233E-2</v>
      </c>
    </row>
  </sheetData>
  <mergeCells count="2">
    <mergeCell ref="C8:C9"/>
    <mergeCell ref="C10:C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1DBA-3255-45F6-890B-84BD2E5DB6B1}">
  <sheetPr>
    <tabColor theme="6"/>
  </sheetPr>
  <dimension ref="B1:Z56"/>
  <sheetViews>
    <sheetView showGridLines="0" zoomScaleNormal="100" workbookViewId="0">
      <selection activeCell="F8" sqref="F8"/>
    </sheetView>
  </sheetViews>
  <sheetFormatPr defaultColWidth="0" defaultRowHeight="15" zeroHeight="1"/>
  <cols>
    <col min="1" max="1" width="9.140625" style="1" customWidth="1"/>
    <col min="2" max="2" width="43.140625" style="1" bestFit="1" customWidth="1"/>
    <col min="3" max="3" width="10.85546875" style="1" bestFit="1" customWidth="1"/>
    <col min="4" max="4" width="9.85546875" style="1" bestFit="1" customWidth="1"/>
    <col min="5" max="5" width="9.140625" style="1" customWidth="1"/>
    <col min="6" max="6" width="8.28515625" style="1" customWidth="1"/>
    <col min="7" max="7" width="32.7109375" style="1" customWidth="1"/>
    <col min="8" max="8" width="57.7109375" style="1" bestFit="1" customWidth="1"/>
    <col min="9" max="9" width="10.85546875" style="1" bestFit="1" customWidth="1"/>
    <col min="10" max="10" width="2.7109375" style="1" customWidth="1"/>
    <col min="11" max="11" width="9.28515625" style="1" customWidth="1"/>
    <col min="12" max="12" width="11.28515625" style="1" customWidth="1"/>
    <col min="13" max="13" width="12.42578125" style="1" customWidth="1"/>
    <col min="14" max="26" width="12.42578125" style="1" hidden="1" customWidth="1"/>
    <col min="27" max="35" width="0" style="1" hidden="1" customWidth="1"/>
    <col min="36" max="16384" width="0" style="1" hidden="1"/>
  </cols>
  <sheetData>
    <row r="1" spans="2:12"/>
    <row r="2" spans="2:12">
      <c r="B2" s="294" t="s">
        <v>671</v>
      </c>
    </row>
    <row r="3" spans="2:12">
      <c r="B3" s="295"/>
      <c r="C3" s="296" t="str">
        <f>+Input!C10</f>
        <v>Entry</v>
      </c>
      <c r="D3" s="297" t="str">
        <f>+Input!C23</f>
        <v>Exit</v>
      </c>
    </row>
    <row r="4" spans="2:12">
      <c r="B4" s="298" t="str">
        <f>+Labels!B54</f>
        <v>Interconnection point (Campo Maior)</v>
      </c>
      <c r="C4" s="299">
        <f>'Input data'!$G$258</f>
        <v>134</v>
      </c>
      <c r="D4" s="299">
        <f>'Input data'!$G$260</f>
        <v>55</v>
      </c>
    </row>
    <row r="5" spans="2:12">
      <c r="B5" s="118" t="str">
        <f>+Labels!B55</f>
        <v>Interconnection point (Valença do Minho)</v>
      </c>
      <c r="C5" s="300">
        <f>'Input data'!$G$259</f>
        <v>10</v>
      </c>
      <c r="D5" s="300">
        <f>'Input data'!$G$261</f>
        <v>25</v>
      </c>
    </row>
    <row r="6" spans="2:12">
      <c r="B6" s="118" t="str">
        <f>+Labels!B56</f>
        <v>LNG terminal</v>
      </c>
      <c r="C6" s="300">
        <f>'Input data'!$G$241</f>
        <v>200</v>
      </c>
      <c r="D6" s="300">
        <f>'Input data'!$G$250</f>
        <v>5</v>
      </c>
    </row>
    <row r="7" spans="2:12">
      <c r="B7" s="118" t="str">
        <f>+Labels!B57</f>
        <v>Underground Storage</v>
      </c>
      <c r="C7" s="300">
        <f>'Input data'!$G$242</f>
        <v>85.68</v>
      </c>
      <c r="D7" s="300">
        <f>'Input data'!$G$251</f>
        <v>24</v>
      </c>
    </row>
    <row r="8" spans="2:12">
      <c r="B8" s="118" t="str">
        <f>+Labels!B30</f>
        <v>Gas producers</v>
      </c>
      <c r="C8" s="301" t="s">
        <v>672</v>
      </c>
      <c r="D8" s="301" t="s">
        <v>672</v>
      </c>
    </row>
    <row r="9" spans="2:12" ht="15.75" thickBot="1">
      <c r="F9" s="294" t="s">
        <v>673</v>
      </c>
    </row>
    <row r="10" spans="2:12" ht="15.75" thickBot="1">
      <c r="G10" s="302" t="str">
        <f>+Labels!B23</f>
        <v>Point</v>
      </c>
      <c r="H10" s="303" t="str">
        <f>+Labels!B24</f>
        <v>Product</v>
      </c>
      <c r="I10" s="304" t="str">
        <f>'Input data'!G238</f>
        <v>2026-27</v>
      </c>
      <c r="K10" s="305" t="str">
        <f>+Input!K9</f>
        <v>Unit</v>
      </c>
      <c r="L10" s="305" t="str">
        <f>+Labels!B58</f>
        <v>Type</v>
      </c>
    </row>
    <row r="11" spans="2:12">
      <c r="F11" s="306" t="str">
        <f>+Labels!B25</f>
        <v>Entry</v>
      </c>
      <c r="G11" s="224" t="str">
        <f>+Labels!B27</f>
        <v>VIP Iberico</v>
      </c>
      <c r="H11" s="225" t="str">
        <f>+Labels!B33</f>
        <v>Yearly</v>
      </c>
      <c r="I11" s="307">
        <f>'Input data'!G20</f>
        <v>7666326.0000000009</v>
      </c>
      <c r="K11" s="229" t="str">
        <f>Labels!$B$47</f>
        <v>kWh/day</v>
      </c>
      <c r="L11" s="229" t="str">
        <f>+Labels!B59</f>
        <v>Contracted</v>
      </c>
    </row>
    <row r="12" spans="2:12">
      <c r="F12" s="308"/>
      <c r="G12" s="231"/>
      <c r="H12" s="232" t="str">
        <f>+Labels!B34</f>
        <v>Quarterly</v>
      </c>
      <c r="I12" s="309">
        <f>'Input data'!G21</f>
        <v>207846</v>
      </c>
      <c r="K12" s="235" t="str">
        <f>Labels!$B$47</f>
        <v>kWh/day</v>
      </c>
      <c r="L12" s="235" t="str">
        <f>+$L$11</f>
        <v>Contracted</v>
      </c>
    </row>
    <row r="13" spans="2:12">
      <c r="F13" s="308"/>
      <c r="G13" s="231"/>
      <c r="H13" s="232" t="str">
        <f>+Labels!B35</f>
        <v>Monthly</v>
      </c>
      <c r="I13" s="309">
        <f>'Input data'!G22</f>
        <v>1265424</v>
      </c>
      <c r="K13" s="235" t="str">
        <f>Labels!$B$47</f>
        <v>kWh/day</v>
      </c>
      <c r="L13" s="235" t="str">
        <f t="shared" ref="L13:L35" si="0">+$L$11</f>
        <v>Contracted</v>
      </c>
    </row>
    <row r="14" spans="2:12">
      <c r="F14" s="308"/>
      <c r="G14" s="231"/>
      <c r="H14" s="232" t="str">
        <f>+Labels!B36</f>
        <v>Daily</v>
      </c>
      <c r="I14" s="309">
        <f>'Input data'!G23</f>
        <v>4962488.1095890403</v>
      </c>
      <c r="K14" s="235" t="str">
        <f>Labels!$B$47</f>
        <v>kWh/day</v>
      </c>
      <c r="L14" s="235" t="str">
        <f t="shared" si="0"/>
        <v>Contracted</v>
      </c>
    </row>
    <row r="15" spans="2:12" ht="15.75" thickBot="1">
      <c r="F15" s="308"/>
      <c r="G15" s="238"/>
      <c r="H15" s="239" t="str">
        <f>+Labels!B37</f>
        <v>Intraday</v>
      </c>
      <c r="I15" s="310">
        <f>'Input data'!G24</f>
        <v>285396.11506849312</v>
      </c>
      <c r="K15" s="242" t="str">
        <f>Labels!$B$47</f>
        <v>kWh/day</v>
      </c>
      <c r="L15" s="242" t="str">
        <f t="shared" si="0"/>
        <v>Contracted</v>
      </c>
    </row>
    <row r="16" spans="2:12">
      <c r="F16" s="308"/>
      <c r="G16" s="224" t="str">
        <f>+Labels!B28</f>
        <v>LNG terminal</v>
      </c>
      <c r="H16" s="225" t="str">
        <f>+H11</f>
        <v>Yearly</v>
      </c>
      <c r="I16" s="307">
        <f>'Input data'!G25</f>
        <v>180500000</v>
      </c>
      <c r="K16" s="229" t="str">
        <f>Labels!$B$47</f>
        <v>kWh/day</v>
      </c>
      <c r="L16" s="243" t="str">
        <f t="shared" si="0"/>
        <v>Contracted</v>
      </c>
    </row>
    <row r="17" spans="6:12">
      <c r="F17" s="308"/>
      <c r="G17" s="231"/>
      <c r="H17" s="232" t="str">
        <f t="shared" ref="H17:H20" si="1">+H12</f>
        <v>Quarterly</v>
      </c>
      <c r="I17" s="309">
        <f>'Input data'!G26</f>
        <v>1250000</v>
      </c>
      <c r="K17" s="235" t="str">
        <f>Labels!$B$47</f>
        <v>kWh/day</v>
      </c>
      <c r="L17" s="235" t="str">
        <f t="shared" si="0"/>
        <v>Contracted</v>
      </c>
    </row>
    <row r="18" spans="6:12">
      <c r="F18" s="308"/>
      <c r="G18" s="231"/>
      <c r="H18" s="232" t="str">
        <f t="shared" si="1"/>
        <v>Monthly</v>
      </c>
      <c r="I18" s="309">
        <f>'Input data'!G27</f>
        <v>0</v>
      </c>
      <c r="K18" s="235" t="str">
        <f>Labels!$B$47</f>
        <v>kWh/day</v>
      </c>
      <c r="L18" s="235" t="str">
        <f t="shared" si="0"/>
        <v>Contracted</v>
      </c>
    </row>
    <row r="19" spans="6:12">
      <c r="F19" s="308"/>
      <c r="G19" s="231"/>
      <c r="H19" s="232" t="str">
        <f t="shared" si="1"/>
        <v>Daily</v>
      </c>
      <c r="I19" s="309">
        <f>'Input data'!G28</f>
        <v>40397.589041095889</v>
      </c>
      <c r="K19" s="235" t="str">
        <f>Labels!$B$47</f>
        <v>kWh/day</v>
      </c>
      <c r="L19" s="235" t="str">
        <f t="shared" si="0"/>
        <v>Contracted</v>
      </c>
    </row>
    <row r="20" spans="6:12" ht="15.75" thickBot="1">
      <c r="F20" s="308"/>
      <c r="G20" s="238"/>
      <c r="H20" s="239" t="str">
        <f t="shared" si="1"/>
        <v>Intraday</v>
      </c>
      <c r="I20" s="310">
        <f>'Input data'!G29</f>
        <v>333351.3232876712</v>
      </c>
      <c r="K20" s="242" t="str">
        <f>Labels!$B$47</f>
        <v>kWh/day</v>
      </c>
      <c r="L20" s="242" t="str">
        <f t="shared" si="0"/>
        <v>Contracted</v>
      </c>
    </row>
    <row r="21" spans="6:12">
      <c r="F21" s="308"/>
      <c r="G21" s="224" t="str">
        <f>+Labels!B29</f>
        <v>Underground Storage</v>
      </c>
      <c r="H21" s="225" t="str">
        <f>+H14</f>
        <v>Daily</v>
      </c>
      <c r="I21" s="307">
        <f>'Input data'!G30</f>
        <v>5171351.98630137</v>
      </c>
      <c r="K21" s="243" t="str">
        <f>Labels!$B$47</f>
        <v>kWh/day</v>
      </c>
      <c r="L21" s="243" t="str">
        <f t="shared" si="0"/>
        <v>Contracted</v>
      </c>
    </row>
    <row r="22" spans="6:12" ht="15.75" thickBot="1">
      <c r="F22" s="311"/>
      <c r="G22" s="238"/>
      <c r="H22" s="239" t="str">
        <f>+H15</f>
        <v>Intraday</v>
      </c>
      <c r="I22" s="310">
        <f>'Input data'!G31</f>
        <v>2527776.5780821918</v>
      </c>
      <c r="K22" s="242" t="str">
        <f>Labels!$B$47</f>
        <v>kWh/day</v>
      </c>
      <c r="L22" s="242" t="str">
        <f t="shared" si="0"/>
        <v>Contracted</v>
      </c>
    </row>
    <row r="23" spans="6:12" ht="15.75" thickBot="1">
      <c r="F23" s="312"/>
      <c r="G23" s="231" t="str">
        <f>+Labels!B30</f>
        <v>Gas producers</v>
      </c>
      <c r="H23" s="246" t="str">
        <f>+Labels!B38</f>
        <v>Used capacity at injection</v>
      </c>
      <c r="I23" s="313">
        <f>'Input data'!G32</f>
        <v>1</v>
      </c>
      <c r="K23" s="249" t="str">
        <f>Labels!$B$47</f>
        <v>kWh/day</v>
      </c>
      <c r="L23" s="249" t="str">
        <f>+Labels!B60</f>
        <v>Used</v>
      </c>
    </row>
    <row r="24" spans="6:12">
      <c r="F24" s="306" t="str">
        <f>+Labels!B26</f>
        <v>Exit</v>
      </c>
      <c r="G24" s="224" t="str">
        <f>+G11</f>
        <v>VIP Iberico</v>
      </c>
      <c r="H24" s="225" t="str">
        <f>+H11</f>
        <v>Yearly</v>
      </c>
      <c r="I24" s="307">
        <f>'Input data'!G65</f>
        <v>0</v>
      </c>
      <c r="K24" s="243" t="str">
        <f>Labels!$B$47</f>
        <v>kWh/day</v>
      </c>
      <c r="L24" s="243" t="str">
        <f t="shared" si="0"/>
        <v>Contracted</v>
      </c>
    </row>
    <row r="25" spans="6:12">
      <c r="F25" s="311"/>
      <c r="G25" s="231"/>
      <c r="H25" s="232" t="str">
        <f t="shared" ref="H25:H35" si="2">+H12</f>
        <v>Quarterly</v>
      </c>
      <c r="I25" s="309">
        <f>'Input data'!G66</f>
        <v>0</v>
      </c>
      <c r="K25" s="235" t="str">
        <f>Labels!$B$47</f>
        <v>kWh/day</v>
      </c>
      <c r="L25" s="235" t="str">
        <f t="shared" si="0"/>
        <v>Contracted</v>
      </c>
    </row>
    <row r="26" spans="6:12">
      <c r="F26" s="311"/>
      <c r="G26" s="231"/>
      <c r="H26" s="232" t="str">
        <f t="shared" si="2"/>
        <v>Monthly</v>
      </c>
      <c r="I26" s="309">
        <f>'Input data'!G67</f>
        <v>10591008</v>
      </c>
      <c r="K26" s="235" t="str">
        <f>Labels!$B$47</f>
        <v>kWh/day</v>
      </c>
      <c r="L26" s="235" t="str">
        <f t="shared" si="0"/>
        <v>Contracted</v>
      </c>
    </row>
    <row r="27" spans="6:12">
      <c r="F27" s="311"/>
      <c r="G27" s="231"/>
      <c r="H27" s="232" t="str">
        <f t="shared" si="2"/>
        <v>Daily</v>
      </c>
      <c r="I27" s="309">
        <f>'Input data'!G68</f>
        <v>7155685</v>
      </c>
      <c r="K27" s="235" t="str">
        <f>Labels!$B$47</f>
        <v>kWh/day</v>
      </c>
      <c r="L27" s="235" t="str">
        <f t="shared" si="0"/>
        <v>Contracted</v>
      </c>
    </row>
    <row r="28" spans="6:12" ht="15.75" thickBot="1">
      <c r="F28" s="311"/>
      <c r="G28" s="238"/>
      <c r="H28" s="239" t="str">
        <f t="shared" si="2"/>
        <v>Intraday</v>
      </c>
      <c r="I28" s="310">
        <f>'Input data'!G69</f>
        <v>21505</v>
      </c>
      <c r="K28" s="242" t="str">
        <f>Labels!$B$47</f>
        <v>kWh/day</v>
      </c>
      <c r="L28" s="242" t="str">
        <f t="shared" si="0"/>
        <v>Contracted</v>
      </c>
    </row>
    <row r="29" spans="6:12">
      <c r="F29" s="311"/>
      <c r="G29" s="224" t="str">
        <f>+G16</f>
        <v>LNG terminal</v>
      </c>
      <c r="H29" s="225" t="str">
        <f t="shared" si="2"/>
        <v>Yearly</v>
      </c>
      <c r="I29" s="307">
        <f>'Input data'!G70</f>
        <v>0</v>
      </c>
      <c r="K29" s="243" t="str">
        <f>Labels!$B$47</f>
        <v>kWh/day</v>
      </c>
      <c r="L29" s="243" t="str">
        <f t="shared" si="0"/>
        <v>Contracted</v>
      </c>
    </row>
    <row r="30" spans="6:12">
      <c r="F30" s="311"/>
      <c r="G30" s="231"/>
      <c r="H30" s="232" t="str">
        <f t="shared" si="2"/>
        <v>Quarterly</v>
      </c>
      <c r="I30" s="309">
        <f>'Input data'!G71</f>
        <v>0</v>
      </c>
      <c r="K30" s="235" t="str">
        <f>Labels!$B$47</f>
        <v>kWh/day</v>
      </c>
      <c r="L30" s="235" t="str">
        <f t="shared" si="0"/>
        <v>Contracted</v>
      </c>
    </row>
    <row r="31" spans="6:12">
      <c r="F31" s="311"/>
      <c r="G31" s="231"/>
      <c r="H31" s="232" t="str">
        <f t="shared" si="2"/>
        <v>Monthly</v>
      </c>
      <c r="I31" s="309">
        <f>'Input data'!G72</f>
        <v>0</v>
      </c>
      <c r="K31" s="235" t="str">
        <f>Labels!$B$47</f>
        <v>kWh/day</v>
      </c>
      <c r="L31" s="235" t="str">
        <f t="shared" si="0"/>
        <v>Contracted</v>
      </c>
    </row>
    <row r="32" spans="6:12">
      <c r="F32" s="311"/>
      <c r="G32" s="231"/>
      <c r="H32" s="232" t="str">
        <f t="shared" si="2"/>
        <v>Daily</v>
      </c>
      <c r="I32" s="309">
        <f>'Input data'!G73</f>
        <v>0</v>
      </c>
      <c r="K32" s="235" t="str">
        <f>Labels!$B$47</f>
        <v>kWh/day</v>
      </c>
      <c r="L32" s="235" t="str">
        <f t="shared" si="0"/>
        <v>Contracted</v>
      </c>
    </row>
    <row r="33" spans="6:18" ht="15.75" thickBot="1">
      <c r="F33" s="311"/>
      <c r="G33" s="238"/>
      <c r="H33" s="239" t="str">
        <f t="shared" si="2"/>
        <v>Intraday</v>
      </c>
      <c r="I33" s="310">
        <f>'Input data'!G74</f>
        <v>0</v>
      </c>
      <c r="K33" s="242" t="str">
        <f>Labels!$B$47</f>
        <v>kWh/day</v>
      </c>
      <c r="L33" s="242" t="str">
        <f t="shared" si="0"/>
        <v>Contracted</v>
      </c>
    </row>
    <row r="34" spans="6:18">
      <c r="F34" s="311"/>
      <c r="G34" s="224" t="str">
        <f>+G21</f>
        <v>Underground Storage</v>
      </c>
      <c r="H34" s="225" t="str">
        <f t="shared" si="2"/>
        <v>Daily</v>
      </c>
      <c r="I34" s="307">
        <f>'Input data'!G75</f>
        <v>4476108.8335881513</v>
      </c>
      <c r="K34" s="243" t="str">
        <f>Labels!$B$47</f>
        <v>kWh/day</v>
      </c>
      <c r="L34" s="243" t="str">
        <f t="shared" si="0"/>
        <v>Contracted</v>
      </c>
    </row>
    <row r="35" spans="6:18" ht="15.75" thickBot="1">
      <c r="F35" s="311"/>
      <c r="G35" s="238"/>
      <c r="H35" s="239" t="str">
        <f t="shared" si="2"/>
        <v>Intraday</v>
      </c>
      <c r="I35" s="310">
        <f>'Input data'!G76</f>
        <v>1118291.5145007165</v>
      </c>
      <c r="K35" s="242" t="str">
        <f>Labels!$B$47</f>
        <v>kWh/day</v>
      </c>
      <c r="L35" s="242" t="str">
        <f t="shared" si="0"/>
        <v>Contracted</v>
      </c>
    </row>
    <row r="36" spans="6:18" ht="15.75" thickBot="1">
      <c r="F36" s="311"/>
      <c r="G36" s="250" t="str">
        <f>+Labels!B31</f>
        <v>Distribution networks and HP Customers</v>
      </c>
      <c r="H36" s="251" t="str">
        <f>+Labels!B39</f>
        <v>Long Uses</v>
      </c>
      <c r="I36" s="314">
        <f>'Input data'!G77</f>
        <v>152491321.29236305</v>
      </c>
      <c r="K36" s="254" t="str">
        <f>Labels!$B$47</f>
        <v>kWh/day</v>
      </c>
      <c r="L36" s="254" t="str">
        <f>+Labels!B60</f>
        <v>Used</v>
      </c>
    </row>
    <row r="37" spans="6:18">
      <c r="F37" s="311"/>
      <c r="G37" s="224" t="str">
        <f>+Labels!B32</f>
        <v>HP Customers</v>
      </c>
      <c r="H37" s="225" t="str">
        <f>+Labels!B40</f>
        <v>Annual Flexible Rate - Annual Base Capacity</v>
      </c>
      <c r="I37" s="307">
        <f>'Input data'!G78</f>
        <v>65545994.761697069</v>
      </c>
      <c r="K37" s="255" t="str">
        <f>Labels!$B$47</f>
        <v>kWh/day</v>
      </c>
      <c r="L37" s="255" t="str">
        <f>+$L$36</f>
        <v>Used</v>
      </c>
    </row>
    <row r="38" spans="6:18">
      <c r="F38" s="311"/>
      <c r="G38" s="231"/>
      <c r="H38" s="232" t="str">
        <f>+Labels!B41</f>
        <v>Annual Flexible Rate - Additional Monthly Capacity (April to September)</v>
      </c>
      <c r="I38" s="309">
        <f>'Input data'!G79</f>
        <v>0</v>
      </c>
      <c r="K38" s="235" t="str">
        <f>Labels!$B$47</f>
        <v>kWh/day</v>
      </c>
      <c r="L38" s="235" t="str">
        <f t="shared" ref="L38:L42" si="3">+$L$36</f>
        <v>Used</v>
      </c>
    </row>
    <row r="39" spans="6:18">
      <c r="F39" s="311"/>
      <c r="G39" s="231"/>
      <c r="H39" s="232" t="str">
        <f>+Labels!B42</f>
        <v>Flexible Monthly Rate - Monthly Capacity (October to March)</v>
      </c>
      <c r="I39" s="309">
        <f>'Input data'!G80</f>
        <v>24407845.206212893</v>
      </c>
      <c r="K39" s="235" t="str">
        <f>Labels!$B$47</f>
        <v>kWh/day</v>
      </c>
      <c r="L39" s="235" t="str">
        <f t="shared" si="3"/>
        <v>Used</v>
      </c>
    </row>
    <row r="40" spans="6:18">
      <c r="F40" s="311"/>
      <c r="G40" s="231"/>
      <c r="H40" s="232" t="str">
        <f>+Labels!B43</f>
        <v>Flexible Monthly Rate - Monthly Capacity (April to September)</v>
      </c>
      <c r="I40" s="309">
        <f>'Input data'!G81</f>
        <v>24407845.206212893</v>
      </c>
      <c r="K40" s="235" t="str">
        <f>Labels!$B$47</f>
        <v>kWh/day</v>
      </c>
      <c r="L40" s="235" t="str">
        <f t="shared" si="3"/>
        <v>Used</v>
      </c>
    </row>
    <row r="41" spans="6:18">
      <c r="F41" s="311"/>
      <c r="G41" s="231"/>
      <c r="H41" s="232" t="str">
        <f>+Labels!B44</f>
        <v>Daily Flexible Rate - Daily Capacity (October to March)</v>
      </c>
      <c r="I41" s="309">
        <f>'Input data'!G82</f>
        <v>0</v>
      </c>
      <c r="K41" s="235" t="str">
        <f>Labels!$B$47</f>
        <v>kWh/day</v>
      </c>
      <c r="L41" s="235" t="str">
        <f t="shared" si="3"/>
        <v>Used</v>
      </c>
    </row>
    <row r="42" spans="6:18" ht="15.75" thickBot="1">
      <c r="F42" s="312"/>
      <c r="G42" s="238"/>
      <c r="H42" s="239" t="str">
        <f>+Labels!B45</f>
        <v>Daily Flexible Rate - Daily Capacity (April to September)</v>
      </c>
      <c r="I42" s="310">
        <f>'Input data'!G83</f>
        <v>0</v>
      </c>
      <c r="K42" s="242" t="str">
        <f>Labels!$B$47</f>
        <v>kWh/day</v>
      </c>
      <c r="L42" s="242" t="str">
        <f t="shared" si="3"/>
        <v>Used</v>
      </c>
    </row>
    <row r="43" spans="6:18">
      <c r="R43" s="294"/>
    </row>
    <row r="44" spans="6:18" hidden="1">
      <c r="R44" s="294"/>
    </row>
    <row r="45" spans="6:18" hidden="1">
      <c r="R45" s="294"/>
    </row>
    <row r="46" spans="6:18" hidden="1">
      <c r="R46" s="294"/>
    </row>
    <row r="47" spans="6:18" hidden="1">
      <c r="R47" s="294"/>
    </row>
    <row r="48" spans="6:18" hidden="1">
      <c r="R48" s="294"/>
    </row>
    <row r="49" spans="18:18" hidden="1">
      <c r="R49" s="294"/>
    </row>
    <row r="50" spans="18:18" hidden="1">
      <c r="R50" s="294"/>
    </row>
    <row r="51" spans="18:18" hidden="1">
      <c r="R51" s="294"/>
    </row>
    <row r="52" spans="18:18" hidden="1">
      <c r="R52" s="294"/>
    </row>
    <row r="53" spans="18:18" hidden="1">
      <c r="R53" s="294"/>
    </row>
    <row r="54" spans="18:18" hidden="1">
      <c r="R54" s="294"/>
    </row>
    <row r="55" spans="18:18" hidden="1">
      <c r="R55" s="294"/>
    </row>
    <row r="56" spans="18:18" hidden="1">
      <c r="R56" s="29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E12B-3300-44A4-86C6-BC3936DCF1DB}">
  <sheetPr>
    <tabColor theme="6"/>
  </sheetPr>
  <dimension ref="A1:E11"/>
  <sheetViews>
    <sheetView showGridLines="0" zoomScale="115" zoomScaleNormal="115" workbookViewId="0">
      <selection activeCell="F8" sqref="F8"/>
    </sheetView>
  </sheetViews>
  <sheetFormatPr defaultColWidth="0" defaultRowHeight="14.45" customHeight="1" zeroHeight="1"/>
  <cols>
    <col min="1" max="1" width="3.7109375" style="1" customWidth="1"/>
    <col min="2" max="2" width="49.7109375" style="1" customWidth="1"/>
    <col min="3" max="4" width="39.5703125" style="1" customWidth="1"/>
    <col min="5" max="5" width="9.140625" style="1" customWidth="1"/>
    <col min="6" max="16384" width="9.140625" style="1" hidden="1"/>
  </cols>
  <sheetData>
    <row r="1" spans="2:4" ht="15"/>
    <row r="2" spans="2:4" ht="15">
      <c r="B2" s="315" t="s">
        <v>659</v>
      </c>
      <c r="C2" s="316" t="s">
        <v>661</v>
      </c>
      <c r="D2" s="317" t="s">
        <v>662</v>
      </c>
    </row>
    <row r="3" spans="2:4" ht="15">
      <c r="B3" s="318"/>
      <c r="C3" s="319">
        <v>1</v>
      </c>
      <c r="D3" s="320">
        <v>0</v>
      </c>
    </row>
    <row r="4" spans="2:4" ht="51">
      <c r="B4" s="321" t="s">
        <v>674</v>
      </c>
      <c r="C4" s="322"/>
      <c r="D4" s="322"/>
    </row>
    <row r="5" spans="2:4" ht="15">
      <c r="B5" s="315" t="s">
        <v>663</v>
      </c>
      <c r="C5" s="316" t="s">
        <v>665</v>
      </c>
      <c r="D5" s="317" t="s">
        <v>666</v>
      </c>
    </row>
    <row r="6" spans="2:4" ht="15">
      <c r="B6" s="318"/>
      <c r="C6" s="319">
        <f>'Article 30'!F8</f>
        <v>0.28000000000000003</v>
      </c>
      <c r="D6" s="320">
        <f>'Article 30'!F9</f>
        <v>0.72</v>
      </c>
    </row>
    <row r="7" spans="2:4" ht="63.75">
      <c r="B7" s="321" t="s">
        <v>675</v>
      </c>
      <c r="C7" s="322"/>
      <c r="D7" s="322"/>
    </row>
    <row r="8" spans="2:4" ht="15">
      <c r="B8" s="315" t="s">
        <v>667</v>
      </c>
      <c r="C8" s="316" t="s">
        <v>676</v>
      </c>
      <c r="D8" s="317" t="s">
        <v>677</v>
      </c>
    </row>
    <row r="9" spans="2:4" ht="15">
      <c r="B9" s="318"/>
      <c r="C9" s="323">
        <f>'Article 30'!F11</f>
        <v>4.2420016568523233E-2</v>
      </c>
      <c r="D9" s="324">
        <f>1-C9</f>
        <v>0.95757998343147677</v>
      </c>
    </row>
    <row r="10" spans="2:4" ht="76.5">
      <c r="B10" s="321" t="s">
        <v>678</v>
      </c>
      <c r="C10" s="322"/>
      <c r="D10" s="322"/>
    </row>
    <row r="11" spans="2:4" ht="1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D9995-EB2F-4ED9-BFE5-CE1666F1BA91}">
  <sheetPr>
    <tabColor theme="6"/>
  </sheetPr>
  <dimension ref="C1:U84"/>
  <sheetViews>
    <sheetView showGridLines="0" zoomScale="85" zoomScaleNormal="85" workbookViewId="0">
      <selection activeCell="F8" sqref="F8"/>
    </sheetView>
  </sheetViews>
  <sheetFormatPr defaultColWidth="9.140625" defaultRowHeight="0" customHeight="1" zeroHeight="1"/>
  <cols>
    <col min="1" max="2" width="3.7109375" style="1" customWidth="1"/>
    <col min="3" max="3" width="8.7109375" style="190" customWidth="1"/>
    <col min="4" max="4" width="33.7109375" style="190" customWidth="1"/>
    <col min="5" max="5" width="60.28515625" style="190" customWidth="1"/>
    <col min="6" max="6" width="1.7109375" style="190" customWidth="1"/>
    <col min="7" max="10" width="11.28515625" style="190" customWidth="1"/>
    <col min="11" max="11" width="1.7109375" style="190" customWidth="1"/>
    <col min="12" max="12" width="15.7109375" style="190" bestFit="1" customWidth="1"/>
    <col min="13" max="13" width="3.7109375" style="190" customWidth="1"/>
    <col min="14" max="14" width="7.28515625" style="1" bestFit="1" customWidth="1"/>
    <col min="15" max="15" width="8.7109375" style="1" customWidth="1"/>
    <col min="16" max="16" width="33.7109375" style="1" customWidth="1"/>
    <col min="17" max="17" width="61.7109375" style="1" customWidth="1"/>
    <col min="18" max="18" width="1.7109375" style="1" customWidth="1"/>
    <col min="19" max="21" width="12.28515625" style="1" customWidth="1"/>
    <col min="22" max="16384" width="9.140625" style="1"/>
  </cols>
  <sheetData>
    <row r="1" spans="3:14" ht="24.95" customHeight="1"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3:14" ht="18.75">
      <c r="C2" s="325" t="s">
        <v>679</v>
      </c>
      <c r="D2" s="1"/>
      <c r="E2" s="1"/>
      <c r="F2" s="1"/>
      <c r="G2" s="1"/>
      <c r="H2" s="326" t="s">
        <v>680</v>
      </c>
      <c r="I2" s="1"/>
      <c r="J2" s="1"/>
      <c r="K2" s="1"/>
      <c r="L2" s="1"/>
      <c r="M2" s="1"/>
    </row>
    <row r="3" spans="3:14" ht="15.75" thickBot="1"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3:14" ht="15.75" thickBot="1">
      <c r="C4" s="1"/>
      <c r="D4" s="302" t="str">
        <f>+Output!D4</f>
        <v>Point</v>
      </c>
      <c r="E4" s="303" t="str">
        <f>+Output!E4</f>
        <v>Product</v>
      </c>
      <c r="F4" s="1"/>
      <c r="G4" s="304" t="str">
        <f>'Input data'!D5</f>
        <v>2023-24</v>
      </c>
      <c r="H4" s="304" t="str">
        <f>'Input data'!E5</f>
        <v>2024-25</v>
      </c>
      <c r="I4" s="304" t="str">
        <f>'Input data'!F5</f>
        <v>2025-26</v>
      </c>
      <c r="J4" s="304" t="str">
        <f>'Input data'!G5</f>
        <v>2026-27</v>
      </c>
      <c r="K4" s="327"/>
      <c r="L4" s="304" t="str">
        <f>+Output!K4</f>
        <v>Unit</v>
      </c>
      <c r="M4" s="1"/>
    </row>
    <row r="5" spans="3:14" ht="15">
      <c r="C5" s="306" t="str">
        <f>+Output!C5</f>
        <v>Entry</v>
      </c>
      <c r="D5" s="224" t="str">
        <f>+Output!D5</f>
        <v>VIP Iberico</v>
      </c>
      <c r="E5" s="225" t="str">
        <f>+Output!E5</f>
        <v>Yearly</v>
      </c>
      <c r="F5" s="328"/>
      <c r="G5" s="358">
        <f>'Entry Tariff_2'!D170</f>
        <v>3.3169012300779871E-2</v>
      </c>
      <c r="H5" s="329">
        <v>3.5228583569365819E-2</v>
      </c>
      <c r="I5" s="329">
        <f>'Entry Tariff_2'!F170</f>
        <v>3.7366318116816469E-2</v>
      </c>
      <c r="J5" s="329">
        <f>'Entry Tariff_2'!G170</f>
        <v>4.3924653615128845E-2</v>
      </c>
      <c r="K5" s="330"/>
      <c r="L5" s="243" t="str">
        <f>+Output!K5</f>
        <v>€/(kWh/day)/year</v>
      </c>
      <c r="M5" s="1"/>
      <c r="N5" s="356"/>
    </row>
    <row r="6" spans="3:14" ht="15">
      <c r="C6" s="308"/>
      <c r="D6" s="231"/>
      <c r="E6" s="232" t="str">
        <f>+Output!E6</f>
        <v>Quarterly</v>
      </c>
      <c r="F6" s="1"/>
      <c r="G6" s="359">
        <f>'Entry Tariff_2'!D171</f>
        <v>4.3119715991013836E-2</v>
      </c>
      <c r="H6" s="331">
        <v>4.156972861185166E-2</v>
      </c>
      <c r="I6" s="331">
        <f>'Entry Tariff_2'!F171</f>
        <v>4.4092255377843427E-2</v>
      </c>
      <c r="J6" s="331">
        <f>'Entry Tariff_2'!G171</f>
        <v>5.1831091265852038E-2</v>
      </c>
      <c r="K6" s="1"/>
      <c r="L6" s="235" t="str">
        <f>+Output!K6</f>
        <v>€/(kWh/day)/year</v>
      </c>
      <c r="M6" s="1"/>
      <c r="N6" s="356"/>
    </row>
    <row r="7" spans="3:14" ht="15">
      <c r="C7" s="308"/>
      <c r="D7" s="231"/>
      <c r="E7" s="232" t="str">
        <f>+Output!E7</f>
        <v>Monthly</v>
      </c>
      <c r="F7" s="35"/>
      <c r="G7" s="359">
        <f>'Entry Tariff_2'!D172</f>
        <v>4.9753518451169806E-2</v>
      </c>
      <c r="H7" s="331">
        <v>4.755858781864386E-2</v>
      </c>
      <c r="I7" s="331">
        <f>'Entry Tariff_2'!F172</f>
        <v>5.0444529457702232E-2</v>
      </c>
      <c r="J7" s="331">
        <f>'Entry Tariff_2'!G172</f>
        <v>5.9298282380423943E-2</v>
      </c>
      <c r="K7" s="332"/>
      <c r="L7" s="235" t="str">
        <f>+Output!K7</f>
        <v>€/(kWh/day)/year</v>
      </c>
      <c r="M7" s="1"/>
      <c r="N7" s="356"/>
    </row>
    <row r="8" spans="3:14" ht="15">
      <c r="C8" s="308"/>
      <c r="D8" s="231"/>
      <c r="E8" s="232" t="str">
        <f>+Output!E8</f>
        <v>Daily</v>
      </c>
      <c r="F8" s="35"/>
      <c r="G8" s="359">
        <f>'Entry Tariff_2'!D173</f>
        <v>6.6338024601559742E-2</v>
      </c>
      <c r="H8" s="331">
        <v>6.8343452124569687E-2</v>
      </c>
      <c r="I8" s="331">
        <f>'Entry Tariff_2'!F173</f>
        <v>7.2490657146623949E-2</v>
      </c>
      <c r="J8" s="331">
        <f>'Entry Tariff_2'!G173</f>
        <v>8.5213828013349951E-2</v>
      </c>
      <c r="K8" s="35"/>
      <c r="L8" s="235" t="str">
        <f>+Output!K8</f>
        <v>€/(kWh/day)/year</v>
      </c>
      <c r="M8" s="1"/>
      <c r="N8" s="356"/>
    </row>
    <row r="9" spans="3:14" ht="15.75" thickBot="1">
      <c r="C9" s="308"/>
      <c r="D9" s="238"/>
      <c r="E9" s="239" t="str">
        <f>+Output!E9</f>
        <v>Intraday</v>
      </c>
      <c r="F9" s="328"/>
      <c r="G9" s="360">
        <f>'Entry Tariff_2'!D174</f>
        <v>7.2971827061715719E-2</v>
      </c>
      <c r="H9" s="333">
        <v>7.5036883002749188E-2</v>
      </c>
      <c r="I9" s="333">
        <f>'Entry Tariff_2'!F174</f>
        <v>7.9590257588819074E-2</v>
      </c>
      <c r="J9" s="333">
        <f>'Entry Tariff_2'!G174</f>
        <v>9.3559512200224432E-2</v>
      </c>
      <c r="K9" s="330"/>
      <c r="L9" s="242" t="str">
        <f>+Output!K9</f>
        <v>€/(kWh/day)/year</v>
      </c>
      <c r="M9" s="1"/>
      <c r="N9" s="356"/>
    </row>
    <row r="10" spans="3:14" ht="15">
      <c r="C10" s="308"/>
      <c r="D10" s="224" t="str">
        <f>+Output!D10</f>
        <v>LNG terminal</v>
      </c>
      <c r="E10" s="225" t="str">
        <f>+Output!E10</f>
        <v>Yearly</v>
      </c>
      <c r="F10" s="1"/>
      <c r="G10" s="358">
        <f>'Entry Tariff_2'!D175</f>
        <v>9.3711496166219294E-2</v>
      </c>
      <c r="H10" s="329">
        <v>9.8902373364759225E-2</v>
      </c>
      <c r="I10" s="329">
        <f>'Entry Tariff_2'!F175</f>
        <v>0.10440725521264488</v>
      </c>
      <c r="J10" s="329">
        <f>'Entry Tariff_2'!G175</f>
        <v>0.12374153940209431</v>
      </c>
      <c r="K10" s="1"/>
      <c r="L10" s="243" t="str">
        <f>+Output!K10</f>
        <v>€/(kWh/day)/year</v>
      </c>
      <c r="M10" s="1"/>
      <c r="N10" s="356"/>
    </row>
    <row r="11" spans="3:14" ht="15">
      <c r="C11" s="308"/>
      <c r="D11" s="231"/>
      <c r="E11" s="232" t="str">
        <f>+Output!E11</f>
        <v>Quarterly</v>
      </c>
      <c r="F11" s="35"/>
      <c r="G11" s="359">
        <f>'Entry Tariff_2'!D176</f>
        <v>0.1218249450160851</v>
      </c>
      <c r="H11" s="331">
        <v>0.11670480057041588</v>
      </c>
      <c r="I11" s="331">
        <f>'Entry Tariff_2'!F176</f>
        <v>0.12320056115092094</v>
      </c>
      <c r="J11" s="331">
        <f>'Entry Tariff_2'!G176</f>
        <v>0.14601501649447127</v>
      </c>
      <c r="K11" s="332"/>
      <c r="L11" s="235" t="str">
        <f>+Output!K11</f>
        <v>€/(kWh/day)/year</v>
      </c>
      <c r="M11" s="1"/>
      <c r="N11" s="356"/>
    </row>
    <row r="12" spans="3:14" ht="15">
      <c r="C12" s="308"/>
      <c r="D12" s="231"/>
      <c r="E12" s="232" t="str">
        <f>+Output!E12</f>
        <v>Monthly</v>
      </c>
      <c r="F12" s="35"/>
      <c r="G12" s="359">
        <f>'Entry Tariff_2'!D177</f>
        <v>0.14056724424932893</v>
      </c>
      <c r="H12" s="331">
        <v>0.13351820404242495</v>
      </c>
      <c r="I12" s="331">
        <f>'Entry Tariff_2'!F177</f>
        <v>0.1409497945370706</v>
      </c>
      <c r="J12" s="331">
        <f>'Entry Tariff_2'!G177</f>
        <v>0.16705107819282733</v>
      </c>
      <c r="K12" s="35"/>
      <c r="L12" s="235" t="str">
        <f>+Output!K12</f>
        <v>€/(kWh/day)/year</v>
      </c>
      <c r="M12" s="1"/>
      <c r="N12" s="356"/>
    </row>
    <row r="13" spans="3:14" ht="15">
      <c r="C13" s="308"/>
      <c r="D13" s="231"/>
      <c r="E13" s="232" t="str">
        <f>+Output!E13</f>
        <v>Daily</v>
      </c>
      <c r="F13" s="328"/>
      <c r="G13" s="359">
        <f>'Entry Tariff_2'!D178</f>
        <v>0.18742299233243859</v>
      </c>
      <c r="H13" s="331">
        <v>0.19187060432763287</v>
      </c>
      <c r="I13" s="331">
        <f>'Entry Tariff_2'!F178</f>
        <v>0.20255007511253109</v>
      </c>
      <c r="J13" s="331">
        <f>'Entry Tariff_2'!G178</f>
        <v>0.24005858644006298</v>
      </c>
      <c r="K13" s="330"/>
      <c r="L13" s="235" t="str">
        <f>+Output!K13</f>
        <v>€/(kWh/day)/year</v>
      </c>
      <c r="M13" s="1"/>
      <c r="N13" s="356"/>
    </row>
    <row r="14" spans="3:14" ht="15.75" thickBot="1">
      <c r="C14" s="308"/>
      <c r="D14" s="238"/>
      <c r="E14" s="239" t="str">
        <f>+Output!E14</f>
        <v>Intraday</v>
      </c>
      <c r="F14" s="1"/>
      <c r="G14" s="360">
        <f>'Entry Tariff_2'!D179</f>
        <v>0.20616529156568245</v>
      </c>
      <c r="H14" s="333">
        <v>0.2106620552669371</v>
      </c>
      <c r="I14" s="333">
        <f>'Entry Tariff_2'!F179</f>
        <v>0.22238745360293358</v>
      </c>
      <c r="J14" s="333">
        <f>'Entry Tariff_2'!G179</f>
        <v>0.26356947892646088</v>
      </c>
      <c r="K14" s="1"/>
      <c r="L14" s="242" t="str">
        <f>+Output!K14</f>
        <v>€/(kWh/day)/year</v>
      </c>
      <c r="M14" s="1"/>
      <c r="N14" s="356"/>
    </row>
    <row r="15" spans="3:14" ht="15">
      <c r="C15" s="308"/>
      <c r="D15" s="224" t="str">
        <f>+Output!D15</f>
        <v>Underground Storage</v>
      </c>
      <c r="E15" s="225" t="str">
        <f>+Output!E15</f>
        <v>Daily</v>
      </c>
      <c r="F15" s="35"/>
      <c r="G15" s="358">
        <f>'Entry Tariff_2'!D180</f>
        <v>0</v>
      </c>
      <c r="H15" s="329">
        <v>0</v>
      </c>
      <c r="I15" s="329">
        <f>'Entry Tariff_2'!F180</f>
        <v>0</v>
      </c>
      <c r="J15" s="329">
        <f>'Entry Tariff_2'!G180</f>
        <v>0</v>
      </c>
      <c r="K15" s="332"/>
      <c r="L15" s="243" t="str">
        <f>+Output!K15</f>
        <v>€/(kWh/day)/year</v>
      </c>
      <c r="M15" s="1"/>
      <c r="N15" s="356"/>
    </row>
    <row r="16" spans="3:14" ht="15.75" thickBot="1">
      <c r="C16" s="311"/>
      <c r="D16" s="238"/>
      <c r="E16" s="239" t="str">
        <f>+Output!E16</f>
        <v>Intraday</v>
      </c>
      <c r="F16" s="35"/>
      <c r="G16" s="360">
        <f>'Entry Tariff_2'!D181</f>
        <v>0</v>
      </c>
      <c r="H16" s="333">
        <v>0</v>
      </c>
      <c r="I16" s="333">
        <f>'Entry Tariff_2'!F181</f>
        <v>0</v>
      </c>
      <c r="J16" s="333">
        <f>'Entry Tariff_2'!G181</f>
        <v>0</v>
      </c>
      <c r="K16" s="35"/>
      <c r="L16" s="242" t="str">
        <f>+Output!K16</f>
        <v>€/(kWh/day)/year</v>
      </c>
      <c r="M16" s="1"/>
      <c r="N16" s="356"/>
    </row>
    <row r="17" spans="3:14" ht="15.75" thickBot="1">
      <c r="C17" s="312"/>
      <c r="D17" s="231" t="str">
        <f>+Output!D17</f>
        <v>Gas producers</v>
      </c>
      <c r="E17" s="246" t="str">
        <f>+Output!E17</f>
        <v>Used capacity at injection</v>
      </c>
      <c r="F17" s="35"/>
      <c r="G17" s="361">
        <f>'Entry Tariff_2'!D182</f>
        <v>6.5485106194649373E-3</v>
      </c>
      <c r="H17" s="334">
        <v>7.1206007464080477E-3</v>
      </c>
      <c r="I17" s="334">
        <f>'Entry Tariff_2'!F182</f>
        <v>7.3225838532495419E-3</v>
      </c>
      <c r="J17" s="334">
        <f>'Entry Tariff_2'!G182</f>
        <v>8.7193329422280367E-3</v>
      </c>
      <c r="K17" s="35"/>
      <c r="L17" s="249" t="str">
        <f>+Output!K17</f>
        <v>€/(kWh/day)/year</v>
      </c>
      <c r="M17" s="1"/>
      <c r="N17" s="356"/>
    </row>
    <row r="18" spans="3:14" ht="15">
      <c r="C18" s="306" t="str">
        <f>+Output!C18</f>
        <v>Exit</v>
      </c>
      <c r="D18" s="224" t="str">
        <f>+Output!D18</f>
        <v>VIP Iberico</v>
      </c>
      <c r="E18" s="225" t="str">
        <f>+Output!E18</f>
        <v>Yearly</v>
      </c>
      <c r="F18" s="328"/>
      <c r="G18" s="358">
        <f>'Exit Tariff_2'!D212</f>
        <v>3.2954080048441685E-2</v>
      </c>
      <c r="H18" s="329">
        <v>3.4453513090425783E-2</v>
      </c>
      <c r="I18" s="329">
        <f>'Exit Tariff_2'!F212</f>
        <v>3.6839986548534723E-2</v>
      </c>
      <c r="J18" s="329">
        <f>'Exit Tariff_2'!G212</f>
        <v>3.7654063561903033E-2</v>
      </c>
      <c r="K18" s="330"/>
      <c r="L18" s="243" t="str">
        <f>+Output!K18</f>
        <v>€/(kWh/day)/year</v>
      </c>
      <c r="M18" s="1"/>
      <c r="N18" s="356"/>
    </row>
    <row r="19" spans="3:14" ht="15">
      <c r="C19" s="311"/>
      <c r="D19" s="231"/>
      <c r="E19" s="232" t="str">
        <f>+Output!E19</f>
        <v>Quarterly</v>
      </c>
      <c r="F19" s="1"/>
      <c r="G19" s="359">
        <f>'Exit Tariff_2'!D213</f>
        <v>4.2840304062974184E-2</v>
      </c>
      <c r="H19" s="331">
        <v>4.0655145446702429E-2</v>
      </c>
      <c r="I19" s="331">
        <f>'Exit Tariff_2'!F213</f>
        <v>4.3471184127270961E-2</v>
      </c>
      <c r="J19" s="331">
        <f>'Exit Tariff_2'!G213</f>
        <v>4.4431795003045574E-2</v>
      </c>
      <c r="K19" s="1"/>
      <c r="L19" s="235" t="str">
        <f>+Output!K19</f>
        <v>€/(kWh/day)/year</v>
      </c>
      <c r="M19" s="1"/>
      <c r="N19" s="356"/>
    </row>
    <row r="20" spans="3:14" ht="15">
      <c r="C20" s="311"/>
      <c r="D20" s="231"/>
      <c r="E20" s="232" t="str">
        <f>+Output!E20</f>
        <v>Monthly</v>
      </c>
      <c r="F20" s="35"/>
      <c r="G20" s="359">
        <f>'Exit Tariff_2'!D214</f>
        <v>4.9431120072662531E-2</v>
      </c>
      <c r="H20" s="331">
        <v>4.6512242672074815E-2</v>
      </c>
      <c r="I20" s="331">
        <f>'Exit Tariff_2'!F214</f>
        <v>4.9733981840521871E-2</v>
      </c>
      <c r="J20" s="331">
        <f>'Exit Tariff_2'!G214</f>
        <v>5.0832985808569105E-2</v>
      </c>
      <c r="K20" s="332"/>
      <c r="L20" s="235" t="str">
        <f>+Output!K20</f>
        <v>€/(kWh/day)/year</v>
      </c>
      <c r="M20" s="1"/>
      <c r="N20" s="356"/>
    </row>
    <row r="21" spans="3:14" ht="15">
      <c r="C21" s="311"/>
      <c r="D21" s="231"/>
      <c r="E21" s="232" t="str">
        <f>+Output!E21</f>
        <v>Daily</v>
      </c>
      <c r="F21" s="35"/>
      <c r="G21" s="359">
        <f>'Exit Tariff_2'!D215</f>
        <v>6.590816009688337E-2</v>
      </c>
      <c r="H21" s="331">
        <v>6.6839815395426022E-2</v>
      </c>
      <c r="I21" s="331">
        <f>'Exit Tariff_2'!F215</f>
        <v>7.1469573904157355E-2</v>
      </c>
      <c r="J21" s="331">
        <f>'Exit Tariff_2'!G215</f>
        <v>7.3048883310091892E-2</v>
      </c>
      <c r="K21" s="35"/>
      <c r="L21" s="235" t="str">
        <f>+Output!K21</f>
        <v>€/(kWh/day)/year</v>
      </c>
      <c r="M21" s="1"/>
      <c r="N21" s="356"/>
    </row>
    <row r="22" spans="3:14" ht="15.75" thickBot="1">
      <c r="C22" s="311"/>
      <c r="D22" s="238"/>
      <c r="E22" s="239" t="str">
        <f>+Output!E22</f>
        <v>Intraday</v>
      </c>
      <c r="F22" s="328"/>
      <c r="G22" s="360">
        <f>'Exit Tariff_2'!D216</f>
        <v>7.2498976106571703E-2</v>
      </c>
      <c r="H22" s="333">
        <v>7.338598288260692E-2</v>
      </c>
      <c r="I22" s="333">
        <f>'Exit Tariff_2'!F216</f>
        <v>7.8469171348378941E-2</v>
      </c>
      <c r="J22" s="333">
        <f>'Exit Tariff_2'!G216</f>
        <v>8.020315538685345E-2</v>
      </c>
      <c r="K22" s="330"/>
      <c r="L22" s="242" t="str">
        <f>+Output!K22</f>
        <v>€/(kWh/day)/year</v>
      </c>
      <c r="M22" s="1"/>
      <c r="N22" s="356"/>
    </row>
    <row r="23" spans="3:14" ht="15">
      <c r="C23" s="311"/>
      <c r="D23" s="224" t="str">
        <f>+Output!D23</f>
        <v>LNG terminal</v>
      </c>
      <c r="E23" s="225" t="str">
        <f>+Output!E23</f>
        <v>Yearly</v>
      </c>
      <c r="F23" s="1"/>
      <c r="G23" s="358">
        <f>'Exit Tariff_2'!D217</f>
        <v>0</v>
      </c>
      <c r="H23" s="329">
        <v>0</v>
      </c>
      <c r="I23" s="329">
        <f>'Exit Tariff_2'!F217</f>
        <v>0</v>
      </c>
      <c r="J23" s="329">
        <f>'Exit Tariff_2'!G217</f>
        <v>0</v>
      </c>
      <c r="K23" s="1"/>
      <c r="L23" s="243" t="str">
        <f>+Output!K23</f>
        <v>€/(kWh/day)/year</v>
      </c>
      <c r="M23" s="1"/>
      <c r="N23" s="356"/>
    </row>
    <row r="24" spans="3:14" ht="15">
      <c r="C24" s="311"/>
      <c r="D24" s="231"/>
      <c r="E24" s="232" t="str">
        <f>+Output!E24</f>
        <v>Quarterly</v>
      </c>
      <c r="F24" s="35"/>
      <c r="G24" s="359">
        <f>'Exit Tariff_2'!D218</f>
        <v>0</v>
      </c>
      <c r="H24" s="331">
        <v>0</v>
      </c>
      <c r="I24" s="331">
        <f>'Exit Tariff_2'!F218</f>
        <v>0</v>
      </c>
      <c r="J24" s="331">
        <f>'Exit Tariff_2'!G218</f>
        <v>0</v>
      </c>
      <c r="K24" s="332"/>
      <c r="L24" s="235" t="str">
        <f>+Output!K24</f>
        <v>€/(kWh/day)/year</v>
      </c>
      <c r="M24" s="1"/>
      <c r="N24" s="356"/>
    </row>
    <row r="25" spans="3:14" ht="15">
      <c r="C25" s="311"/>
      <c r="D25" s="231"/>
      <c r="E25" s="232" t="str">
        <f>+Output!E25</f>
        <v>Monthly</v>
      </c>
      <c r="F25" s="35"/>
      <c r="G25" s="359">
        <f>'Exit Tariff_2'!D219</f>
        <v>0</v>
      </c>
      <c r="H25" s="331">
        <v>0</v>
      </c>
      <c r="I25" s="331">
        <f>'Exit Tariff_2'!F219</f>
        <v>0</v>
      </c>
      <c r="J25" s="331">
        <f>'Exit Tariff_2'!G219</f>
        <v>0</v>
      </c>
      <c r="K25" s="35"/>
      <c r="L25" s="235" t="str">
        <f>+Output!K25</f>
        <v>€/(kWh/day)/year</v>
      </c>
      <c r="M25" s="1"/>
      <c r="N25" s="356"/>
    </row>
    <row r="26" spans="3:14" ht="15">
      <c r="C26" s="311"/>
      <c r="D26" s="231"/>
      <c r="E26" s="232" t="str">
        <f>+Output!E26</f>
        <v>Daily</v>
      </c>
      <c r="F26" s="328"/>
      <c r="G26" s="359">
        <f>'Exit Tariff_2'!D220</f>
        <v>0</v>
      </c>
      <c r="H26" s="331">
        <v>0</v>
      </c>
      <c r="I26" s="331">
        <f>'Exit Tariff_2'!F220</f>
        <v>0</v>
      </c>
      <c r="J26" s="331">
        <f>'Exit Tariff_2'!G220</f>
        <v>0</v>
      </c>
      <c r="K26" s="330"/>
      <c r="L26" s="235" t="str">
        <f>+Output!K26</f>
        <v>€/(kWh/day)/year</v>
      </c>
      <c r="M26" s="1"/>
      <c r="N26" s="356"/>
    </row>
    <row r="27" spans="3:14" ht="15.75" thickBot="1">
      <c r="C27" s="311"/>
      <c r="D27" s="238"/>
      <c r="E27" s="239" t="str">
        <f>+Output!E27</f>
        <v>Intraday</v>
      </c>
      <c r="F27" s="1"/>
      <c r="G27" s="360">
        <f>'Exit Tariff_2'!D221</f>
        <v>0</v>
      </c>
      <c r="H27" s="333">
        <v>0</v>
      </c>
      <c r="I27" s="333">
        <f>'Exit Tariff_2'!F221</f>
        <v>0</v>
      </c>
      <c r="J27" s="333">
        <f>'Exit Tariff_2'!G221</f>
        <v>0</v>
      </c>
      <c r="K27" s="1"/>
      <c r="L27" s="242" t="str">
        <f>+Output!K27</f>
        <v>€/(kWh/day)/year</v>
      </c>
      <c r="M27" s="1"/>
      <c r="N27" s="356"/>
    </row>
    <row r="28" spans="3:14" ht="15">
      <c r="C28" s="311"/>
      <c r="D28" s="224" t="str">
        <f>+Output!D28</f>
        <v>Underground Storage</v>
      </c>
      <c r="E28" s="225" t="str">
        <f>+Output!E28</f>
        <v>Daily</v>
      </c>
      <c r="F28" s="35"/>
      <c r="G28" s="358">
        <f>'Exit Tariff_2'!D222</f>
        <v>0</v>
      </c>
      <c r="H28" s="329">
        <v>0</v>
      </c>
      <c r="I28" s="329">
        <f>'Exit Tariff_2'!F222</f>
        <v>0</v>
      </c>
      <c r="J28" s="329">
        <f>'Exit Tariff_2'!G222</f>
        <v>0</v>
      </c>
      <c r="K28" s="332"/>
      <c r="L28" s="243" t="str">
        <f>+Output!K28</f>
        <v>€/(kWh/day)/year</v>
      </c>
      <c r="M28" s="1"/>
    </row>
    <row r="29" spans="3:14" ht="15.75" thickBot="1">
      <c r="C29" s="311"/>
      <c r="D29" s="238"/>
      <c r="E29" s="239" t="str">
        <f>+Output!E29</f>
        <v>Intraday</v>
      </c>
      <c r="F29" s="35"/>
      <c r="G29" s="360">
        <f>'Exit Tariff_2'!D223</f>
        <v>0</v>
      </c>
      <c r="H29" s="333">
        <v>0</v>
      </c>
      <c r="I29" s="333">
        <f>'Exit Tariff_2'!F223</f>
        <v>0</v>
      </c>
      <c r="J29" s="333">
        <f>'Exit Tariff_2'!G223</f>
        <v>0</v>
      </c>
      <c r="K29" s="35"/>
      <c r="L29" s="242" t="str">
        <f>+Output!K29</f>
        <v>€/(kWh/day)/year</v>
      </c>
      <c r="M29" s="1"/>
    </row>
    <row r="30" spans="3:14" ht="15.75" thickBot="1">
      <c r="C30" s="311"/>
      <c r="D30" s="250" t="str">
        <f>+Output!D30</f>
        <v>Distribution networks and HP Customers</v>
      </c>
      <c r="E30" s="251" t="str">
        <f>+Output!E30</f>
        <v>Long Uses</v>
      </c>
      <c r="F30" s="328"/>
      <c r="G30" s="362">
        <f>'Exit Tariff_2'!D224</f>
        <v>0.1588443246190156</v>
      </c>
      <c r="H30" s="335">
        <v>0.166115332177528</v>
      </c>
      <c r="I30" s="335">
        <f>'Exit Tariff_2'!F224</f>
        <v>0.17704832862406322</v>
      </c>
      <c r="J30" s="335">
        <f>'Exit Tariff_2'!G224</f>
        <v>0.18096584987033748</v>
      </c>
      <c r="K30" s="330"/>
      <c r="L30" s="254" t="str">
        <f>+Output!K30</f>
        <v>€/(kWh/day)/year</v>
      </c>
      <c r="M30" s="1"/>
    </row>
    <row r="31" spans="3:14" ht="15">
      <c r="C31" s="311"/>
      <c r="D31" s="224" t="str">
        <f>+Output!D31</f>
        <v>HP Customers</v>
      </c>
      <c r="E31" s="225" t="str">
        <f>+Output!E31</f>
        <v>Annual Flexible Rate - Annual Base Capacity</v>
      </c>
      <c r="F31" s="1"/>
      <c r="G31" s="358">
        <f>'Exit Tariff_2'!D225</f>
        <v>0.1588443246190156</v>
      </c>
      <c r="H31" s="329">
        <v>0.166115332177528</v>
      </c>
      <c r="I31" s="329">
        <f>'Exit Tariff_2'!F225</f>
        <v>0.17704832862406322</v>
      </c>
      <c r="J31" s="329">
        <f>'Exit Tariff_2'!G225</f>
        <v>0.18096584987033748</v>
      </c>
      <c r="K31" s="1"/>
      <c r="L31" s="255" t="str">
        <f>+Output!K31</f>
        <v>€/(kWh/day)/year</v>
      </c>
      <c r="M31" s="1"/>
    </row>
    <row r="32" spans="3:14" ht="15">
      <c r="C32" s="311"/>
      <c r="D32" s="231"/>
      <c r="E32" s="232" t="str">
        <f>+Output!E32</f>
        <v>Annual Flexible Rate - Additional Monthly Capacity (April to September)</v>
      </c>
      <c r="F32" s="35"/>
      <c r="G32" s="359">
        <f>'Exit Tariff_2'!D226</f>
        <v>0.2382664869285234</v>
      </c>
      <c r="H32" s="331">
        <v>0.24917299826629197</v>
      </c>
      <c r="I32" s="331">
        <f>'Exit Tariff_2'!F226</f>
        <v>0.26557249293609486</v>
      </c>
      <c r="J32" s="331">
        <f>'Exit Tariff_2'!G226</f>
        <v>0.27144877480550622</v>
      </c>
      <c r="K32" s="332"/>
      <c r="L32" s="235" t="str">
        <f>+Output!K32</f>
        <v>€/(kWh/day)/year</v>
      </c>
      <c r="M32" s="1"/>
    </row>
    <row r="33" spans="3:21" ht="15">
      <c r="C33" s="311"/>
      <c r="D33" s="231"/>
      <c r="E33" s="232" t="str">
        <f>+Output!E33</f>
        <v>Flexible Monthly Rate - Monthly Capacity (October to March)</v>
      </c>
      <c r="F33" s="35"/>
      <c r="G33" s="359">
        <f>'Exit Tariff_2'!D227</f>
        <v>0.47653297385704679</v>
      </c>
      <c r="H33" s="331">
        <v>0.49834599653258393</v>
      </c>
      <c r="I33" s="331">
        <f>'Exit Tariff_2'!F227</f>
        <v>0.53114498587218972</v>
      </c>
      <c r="J33" s="331">
        <f>'Exit Tariff_2'!G227</f>
        <v>0.54289754961101244</v>
      </c>
      <c r="K33" s="35"/>
      <c r="L33" s="235" t="str">
        <f>+Output!K33</f>
        <v>€/(kWh/day)/year</v>
      </c>
      <c r="M33" s="1"/>
    </row>
    <row r="34" spans="3:21" ht="15">
      <c r="C34" s="311"/>
      <c r="D34" s="231"/>
      <c r="E34" s="232" t="str">
        <f>+Output!E34</f>
        <v>Flexible Monthly Rate - Monthly Capacity (April to September)</v>
      </c>
      <c r="F34" s="328"/>
      <c r="G34" s="359">
        <f>'Exit Tariff_2'!D228</f>
        <v>0.2382664869285234</v>
      </c>
      <c r="H34" s="331">
        <v>0.24917299826629197</v>
      </c>
      <c r="I34" s="331">
        <f>'Exit Tariff_2'!F228</f>
        <v>0.26557249293609486</v>
      </c>
      <c r="J34" s="331">
        <f>'Exit Tariff_2'!G228</f>
        <v>0.27144877480550622</v>
      </c>
      <c r="K34" s="330"/>
      <c r="L34" s="235" t="str">
        <f>+Output!K34</f>
        <v>€/(kWh/day)/year</v>
      </c>
      <c r="M34" s="1"/>
    </row>
    <row r="35" spans="3:21" ht="15">
      <c r="C35" s="311"/>
      <c r="D35" s="231"/>
      <c r="E35" s="232" t="str">
        <f>+Output!E35</f>
        <v>Daily Flexible Rate - Daily Capacity (October to March)</v>
      </c>
      <c r="F35" s="1"/>
      <c r="G35" s="359">
        <f>'Exit Tariff_2'!D229</f>
        <v>1.5884432461901559</v>
      </c>
      <c r="H35" s="331">
        <v>1.6611533217752801</v>
      </c>
      <c r="I35" s="331">
        <f>'Exit Tariff_2'!F229</f>
        <v>1.7704832862406321</v>
      </c>
      <c r="J35" s="331">
        <f>'Exit Tariff_2'!G229</f>
        <v>1.8096584987033748</v>
      </c>
      <c r="K35" s="1"/>
      <c r="L35" s="235" t="str">
        <f>+Output!K35</f>
        <v>€/(kWh/day)/year</v>
      </c>
      <c r="M35" s="1"/>
    </row>
    <row r="36" spans="3:21" ht="15.75" thickBot="1">
      <c r="C36" s="312"/>
      <c r="D36" s="238"/>
      <c r="E36" s="239" t="str">
        <f>+Output!E36</f>
        <v>Daily Flexible Rate - Daily Capacity (April to September)</v>
      </c>
      <c r="F36" s="35"/>
      <c r="G36" s="360">
        <f>'Exit Tariff_2'!D230</f>
        <v>0.95306594771409359</v>
      </c>
      <c r="H36" s="333">
        <v>0.99669199306516787</v>
      </c>
      <c r="I36" s="333">
        <f>'Exit Tariff_2'!F230</f>
        <v>1.0622899717443794</v>
      </c>
      <c r="J36" s="333">
        <f>'Exit Tariff_2'!G230</f>
        <v>1.0857950992220249</v>
      </c>
      <c r="K36" s="332"/>
      <c r="L36" s="242" t="str">
        <f>+Output!K36</f>
        <v>€/(kWh/day)/year</v>
      </c>
      <c r="M36" s="1"/>
    </row>
    <row r="37" spans="3:21" ht="15.75" thickBot="1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21" ht="15.75" thickBot="1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P38" s="302" t="str">
        <f>+D4</f>
        <v>Point</v>
      </c>
      <c r="Q38" s="303" t="str">
        <f>+E4</f>
        <v>Product</v>
      </c>
      <c r="S38" s="304" t="str">
        <f>+H4</f>
        <v>2024-25</v>
      </c>
      <c r="T38" s="304" t="str">
        <f>+I4</f>
        <v>2025-26</v>
      </c>
      <c r="U38" s="304" t="str">
        <f>+J4</f>
        <v>2026-27</v>
      </c>
    </row>
    <row r="39" spans="3:21" ht="1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O39" s="306" t="str">
        <f>+C5</f>
        <v>Entry</v>
      </c>
      <c r="P39" s="224" t="str">
        <f>+D5</f>
        <v>VIP Iberico</v>
      </c>
      <c r="Q39" s="225" t="str">
        <f>+E5</f>
        <v>Yearly</v>
      </c>
      <c r="R39" s="328"/>
      <c r="S39" s="336">
        <f t="shared" ref="S39:T70" si="0">IF(G5=0,"-",H5/G5-1)</f>
        <v>6.2093234791242846E-2</v>
      </c>
      <c r="T39" s="336">
        <f t="shared" si="0"/>
        <v>6.0681819444752927E-2</v>
      </c>
      <c r="U39" s="337">
        <f t="shared" ref="U39:U70" si="1">IF(I5=0,"-",J5/I5-1)</f>
        <v>0.17551462998868073</v>
      </c>
    </row>
    <row r="40" spans="3:21" ht="1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O40" s="308"/>
      <c r="P40" s="231"/>
      <c r="Q40" s="232" t="str">
        <f t="shared" ref="Q40:Q70" si="2">+E6</f>
        <v>Quarterly</v>
      </c>
      <c r="S40" s="338">
        <f t="shared" si="0"/>
        <v>-3.5946140727948994E-2</v>
      </c>
      <c r="T40" s="338">
        <f t="shared" si="0"/>
        <v>6.0681819444753149E-2</v>
      </c>
      <c r="U40" s="339">
        <f t="shared" si="1"/>
        <v>0.17551462998868073</v>
      </c>
    </row>
    <row r="41" spans="3:21" ht="1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O41" s="308"/>
      <c r="P41" s="231"/>
      <c r="Q41" s="232" t="str">
        <f t="shared" si="2"/>
        <v>Monthly</v>
      </c>
      <c r="R41" s="35"/>
      <c r="S41" s="338">
        <f t="shared" si="0"/>
        <v>-4.4116088687881305E-2</v>
      </c>
      <c r="T41" s="338">
        <f t="shared" si="0"/>
        <v>6.0681819444752927E-2</v>
      </c>
      <c r="U41" s="339">
        <f t="shared" si="1"/>
        <v>0.17551462998868073</v>
      </c>
    </row>
    <row r="42" spans="3:21" ht="1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O42" s="308"/>
      <c r="P42" s="231"/>
      <c r="Q42" s="232" t="str">
        <f t="shared" si="2"/>
        <v>Daily</v>
      </c>
      <c r="R42" s="35"/>
      <c r="S42" s="338">
        <f t="shared" si="0"/>
        <v>3.0230437747505556E-2</v>
      </c>
      <c r="T42" s="338">
        <f t="shared" si="0"/>
        <v>6.0681819444753149E-2</v>
      </c>
      <c r="U42" s="339">
        <f t="shared" si="1"/>
        <v>0.1755146299886805</v>
      </c>
    </row>
    <row r="43" spans="3:21" ht="15.75" thickBot="1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O43" s="308"/>
      <c r="P43" s="238"/>
      <c r="Q43" s="239" t="str">
        <f t="shared" si="2"/>
        <v>Intraday</v>
      </c>
      <c r="R43" s="328"/>
      <c r="S43" s="340">
        <f t="shared" si="0"/>
        <v>2.8299359138794111E-2</v>
      </c>
      <c r="T43" s="340">
        <f t="shared" si="0"/>
        <v>6.0681819444753149E-2</v>
      </c>
      <c r="U43" s="341">
        <f t="shared" si="1"/>
        <v>0.1755146299886805</v>
      </c>
    </row>
    <row r="44" spans="3:21" ht="1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O44" s="308"/>
      <c r="P44" s="224" t="str">
        <f>+D10</f>
        <v>LNG terminal</v>
      </c>
      <c r="Q44" s="225" t="str">
        <f t="shared" si="2"/>
        <v>Yearly</v>
      </c>
      <c r="S44" s="336">
        <f t="shared" si="0"/>
        <v>5.5392106741447122E-2</v>
      </c>
      <c r="T44" s="336">
        <f t="shared" si="0"/>
        <v>5.5659754772347414E-2</v>
      </c>
      <c r="U44" s="337">
        <f t="shared" si="1"/>
        <v>0.18518142393525761</v>
      </c>
    </row>
    <row r="45" spans="3:21" ht="1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308"/>
      <c r="P45" s="231"/>
      <c r="Q45" s="232" t="str">
        <f t="shared" si="2"/>
        <v>Quarterly</v>
      </c>
      <c r="R45" s="35"/>
      <c r="S45" s="338">
        <f t="shared" si="0"/>
        <v>-4.2028703111609667E-2</v>
      </c>
      <c r="T45" s="338">
        <f t="shared" si="0"/>
        <v>5.5659754772347414E-2</v>
      </c>
      <c r="U45" s="339">
        <f t="shared" si="1"/>
        <v>0.18518142393525761</v>
      </c>
    </row>
    <row r="46" spans="3:21" ht="1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O46" s="308"/>
      <c r="P46" s="231"/>
      <c r="Q46" s="232" t="str">
        <f t="shared" si="2"/>
        <v>Monthly</v>
      </c>
      <c r="R46" s="35"/>
      <c r="S46" s="338">
        <f t="shared" si="0"/>
        <v>-5.0147103932697501E-2</v>
      </c>
      <c r="T46" s="338">
        <f t="shared" si="0"/>
        <v>5.5659754772347636E-2</v>
      </c>
      <c r="U46" s="339">
        <f t="shared" si="1"/>
        <v>0.18518142393525761</v>
      </c>
    </row>
    <row r="47" spans="3:21" ht="1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O47" s="308"/>
      <c r="P47" s="231"/>
      <c r="Q47" s="232" t="str">
        <f t="shared" si="2"/>
        <v>Daily</v>
      </c>
      <c r="R47" s="328"/>
      <c r="S47" s="338">
        <f t="shared" si="0"/>
        <v>2.3730343539203558E-2</v>
      </c>
      <c r="T47" s="338">
        <f t="shared" si="0"/>
        <v>5.5659754772347858E-2</v>
      </c>
      <c r="U47" s="339">
        <f t="shared" si="1"/>
        <v>0.18518142393525761</v>
      </c>
    </row>
    <row r="48" spans="3:21" ht="15.75" thickBot="1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O48" s="308"/>
      <c r="P48" s="238"/>
      <c r="Q48" s="239" t="str">
        <f t="shared" si="2"/>
        <v>Intraday</v>
      </c>
      <c r="S48" s="340">
        <f t="shared" si="0"/>
        <v>2.181144879967345E-2</v>
      </c>
      <c r="T48" s="340">
        <f t="shared" si="0"/>
        <v>5.5659754772347636E-2</v>
      </c>
      <c r="U48" s="341">
        <f t="shared" si="1"/>
        <v>0.18518142393525783</v>
      </c>
    </row>
    <row r="49" spans="3:21" ht="1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O49" s="308"/>
      <c r="P49" s="224" t="str">
        <f>+D15</f>
        <v>Underground Storage</v>
      </c>
      <c r="Q49" s="225" t="str">
        <f t="shared" si="2"/>
        <v>Daily</v>
      </c>
      <c r="R49" s="35"/>
      <c r="S49" s="336" t="str">
        <f t="shared" si="0"/>
        <v>-</v>
      </c>
      <c r="T49" s="336" t="str">
        <f t="shared" si="0"/>
        <v>-</v>
      </c>
      <c r="U49" s="337" t="str">
        <f t="shared" si="1"/>
        <v>-</v>
      </c>
    </row>
    <row r="50" spans="3:21" ht="15.75" thickBot="1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O50" s="311"/>
      <c r="P50" s="238"/>
      <c r="Q50" s="239" t="str">
        <f t="shared" si="2"/>
        <v>Intraday</v>
      </c>
      <c r="R50" s="35"/>
      <c r="S50" s="340" t="str">
        <f t="shared" si="0"/>
        <v>-</v>
      </c>
      <c r="T50" s="340" t="str">
        <f t="shared" si="0"/>
        <v>-</v>
      </c>
      <c r="U50" s="341" t="str">
        <f t="shared" si="1"/>
        <v>-</v>
      </c>
    </row>
    <row r="51" spans="3:21" ht="15.75" thickBot="1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O51" s="312"/>
      <c r="P51" s="231" t="str">
        <f>+D17</f>
        <v>Gas producers</v>
      </c>
      <c r="Q51" s="246" t="str">
        <f t="shared" si="2"/>
        <v>Used capacity at injection</v>
      </c>
      <c r="R51" s="35"/>
      <c r="S51" s="342">
        <f t="shared" si="0"/>
        <v>8.7361869009209059E-2</v>
      </c>
      <c r="T51" s="342">
        <f t="shared" si="0"/>
        <v>2.8366020513561852E-2</v>
      </c>
      <c r="U51" s="343">
        <f t="shared" si="1"/>
        <v>0.1907453867337634</v>
      </c>
    </row>
    <row r="52" spans="3:21" ht="1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O52" s="306" t="str">
        <f>+C18</f>
        <v>Exit</v>
      </c>
      <c r="P52" s="224" t="str">
        <f>+D18</f>
        <v>VIP Iberico</v>
      </c>
      <c r="Q52" s="225" t="str">
        <f t="shared" si="2"/>
        <v>Yearly</v>
      </c>
      <c r="R52" s="328"/>
      <c r="S52" s="336">
        <f t="shared" si="0"/>
        <v>4.5500679727061621E-2</v>
      </c>
      <c r="T52" s="336">
        <f t="shared" si="0"/>
        <v>6.9266476595448045E-2</v>
      </c>
      <c r="U52" s="337">
        <f t="shared" si="1"/>
        <v>2.2097646867916376E-2</v>
      </c>
    </row>
    <row r="53" spans="3:21" ht="1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O53" s="311"/>
      <c r="P53" s="231"/>
      <c r="Q53" s="232" t="str">
        <f t="shared" si="2"/>
        <v>Quarterly</v>
      </c>
      <c r="S53" s="338">
        <f t="shared" si="0"/>
        <v>-5.1007075324666862E-2</v>
      </c>
      <c r="T53" s="338">
        <f t="shared" si="0"/>
        <v>6.9266476595447601E-2</v>
      </c>
      <c r="U53" s="339">
        <f t="shared" si="1"/>
        <v>2.2097646867916598E-2</v>
      </c>
    </row>
    <row r="54" spans="3:21" ht="1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O54" s="311"/>
      <c r="P54" s="231"/>
      <c r="Q54" s="232" t="str">
        <f t="shared" si="2"/>
        <v>Monthly</v>
      </c>
      <c r="R54" s="35"/>
      <c r="S54" s="338">
        <f t="shared" si="0"/>
        <v>-5.904938824564443E-2</v>
      </c>
      <c r="T54" s="338">
        <f t="shared" si="0"/>
        <v>6.9266476595447823E-2</v>
      </c>
      <c r="U54" s="339">
        <f t="shared" si="1"/>
        <v>2.2097646867916598E-2</v>
      </c>
    </row>
    <row r="55" spans="3:21" ht="1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O55" s="311"/>
      <c r="P55" s="231"/>
      <c r="Q55" s="232" t="str">
        <f t="shared" si="2"/>
        <v>Daily</v>
      </c>
      <c r="R55" s="35"/>
      <c r="S55" s="338">
        <f t="shared" si="0"/>
        <v>1.4135659335249962E-2</v>
      </c>
      <c r="T55" s="338">
        <f t="shared" si="0"/>
        <v>6.9266476595447823E-2</v>
      </c>
      <c r="U55" s="339">
        <f t="shared" si="1"/>
        <v>2.2097646867916598E-2</v>
      </c>
    </row>
    <row r="56" spans="3:21" ht="15.75" thickBo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O56" s="311"/>
      <c r="P56" s="238"/>
      <c r="Q56" s="239" t="str">
        <f t="shared" si="2"/>
        <v>Intraday</v>
      </c>
      <c r="R56" s="328"/>
      <c r="S56" s="340">
        <f t="shared" si="0"/>
        <v>1.2234749008473544E-2</v>
      </c>
      <c r="T56" s="340">
        <f t="shared" si="0"/>
        <v>6.9266476595447823E-2</v>
      </c>
      <c r="U56" s="341">
        <f t="shared" si="1"/>
        <v>2.2097646867916598E-2</v>
      </c>
    </row>
    <row r="57" spans="3:21" ht="1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O57" s="311"/>
      <c r="P57" s="224" t="str">
        <f>+D23</f>
        <v>LNG terminal</v>
      </c>
      <c r="Q57" s="225" t="str">
        <f t="shared" si="2"/>
        <v>Yearly</v>
      </c>
      <c r="S57" s="336" t="str">
        <f t="shared" si="0"/>
        <v>-</v>
      </c>
      <c r="T57" s="336" t="str">
        <f t="shared" si="0"/>
        <v>-</v>
      </c>
      <c r="U57" s="337" t="str">
        <f t="shared" si="1"/>
        <v>-</v>
      </c>
    </row>
    <row r="58" spans="3:21" ht="1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O58" s="311"/>
      <c r="P58" s="231"/>
      <c r="Q58" s="232" t="str">
        <f t="shared" si="2"/>
        <v>Quarterly</v>
      </c>
      <c r="R58" s="35"/>
      <c r="S58" s="338" t="str">
        <f t="shared" si="0"/>
        <v>-</v>
      </c>
      <c r="T58" s="338" t="str">
        <f t="shared" si="0"/>
        <v>-</v>
      </c>
      <c r="U58" s="339" t="str">
        <f t="shared" si="1"/>
        <v>-</v>
      </c>
    </row>
    <row r="59" spans="3:21" ht="1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O59" s="311"/>
      <c r="P59" s="231"/>
      <c r="Q59" s="232" t="str">
        <f t="shared" si="2"/>
        <v>Monthly</v>
      </c>
      <c r="R59" s="35"/>
      <c r="S59" s="338" t="str">
        <f t="shared" si="0"/>
        <v>-</v>
      </c>
      <c r="T59" s="338" t="str">
        <f t="shared" si="0"/>
        <v>-</v>
      </c>
      <c r="U59" s="339" t="str">
        <f t="shared" si="1"/>
        <v>-</v>
      </c>
    </row>
    <row r="60" spans="3:21" ht="1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O60" s="311"/>
      <c r="P60" s="231"/>
      <c r="Q60" s="232" t="str">
        <f t="shared" si="2"/>
        <v>Daily</v>
      </c>
      <c r="R60" s="328"/>
      <c r="S60" s="338" t="str">
        <f t="shared" si="0"/>
        <v>-</v>
      </c>
      <c r="T60" s="338" t="str">
        <f t="shared" si="0"/>
        <v>-</v>
      </c>
      <c r="U60" s="339" t="str">
        <f t="shared" si="1"/>
        <v>-</v>
      </c>
    </row>
    <row r="61" spans="3:21" ht="15.75" thickBo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O61" s="311"/>
      <c r="P61" s="238"/>
      <c r="Q61" s="239" t="str">
        <f t="shared" si="2"/>
        <v>Intraday</v>
      </c>
      <c r="S61" s="340" t="str">
        <f t="shared" si="0"/>
        <v>-</v>
      </c>
      <c r="T61" s="340" t="str">
        <f t="shared" si="0"/>
        <v>-</v>
      </c>
      <c r="U61" s="341" t="str">
        <f t="shared" si="1"/>
        <v>-</v>
      </c>
    </row>
    <row r="62" spans="3:21" ht="1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O62" s="311"/>
      <c r="P62" s="224" t="str">
        <f>+D28</f>
        <v>Underground Storage</v>
      </c>
      <c r="Q62" s="225" t="str">
        <f t="shared" si="2"/>
        <v>Daily</v>
      </c>
      <c r="R62" s="35"/>
      <c r="S62" s="336" t="str">
        <f t="shared" si="0"/>
        <v>-</v>
      </c>
      <c r="T62" s="336" t="str">
        <f t="shared" si="0"/>
        <v>-</v>
      </c>
      <c r="U62" s="337" t="str">
        <f t="shared" si="1"/>
        <v>-</v>
      </c>
    </row>
    <row r="63" spans="3:21" ht="15.75" thickBo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O63" s="311"/>
      <c r="P63" s="238"/>
      <c r="Q63" s="239" t="str">
        <f t="shared" si="2"/>
        <v>Intraday</v>
      </c>
      <c r="R63" s="35"/>
      <c r="S63" s="340" t="str">
        <f t="shared" si="0"/>
        <v>-</v>
      </c>
      <c r="T63" s="340" t="str">
        <f t="shared" si="0"/>
        <v>-</v>
      </c>
      <c r="U63" s="341" t="str">
        <f t="shared" si="1"/>
        <v>-</v>
      </c>
    </row>
    <row r="64" spans="3:21" ht="15.75" thickBo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O64" s="311"/>
      <c r="P64" s="250" t="str">
        <f>+D30</f>
        <v>Distribution networks and HP Customers</v>
      </c>
      <c r="Q64" s="251" t="str">
        <f t="shared" si="2"/>
        <v>Long Uses</v>
      </c>
      <c r="R64" s="328"/>
      <c r="S64" s="342">
        <f t="shared" si="0"/>
        <v>4.5774424588047147E-2</v>
      </c>
      <c r="T64" s="342">
        <f t="shared" si="0"/>
        <v>6.5815697462839218E-2</v>
      </c>
      <c r="U64" s="343">
        <f t="shared" si="1"/>
        <v>2.2126846814761736E-2</v>
      </c>
    </row>
    <row r="65" spans="3:21" ht="1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O65" s="311"/>
      <c r="P65" s="224" t="str">
        <f>+D31</f>
        <v>HP Customers</v>
      </c>
      <c r="Q65" s="225" t="str">
        <f t="shared" si="2"/>
        <v>Annual Flexible Rate - Annual Base Capacity</v>
      </c>
      <c r="S65" s="336">
        <f t="shared" si="0"/>
        <v>4.5774424588047147E-2</v>
      </c>
      <c r="T65" s="336">
        <f t="shared" si="0"/>
        <v>6.5815697462839218E-2</v>
      </c>
      <c r="U65" s="337">
        <f t="shared" si="1"/>
        <v>2.2126846814761736E-2</v>
      </c>
    </row>
    <row r="66" spans="3:21" ht="1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O66" s="311"/>
      <c r="P66" s="231"/>
      <c r="Q66" s="232" t="str">
        <f t="shared" si="2"/>
        <v>Annual Flexible Rate - Additional Monthly Capacity (April to September)</v>
      </c>
      <c r="R66" s="35"/>
      <c r="S66" s="338">
        <f t="shared" si="0"/>
        <v>4.5774424588046925E-2</v>
      </c>
      <c r="T66" s="338">
        <f t="shared" si="0"/>
        <v>6.581569746283944E-2</v>
      </c>
      <c r="U66" s="339">
        <f t="shared" si="1"/>
        <v>2.2126846814761736E-2</v>
      </c>
    </row>
    <row r="67" spans="3:21" ht="1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311"/>
      <c r="P67" s="231"/>
      <c r="Q67" s="232" t="str">
        <f t="shared" si="2"/>
        <v>Flexible Monthly Rate - Monthly Capacity (October to March)</v>
      </c>
      <c r="R67" s="35"/>
      <c r="S67" s="338">
        <f t="shared" si="0"/>
        <v>4.5774424588046925E-2</v>
      </c>
      <c r="T67" s="338">
        <f t="shared" si="0"/>
        <v>6.581569746283944E-2</v>
      </c>
      <c r="U67" s="339">
        <f t="shared" si="1"/>
        <v>2.2126846814761736E-2</v>
      </c>
    </row>
    <row r="68" spans="3:21" ht="1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O68" s="311"/>
      <c r="P68" s="231"/>
      <c r="Q68" s="232" t="str">
        <f t="shared" si="2"/>
        <v>Flexible Monthly Rate - Monthly Capacity (April to September)</v>
      </c>
      <c r="R68" s="328"/>
      <c r="S68" s="338">
        <f t="shared" si="0"/>
        <v>4.5774424588046925E-2</v>
      </c>
      <c r="T68" s="338">
        <f t="shared" si="0"/>
        <v>6.581569746283944E-2</v>
      </c>
      <c r="U68" s="339">
        <f t="shared" si="1"/>
        <v>2.2126846814761736E-2</v>
      </c>
    </row>
    <row r="69" spans="3:21" ht="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O69" s="311"/>
      <c r="P69" s="231"/>
      <c r="Q69" s="232" t="str">
        <f t="shared" si="2"/>
        <v>Daily Flexible Rate - Daily Capacity (October to March)</v>
      </c>
      <c r="S69" s="338">
        <f t="shared" si="0"/>
        <v>4.5774424588047147E-2</v>
      </c>
      <c r="T69" s="338">
        <f t="shared" si="0"/>
        <v>6.5815697462838996E-2</v>
      </c>
      <c r="U69" s="339">
        <f t="shared" si="1"/>
        <v>2.2126846814761958E-2</v>
      </c>
    </row>
    <row r="70" spans="3:21" ht="15.75" thickBo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O70" s="312"/>
      <c r="P70" s="238"/>
      <c r="Q70" s="239" t="str">
        <f t="shared" si="2"/>
        <v>Daily Flexible Rate - Daily Capacity (April to September)</v>
      </c>
      <c r="R70" s="35"/>
      <c r="S70" s="340">
        <f t="shared" si="0"/>
        <v>4.5774424588046925E-2</v>
      </c>
      <c r="T70" s="340">
        <f t="shared" si="0"/>
        <v>6.581569746283944E-2</v>
      </c>
      <c r="U70" s="341">
        <f t="shared" si="1"/>
        <v>2.2126846814761736E-2</v>
      </c>
    </row>
    <row r="71" spans="3:21" ht="1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3:21" ht="1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3:21" ht="1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3:21" ht="1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3:21" ht="1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3:21" ht="1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3:21" ht="1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3:21" ht="1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3:21" ht="1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3:21" ht="1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3:13" ht="1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3:13" ht="1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3:13" ht="1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3:13" ht="0" hidden="1" customHeight="1">
      <c r="E84" s="1"/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14C9-8C5E-420E-952B-AB2F9B28F097}">
  <sheetPr>
    <tabColor theme="6"/>
  </sheetPr>
  <dimension ref="A1:F103"/>
  <sheetViews>
    <sheetView showGridLines="0" topLeftCell="A40" workbookViewId="0">
      <selection activeCell="D53" sqref="D53:E53"/>
    </sheetView>
  </sheetViews>
  <sheetFormatPr defaultColWidth="0" defaultRowHeight="15"/>
  <cols>
    <col min="1" max="1" width="16.140625" style="1" customWidth="1"/>
    <col min="2" max="2" width="50.5703125" style="1" customWidth="1"/>
    <col min="3" max="3" width="9.140625" style="1" customWidth="1"/>
    <col min="4" max="5" width="50.5703125" style="1" customWidth="1"/>
    <col min="6" max="6" width="9.140625" style="1" customWidth="1"/>
    <col min="7" max="16384" width="9.140625" style="1" hidden="1"/>
  </cols>
  <sheetData>
    <row r="1" spans="1:6">
      <c r="B1" s="294" t="s">
        <v>681</v>
      </c>
      <c r="D1" s="294"/>
      <c r="E1" s="294"/>
    </row>
    <row r="2" spans="1:6" ht="15.75" thickBot="1">
      <c r="A2" s="96"/>
      <c r="B2" s="344" t="str">
        <f>+Info!R3</f>
        <v>English</v>
      </c>
      <c r="C2" s="96"/>
      <c r="D2" s="345" t="s">
        <v>682</v>
      </c>
      <c r="E2" s="345" t="s">
        <v>651</v>
      </c>
      <c r="F2" s="96"/>
    </row>
    <row r="3" spans="1:6">
      <c r="A3" s="346" t="s">
        <v>683</v>
      </c>
      <c r="B3" s="347" t="str">
        <f>IF($B$2=$D$2,D3,E3)</f>
        <v>Transmission tariffs for natural gas</v>
      </c>
      <c r="C3" s="348"/>
      <c r="D3" s="349" t="s">
        <v>684</v>
      </c>
      <c r="E3" s="349" t="s">
        <v>685</v>
      </c>
    </row>
    <row r="4" spans="1:6">
      <c r="B4" s="350" t="str">
        <f t="shared" ref="B4:B67" si="0">IF($B$2=$D$2,D4,E4)</f>
        <v>Simplified tariff model</v>
      </c>
      <c r="D4" s="351" t="s">
        <v>686</v>
      </c>
      <c r="E4" s="351" t="s">
        <v>687</v>
      </c>
    </row>
    <row r="5" spans="1:6" ht="45">
      <c r="B5" s="352" t="str">
        <f t="shared" si="0"/>
        <v>This simplified tariff model presents the transmission tariffs for natural gas since gas year 2024-2025 until gas year 2026-2027.</v>
      </c>
      <c r="D5" s="351" t="s">
        <v>804</v>
      </c>
      <c r="E5" s="351" t="s">
        <v>803</v>
      </c>
    </row>
    <row r="6" spans="1:6" ht="30">
      <c r="B6" s="352" t="str">
        <f t="shared" si="0"/>
        <v>All calculated data are for information purposes only.</v>
      </c>
      <c r="D6" s="351" t="s">
        <v>688</v>
      </c>
      <c r="E6" s="351" t="s">
        <v>689</v>
      </c>
    </row>
    <row r="7" spans="1:6" ht="30">
      <c r="B7" s="352" t="str">
        <f t="shared" si="0"/>
        <v>The calculated prices do not include value-added tax (VAT).</v>
      </c>
      <c r="D7" s="351" t="s">
        <v>690</v>
      </c>
      <c r="E7" s="351" t="s">
        <v>691</v>
      </c>
    </row>
    <row r="8" spans="1:6">
      <c r="B8" s="352" t="str">
        <f t="shared" si="0"/>
        <v>Description of the simplified tariff model</v>
      </c>
      <c r="D8" s="351" t="s">
        <v>692</v>
      </c>
      <c r="E8" s="351" t="s">
        <v>693</v>
      </c>
    </row>
    <row r="9" spans="1:6" ht="30">
      <c r="B9" s="352" t="str">
        <f t="shared" si="0"/>
        <v>This model includes two additional worksheets, with the following purposes:</v>
      </c>
      <c r="D9" s="351" t="s">
        <v>694</v>
      </c>
      <c r="E9" s="351" t="s">
        <v>695</v>
      </c>
    </row>
    <row r="10" spans="1:6">
      <c r="B10" s="352" t="str">
        <f t="shared" si="0"/>
        <v xml:space="preserve">Input - </v>
      </c>
      <c r="D10" s="351" t="s">
        <v>696</v>
      </c>
      <c r="E10" s="351" t="s">
        <v>696</v>
      </c>
    </row>
    <row r="11" spans="1:6">
      <c r="B11" s="352" t="str">
        <f t="shared" si="0"/>
        <v xml:space="preserve">Output - </v>
      </c>
      <c r="D11" s="351" t="s">
        <v>697</v>
      </c>
      <c r="E11" s="351" t="s">
        <v>697</v>
      </c>
    </row>
    <row r="12" spans="1:6" ht="45">
      <c r="B12" s="352" t="str">
        <f t="shared" si="0"/>
        <v>This worksheet includes the allowed revenues of the transmission system operator and the forecasted capacity demand.</v>
      </c>
      <c r="D12" s="351" t="s">
        <v>698</v>
      </c>
      <c r="E12" s="351" t="s">
        <v>699</v>
      </c>
    </row>
    <row r="13" spans="1:6" ht="45">
      <c r="B13" s="352" t="str">
        <f t="shared" si="0"/>
        <v>This worksheet computes the transmission tariffs applicable for the use of the transmission system based on the values from the 'Input' worksheet.</v>
      </c>
      <c r="D13" s="351" t="s">
        <v>700</v>
      </c>
      <c r="E13" s="351" t="s">
        <v>701</v>
      </c>
    </row>
    <row r="14" spans="1:6" ht="30">
      <c r="B14" s="352" t="str">
        <f t="shared" si="0"/>
        <v>The values that can be changed by the user are the yellow cells included in the 'Input' worksheet.</v>
      </c>
      <c r="D14" s="351" t="s">
        <v>702</v>
      </c>
      <c r="E14" s="351" t="s">
        <v>703</v>
      </c>
    </row>
    <row r="15" spans="1:6">
      <c r="B15" s="352" t="str">
        <f t="shared" si="0"/>
        <v>Color legend</v>
      </c>
      <c r="D15" s="353" t="s">
        <v>704</v>
      </c>
      <c r="E15" s="353" t="s">
        <v>705</v>
      </c>
    </row>
    <row r="16" spans="1:6" ht="45">
      <c r="B16" s="352" t="str">
        <f t="shared" si="0"/>
        <v>Yellow cells in the worksheet 'Input' correspond to the information used in the tariff approval for gas year 2026-2027.</v>
      </c>
      <c r="D16" s="353" t="s">
        <v>799</v>
      </c>
      <c r="E16" s="353" t="s">
        <v>800</v>
      </c>
    </row>
    <row r="17" spans="1:6" ht="60">
      <c r="B17" s="352" t="str">
        <f t="shared" si="0"/>
        <v>This information can be changed by the user in order to simulate what the transmission tariffs would have been equal to if demand or revenues were different.</v>
      </c>
      <c r="D17" s="353" t="s">
        <v>706</v>
      </c>
      <c r="E17" s="353" t="s">
        <v>707</v>
      </c>
    </row>
    <row r="18" spans="1:6" ht="45">
      <c r="B18" s="352" t="str">
        <f t="shared" si="0"/>
        <v>Green cells in the worksheet 'Output' are computed based on the values entered in the yellow cells in the 'Input' worksheet.</v>
      </c>
      <c r="D18" s="353" t="s">
        <v>708</v>
      </c>
      <c r="E18" s="353" t="s">
        <v>709</v>
      </c>
    </row>
    <row r="19" spans="1:6" ht="15.75" thickBot="1">
      <c r="A19" s="96"/>
      <c r="B19" s="354" t="str">
        <f t="shared" si="0"/>
        <v>Last update:</v>
      </c>
      <c r="C19" s="96"/>
      <c r="D19" s="355" t="s">
        <v>710</v>
      </c>
      <c r="E19" s="355" t="s">
        <v>711</v>
      </c>
      <c r="F19" s="96"/>
    </row>
    <row r="20" spans="1:6">
      <c r="A20" s="76" t="s">
        <v>712</v>
      </c>
      <c r="B20" s="350" t="str">
        <f t="shared" si="0"/>
        <v>Allowed revenues</v>
      </c>
      <c r="D20" s="349" t="s">
        <v>36</v>
      </c>
      <c r="E20" s="349" t="s">
        <v>713</v>
      </c>
    </row>
    <row r="21" spans="1:6" ht="30">
      <c r="B21" s="352" t="str">
        <f t="shared" si="0"/>
        <v>Allowed revenues of the transmission system operator</v>
      </c>
      <c r="D21" s="351" t="s">
        <v>31</v>
      </c>
      <c r="E21" s="351" t="s">
        <v>714</v>
      </c>
    </row>
    <row r="22" spans="1:6">
      <c r="B22" s="352" t="str">
        <f t="shared" si="0"/>
        <v>Forecasted capacity demand</v>
      </c>
      <c r="D22" s="351" t="s">
        <v>715</v>
      </c>
      <c r="E22" s="351" t="s">
        <v>673</v>
      </c>
    </row>
    <row r="23" spans="1:6">
      <c r="B23" s="352" t="str">
        <f t="shared" si="0"/>
        <v>Point</v>
      </c>
      <c r="D23" s="351" t="s">
        <v>294</v>
      </c>
      <c r="E23" s="351" t="s">
        <v>716</v>
      </c>
    </row>
    <row r="24" spans="1:6">
      <c r="B24" s="352" t="str">
        <f t="shared" si="0"/>
        <v>Product</v>
      </c>
      <c r="D24" s="351" t="s">
        <v>6</v>
      </c>
      <c r="E24" s="351" t="s">
        <v>717</v>
      </c>
    </row>
    <row r="25" spans="1:6">
      <c r="B25" s="352" t="str">
        <f t="shared" si="0"/>
        <v>Entry</v>
      </c>
      <c r="D25" s="351" t="s">
        <v>7</v>
      </c>
      <c r="E25" s="351" t="s">
        <v>665</v>
      </c>
    </row>
    <row r="26" spans="1:6">
      <c r="B26" s="352" t="str">
        <f t="shared" si="0"/>
        <v>Exit</v>
      </c>
      <c r="D26" s="351" t="s">
        <v>16</v>
      </c>
      <c r="E26" s="351" t="s">
        <v>666</v>
      </c>
    </row>
    <row r="27" spans="1:6">
      <c r="B27" s="352" t="str">
        <f t="shared" si="0"/>
        <v>VIP Iberico</v>
      </c>
      <c r="D27" s="351" t="s">
        <v>226</v>
      </c>
      <c r="E27" s="351" t="s">
        <v>718</v>
      </c>
    </row>
    <row r="28" spans="1:6">
      <c r="B28" s="352" t="str">
        <f t="shared" si="0"/>
        <v>LNG terminal</v>
      </c>
      <c r="D28" s="351" t="s">
        <v>14</v>
      </c>
      <c r="E28" s="351" t="s">
        <v>309</v>
      </c>
    </row>
    <row r="29" spans="1:6">
      <c r="B29" s="352" t="str">
        <f t="shared" si="0"/>
        <v>Underground Storage</v>
      </c>
      <c r="D29" s="351" t="s">
        <v>719</v>
      </c>
      <c r="E29" s="351" t="s">
        <v>310</v>
      </c>
    </row>
    <row r="30" spans="1:6">
      <c r="B30" s="352" t="str">
        <f t="shared" si="0"/>
        <v>Gas producers</v>
      </c>
      <c r="D30" s="351" t="s">
        <v>26</v>
      </c>
      <c r="E30" s="351" t="s">
        <v>648</v>
      </c>
    </row>
    <row r="31" spans="1:6">
      <c r="B31" s="352" t="str">
        <f t="shared" si="0"/>
        <v>Distribution networks and HP Customers</v>
      </c>
      <c r="D31" s="351" t="s">
        <v>720</v>
      </c>
      <c r="E31" s="351" t="s">
        <v>721</v>
      </c>
    </row>
    <row r="32" spans="1:6">
      <c r="B32" s="352" t="str">
        <f t="shared" si="0"/>
        <v>HP Customers</v>
      </c>
      <c r="D32" s="351" t="s">
        <v>722</v>
      </c>
      <c r="E32" s="351" t="s">
        <v>723</v>
      </c>
    </row>
    <row r="33" spans="2:5">
      <c r="B33" s="352" t="str">
        <f t="shared" si="0"/>
        <v>Yearly</v>
      </c>
      <c r="D33" s="351" t="s">
        <v>724</v>
      </c>
      <c r="E33" s="351" t="s">
        <v>725</v>
      </c>
    </row>
    <row r="34" spans="2:5">
      <c r="B34" s="352" t="str">
        <f t="shared" si="0"/>
        <v>Quarterly</v>
      </c>
      <c r="D34" s="351" t="s">
        <v>10</v>
      </c>
      <c r="E34" s="351" t="s">
        <v>726</v>
      </c>
    </row>
    <row r="35" spans="2:5">
      <c r="B35" s="352" t="str">
        <f t="shared" si="0"/>
        <v>Monthly</v>
      </c>
      <c r="D35" s="351" t="s">
        <v>11</v>
      </c>
      <c r="E35" s="351" t="s">
        <v>727</v>
      </c>
    </row>
    <row r="36" spans="2:5">
      <c r="B36" s="352" t="str">
        <f t="shared" si="0"/>
        <v>Daily</v>
      </c>
      <c r="D36" s="351" t="s">
        <v>12</v>
      </c>
      <c r="E36" s="351" t="s">
        <v>728</v>
      </c>
    </row>
    <row r="37" spans="2:5">
      <c r="B37" s="352" t="str">
        <f t="shared" si="0"/>
        <v>Intraday</v>
      </c>
      <c r="D37" s="351" t="s">
        <v>729</v>
      </c>
      <c r="E37" s="351" t="s">
        <v>730</v>
      </c>
    </row>
    <row r="38" spans="2:5">
      <c r="B38" s="352" t="str">
        <f t="shared" si="0"/>
        <v>Used capacity at injection</v>
      </c>
      <c r="D38" s="351" t="s">
        <v>27</v>
      </c>
      <c r="E38" s="351" t="s">
        <v>731</v>
      </c>
    </row>
    <row r="39" spans="2:5">
      <c r="B39" s="352" t="str">
        <f t="shared" si="0"/>
        <v>Long Uses</v>
      </c>
      <c r="D39" s="351" t="s">
        <v>732</v>
      </c>
      <c r="E39" s="351" t="s">
        <v>733</v>
      </c>
    </row>
    <row r="40" spans="2:5">
      <c r="B40" s="352" t="str">
        <f t="shared" si="0"/>
        <v>Annual Flexible Rate - Annual Base Capacity</v>
      </c>
      <c r="D40" s="351" t="s">
        <v>734</v>
      </c>
      <c r="E40" s="351" t="s">
        <v>735</v>
      </c>
    </row>
    <row r="41" spans="2:5" ht="30">
      <c r="B41" s="352" t="str">
        <f t="shared" si="0"/>
        <v>Annual Flexible Rate - Additional Monthly Capacity (April to September)</v>
      </c>
      <c r="D41" s="351" t="s">
        <v>736</v>
      </c>
      <c r="E41" s="351" t="s">
        <v>737</v>
      </c>
    </row>
    <row r="42" spans="2:5" ht="30">
      <c r="B42" s="352" t="str">
        <f t="shared" si="0"/>
        <v>Flexible Monthly Rate - Monthly Capacity (October to March)</v>
      </c>
      <c r="D42" s="351" t="s">
        <v>738</v>
      </c>
      <c r="E42" s="351" t="s">
        <v>739</v>
      </c>
    </row>
    <row r="43" spans="2:5" ht="30">
      <c r="B43" s="352" t="str">
        <f t="shared" si="0"/>
        <v>Flexible Monthly Rate - Monthly Capacity (April to September)</v>
      </c>
      <c r="D43" s="351" t="s">
        <v>740</v>
      </c>
      <c r="E43" s="351" t="s">
        <v>741</v>
      </c>
    </row>
    <row r="44" spans="2:5" ht="30">
      <c r="B44" s="352" t="str">
        <f t="shared" si="0"/>
        <v>Daily Flexible Rate - Daily Capacity (October to March)</v>
      </c>
      <c r="D44" s="351" t="s">
        <v>742</v>
      </c>
      <c r="E44" s="351" t="s">
        <v>743</v>
      </c>
    </row>
    <row r="45" spans="2:5" ht="30">
      <c r="B45" s="352" t="str">
        <f t="shared" si="0"/>
        <v>Daily Flexible Rate - Daily Capacity (April to September)</v>
      </c>
      <c r="D45" s="351" t="s">
        <v>744</v>
      </c>
      <c r="E45" s="351" t="s">
        <v>745</v>
      </c>
    </row>
    <row r="46" spans="2:5">
      <c r="B46" s="352" t="str">
        <f t="shared" si="0"/>
        <v>Unit</v>
      </c>
      <c r="D46" s="351" t="s">
        <v>746</v>
      </c>
      <c r="E46" s="351" t="s">
        <v>747</v>
      </c>
    </row>
    <row r="47" spans="2:5">
      <c r="B47" s="352" t="str">
        <f t="shared" si="0"/>
        <v>kWh/day</v>
      </c>
      <c r="D47" s="351" t="s">
        <v>748</v>
      </c>
      <c r="E47" s="351" t="s">
        <v>749</v>
      </c>
    </row>
    <row r="48" spans="2:5">
      <c r="B48" s="352" t="str">
        <f t="shared" si="0"/>
        <v>kWh/h</v>
      </c>
      <c r="D48" s="351" t="s">
        <v>750</v>
      </c>
      <c r="E48" s="351" t="s">
        <v>750</v>
      </c>
    </row>
    <row r="49" spans="1:6" ht="15.75" thickBot="1">
      <c r="A49" s="96"/>
      <c r="B49" s="354" t="str">
        <f t="shared" si="0"/>
        <v>Yellow cells can be changed by the user</v>
      </c>
      <c r="C49" s="96"/>
      <c r="D49" s="355" t="s">
        <v>751</v>
      </c>
      <c r="E49" s="355" t="s">
        <v>752</v>
      </c>
      <c r="F49" s="96"/>
    </row>
    <row r="50" spans="1:6">
      <c r="A50" s="76" t="s">
        <v>753</v>
      </c>
      <c r="B50" s="350" t="str">
        <f t="shared" si="0"/>
        <v>Transmission tariffs</v>
      </c>
      <c r="D50" s="349" t="s">
        <v>754</v>
      </c>
      <c r="E50" s="349" t="s">
        <v>755</v>
      </c>
    </row>
    <row r="51" spans="1:6">
      <c r="B51" s="352" t="str">
        <f t="shared" si="0"/>
        <v>€/(kWh/day)/year</v>
      </c>
      <c r="D51" s="351" t="s">
        <v>756</v>
      </c>
      <c r="E51" s="351" t="s">
        <v>646</v>
      </c>
    </row>
    <row r="52" spans="1:6">
      <c r="B52" s="352" t="str">
        <f t="shared" si="0"/>
        <v>€/(kWh/h)/year</v>
      </c>
      <c r="D52" s="351" t="s">
        <v>757</v>
      </c>
      <c r="E52" s="351" t="s">
        <v>758</v>
      </c>
    </row>
    <row r="53" spans="1:6" ht="15.75" thickBot="1">
      <c r="A53" s="96"/>
      <c r="B53" s="354" t="str">
        <f t="shared" si="0"/>
        <v>Green cells are estimates and vary with input values</v>
      </c>
      <c r="C53" s="96"/>
      <c r="D53" s="355" t="s">
        <v>805</v>
      </c>
      <c r="E53" s="355" t="s">
        <v>806</v>
      </c>
    </row>
    <row r="54" spans="1:6">
      <c r="A54" s="76" t="s">
        <v>759</v>
      </c>
      <c r="B54" s="350" t="str">
        <f t="shared" si="0"/>
        <v>Interconnection point (Campo Maior)</v>
      </c>
      <c r="D54" s="349" t="s">
        <v>760</v>
      </c>
      <c r="E54" s="349" t="s">
        <v>761</v>
      </c>
    </row>
    <row r="55" spans="1:6">
      <c r="B55" s="352" t="str">
        <f t="shared" si="0"/>
        <v>Interconnection point (Valença do Minho)</v>
      </c>
      <c r="D55" s="351" t="s">
        <v>762</v>
      </c>
      <c r="E55" s="349" t="s">
        <v>763</v>
      </c>
    </row>
    <row r="56" spans="1:6">
      <c r="B56" s="352" t="str">
        <f t="shared" si="0"/>
        <v>LNG terminal</v>
      </c>
      <c r="D56" s="351" t="s">
        <v>14</v>
      </c>
      <c r="E56" s="351" t="s">
        <v>764</v>
      </c>
    </row>
    <row r="57" spans="1:6">
      <c r="B57" s="352" t="str">
        <f t="shared" si="0"/>
        <v>Underground Storage</v>
      </c>
      <c r="D57" s="351" t="s">
        <v>719</v>
      </c>
      <c r="E57" s="351" t="s">
        <v>765</v>
      </c>
    </row>
    <row r="58" spans="1:6">
      <c r="B58" s="352" t="str">
        <f t="shared" si="0"/>
        <v>Type</v>
      </c>
      <c r="D58" s="351" t="s">
        <v>215</v>
      </c>
      <c r="E58" s="351" t="s">
        <v>766</v>
      </c>
    </row>
    <row r="59" spans="1:6">
      <c r="B59" s="352" t="str">
        <f t="shared" si="0"/>
        <v>Contracted</v>
      </c>
      <c r="D59" s="351" t="s">
        <v>767</v>
      </c>
      <c r="E59" s="351" t="s">
        <v>768</v>
      </c>
    </row>
    <row r="60" spans="1:6">
      <c r="B60" s="352" t="str">
        <f t="shared" si="0"/>
        <v>Used</v>
      </c>
      <c r="D60" s="351" t="s">
        <v>769</v>
      </c>
      <c r="E60" s="351" t="s">
        <v>770</v>
      </c>
    </row>
    <row r="61" spans="1:6">
      <c r="B61" s="352" t="str">
        <f t="shared" si="0"/>
        <v>Type of point</v>
      </c>
      <c r="D61" s="351" t="s">
        <v>771</v>
      </c>
      <c r="E61" s="351" t="s">
        <v>772</v>
      </c>
    </row>
    <row r="62" spans="1:6">
      <c r="B62" s="352" t="str">
        <f t="shared" si="0"/>
        <v>Campo Maior</v>
      </c>
      <c r="D62" s="351" t="s">
        <v>168</v>
      </c>
      <c r="E62" s="351" t="s">
        <v>168</v>
      </c>
    </row>
    <row r="63" spans="1:6">
      <c r="B63" s="352" t="str">
        <f t="shared" si="0"/>
        <v>Valença do Minho</v>
      </c>
      <c r="D63" s="351" t="s">
        <v>773</v>
      </c>
      <c r="E63" s="351" t="s">
        <v>773</v>
      </c>
    </row>
    <row r="64" spans="1:6">
      <c r="B64" s="352" t="str">
        <f t="shared" si="0"/>
        <v>LNG terminal (Sines)</v>
      </c>
      <c r="D64" s="351" t="s">
        <v>774</v>
      </c>
      <c r="E64" s="351" t="s">
        <v>775</v>
      </c>
    </row>
    <row r="65" spans="2:5">
      <c r="B65" s="352" t="str">
        <f t="shared" si="0"/>
        <v>Underground storage (Carriço)</v>
      </c>
      <c r="D65" s="351" t="s">
        <v>776</v>
      </c>
      <c r="E65" s="351" t="s">
        <v>100</v>
      </c>
    </row>
    <row r="66" spans="2:5">
      <c r="B66" s="352" t="str">
        <f t="shared" si="0"/>
        <v>Lisboagás, Setgás, Carregado, Ribatejo</v>
      </c>
      <c r="D66" s="351" t="s">
        <v>777</v>
      </c>
      <c r="E66" s="351" t="s">
        <v>777</v>
      </c>
    </row>
    <row r="67" spans="2:5">
      <c r="B67" s="352" t="str">
        <f t="shared" si="0"/>
        <v>Portgás, Outeiro power plant</v>
      </c>
      <c r="D67" s="351" t="s">
        <v>778</v>
      </c>
      <c r="E67" s="351" t="s">
        <v>779</v>
      </c>
    </row>
    <row r="68" spans="2:5" ht="30">
      <c r="B68" s="352" t="str">
        <f t="shared" ref="B68:B103" si="1">IF($B$2=$D$2,D68,E68)</f>
        <v>Lusitâniagás, Lares power plant, Figueira da Foz power plant</v>
      </c>
      <c r="D68" s="351" t="s">
        <v>780</v>
      </c>
      <c r="E68" s="351" t="s">
        <v>781</v>
      </c>
    </row>
    <row r="69" spans="2:5">
      <c r="B69" s="352" t="str">
        <f t="shared" si="1"/>
        <v>Tagusgás, Pego power plant</v>
      </c>
      <c r="D69" s="351" t="s">
        <v>782</v>
      </c>
      <c r="E69" s="351" t="s">
        <v>783</v>
      </c>
    </row>
    <row r="70" spans="2:5">
      <c r="B70" s="352" t="str">
        <f t="shared" si="1"/>
        <v>Portucel</v>
      </c>
      <c r="D70" s="351" t="s">
        <v>784</v>
      </c>
      <c r="E70" s="351" t="s">
        <v>784</v>
      </c>
    </row>
    <row r="71" spans="2:5">
      <c r="B71" s="352" t="str">
        <f t="shared" si="1"/>
        <v>Sines Refinary, Portucel</v>
      </c>
      <c r="D71" s="351" t="s">
        <v>785</v>
      </c>
      <c r="E71" s="351" t="s">
        <v>786</v>
      </c>
    </row>
    <row r="72" spans="2:5">
      <c r="B72" s="352" t="str">
        <f t="shared" si="1"/>
        <v>Beiragás</v>
      </c>
      <c r="D72" s="351" t="s">
        <v>787</v>
      </c>
      <c r="E72" s="351" t="s">
        <v>787</v>
      </c>
    </row>
    <row r="73" spans="2:5">
      <c r="B73" s="352" t="str">
        <f t="shared" si="1"/>
        <v>Interconnection point</v>
      </c>
      <c r="D73" s="351" t="s">
        <v>217</v>
      </c>
      <c r="E73" s="351" t="s">
        <v>788</v>
      </c>
    </row>
    <row r="74" spans="2:5">
      <c r="B74" s="352" t="str">
        <f t="shared" si="1"/>
        <v>LNG terminal</v>
      </c>
      <c r="D74" s="351" t="s">
        <v>14</v>
      </c>
      <c r="E74" s="351" t="s">
        <v>647</v>
      </c>
    </row>
    <row r="75" spans="2:5">
      <c r="B75" s="352" t="str">
        <f t="shared" si="1"/>
        <v>Storage</v>
      </c>
      <c r="D75" s="351" t="s">
        <v>789</v>
      </c>
      <c r="E75" s="351" t="s">
        <v>790</v>
      </c>
    </row>
    <row r="76" spans="2:5">
      <c r="B76" s="352" t="str">
        <f t="shared" si="1"/>
        <v>Consumption</v>
      </c>
      <c r="D76" s="351" t="s">
        <v>791</v>
      </c>
      <c r="E76" s="351" t="s">
        <v>792</v>
      </c>
    </row>
    <row r="77" spans="2:5">
      <c r="B77" s="352" t="str">
        <f t="shared" si="1"/>
        <v>Technical capacity</v>
      </c>
      <c r="D77" s="351" t="s">
        <v>793</v>
      </c>
      <c r="E77" s="351" t="s">
        <v>794</v>
      </c>
    </row>
    <row r="78" spans="2:5">
      <c r="B78" s="352" t="str">
        <f t="shared" si="1"/>
        <v>Physical flow</v>
      </c>
      <c r="D78" s="351" t="s">
        <v>795</v>
      </c>
      <c r="E78" s="351" t="s">
        <v>796</v>
      </c>
    </row>
    <row r="79" spans="2:5">
      <c r="B79" s="352" t="str">
        <f t="shared" si="1"/>
        <v>Physical utilization factor</v>
      </c>
      <c r="D79" s="351" t="s">
        <v>797</v>
      </c>
      <c r="E79" s="351" t="s">
        <v>798</v>
      </c>
    </row>
    <row r="80" spans="2:5">
      <c r="B80" s="352">
        <f t="shared" si="1"/>
        <v>0</v>
      </c>
      <c r="D80" s="351"/>
      <c r="E80" s="351"/>
    </row>
    <row r="81" spans="2:5">
      <c r="B81" s="352">
        <f t="shared" si="1"/>
        <v>0</v>
      </c>
      <c r="D81" s="351"/>
      <c r="E81" s="351"/>
    </row>
    <row r="82" spans="2:5">
      <c r="B82" s="352">
        <f t="shared" si="1"/>
        <v>0</v>
      </c>
      <c r="D82" s="351"/>
      <c r="E82" s="351"/>
    </row>
    <row r="83" spans="2:5">
      <c r="B83" s="352">
        <f t="shared" si="1"/>
        <v>0</v>
      </c>
      <c r="D83" s="351"/>
      <c r="E83" s="351"/>
    </row>
    <row r="84" spans="2:5">
      <c r="B84" s="352">
        <f t="shared" si="1"/>
        <v>0</v>
      </c>
      <c r="D84" s="351"/>
      <c r="E84" s="351"/>
    </row>
    <row r="85" spans="2:5">
      <c r="B85" s="352">
        <f t="shared" si="1"/>
        <v>0</v>
      </c>
      <c r="D85" s="351"/>
      <c r="E85" s="351"/>
    </row>
    <row r="86" spans="2:5">
      <c r="B86" s="352">
        <f t="shared" si="1"/>
        <v>0</v>
      </c>
      <c r="D86" s="351"/>
      <c r="E86" s="351"/>
    </row>
    <row r="87" spans="2:5">
      <c r="B87" s="352">
        <f t="shared" si="1"/>
        <v>0</v>
      </c>
      <c r="D87" s="351"/>
      <c r="E87" s="351"/>
    </row>
    <row r="88" spans="2:5">
      <c r="B88" s="352">
        <f t="shared" si="1"/>
        <v>0</v>
      </c>
      <c r="D88" s="351"/>
      <c r="E88" s="351"/>
    </row>
    <row r="89" spans="2:5">
      <c r="B89" s="352">
        <f t="shared" si="1"/>
        <v>0</v>
      </c>
      <c r="D89" s="351"/>
      <c r="E89" s="351"/>
    </row>
    <row r="90" spans="2:5">
      <c r="B90" s="352">
        <f t="shared" si="1"/>
        <v>0</v>
      </c>
      <c r="D90" s="351"/>
      <c r="E90" s="351"/>
    </row>
    <row r="91" spans="2:5">
      <c r="B91" s="352">
        <f t="shared" si="1"/>
        <v>0</v>
      </c>
      <c r="D91" s="351"/>
      <c r="E91" s="351"/>
    </row>
    <row r="92" spans="2:5">
      <c r="B92" s="352">
        <f t="shared" si="1"/>
        <v>0</v>
      </c>
      <c r="D92" s="351"/>
      <c r="E92" s="351"/>
    </row>
    <row r="93" spans="2:5">
      <c r="B93" s="352">
        <f t="shared" si="1"/>
        <v>0</v>
      </c>
      <c r="D93" s="351"/>
      <c r="E93" s="351"/>
    </row>
    <row r="94" spans="2:5">
      <c r="B94" s="352">
        <f t="shared" si="1"/>
        <v>0</v>
      </c>
      <c r="D94" s="351"/>
      <c r="E94" s="351"/>
    </row>
    <row r="95" spans="2:5">
      <c r="B95" s="352">
        <f t="shared" si="1"/>
        <v>0</v>
      </c>
      <c r="D95" s="351"/>
      <c r="E95" s="351"/>
    </row>
    <row r="96" spans="2:5">
      <c r="B96" s="352">
        <f t="shared" si="1"/>
        <v>0</v>
      </c>
      <c r="D96" s="351"/>
      <c r="E96" s="351"/>
    </row>
    <row r="97" spans="2:5">
      <c r="B97" s="352">
        <f t="shared" si="1"/>
        <v>0</v>
      </c>
      <c r="D97" s="351"/>
      <c r="E97" s="351"/>
    </row>
    <row r="98" spans="2:5">
      <c r="B98" s="352">
        <f t="shared" si="1"/>
        <v>0</v>
      </c>
      <c r="D98" s="351"/>
      <c r="E98" s="351"/>
    </row>
    <row r="99" spans="2:5">
      <c r="B99" s="352">
        <f t="shared" si="1"/>
        <v>0</v>
      </c>
      <c r="D99" s="351"/>
      <c r="E99" s="351"/>
    </row>
    <row r="100" spans="2:5">
      <c r="B100" s="352">
        <f t="shared" si="1"/>
        <v>0</v>
      </c>
      <c r="D100" s="351"/>
      <c r="E100" s="351"/>
    </row>
    <row r="101" spans="2:5">
      <c r="B101" s="352">
        <f t="shared" si="1"/>
        <v>0</v>
      </c>
      <c r="D101" s="351"/>
      <c r="E101" s="351"/>
    </row>
    <row r="102" spans="2:5">
      <c r="B102" s="352">
        <f t="shared" si="1"/>
        <v>0</v>
      </c>
      <c r="D102" s="351"/>
      <c r="E102" s="351"/>
    </row>
    <row r="103" spans="2:5">
      <c r="B103" s="352">
        <f t="shared" si="1"/>
        <v>0</v>
      </c>
      <c r="D103" s="351"/>
      <c r="E103" s="3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C12"/>
  <sheetViews>
    <sheetView showGridLines="0" zoomScale="120" zoomScaleNormal="120" workbookViewId="0">
      <selection activeCell="F8" sqref="F8"/>
    </sheetView>
  </sheetViews>
  <sheetFormatPr defaultColWidth="0" defaultRowHeight="15" zeroHeight="1"/>
  <cols>
    <col min="1" max="1" width="4.7109375" customWidth="1"/>
    <col min="2" max="2" width="39.28515625" bestFit="1" customWidth="1"/>
    <col min="3" max="3" width="8.85546875" customWidth="1"/>
    <col min="4" max="6" width="8.85546875" hidden="1" customWidth="1"/>
    <col min="7" max="16384" width="8.85546875" hidden="1"/>
  </cols>
  <sheetData>
    <row r="1" spans="2:2"/>
    <row r="2" spans="2:2">
      <c r="B2" s="76" t="s">
        <v>545</v>
      </c>
    </row>
    <row r="3" spans="2:2">
      <c r="B3" s="81" t="s">
        <v>568</v>
      </c>
    </row>
    <row r="4" spans="2:2">
      <c r="B4" s="82" t="s">
        <v>570</v>
      </c>
    </row>
    <row r="5" spans="2:2" s="1" customFormat="1"/>
    <row r="6" spans="2:2"/>
    <row r="7" spans="2:2">
      <c r="B7" s="76" t="s">
        <v>546</v>
      </c>
    </row>
    <row r="8" spans="2:2">
      <c r="B8" s="81" t="s">
        <v>282</v>
      </c>
    </row>
    <row r="9" spans="2:2">
      <c r="B9" s="82" t="s">
        <v>284</v>
      </c>
    </row>
    <row r="10" spans="2:2"/>
    <row r="11" spans="2:2"/>
    <row r="12" spans="2:2"/>
  </sheetData>
  <dataValidations count="2">
    <dataValidation type="list" allowBlank="1" showInputMessage="1" showErrorMessage="1" sqref="B3" xr:uid="{00000000-0002-0000-0200-000000000000}">
      <formula1>List_RPM</formula1>
    </dataValidation>
    <dataValidation type="list" allowBlank="1" showInputMessage="1" showErrorMessage="1" sqref="B8" xr:uid="{00000000-0002-0000-0200-000001000000}">
      <formula1>Discount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6AC7FFC084DE43B6BEA366C2F1911F" ma:contentTypeVersion="0" ma:contentTypeDescription="Criar um novo documento." ma:contentTypeScope="" ma:versionID="6c2aa31bd7e7f5f649febbd0d1486e4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506b910cc15b996377c43172305fcf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67BB0A-7114-4F31-9E69-57533D189190}"/>
</file>

<file path=customXml/itemProps2.xml><?xml version="1.0" encoding="utf-8"?>
<ds:datastoreItem xmlns:ds="http://schemas.openxmlformats.org/officeDocument/2006/customXml" ds:itemID="{A9741164-7F8D-4881-867D-FF4FDB5EBA49}"/>
</file>

<file path=customXml/itemProps3.xml><?xml version="1.0" encoding="utf-8"?>
<ds:datastoreItem xmlns:ds="http://schemas.openxmlformats.org/officeDocument/2006/customXml" ds:itemID="{58941B73-F60F-4EBF-A255-DD58C133C756}"/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2022-09-22T13:51:25.0000000Z</dcterms:created>
  <dcterms:modified xsi:type="dcterms:W3CDTF">2026-08-31T12:32:22.0000000Z</dcterms:modified>
  <dc:title/>
  <dc:subject/>
  <dc:description/>
  <keywords/>
  <category/>
  <contentStatus/>
  <dc:identifier/>
  <dc:language/>
  <revision/>
  <version/>
</coreProperties>
</file>